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7.xml" ContentType="application/vnd.openxmlformats-officedocument.drawing+xml"/>
  <Override PartName="/xl/charts/chart6.xml" ContentType="application/vnd.openxmlformats-officedocument.drawingml.chart+xml"/>
  <Override PartName="/xl/comments1.xml" ContentType="application/vnd.openxmlformats-officedocument.spreadsheetml.comments+xml"/>
  <Override PartName="/xl/pivotTables/pivotTable7.xml" ContentType="application/vnd.openxmlformats-officedocument.spreadsheetml.pivotTable+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9.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10.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0.xml" ContentType="application/vnd.openxmlformats-officedocument.spreadsheetml.pivotTable+xml"/>
  <Override PartName="/xl/drawings/drawing11.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1.xml" ContentType="application/vnd.openxmlformats-officedocument.spreadsheetml.pivotTable+xml"/>
  <Override PartName="/xl/drawings/drawing12.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2.xml" ContentType="application/vnd.openxmlformats-officedocument.spreadsheetml.pivotTable+xml"/>
  <Override PartName="/xl/drawings/drawing13.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3.xml" ContentType="application/vnd.openxmlformats-officedocument.spreadsheetml.pivotTable+xml"/>
  <Override PartName="/xl/drawings/drawing14.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4.xml" ContentType="application/vnd.openxmlformats-officedocument.spreadsheetml.pivotTable+xml"/>
  <Override PartName="/xl/drawings/drawing15.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5.xml" ContentType="application/vnd.openxmlformats-officedocument.spreadsheetml.pivotTable+xml"/>
  <Override PartName="/xl/drawings/drawing16.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16.xml" ContentType="application/vnd.openxmlformats-officedocument.spreadsheetml.pivotTable+xml"/>
  <Override PartName="/xl/drawings/drawing17.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17.xml" ContentType="application/vnd.openxmlformats-officedocument.spreadsheetml.pivotTable+xml"/>
  <Override PartName="/xl/drawings/drawing18.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18.xml" ContentType="application/vnd.openxmlformats-officedocument.spreadsheetml.pivotTable+xml"/>
  <Override PartName="/xl/drawings/drawing19.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19.xml" ContentType="application/vnd.openxmlformats-officedocument.spreadsheetml.pivotTable+xml"/>
  <Override PartName="/xl/drawings/drawing20.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20.xml" ContentType="application/vnd.openxmlformats-officedocument.spreadsheetml.pivotTable+xml"/>
  <Override PartName="/xl/drawings/drawing21.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pivotTables/pivotTable21.xml" ContentType="application/vnd.openxmlformats-officedocument.spreadsheetml.pivotTable+xml"/>
  <Override PartName="/xl/drawings/drawing22.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22.xml" ContentType="application/vnd.openxmlformats-officedocument.spreadsheetml.pivotTable+xml"/>
  <Override PartName="/xl/drawings/drawing23.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pivotTables/pivotTable23.xml" ContentType="application/vnd.openxmlformats-officedocument.spreadsheetml.pivotTable+xml"/>
  <Override PartName="/xl/drawings/drawing24.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24.xml" ContentType="application/vnd.openxmlformats-officedocument.spreadsheetml.pivotTable+xml"/>
  <Override PartName="/xl/drawings/drawing25.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pivotTables/pivotTable25.xml" ContentType="application/vnd.openxmlformats-officedocument.spreadsheetml.pivotTable+xml"/>
  <Override PartName="/xl/drawings/drawing26.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pivotTables/pivotTable26.xml" ContentType="application/vnd.openxmlformats-officedocument.spreadsheetml.pivotTable+xml"/>
  <Override PartName="/xl/drawings/drawing27.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omments2.xml" ContentType="application/vnd.openxmlformats-officedocument.spreadsheetml.comments+xml"/>
  <Override PartName="/xl/pivotTables/pivotTable27.xml" ContentType="application/vnd.openxmlformats-officedocument.spreadsheetml.pivotTable+xml"/>
  <Override PartName="/xl/drawings/drawing28.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pivotTables/pivotTable28.xml" ContentType="application/vnd.openxmlformats-officedocument.spreadsheetml.pivotTable+xml"/>
  <Override PartName="/xl/drawings/drawing29.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showInkAnnotation="0" codeName="ThisWorkbook"/>
  <mc:AlternateContent xmlns:mc="http://schemas.openxmlformats.org/markup-compatibility/2006">
    <mc:Choice Requires="x15">
      <x15ac:absPath xmlns:x15ac="http://schemas.microsoft.com/office/spreadsheetml/2010/11/ac" url="https://lumell-my.sharepoint.com/personal/alice_fredrikson_lumell_se/Documents/VästKom/Final (höst 17)/"/>
    </mc:Choice>
  </mc:AlternateContent>
  <bookViews>
    <workbookView xWindow="0" yWindow="0" windowWidth="15360" windowHeight="8175" tabRatio="905"/>
  </bookViews>
  <sheets>
    <sheet name="Information och innehåll" sheetId="9" r:id="rId1"/>
    <sheet name="V1.1.1" sheetId="4" r:id="rId2"/>
    <sheet name="V1.1.1 DATA" sheetId="5" r:id="rId3"/>
    <sheet name="V1.1.2" sheetId="6" r:id="rId4"/>
    <sheet name="V1.1.2 DATA" sheetId="7" r:id="rId5"/>
    <sheet name="V1.1.3" sheetId="8" r:id="rId6"/>
    <sheet name="V1.1.3 Data" sheetId="10" r:id="rId7"/>
    <sheet name="V2.1.1" sheetId="11" r:id="rId8"/>
    <sheet name="V2.1.1 DATA" sheetId="12" r:id="rId9"/>
    <sheet name="V2.1.2" sheetId="13" r:id="rId10"/>
    <sheet name="V2.1.2 DATA" sheetId="20" r:id="rId11"/>
    <sheet name="V3.1.1" sheetId="21" r:id="rId12"/>
    <sheet name="V3.1.1 DATA" sheetId="22" r:id="rId13"/>
    <sheet name="V3.1.2" sheetId="23" r:id="rId14"/>
    <sheet name="V3.1.2 DATA" sheetId="24" r:id="rId15"/>
    <sheet name="V3.1.3" sheetId="25" r:id="rId16"/>
    <sheet name="V3.1.3 DATA" sheetId="26" r:id="rId17"/>
    <sheet name="V3.2.1" sheetId="29" r:id="rId18"/>
    <sheet name="V3.2.1 DATA" sheetId="30" r:id="rId19"/>
    <sheet name="V4.1.1" sheetId="31" r:id="rId20"/>
    <sheet name="V4.1.1 DATA" sheetId="32" r:id="rId21"/>
    <sheet name="V4.2.1" sheetId="35" r:id="rId22"/>
    <sheet name="V4.2.1 DATA" sheetId="36" r:id="rId23"/>
    <sheet name="V4.2.2" sheetId="37" r:id="rId24"/>
    <sheet name="V4.2.2 DATA" sheetId="38" r:id="rId25"/>
    <sheet name="V4.2.3" sheetId="39" r:id="rId26"/>
    <sheet name="V4.2.3 DATA" sheetId="40" r:id="rId27"/>
    <sheet name="V4.2.4" sheetId="41" r:id="rId28"/>
    <sheet name="V4.2.4 DATA" sheetId="42" r:id="rId29"/>
    <sheet name="V5.1.1" sheetId="45" r:id="rId30"/>
    <sheet name="V5.1.1 DATA" sheetId="46" r:id="rId31"/>
    <sheet name="V5.1.2" sheetId="47" r:id="rId32"/>
    <sheet name="V5.1.2 DATA" sheetId="48" r:id="rId33"/>
    <sheet name="V5.1.3" sheetId="98" r:id="rId34"/>
    <sheet name="V5.1.3 DATA" sheetId="97" r:id="rId35"/>
    <sheet name="B1.1.1" sheetId="15" r:id="rId36"/>
    <sheet name="B1.1.1 DATA" sheetId="16" r:id="rId37"/>
    <sheet name="B1.1.2" sheetId="17" r:id="rId38"/>
    <sheet name="B1.1.2 DATA" sheetId="18" r:id="rId39"/>
    <sheet name="B1.2.1" sheetId="57" r:id="rId40"/>
    <sheet name="B1.2.1 DATA" sheetId="58" r:id="rId41"/>
    <sheet name="B1.2.2" sheetId="19" r:id="rId42"/>
    <sheet name="B1.2.2 DATA" sheetId="52" r:id="rId43"/>
    <sheet name="B1.2.3" sheetId="59" r:id="rId44"/>
    <sheet name="B1.2.3 DATA" sheetId="60" r:id="rId45"/>
    <sheet name="B2.1.1" sheetId="61" r:id="rId46"/>
    <sheet name="B2.1.1 DATA" sheetId="62" r:id="rId47"/>
    <sheet name="B2.1.2" sheetId="96" r:id="rId48"/>
    <sheet name="B2.1.2 DATA" sheetId="95" r:id="rId49"/>
    <sheet name="B2.2.1" sheetId="63" r:id="rId50"/>
    <sheet name="B2.2.1 DATA" sheetId="64" r:id="rId51"/>
    <sheet name="B2.2.2" sheetId="65" r:id="rId52"/>
    <sheet name="B2.2.2 DATA" sheetId="66" r:id="rId53"/>
    <sheet name="B2.2.3" sheetId="67" r:id="rId54"/>
    <sheet name="B2.2.3 DATA" sheetId="68" r:id="rId55"/>
    <sheet name="B2.2.4" sheetId="69" r:id="rId56"/>
    <sheet name="B2.2.4 DATA" sheetId="70" r:id="rId57"/>
    <sheet name="B3.1.1" sheetId="71" r:id="rId58"/>
    <sheet name="B3.1.1 DATA" sheetId="72" r:id="rId59"/>
    <sheet name="B3.1.2" sheetId="93" r:id="rId60"/>
    <sheet name="B3.1.2 DATA" sheetId="94" r:id="rId61"/>
    <sheet name="B3.1.3" sheetId="73" r:id="rId62"/>
    <sheet name="B3.1.3 DATA" sheetId="74" r:id="rId63"/>
    <sheet name="B3.2.1" sheetId="99" r:id="rId64"/>
    <sheet name="B3.2.1 DATA" sheetId="76" r:id="rId65"/>
    <sheet name="B4.1.1" sheetId="77" r:id="rId66"/>
    <sheet name="B4.1.1 DATA" sheetId="78" r:id="rId67"/>
    <sheet name="B5.1.1" sheetId="83" r:id="rId68"/>
    <sheet name="B5.1.1 DATA" sheetId="53" r:id="rId69"/>
    <sheet name="B5.1.2" sheetId="54" r:id="rId70"/>
    <sheet name="B5.1.2 DATA" sheetId="56" r:id="rId71"/>
    <sheet name="B5.1.3" sheetId="84" r:id="rId72"/>
    <sheet name="B5.1.3 DATA" sheetId="55" r:id="rId73"/>
  </sheets>
  <definedNames>
    <definedName name="_xlnm._FilterDatabase" localSheetId="36" hidden="1">'B1.1.1 DATA'!$A$38:$L$87</definedName>
    <definedName name="_xlnm._FilterDatabase" localSheetId="38" hidden="1">'B1.1.2 DATA'!$A$38:$L$87</definedName>
    <definedName name="_xlnm._FilterDatabase" localSheetId="40" hidden="1">'B1.2.1 DATA'!$A$32:$N$81</definedName>
    <definedName name="_xlnm._FilterDatabase" localSheetId="42" hidden="1">'B1.2.2 DATA'!$A$36:$R$85</definedName>
    <definedName name="_xlnm._FilterDatabase" localSheetId="44" hidden="1">'B1.2.3 DATA'!$A$33:$O$79</definedName>
    <definedName name="_xlnm._FilterDatabase" localSheetId="48" hidden="1">'B2.1.2 DATA'!$A$38:$L$87</definedName>
    <definedName name="_xlnm._FilterDatabase" localSheetId="50" hidden="1">'B2.2.1 DATA'!$A$46:$AF$92</definedName>
    <definedName name="_xlnm._FilterDatabase" localSheetId="62" hidden="1">'B3.1.3 DATA'!$A$46:$T$95</definedName>
    <definedName name="_xlnm._FilterDatabase" localSheetId="64" hidden="1">'B3.2.1 DATA'!$A$38:$L$87</definedName>
    <definedName name="_xlnm._FilterDatabase" localSheetId="68" hidden="1">'B5.1.1 DATA'!$A$11:$G$59</definedName>
    <definedName name="_xlnm._FilterDatabase" localSheetId="70" hidden="1">'B5.1.2 DATA'!$A$11:$G$59</definedName>
    <definedName name="_xlnm._FilterDatabase" localSheetId="2" hidden="1">'V1.1.1 DATA'!$A$11:$Q$59</definedName>
    <definedName name="_xlnm._FilterDatabase" localSheetId="4" hidden="1">'V1.1.2 DATA'!$A$11:$Q$59</definedName>
    <definedName name="_xlnm._FilterDatabase" localSheetId="8" hidden="1">'V2.1.1 DATA'!$A$46:$AF$95</definedName>
    <definedName name="_xlnm._FilterDatabase" localSheetId="10" hidden="1">'V2.1.2 DATA'!$A$11:$Q$59</definedName>
    <definedName name="_xlnm._FilterDatabase" localSheetId="16" hidden="1">'V3.1.3 DATA'!$A$46:$AC$95</definedName>
    <definedName name="_xlnm._FilterDatabase" localSheetId="20" hidden="1">'V4.1.1 DATA'!$A$12:$E$6897</definedName>
    <definedName name="_xlnm._FilterDatabase" localSheetId="22" hidden="1">'V4.2.1 DATA'!$A$11:$C$27</definedName>
    <definedName name="_xlnm._FilterDatabase" localSheetId="26" hidden="1">'V4.2.3 DATA'!$A$38:$L$87</definedName>
    <definedName name="_xlnm._FilterDatabase" localSheetId="28" hidden="1">'V4.2.4 DATA'!$A$77:$BJ$126</definedName>
    <definedName name="_xlnm._FilterDatabase" localSheetId="30" hidden="1">'V5.1.1 DATA'!$A$38:$L$87</definedName>
    <definedName name="_xlnm._FilterDatabase" localSheetId="32" hidden="1">'V5.1.2 DATA'!$A$61:$AL$110</definedName>
    <definedName name="_xlnm._FilterDatabase" localSheetId="34" hidden="1">'V5.1.3 DATA'!$A$61:$AL$110</definedName>
    <definedName name="B8.3">V5.1.2!$Z$55</definedName>
  </definedNames>
  <calcPr calcId="171027"/>
  <pivotCaches>
    <pivotCache cacheId="0" r:id="rId74"/>
    <pivotCache cacheId="1" r:id="rId75"/>
    <pivotCache cacheId="2" r:id="rId76"/>
    <pivotCache cacheId="3" r:id="rId77"/>
    <pivotCache cacheId="4" r:id="rId78"/>
    <pivotCache cacheId="5" r:id="rId79"/>
    <pivotCache cacheId="6" r:id="rId80"/>
    <pivotCache cacheId="7" r:id="rId81"/>
    <pivotCache cacheId="8" r:id="rId82"/>
    <pivotCache cacheId="9" r:id="rId83"/>
    <pivotCache cacheId="10" r:id="rId84"/>
    <pivotCache cacheId="11" r:id="rId85"/>
    <pivotCache cacheId="12" r:id="rId86"/>
    <pivotCache cacheId="13" r:id="rId87"/>
    <pivotCache cacheId="14" r:id="rId88"/>
    <pivotCache cacheId="15" r:id="rId89"/>
    <pivotCache cacheId="16" r:id="rId90"/>
    <pivotCache cacheId="17" r:id="rId91"/>
    <pivotCache cacheId="18" r:id="rId92"/>
    <pivotCache cacheId="19" r:id="rId93"/>
    <pivotCache cacheId="20" r:id="rId94"/>
    <pivotCache cacheId="21" r:id="rId95"/>
    <pivotCache cacheId="22" r:id="rId96"/>
    <pivotCache cacheId="23" r:id="rId97"/>
    <pivotCache cacheId="24" r:id="rId98"/>
    <pivotCache cacheId="25" r:id="rId99"/>
    <pivotCache cacheId="26" r:id="rId100"/>
    <pivotCache cacheId="27" r:id="rId10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7" i="9" l="1"/>
  <c r="C21" i="99"/>
  <c r="C21" i="77" l="1"/>
  <c r="C21" i="45"/>
  <c r="G90" i="70"/>
  <c r="H90" i="70"/>
  <c r="I90" i="70"/>
  <c r="J90" i="70"/>
  <c r="K90" i="70"/>
  <c r="L90" i="70"/>
  <c r="M90" i="70"/>
  <c r="N90" i="70"/>
  <c r="O90" i="70"/>
  <c r="P90" i="70"/>
  <c r="Q90" i="70"/>
  <c r="R90" i="70"/>
  <c r="S90" i="70"/>
  <c r="T90" i="70"/>
  <c r="U90" i="70"/>
  <c r="V90" i="70"/>
  <c r="BD90" i="70" s="1"/>
  <c r="W90" i="70"/>
  <c r="X90" i="70"/>
  <c r="Y90" i="70"/>
  <c r="Z90" i="70"/>
  <c r="AS35" i="70" s="1"/>
  <c r="AA90" i="70"/>
  <c r="AB90" i="70"/>
  <c r="AC90" i="70"/>
  <c r="AD90" i="70"/>
  <c r="AS39" i="70" s="1"/>
  <c r="AE90" i="70"/>
  <c r="AF90" i="70"/>
  <c r="G91" i="70"/>
  <c r="H91" i="70"/>
  <c r="I91" i="70"/>
  <c r="J91" i="70"/>
  <c r="K91" i="70"/>
  <c r="L91" i="70"/>
  <c r="M91" i="70"/>
  <c r="N91" i="70"/>
  <c r="O91" i="70"/>
  <c r="P91" i="70"/>
  <c r="Q91" i="70"/>
  <c r="R91" i="70"/>
  <c r="S91" i="70"/>
  <c r="T91" i="70"/>
  <c r="BB91" i="70" s="1"/>
  <c r="U91" i="70"/>
  <c r="V91" i="70"/>
  <c r="W91" i="70"/>
  <c r="X91" i="70"/>
  <c r="BF91" i="70" s="1"/>
  <c r="Y91" i="70"/>
  <c r="Z91" i="70"/>
  <c r="AA91" i="70"/>
  <c r="AB91" i="70"/>
  <c r="BJ91" i="70" s="1"/>
  <c r="AC91" i="70"/>
  <c r="AD91" i="70"/>
  <c r="AE91" i="70"/>
  <c r="AF91" i="70"/>
  <c r="BN91" i="70" s="1"/>
  <c r="G92" i="70"/>
  <c r="H92" i="70"/>
  <c r="I92" i="70"/>
  <c r="J92" i="70"/>
  <c r="K92" i="70"/>
  <c r="L92" i="70"/>
  <c r="M92" i="70"/>
  <c r="N92" i="70"/>
  <c r="O92" i="70"/>
  <c r="P92" i="70"/>
  <c r="Q92" i="70"/>
  <c r="R92" i="70"/>
  <c r="S92" i="70"/>
  <c r="T92" i="70"/>
  <c r="U92" i="70"/>
  <c r="V92" i="70"/>
  <c r="BD92" i="70" s="1"/>
  <c r="W92" i="70"/>
  <c r="X92" i="70"/>
  <c r="Y92" i="70"/>
  <c r="Z92" i="70"/>
  <c r="BH92" i="70" s="1"/>
  <c r="AA92" i="70"/>
  <c r="AB92" i="70"/>
  <c r="AC92" i="70"/>
  <c r="AD92" i="70"/>
  <c r="BL92" i="70" s="1"/>
  <c r="AE92" i="70"/>
  <c r="AF92" i="70"/>
  <c r="G93" i="70"/>
  <c r="H93" i="70"/>
  <c r="I93" i="70"/>
  <c r="J93" i="70"/>
  <c r="K93" i="70"/>
  <c r="L93" i="70"/>
  <c r="M93" i="70"/>
  <c r="N93" i="70"/>
  <c r="O93" i="70"/>
  <c r="P93" i="70"/>
  <c r="Q93" i="70"/>
  <c r="R93" i="70"/>
  <c r="S93" i="70"/>
  <c r="T93" i="70"/>
  <c r="AV29" i="70" s="1"/>
  <c r="U93" i="70"/>
  <c r="V93" i="70"/>
  <c r="W93" i="70"/>
  <c r="X93" i="70"/>
  <c r="BF93" i="70" s="1"/>
  <c r="Y93" i="70"/>
  <c r="Z93" i="70"/>
  <c r="AA93" i="70"/>
  <c r="AB93" i="70"/>
  <c r="AV37" i="70" s="1"/>
  <c r="AC93" i="70"/>
  <c r="AD93" i="70"/>
  <c r="AE93" i="70"/>
  <c r="AF93" i="70"/>
  <c r="AV41" i="70" s="1"/>
  <c r="G94" i="70"/>
  <c r="H94" i="70"/>
  <c r="I94" i="70"/>
  <c r="J94" i="70"/>
  <c r="K94" i="70"/>
  <c r="L94" i="70"/>
  <c r="M94" i="70"/>
  <c r="N94" i="70"/>
  <c r="O94" i="70"/>
  <c r="P94" i="70"/>
  <c r="Q94" i="70"/>
  <c r="R94" i="70"/>
  <c r="S94" i="70"/>
  <c r="T94" i="70"/>
  <c r="U94" i="70"/>
  <c r="V94" i="70"/>
  <c r="BD94" i="70" s="1"/>
  <c r="W94" i="70"/>
  <c r="X94" i="70"/>
  <c r="Y94" i="70"/>
  <c r="Z94" i="70"/>
  <c r="AW35" i="70" s="1"/>
  <c r="AA94" i="70"/>
  <c r="AB94" i="70"/>
  <c r="AC94" i="70"/>
  <c r="AD94" i="70"/>
  <c r="AW39" i="70" s="1"/>
  <c r="AE94" i="70"/>
  <c r="AF94" i="70"/>
  <c r="G47" i="70"/>
  <c r="H47" i="70"/>
  <c r="I47" i="70"/>
  <c r="J47" i="70"/>
  <c r="K47" i="70"/>
  <c r="L47" i="70"/>
  <c r="M47" i="70"/>
  <c r="N47" i="70"/>
  <c r="O47" i="70"/>
  <c r="P47" i="70"/>
  <c r="Q47" i="70"/>
  <c r="R47" i="70"/>
  <c r="S47" i="70"/>
  <c r="T47" i="70"/>
  <c r="U47" i="70"/>
  <c r="V47" i="70"/>
  <c r="W47" i="70"/>
  <c r="X47" i="70"/>
  <c r="Y47" i="70"/>
  <c r="Z47" i="70"/>
  <c r="AA47" i="70"/>
  <c r="AB47" i="70"/>
  <c r="AC47" i="70"/>
  <c r="AD47" i="70"/>
  <c r="C39" i="70" s="1"/>
  <c r="AE47" i="70"/>
  <c r="AF47" i="70"/>
  <c r="G48" i="70"/>
  <c r="H48" i="70"/>
  <c r="I48" i="70"/>
  <c r="J48" i="70"/>
  <c r="K48" i="70"/>
  <c r="L48" i="70"/>
  <c r="M48" i="70"/>
  <c r="N48" i="70"/>
  <c r="O48" i="70"/>
  <c r="P48" i="70"/>
  <c r="Q48" i="70"/>
  <c r="R48" i="70"/>
  <c r="S48" i="70"/>
  <c r="T48" i="70"/>
  <c r="U48" i="70"/>
  <c r="V48" i="70"/>
  <c r="W48" i="70"/>
  <c r="X48" i="70"/>
  <c r="Y48" i="70"/>
  <c r="Z48" i="70"/>
  <c r="AA48" i="70"/>
  <c r="AB48" i="70"/>
  <c r="D37" i="70" s="1"/>
  <c r="AC48" i="70"/>
  <c r="AD48" i="70"/>
  <c r="AE48" i="70"/>
  <c r="AF48" i="70"/>
  <c r="D41" i="70" s="1"/>
  <c r="G49" i="70"/>
  <c r="H49" i="70"/>
  <c r="I49" i="70"/>
  <c r="J49" i="70"/>
  <c r="K49" i="70"/>
  <c r="L49" i="70"/>
  <c r="M49" i="70"/>
  <c r="N49" i="70"/>
  <c r="O49" i="70"/>
  <c r="P49" i="70"/>
  <c r="Q49" i="70"/>
  <c r="R49" i="70"/>
  <c r="S49" i="70"/>
  <c r="T49" i="70"/>
  <c r="U49" i="70"/>
  <c r="V49" i="70"/>
  <c r="W49" i="70"/>
  <c r="X49" i="70"/>
  <c r="Y49" i="70"/>
  <c r="Z49" i="70"/>
  <c r="AA49" i="70"/>
  <c r="AB49" i="70"/>
  <c r="AC49" i="70"/>
  <c r="AD49" i="70"/>
  <c r="AE49" i="70"/>
  <c r="AF49" i="70"/>
  <c r="G50" i="70"/>
  <c r="H50" i="70"/>
  <c r="I50" i="70"/>
  <c r="J50" i="70"/>
  <c r="K50" i="70"/>
  <c r="L50" i="70"/>
  <c r="M50" i="70"/>
  <c r="N50" i="70"/>
  <c r="O50" i="70"/>
  <c r="P50" i="70"/>
  <c r="Q50" i="70"/>
  <c r="R50" i="70"/>
  <c r="S50" i="70"/>
  <c r="T50" i="70"/>
  <c r="U50" i="70"/>
  <c r="V50" i="70"/>
  <c r="W50" i="70"/>
  <c r="X50" i="70"/>
  <c r="Y50" i="70"/>
  <c r="Z50" i="70"/>
  <c r="AA50" i="70"/>
  <c r="AB50" i="70"/>
  <c r="F37" i="70" s="1"/>
  <c r="AC50" i="70"/>
  <c r="AD50" i="70"/>
  <c r="AE50" i="70"/>
  <c r="AF50" i="70"/>
  <c r="F41" i="70" s="1"/>
  <c r="G51" i="70"/>
  <c r="H51" i="70"/>
  <c r="I51" i="70"/>
  <c r="J51" i="70"/>
  <c r="K51" i="70"/>
  <c r="L51" i="70"/>
  <c r="M51" i="70"/>
  <c r="N51" i="70"/>
  <c r="O51" i="70"/>
  <c r="P51" i="70"/>
  <c r="Q51" i="70"/>
  <c r="R51" i="70"/>
  <c r="S51" i="70"/>
  <c r="T51" i="70"/>
  <c r="U51" i="70"/>
  <c r="V51" i="70"/>
  <c r="W51" i="70"/>
  <c r="X51" i="70"/>
  <c r="Y51" i="70"/>
  <c r="Z51" i="70"/>
  <c r="AA51" i="70"/>
  <c r="AB51" i="70"/>
  <c r="AC51" i="70"/>
  <c r="AD51" i="70"/>
  <c r="G39" i="70" s="1"/>
  <c r="AE51" i="70"/>
  <c r="AF51" i="70"/>
  <c r="G52" i="70"/>
  <c r="H52" i="70"/>
  <c r="I52" i="70"/>
  <c r="J52" i="70"/>
  <c r="K52" i="70"/>
  <c r="L52" i="70"/>
  <c r="M52" i="70"/>
  <c r="N52" i="70"/>
  <c r="O52" i="70"/>
  <c r="P52" i="70"/>
  <c r="Q52" i="70"/>
  <c r="R52" i="70"/>
  <c r="S52" i="70"/>
  <c r="T52" i="70"/>
  <c r="U52" i="70"/>
  <c r="V52" i="70"/>
  <c r="W52" i="70"/>
  <c r="X52" i="70"/>
  <c r="Y52" i="70"/>
  <c r="Z52" i="70"/>
  <c r="AA52" i="70"/>
  <c r="AB52" i="70"/>
  <c r="H37" i="70" s="1"/>
  <c r="AC52" i="70"/>
  <c r="AD52" i="70"/>
  <c r="AE52" i="70"/>
  <c r="AF52" i="70"/>
  <c r="H41" i="70" s="1"/>
  <c r="G53" i="70"/>
  <c r="H53" i="70"/>
  <c r="I53" i="70"/>
  <c r="J53" i="70"/>
  <c r="K53" i="70"/>
  <c r="L53" i="70"/>
  <c r="M53" i="70"/>
  <c r="N53" i="70"/>
  <c r="O53" i="70"/>
  <c r="P53" i="70"/>
  <c r="Q53" i="70"/>
  <c r="R53" i="70"/>
  <c r="S53" i="70"/>
  <c r="T53" i="70"/>
  <c r="U53" i="70"/>
  <c r="V53" i="70"/>
  <c r="W53" i="70"/>
  <c r="X53" i="70"/>
  <c r="Y53" i="70"/>
  <c r="Z53" i="70"/>
  <c r="AA53" i="70"/>
  <c r="AB53" i="70"/>
  <c r="AC53" i="70"/>
  <c r="AD53" i="70"/>
  <c r="AE53" i="70"/>
  <c r="AF53" i="70"/>
  <c r="G54" i="70"/>
  <c r="H54" i="70"/>
  <c r="I54" i="70"/>
  <c r="J54" i="70"/>
  <c r="K54" i="70"/>
  <c r="L54" i="70"/>
  <c r="M54" i="70"/>
  <c r="N54" i="70"/>
  <c r="O54" i="70"/>
  <c r="P54" i="70"/>
  <c r="Q54" i="70"/>
  <c r="R54" i="70"/>
  <c r="S54" i="70"/>
  <c r="T54" i="70"/>
  <c r="U54" i="70"/>
  <c r="V54" i="70"/>
  <c r="W54" i="70"/>
  <c r="X54" i="70"/>
  <c r="J33" i="70" s="1"/>
  <c r="Y54" i="70"/>
  <c r="Z54" i="70"/>
  <c r="AA54" i="70"/>
  <c r="AB54" i="70"/>
  <c r="J37" i="70" s="1"/>
  <c r="AC54" i="70"/>
  <c r="AD54" i="70"/>
  <c r="AE54" i="70"/>
  <c r="AF54" i="70"/>
  <c r="J41" i="70" s="1"/>
  <c r="G55" i="70"/>
  <c r="H55" i="70"/>
  <c r="I55" i="70"/>
  <c r="J55" i="70"/>
  <c r="K55" i="70"/>
  <c r="L55" i="70"/>
  <c r="M55" i="70"/>
  <c r="N55" i="70"/>
  <c r="O55" i="70"/>
  <c r="P55" i="70"/>
  <c r="Q55" i="70"/>
  <c r="R55" i="70"/>
  <c r="S55" i="70"/>
  <c r="T55" i="70"/>
  <c r="U55" i="70"/>
  <c r="V55" i="70"/>
  <c r="W55" i="70"/>
  <c r="X55" i="70"/>
  <c r="Y55" i="70"/>
  <c r="Z55" i="70"/>
  <c r="AA55" i="70"/>
  <c r="AB55" i="70"/>
  <c r="AC55" i="70"/>
  <c r="AD55" i="70"/>
  <c r="K39" i="70" s="1"/>
  <c r="AE55" i="70"/>
  <c r="AF55" i="70"/>
  <c r="G56" i="70"/>
  <c r="H56" i="70"/>
  <c r="I56" i="70"/>
  <c r="J56" i="70"/>
  <c r="K56" i="70"/>
  <c r="L56" i="70"/>
  <c r="M56" i="70"/>
  <c r="N56" i="70"/>
  <c r="O56" i="70"/>
  <c r="P56" i="70"/>
  <c r="Q56" i="70"/>
  <c r="R56" i="70"/>
  <c r="S56" i="70"/>
  <c r="T56" i="70"/>
  <c r="U56" i="70"/>
  <c r="V56" i="70"/>
  <c r="W56" i="70"/>
  <c r="X56" i="70"/>
  <c r="Y56" i="70"/>
  <c r="Z56" i="70"/>
  <c r="AA56" i="70"/>
  <c r="AB56" i="70"/>
  <c r="L37" i="70" s="1"/>
  <c r="AC56" i="70"/>
  <c r="AD56" i="70"/>
  <c r="AE56" i="70"/>
  <c r="AF56" i="70"/>
  <c r="L41" i="70" s="1"/>
  <c r="G57" i="70"/>
  <c r="H57" i="70"/>
  <c r="I57" i="70"/>
  <c r="J57" i="70"/>
  <c r="K57" i="70"/>
  <c r="L57" i="70"/>
  <c r="M57" i="70"/>
  <c r="N57" i="70"/>
  <c r="O57" i="70"/>
  <c r="P57" i="70"/>
  <c r="Q57" i="70"/>
  <c r="R57" i="70"/>
  <c r="S57" i="70"/>
  <c r="T57" i="70"/>
  <c r="U57" i="70"/>
  <c r="V57" i="70"/>
  <c r="W57" i="70"/>
  <c r="X57" i="70"/>
  <c r="Y57" i="70"/>
  <c r="Z57" i="70"/>
  <c r="AA57" i="70"/>
  <c r="AB57" i="70"/>
  <c r="AC57" i="70"/>
  <c r="AD57" i="70"/>
  <c r="AE57" i="70"/>
  <c r="AF57" i="70"/>
  <c r="G58" i="70"/>
  <c r="H58" i="70"/>
  <c r="I58" i="70"/>
  <c r="J58" i="70"/>
  <c r="K58" i="70"/>
  <c r="L58" i="70"/>
  <c r="M58" i="70"/>
  <c r="N58" i="70"/>
  <c r="O58" i="70"/>
  <c r="P58" i="70"/>
  <c r="Q58" i="70"/>
  <c r="R58" i="70"/>
  <c r="S58" i="70"/>
  <c r="T58" i="70"/>
  <c r="U58" i="70"/>
  <c r="V58" i="70"/>
  <c r="W58" i="70"/>
  <c r="X58" i="70"/>
  <c r="N33" i="70" s="1"/>
  <c r="Y58" i="70"/>
  <c r="Z58" i="70"/>
  <c r="AA58" i="70"/>
  <c r="AB58" i="70"/>
  <c r="N37" i="70" s="1"/>
  <c r="AC58" i="70"/>
  <c r="AD58" i="70"/>
  <c r="AE58" i="70"/>
  <c r="AF58" i="70"/>
  <c r="N41" i="70" s="1"/>
  <c r="G59" i="70"/>
  <c r="H59" i="70"/>
  <c r="I59" i="70"/>
  <c r="J59" i="70"/>
  <c r="K59" i="70"/>
  <c r="L59" i="70"/>
  <c r="M59" i="70"/>
  <c r="N59" i="70"/>
  <c r="O59" i="70"/>
  <c r="P59" i="70"/>
  <c r="Q59" i="70"/>
  <c r="R59" i="70"/>
  <c r="S59" i="70"/>
  <c r="T59" i="70"/>
  <c r="U59" i="70"/>
  <c r="V59" i="70"/>
  <c r="W59" i="70"/>
  <c r="X59" i="70"/>
  <c r="Y59" i="70"/>
  <c r="Z59" i="70"/>
  <c r="O35" i="70" s="1"/>
  <c r="AA59" i="70"/>
  <c r="AB59" i="70"/>
  <c r="AC59" i="70"/>
  <c r="AD59" i="70"/>
  <c r="O39" i="70" s="1"/>
  <c r="AE59" i="70"/>
  <c r="AF59" i="70"/>
  <c r="G60" i="70"/>
  <c r="H60" i="70"/>
  <c r="I60" i="70"/>
  <c r="J60" i="70"/>
  <c r="K60" i="70"/>
  <c r="L60" i="70"/>
  <c r="M60" i="70"/>
  <c r="N60" i="70"/>
  <c r="O60" i="70"/>
  <c r="P60" i="70"/>
  <c r="Q60" i="70"/>
  <c r="R60" i="70"/>
  <c r="S60" i="70"/>
  <c r="T60" i="70"/>
  <c r="U60" i="70"/>
  <c r="V60" i="70"/>
  <c r="W60" i="70"/>
  <c r="X60" i="70"/>
  <c r="Y60" i="70"/>
  <c r="Z60" i="70"/>
  <c r="AA60" i="70"/>
  <c r="AB60" i="70"/>
  <c r="P37" i="70" s="1"/>
  <c r="AC60" i="70"/>
  <c r="AD60" i="70"/>
  <c r="AE60" i="70"/>
  <c r="AF60" i="70"/>
  <c r="P41" i="70" s="1"/>
  <c r="G61" i="70"/>
  <c r="H61" i="70"/>
  <c r="I61" i="70"/>
  <c r="J61" i="70"/>
  <c r="K61" i="70"/>
  <c r="L61" i="70"/>
  <c r="M61" i="70"/>
  <c r="N61" i="70"/>
  <c r="O61" i="70"/>
  <c r="P61" i="70"/>
  <c r="Q61" i="70"/>
  <c r="R61" i="70"/>
  <c r="S61" i="70"/>
  <c r="T61" i="70"/>
  <c r="U61" i="70"/>
  <c r="V61" i="70"/>
  <c r="W61" i="70"/>
  <c r="X61" i="70"/>
  <c r="Y61" i="70"/>
  <c r="Z61" i="70"/>
  <c r="AA61" i="70"/>
  <c r="AB61" i="70"/>
  <c r="AC61" i="70"/>
  <c r="AD61" i="70"/>
  <c r="AE61" i="70"/>
  <c r="AF61" i="70"/>
  <c r="G62" i="70"/>
  <c r="H62" i="70"/>
  <c r="I62" i="70"/>
  <c r="J62" i="70"/>
  <c r="K62" i="70"/>
  <c r="L62" i="70"/>
  <c r="M62" i="70"/>
  <c r="N62" i="70"/>
  <c r="O62" i="70"/>
  <c r="P62" i="70"/>
  <c r="Q62" i="70"/>
  <c r="R62" i="70"/>
  <c r="S62" i="70"/>
  <c r="T62" i="70"/>
  <c r="R29" i="70" s="1"/>
  <c r="U62" i="70"/>
  <c r="V62" i="70"/>
  <c r="W62" i="70"/>
  <c r="X62" i="70"/>
  <c r="R33" i="70" s="1"/>
  <c r="Y62" i="70"/>
  <c r="Z62" i="70"/>
  <c r="AA62" i="70"/>
  <c r="AB62" i="70"/>
  <c r="R37" i="70" s="1"/>
  <c r="AC62" i="70"/>
  <c r="AD62" i="70"/>
  <c r="AE62" i="70"/>
  <c r="AF62" i="70"/>
  <c r="R41" i="70" s="1"/>
  <c r="G63" i="70"/>
  <c r="H63" i="70"/>
  <c r="I63" i="70"/>
  <c r="J63" i="70"/>
  <c r="K63" i="70"/>
  <c r="L63" i="70"/>
  <c r="M63" i="70"/>
  <c r="N63" i="70"/>
  <c r="O63" i="70"/>
  <c r="P63" i="70"/>
  <c r="Q63" i="70"/>
  <c r="R63" i="70"/>
  <c r="S63" i="70"/>
  <c r="T63" i="70"/>
  <c r="U63" i="70"/>
  <c r="V63" i="70"/>
  <c r="W63" i="70"/>
  <c r="X63" i="70"/>
  <c r="Y63" i="70"/>
  <c r="Z63" i="70"/>
  <c r="S35" i="70" s="1"/>
  <c r="AA63" i="70"/>
  <c r="AB63" i="70"/>
  <c r="AC63" i="70"/>
  <c r="AD63" i="70"/>
  <c r="S39" i="70" s="1"/>
  <c r="AE63" i="70"/>
  <c r="AF63" i="70"/>
  <c r="G64" i="70"/>
  <c r="H64" i="70"/>
  <c r="I64" i="70"/>
  <c r="J64" i="70"/>
  <c r="K64" i="70"/>
  <c r="L64" i="70"/>
  <c r="M64" i="70"/>
  <c r="N64" i="70"/>
  <c r="O64" i="70"/>
  <c r="P64" i="70"/>
  <c r="Q64" i="70"/>
  <c r="R64" i="70"/>
  <c r="S64" i="70"/>
  <c r="T64" i="70"/>
  <c r="U64" i="70"/>
  <c r="V64" i="70"/>
  <c r="W64" i="70"/>
  <c r="X64" i="70"/>
  <c r="Y64" i="70"/>
  <c r="Z64" i="70"/>
  <c r="AA64" i="70"/>
  <c r="AB64" i="70"/>
  <c r="T37" i="70" s="1"/>
  <c r="AC64" i="70"/>
  <c r="AD64" i="70"/>
  <c r="AE64" i="70"/>
  <c r="AF64" i="70"/>
  <c r="T41" i="70" s="1"/>
  <c r="G65" i="70"/>
  <c r="H65" i="70"/>
  <c r="I65" i="70"/>
  <c r="J65" i="70"/>
  <c r="K65" i="70"/>
  <c r="L65" i="70"/>
  <c r="M65" i="70"/>
  <c r="N65" i="70"/>
  <c r="O65" i="70"/>
  <c r="P65" i="70"/>
  <c r="Q65" i="70"/>
  <c r="R65" i="70"/>
  <c r="S65" i="70"/>
  <c r="T65" i="70"/>
  <c r="U65" i="70"/>
  <c r="V65" i="70"/>
  <c r="W65" i="70"/>
  <c r="X65" i="70"/>
  <c r="Y65" i="70"/>
  <c r="Z65" i="70"/>
  <c r="AA65" i="70"/>
  <c r="AB65" i="70"/>
  <c r="AC65" i="70"/>
  <c r="AD65" i="70"/>
  <c r="AE65" i="70"/>
  <c r="AF65" i="70"/>
  <c r="G66" i="70"/>
  <c r="H66" i="70"/>
  <c r="I66" i="70"/>
  <c r="J66" i="70"/>
  <c r="K66" i="70"/>
  <c r="L66" i="70"/>
  <c r="M66" i="70"/>
  <c r="N66" i="70"/>
  <c r="O66" i="70"/>
  <c r="P66" i="70"/>
  <c r="Q66" i="70"/>
  <c r="R66" i="70"/>
  <c r="S66" i="70"/>
  <c r="T66" i="70"/>
  <c r="V29" i="70" s="1"/>
  <c r="U66" i="70"/>
  <c r="V66" i="70"/>
  <c r="W66" i="70"/>
  <c r="X66" i="70"/>
  <c r="V33" i="70" s="1"/>
  <c r="Y66" i="70"/>
  <c r="Z66" i="70"/>
  <c r="AA66" i="70"/>
  <c r="AB66" i="70"/>
  <c r="V37" i="70" s="1"/>
  <c r="AC66" i="70"/>
  <c r="AD66" i="70"/>
  <c r="AE66" i="70"/>
  <c r="AF66" i="70"/>
  <c r="V41" i="70" s="1"/>
  <c r="G67" i="70"/>
  <c r="H67" i="70"/>
  <c r="I67" i="70"/>
  <c r="J67" i="70"/>
  <c r="K67" i="70"/>
  <c r="L67" i="70"/>
  <c r="M67" i="70"/>
  <c r="N67" i="70"/>
  <c r="O67" i="70"/>
  <c r="P67" i="70"/>
  <c r="Q67" i="70"/>
  <c r="R67" i="70"/>
  <c r="S67" i="70"/>
  <c r="T67" i="70"/>
  <c r="U67" i="70"/>
  <c r="V67" i="70"/>
  <c r="W31" i="70" s="1"/>
  <c r="W67" i="70"/>
  <c r="X67" i="70"/>
  <c r="Y67" i="70"/>
  <c r="Z67" i="70"/>
  <c r="W35" i="70" s="1"/>
  <c r="AA67" i="70"/>
  <c r="AB67" i="70"/>
  <c r="AC67" i="70"/>
  <c r="AD67" i="70"/>
  <c r="W39" i="70" s="1"/>
  <c r="AE67" i="70"/>
  <c r="AF67" i="70"/>
  <c r="G68" i="70"/>
  <c r="H68" i="70"/>
  <c r="I68" i="70"/>
  <c r="J68" i="70"/>
  <c r="K68" i="70"/>
  <c r="L68" i="70"/>
  <c r="M68" i="70"/>
  <c r="N68" i="70"/>
  <c r="O68" i="70"/>
  <c r="P68" i="70"/>
  <c r="Q68" i="70"/>
  <c r="R68" i="70"/>
  <c r="S68" i="70"/>
  <c r="T68" i="70"/>
  <c r="U68" i="70"/>
  <c r="V68" i="70"/>
  <c r="W68" i="70"/>
  <c r="X68" i="70"/>
  <c r="Y68" i="70"/>
  <c r="Z68" i="70"/>
  <c r="AA68" i="70"/>
  <c r="AB68" i="70"/>
  <c r="X37" i="70" s="1"/>
  <c r="AC68" i="70"/>
  <c r="AD68" i="70"/>
  <c r="AE68" i="70"/>
  <c r="AF68" i="70"/>
  <c r="X41" i="70" s="1"/>
  <c r="G69" i="70"/>
  <c r="H69" i="70"/>
  <c r="I69" i="70"/>
  <c r="J69" i="70"/>
  <c r="K69" i="70"/>
  <c r="L69" i="70"/>
  <c r="M69" i="70"/>
  <c r="N69" i="70"/>
  <c r="O69" i="70"/>
  <c r="P69" i="70"/>
  <c r="Q69" i="70"/>
  <c r="R69" i="70"/>
  <c r="S69" i="70"/>
  <c r="T69" i="70"/>
  <c r="U69" i="70"/>
  <c r="V69" i="70"/>
  <c r="W69" i="70"/>
  <c r="X69" i="70"/>
  <c r="Y69" i="70"/>
  <c r="Z69" i="70"/>
  <c r="AA69" i="70"/>
  <c r="AB69" i="70"/>
  <c r="AC69" i="70"/>
  <c r="AD69" i="70"/>
  <c r="AE69" i="70"/>
  <c r="AF69" i="70"/>
  <c r="G70" i="70"/>
  <c r="H70" i="70"/>
  <c r="I70" i="70"/>
  <c r="J70" i="70"/>
  <c r="K70" i="70"/>
  <c r="L70" i="70"/>
  <c r="M70" i="70"/>
  <c r="N70" i="70"/>
  <c r="O70" i="70"/>
  <c r="P70" i="70"/>
  <c r="Q70" i="70"/>
  <c r="R70" i="70"/>
  <c r="S70" i="70"/>
  <c r="T70" i="70"/>
  <c r="Z29" i="70" s="1"/>
  <c r="U70" i="70"/>
  <c r="V70" i="70"/>
  <c r="W70" i="70"/>
  <c r="X70" i="70"/>
  <c r="Z33" i="70" s="1"/>
  <c r="Y70" i="70"/>
  <c r="Z70" i="70"/>
  <c r="AA70" i="70"/>
  <c r="AB70" i="70"/>
  <c r="Z37" i="70" s="1"/>
  <c r="AC70" i="70"/>
  <c r="AD70" i="70"/>
  <c r="AE70" i="70"/>
  <c r="AF70" i="70"/>
  <c r="Z41" i="70" s="1"/>
  <c r="G71" i="70"/>
  <c r="H71" i="70"/>
  <c r="I71" i="70"/>
  <c r="J71" i="70"/>
  <c r="K71" i="70"/>
  <c r="L71" i="70"/>
  <c r="M71" i="70"/>
  <c r="N71" i="70"/>
  <c r="O71" i="70"/>
  <c r="P71" i="70"/>
  <c r="Q71" i="70"/>
  <c r="R71" i="70"/>
  <c r="S71" i="70"/>
  <c r="T71" i="70"/>
  <c r="U71" i="70"/>
  <c r="V71" i="70"/>
  <c r="AA31" i="70" s="1"/>
  <c r="W71" i="70"/>
  <c r="X71" i="70"/>
  <c r="Y71" i="70"/>
  <c r="Z71" i="70"/>
  <c r="AA35" i="70" s="1"/>
  <c r="AA71" i="70"/>
  <c r="AB71" i="70"/>
  <c r="AC71" i="70"/>
  <c r="AD71" i="70"/>
  <c r="AA39" i="70" s="1"/>
  <c r="AE71" i="70"/>
  <c r="AF71" i="70"/>
  <c r="G72" i="70"/>
  <c r="H72" i="70"/>
  <c r="I72" i="70"/>
  <c r="J72" i="70"/>
  <c r="K72" i="70"/>
  <c r="L72" i="70"/>
  <c r="M72" i="70"/>
  <c r="N72" i="70"/>
  <c r="O72" i="70"/>
  <c r="P72" i="70"/>
  <c r="Q72" i="70"/>
  <c r="R72" i="70"/>
  <c r="S72" i="70"/>
  <c r="T72" i="70"/>
  <c r="U72" i="70"/>
  <c r="V72" i="70"/>
  <c r="W72" i="70"/>
  <c r="X72" i="70"/>
  <c r="Y72" i="70"/>
  <c r="Z72" i="70"/>
  <c r="AA72" i="70"/>
  <c r="AB72" i="70"/>
  <c r="AB37" i="70" s="1"/>
  <c r="AC72" i="70"/>
  <c r="AD72" i="70"/>
  <c r="AE72" i="70"/>
  <c r="AF72" i="70"/>
  <c r="AB41" i="70" s="1"/>
  <c r="G73" i="70"/>
  <c r="H73" i="70"/>
  <c r="I73" i="70"/>
  <c r="J73" i="70"/>
  <c r="K73" i="70"/>
  <c r="L73" i="70"/>
  <c r="M73" i="70"/>
  <c r="N73" i="70"/>
  <c r="O73" i="70"/>
  <c r="P73" i="70"/>
  <c r="Q73" i="70"/>
  <c r="R73" i="70"/>
  <c r="S73" i="70"/>
  <c r="T73" i="70"/>
  <c r="U73" i="70"/>
  <c r="V73" i="70"/>
  <c r="W73" i="70"/>
  <c r="X73" i="70"/>
  <c r="Y73" i="70"/>
  <c r="Z73" i="70"/>
  <c r="AA73" i="70"/>
  <c r="AB73" i="70"/>
  <c r="AC73" i="70"/>
  <c r="AD73" i="70"/>
  <c r="AE73" i="70"/>
  <c r="AF73" i="70"/>
  <c r="G74" i="70"/>
  <c r="H74" i="70"/>
  <c r="I74" i="70"/>
  <c r="J74" i="70"/>
  <c r="K74" i="70"/>
  <c r="L74" i="70"/>
  <c r="M74" i="70"/>
  <c r="N74" i="70"/>
  <c r="O74" i="70"/>
  <c r="P74" i="70"/>
  <c r="Q74" i="70"/>
  <c r="R74" i="70"/>
  <c r="S74" i="70"/>
  <c r="T74" i="70"/>
  <c r="AD29" i="70" s="1"/>
  <c r="U74" i="70"/>
  <c r="V74" i="70"/>
  <c r="W74" i="70"/>
  <c r="X74" i="70"/>
  <c r="AD33" i="70" s="1"/>
  <c r="Y74" i="70"/>
  <c r="Z74" i="70"/>
  <c r="AA74" i="70"/>
  <c r="AB74" i="70"/>
  <c r="AD37" i="70" s="1"/>
  <c r="AC74" i="70"/>
  <c r="AD74" i="70"/>
  <c r="AE74" i="70"/>
  <c r="AF74" i="70"/>
  <c r="AD41" i="70" s="1"/>
  <c r="G75" i="70"/>
  <c r="H75" i="70"/>
  <c r="I75" i="70"/>
  <c r="J75" i="70"/>
  <c r="K75" i="70"/>
  <c r="L75" i="70"/>
  <c r="M75" i="70"/>
  <c r="N75" i="70"/>
  <c r="O75" i="70"/>
  <c r="P75" i="70"/>
  <c r="Q75" i="70"/>
  <c r="R75" i="70"/>
  <c r="S75" i="70"/>
  <c r="T75" i="70"/>
  <c r="U75" i="70"/>
  <c r="V75" i="70"/>
  <c r="AE31" i="70" s="1"/>
  <c r="W75" i="70"/>
  <c r="X75" i="70"/>
  <c r="Y75" i="70"/>
  <c r="Z75" i="70"/>
  <c r="AE35" i="70" s="1"/>
  <c r="AA75" i="70"/>
  <c r="AB75" i="70"/>
  <c r="AC75" i="70"/>
  <c r="AD75" i="70"/>
  <c r="AE39" i="70" s="1"/>
  <c r="AE75" i="70"/>
  <c r="AF75" i="70"/>
  <c r="G76" i="70"/>
  <c r="H76" i="70"/>
  <c r="I76" i="70"/>
  <c r="J76" i="70"/>
  <c r="K76" i="70"/>
  <c r="L76" i="70"/>
  <c r="M76" i="70"/>
  <c r="N76" i="70"/>
  <c r="O76" i="70"/>
  <c r="P76" i="70"/>
  <c r="Q76" i="70"/>
  <c r="R76" i="70"/>
  <c r="S76" i="70"/>
  <c r="T76" i="70"/>
  <c r="U76" i="70"/>
  <c r="V76" i="70"/>
  <c r="W76" i="70"/>
  <c r="X76" i="70"/>
  <c r="Y76" i="70"/>
  <c r="Z76" i="70"/>
  <c r="AA76" i="70"/>
  <c r="AB76" i="70"/>
  <c r="AF37" i="70" s="1"/>
  <c r="AC76" i="70"/>
  <c r="AD76" i="70"/>
  <c r="AE76" i="70"/>
  <c r="AF76" i="70"/>
  <c r="AF41" i="70" s="1"/>
  <c r="G77" i="70"/>
  <c r="H77" i="70"/>
  <c r="I77" i="70"/>
  <c r="J77" i="70"/>
  <c r="K77" i="70"/>
  <c r="L77" i="70"/>
  <c r="M77" i="70"/>
  <c r="N77" i="70"/>
  <c r="O77" i="70"/>
  <c r="P77" i="70"/>
  <c r="Q77" i="70"/>
  <c r="R77" i="70"/>
  <c r="S77" i="70"/>
  <c r="T77" i="70"/>
  <c r="U77" i="70"/>
  <c r="V77" i="70"/>
  <c r="W77" i="70"/>
  <c r="X77" i="70"/>
  <c r="Y77" i="70"/>
  <c r="Z77" i="70"/>
  <c r="AA77" i="70"/>
  <c r="AB77" i="70"/>
  <c r="AC77" i="70"/>
  <c r="AD77" i="70"/>
  <c r="AE77" i="70"/>
  <c r="AF77" i="70"/>
  <c r="G78" i="70"/>
  <c r="H78" i="70"/>
  <c r="I78" i="70"/>
  <c r="J78" i="70"/>
  <c r="K78" i="70"/>
  <c r="L78" i="70"/>
  <c r="M78" i="70"/>
  <c r="N78" i="70"/>
  <c r="O78" i="70"/>
  <c r="P78" i="70"/>
  <c r="Q78" i="70"/>
  <c r="R78" i="70"/>
  <c r="S78" i="70"/>
  <c r="T78" i="70"/>
  <c r="AH29" i="70" s="1"/>
  <c r="U78" i="70"/>
  <c r="V78" i="70"/>
  <c r="W78" i="70"/>
  <c r="X78" i="70"/>
  <c r="AH33" i="70" s="1"/>
  <c r="Y78" i="70"/>
  <c r="Z78" i="70"/>
  <c r="AA78" i="70"/>
  <c r="AB78" i="70"/>
  <c r="AH37" i="70" s="1"/>
  <c r="AC78" i="70"/>
  <c r="AD78" i="70"/>
  <c r="AE78" i="70"/>
  <c r="AF78" i="70"/>
  <c r="AH41" i="70" s="1"/>
  <c r="G79" i="70"/>
  <c r="H79" i="70"/>
  <c r="I79" i="70"/>
  <c r="J79" i="70"/>
  <c r="K79" i="70"/>
  <c r="L79" i="70"/>
  <c r="M79" i="70"/>
  <c r="N79" i="70"/>
  <c r="O79" i="70"/>
  <c r="P79" i="70"/>
  <c r="Q79" i="70"/>
  <c r="R79" i="70"/>
  <c r="S79" i="70"/>
  <c r="T79" i="70"/>
  <c r="U79" i="70"/>
  <c r="V79" i="70"/>
  <c r="AI31" i="70" s="1"/>
  <c r="W79" i="70"/>
  <c r="X79" i="70"/>
  <c r="Y79" i="70"/>
  <c r="Z79" i="70"/>
  <c r="AI35" i="70" s="1"/>
  <c r="AA79" i="70"/>
  <c r="AB79" i="70"/>
  <c r="AC79" i="70"/>
  <c r="AD79" i="70"/>
  <c r="AI39" i="70" s="1"/>
  <c r="AE79" i="70"/>
  <c r="AF79" i="70"/>
  <c r="G80" i="70"/>
  <c r="H80" i="70"/>
  <c r="I80" i="70"/>
  <c r="J80" i="70"/>
  <c r="K80" i="70"/>
  <c r="L80" i="70"/>
  <c r="M80" i="70"/>
  <c r="N80" i="70"/>
  <c r="O80" i="70"/>
  <c r="P80" i="70"/>
  <c r="Q80" i="70"/>
  <c r="R80" i="70"/>
  <c r="S80" i="70"/>
  <c r="T80" i="70"/>
  <c r="BB80" i="70" s="1"/>
  <c r="U80" i="70"/>
  <c r="V80" i="70"/>
  <c r="W80" i="70"/>
  <c r="X80" i="70"/>
  <c r="BF80" i="70" s="1"/>
  <c r="Y80" i="70"/>
  <c r="Z80" i="70"/>
  <c r="AA80" i="70"/>
  <c r="AB80" i="70"/>
  <c r="BJ80" i="70" s="1"/>
  <c r="AC80" i="70"/>
  <c r="AD80" i="70"/>
  <c r="AE80" i="70"/>
  <c r="AF80" i="70"/>
  <c r="BN80" i="70" s="1"/>
  <c r="G81" i="70"/>
  <c r="H81" i="70"/>
  <c r="I81" i="70"/>
  <c r="J81" i="70"/>
  <c r="K81" i="70"/>
  <c r="L81" i="70"/>
  <c r="M81" i="70"/>
  <c r="N81" i="70"/>
  <c r="O81" i="70"/>
  <c r="P81" i="70"/>
  <c r="Q81" i="70"/>
  <c r="R81" i="70"/>
  <c r="S81" i="70"/>
  <c r="T81" i="70"/>
  <c r="U81" i="70"/>
  <c r="V81" i="70"/>
  <c r="BD81" i="70" s="1"/>
  <c r="W81" i="70"/>
  <c r="X81" i="70"/>
  <c r="Y81" i="70"/>
  <c r="Z81" i="70"/>
  <c r="BH81" i="70" s="1"/>
  <c r="AA81" i="70"/>
  <c r="AB81" i="70"/>
  <c r="AC81" i="70"/>
  <c r="AD81" i="70"/>
  <c r="BL81" i="70" s="1"/>
  <c r="AE81" i="70"/>
  <c r="AF81" i="70"/>
  <c r="G82" i="70"/>
  <c r="H82" i="70"/>
  <c r="I82" i="70"/>
  <c r="J82" i="70"/>
  <c r="K82" i="70"/>
  <c r="L82" i="70"/>
  <c r="M82" i="70"/>
  <c r="N82" i="70"/>
  <c r="O82" i="70"/>
  <c r="P82" i="70"/>
  <c r="Q82" i="70"/>
  <c r="R82" i="70"/>
  <c r="S82" i="70"/>
  <c r="T82" i="70"/>
  <c r="AL29" i="70" s="1"/>
  <c r="U82" i="70"/>
  <c r="V82" i="70"/>
  <c r="W82" i="70"/>
  <c r="X82" i="70"/>
  <c r="AL33" i="70" s="1"/>
  <c r="Y82" i="70"/>
  <c r="Z82" i="70"/>
  <c r="AA82" i="70"/>
  <c r="AB82" i="70"/>
  <c r="AL37" i="70" s="1"/>
  <c r="AC82" i="70"/>
  <c r="AD82" i="70"/>
  <c r="AE82" i="70"/>
  <c r="AF82" i="70"/>
  <c r="AL41" i="70" s="1"/>
  <c r="G83" i="70"/>
  <c r="H83" i="70"/>
  <c r="I83" i="70"/>
  <c r="J83" i="70"/>
  <c r="K83" i="70"/>
  <c r="L83" i="70"/>
  <c r="M83" i="70"/>
  <c r="N83" i="70"/>
  <c r="O83" i="70"/>
  <c r="P83" i="70"/>
  <c r="Q83" i="70"/>
  <c r="R83" i="70"/>
  <c r="S83" i="70"/>
  <c r="T83" i="70"/>
  <c r="U83" i="70"/>
  <c r="V83" i="70"/>
  <c r="AM31" i="70" s="1"/>
  <c r="W83" i="70"/>
  <c r="X83" i="70"/>
  <c r="Y83" i="70"/>
  <c r="Z83" i="70"/>
  <c r="AM35" i="70" s="1"/>
  <c r="AA83" i="70"/>
  <c r="AB83" i="70"/>
  <c r="AC83" i="70"/>
  <c r="AD83" i="70"/>
  <c r="AM39" i="70" s="1"/>
  <c r="AE83" i="70"/>
  <c r="AF83" i="70"/>
  <c r="G84" i="70"/>
  <c r="H84" i="70"/>
  <c r="I84" i="70"/>
  <c r="J84" i="70"/>
  <c r="K84" i="70"/>
  <c r="L84" i="70"/>
  <c r="M84" i="70"/>
  <c r="N84" i="70"/>
  <c r="O84" i="70"/>
  <c r="P84" i="70"/>
  <c r="Q84" i="70"/>
  <c r="R84" i="70"/>
  <c r="S84" i="70"/>
  <c r="T84" i="70"/>
  <c r="BB84" i="70" s="1"/>
  <c r="U84" i="70"/>
  <c r="V84" i="70"/>
  <c r="W84" i="70"/>
  <c r="X84" i="70"/>
  <c r="BF84" i="70" s="1"/>
  <c r="Y84" i="70"/>
  <c r="Z84" i="70"/>
  <c r="AA84" i="70"/>
  <c r="AB84" i="70"/>
  <c r="BJ84" i="70" s="1"/>
  <c r="AC84" i="70"/>
  <c r="AD84" i="70"/>
  <c r="AE84" i="70"/>
  <c r="AF84" i="70"/>
  <c r="BN84" i="70" s="1"/>
  <c r="G85" i="70"/>
  <c r="H85" i="70"/>
  <c r="I85" i="70"/>
  <c r="J85" i="70"/>
  <c r="K85" i="70"/>
  <c r="L85" i="70"/>
  <c r="M85" i="70"/>
  <c r="N85" i="70"/>
  <c r="O85" i="70"/>
  <c r="P85" i="70"/>
  <c r="Q85" i="70"/>
  <c r="R85" i="70"/>
  <c r="S85" i="70"/>
  <c r="T85" i="70"/>
  <c r="U85" i="70"/>
  <c r="V85" i="70"/>
  <c r="BD85" i="70" s="1"/>
  <c r="W85" i="70"/>
  <c r="X85" i="70"/>
  <c r="Y85" i="70"/>
  <c r="Z85" i="70"/>
  <c r="BH85" i="70" s="1"/>
  <c r="AA85" i="70"/>
  <c r="AB85" i="70"/>
  <c r="AC85" i="70"/>
  <c r="AD85" i="70"/>
  <c r="BL85" i="70" s="1"/>
  <c r="AE85" i="70"/>
  <c r="AF85" i="70"/>
  <c r="G86" i="70"/>
  <c r="H86" i="70"/>
  <c r="I86" i="70"/>
  <c r="J86" i="70"/>
  <c r="K86" i="70"/>
  <c r="L86" i="70"/>
  <c r="M86" i="70"/>
  <c r="N86" i="70"/>
  <c r="O86" i="70"/>
  <c r="P86" i="70"/>
  <c r="Q86" i="70"/>
  <c r="R86" i="70"/>
  <c r="S86" i="70"/>
  <c r="T86" i="70"/>
  <c r="AP29" i="70" s="1"/>
  <c r="U86" i="70"/>
  <c r="V86" i="70"/>
  <c r="W86" i="70"/>
  <c r="X86" i="70"/>
  <c r="AP33" i="70" s="1"/>
  <c r="Y86" i="70"/>
  <c r="Z86" i="70"/>
  <c r="AA86" i="70"/>
  <c r="AB86" i="70"/>
  <c r="AP37" i="70" s="1"/>
  <c r="AC86" i="70"/>
  <c r="AD86" i="70"/>
  <c r="AE86" i="70"/>
  <c r="AF86" i="70"/>
  <c r="AP41" i="70" s="1"/>
  <c r="G87" i="70"/>
  <c r="H87" i="70"/>
  <c r="I87" i="70"/>
  <c r="J87" i="70"/>
  <c r="K87" i="70"/>
  <c r="L87" i="70"/>
  <c r="M87" i="70"/>
  <c r="N87" i="70"/>
  <c r="O87" i="70"/>
  <c r="P87" i="70"/>
  <c r="Q87" i="70"/>
  <c r="R87" i="70"/>
  <c r="S87" i="70"/>
  <c r="T87" i="70"/>
  <c r="U87" i="70"/>
  <c r="V87" i="70"/>
  <c r="AQ31" i="70" s="1"/>
  <c r="W87" i="70"/>
  <c r="X87" i="70"/>
  <c r="Y87" i="70"/>
  <c r="Z87" i="70"/>
  <c r="AQ35" i="70" s="1"/>
  <c r="AA87" i="70"/>
  <c r="AB87" i="70"/>
  <c r="AC87" i="70"/>
  <c r="AD87" i="70"/>
  <c r="AQ39" i="70" s="1"/>
  <c r="AE87" i="70"/>
  <c r="AF87" i="70"/>
  <c r="G88" i="70"/>
  <c r="H88" i="70"/>
  <c r="I88" i="70"/>
  <c r="J88" i="70"/>
  <c r="K88" i="70"/>
  <c r="L88" i="70"/>
  <c r="M88" i="70"/>
  <c r="N88" i="70"/>
  <c r="O88" i="70"/>
  <c r="P88" i="70"/>
  <c r="Q88" i="70"/>
  <c r="R88" i="70"/>
  <c r="S88" i="70"/>
  <c r="T88" i="70"/>
  <c r="BB88" i="70" s="1"/>
  <c r="U88" i="70"/>
  <c r="V88" i="70"/>
  <c r="W88" i="70"/>
  <c r="X88" i="70"/>
  <c r="BF88" i="70" s="1"/>
  <c r="Y88" i="70"/>
  <c r="Z88" i="70"/>
  <c r="AA88" i="70"/>
  <c r="AB88" i="70"/>
  <c r="BJ88" i="70" s="1"/>
  <c r="AC88" i="70"/>
  <c r="AD88" i="70"/>
  <c r="AE88" i="70"/>
  <c r="AF88" i="70"/>
  <c r="BN88" i="70" s="1"/>
  <c r="F91" i="70"/>
  <c r="F92" i="70"/>
  <c r="F93" i="70"/>
  <c r="F94" i="70"/>
  <c r="F90" i="70"/>
  <c r="F48" i="70"/>
  <c r="F49" i="70"/>
  <c r="F50" i="70"/>
  <c r="F51" i="70"/>
  <c r="F52" i="70"/>
  <c r="F53" i="70"/>
  <c r="F54" i="70"/>
  <c r="F55" i="70"/>
  <c r="F56" i="70"/>
  <c r="F57" i="70"/>
  <c r="F58" i="70"/>
  <c r="F59" i="70"/>
  <c r="F60" i="70"/>
  <c r="F61" i="70"/>
  <c r="F62" i="70"/>
  <c r="F63" i="70"/>
  <c r="F64" i="70"/>
  <c r="F65" i="70"/>
  <c r="F66" i="70"/>
  <c r="F67" i="70"/>
  <c r="F68" i="70"/>
  <c r="F69" i="70"/>
  <c r="F70" i="70"/>
  <c r="F71" i="70"/>
  <c r="F72" i="70"/>
  <c r="F73" i="70"/>
  <c r="F74" i="70"/>
  <c r="F75" i="70"/>
  <c r="F76" i="70"/>
  <c r="F77" i="70"/>
  <c r="F78" i="70"/>
  <c r="F79" i="70"/>
  <c r="F80" i="70"/>
  <c r="F81" i="70"/>
  <c r="F82" i="70"/>
  <c r="F83" i="70"/>
  <c r="F84" i="70"/>
  <c r="F85" i="70"/>
  <c r="F86" i="70"/>
  <c r="F87" i="70"/>
  <c r="F88" i="70"/>
  <c r="F47" i="70"/>
  <c r="F52" i="68"/>
  <c r="G94" i="68"/>
  <c r="H94" i="68"/>
  <c r="I94" i="68"/>
  <c r="J94" i="68"/>
  <c r="K94" i="68"/>
  <c r="L94" i="68"/>
  <c r="M94" i="68"/>
  <c r="N94" i="68"/>
  <c r="O94" i="68"/>
  <c r="P94" i="68"/>
  <c r="Q94" i="68"/>
  <c r="R94" i="68"/>
  <c r="S94" i="68"/>
  <c r="T94" i="68"/>
  <c r="U94" i="68"/>
  <c r="V94" i="68"/>
  <c r="BD94" i="68" s="1"/>
  <c r="W94" i="68"/>
  <c r="X94" i="68"/>
  <c r="Y94" i="68"/>
  <c r="Z94" i="68"/>
  <c r="AW35" i="68" s="1"/>
  <c r="AA94" i="68"/>
  <c r="AB94" i="68"/>
  <c r="AC94" i="68"/>
  <c r="AD94" i="68"/>
  <c r="BL94" i="68" s="1"/>
  <c r="AE94" i="68"/>
  <c r="AF94" i="68"/>
  <c r="G95" i="68"/>
  <c r="H95" i="68"/>
  <c r="I95" i="68"/>
  <c r="J95" i="68"/>
  <c r="K95" i="68"/>
  <c r="L95" i="68"/>
  <c r="M95" i="68"/>
  <c r="N95" i="68"/>
  <c r="O95" i="68"/>
  <c r="P95" i="68"/>
  <c r="Q95" i="68"/>
  <c r="R95" i="68"/>
  <c r="S95" i="68"/>
  <c r="T95" i="68"/>
  <c r="BB95" i="68" s="1"/>
  <c r="U95" i="68"/>
  <c r="V95" i="68"/>
  <c r="W95" i="68"/>
  <c r="X95" i="68"/>
  <c r="BF95" i="68" s="1"/>
  <c r="Y95" i="68"/>
  <c r="Z95" i="68"/>
  <c r="AA95" i="68"/>
  <c r="AB95" i="68"/>
  <c r="BJ95" i="68" s="1"/>
  <c r="AC95" i="68"/>
  <c r="AD95" i="68"/>
  <c r="AE95" i="68"/>
  <c r="AF95" i="68"/>
  <c r="BN95" i="68" s="1"/>
  <c r="G96" i="68"/>
  <c r="H96" i="68"/>
  <c r="I96" i="68"/>
  <c r="J96" i="68"/>
  <c r="K96" i="68"/>
  <c r="L96" i="68"/>
  <c r="M96" i="68"/>
  <c r="N96" i="68"/>
  <c r="O96" i="68"/>
  <c r="P96" i="68"/>
  <c r="Q96" i="68"/>
  <c r="R96" i="68"/>
  <c r="S96" i="68"/>
  <c r="T96" i="68"/>
  <c r="U96" i="68"/>
  <c r="V96" i="68"/>
  <c r="BD96" i="68" s="1"/>
  <c r="W96" i="68"/>
  <c r="X96" i="68"/>
  <c r="Y96" i="68"/>
  <c r="Z96" i="68"/>
  <c r="BH96" i="68" s="1"/>
  <c r="AA96" i="68"/>
  <c r="AB96" i="68"/>
  <c r="AC96" i="68"/>
  <c r="AD96" i="68"/>
  <c r="BL96" i="68" s="1"/>
  <c r="AE96" i="68"/>
  <c r="AF96" i="68"/>
  <c r="G97" i="68"/>
  <c r="H97" i="68"/>
  <c r="I97" i="68"/>
  <c r="J97" i="68"/>
  <c r="K97" i="68"/>
  <c r="L97" i="68"/>
  <c r="M97" i="68"/>
  <c r="N97" i="68"/>
  <c r="O97" i="68"/>
  <c r="P97" i="68"/>
  <c r="Q97" i="68"/>
  <c r="R97" i="68"/>
  <c r="S97" i="68"/>
  <c r="T97" i="68"/>
  <c r="BB97" i="68" s="1"/>
  <c r="U97" i="68"/>
  <c r="V97" i="68"/>
  <c r="W97" i="68"/>
  <c r="X97" i="68"/>
  <c r="AZ33" i="68" s="1"/>
  <c r="Y97" i="68"/>
  <c r="Z97" i="68"/>
  <c r="AA97" i="68"/>
  <c r="AB97" i="68"/>
  <c r="BJ97" i="68" s="1"/>
  <c r="AC97" i="68"/>
  <c r="AD97" i="68"/>
  <c r="AE97" i="68"/>
  <c r="AF97" i="68"/>
  <c r="BN97" i="68" s="1"/>
  <c r="G98" i="68"/>
  <c r="H98" i="68"/>
  <c r="I98" i="68"/>
  <c r="J98" i="68"/>
  <c r="K98" i="68"/>
  <c r="L98" i="68"/>
  <c r="M98" i="68"/>
  <c r="N98" i="68"/>
  <c r="O98" i="68"/>
  <c r="P98" i="68"/>
  <c r="Q98" i="68"/>
  <c r="R98" i="68"/>
  <c r="S98" i="68"/>
  <c r="T98" i="68"/>
  <c r="U98" i="68"/>
  <c r="V98" i="68"/>
  <c r="BD98" i="68" s="1"/>
  <c r="W98" i="68"/>
  <c r="X98" i="68"/>
  <c r="Y98" i="68"/>
  <c r="Z98" i="68"/>
  <c r="BA35" i="68" s="1"/>
  <c r="AA98" i="68"/>
  <c r="AB98" i="68"/>
  <c r="AC98" i="68"/>
  <c r="AD98" i="68"/>
  <c r="BL98" i="68" s="1"/>
  <c r="AE98" i="68"/>
  <c r="AF98" i="68"/>
  <c r="G47" i="68"/>
  <c r="H47" i="68"/>
  <c r="I47" i="68"/>
  <c r="J47" i="68"/>
  <c r="K47" i="68"/>
  <c r="L47" i="68"/>
  <c r="M47" i="68"/>
  <c r="N47" i="68"/>
  <c r="O47" i="68"/>
  <c r="P47" i="68"/>
  <c r="Q47" i="68"/>
  <c r="R47" i="68"/>
  <c r="S47" i="68"/>
  <c r="T47" i="68"/>
  <c r="U47" i="68"/>
  <c r="V47" i="68"/>
  <c r="C31" i="68" s="1"/>
  <c r="W47" i="68"/>
  <c r="X47" i="68"/>
  <c r="Y47" i="68"/>
  <c r="Z47" i="68"/>
  <c r="C35" i="68" s="1"/>
  <c r="AA47" i="68"/>
  <c r="AB47" i="68"/>
  <c r="AC47" i="68"/>
  <c r="AD47" i="68"/>
  <c r="C39" i="68" s="1"/>
  <c r="AE47" i="68"/>
  <c r="AF47" i="68"/>
  <c r="G48" i="68"/>
  <c r="H48" i="68"/>
  <c r="I48" i="68"/>
  <c r="J48" i="68"/>
  <c r="K48" i="68"/>
  <c r="L48" i="68"/>
  <c r="M48" i="68"/>
  <c r="N48" i="68"/>
  <c r="O48" i="68"/>
  <c r="P48" i="68"/>
  <c r="Q48" i="68"/>
  <c r="R48" i="68"/>
  <c r="S48" i="68"/>
  <c r="T48" i="68"/>
  <c r="D29" i="68" s="1"/>
  <c r="U48" i="68"/>
  <c r="V48" i="68"/>
  <c r="W48" i="68"/>
  <c r="X48" i="68"/>
  <c r="D33" i="68" s="1"/>
  <c r="Y48" i="68"/>
  <c r="Z48" i="68"/>
  <c r="AA48" i="68"/>
  <c r="AB48" i="68"/>
  <c r="D37" i="68" s="1"/>
  <c r="AC48" i="68"/>
  <c r="AD48" i="68"/>
  <c r="AE48" i="68"/>
  <c r="AF48" i="68"/>
  <c r="D41" i="68" s="1"/>
  <c r="G49" i="68"/>
  <c r="H49" i="68"/>
  <c r="I49" i="68"/>
  <c r="J49" i="68"/>
  <c r="K49" i="68"/>
  <c r="L49" i="68"/>
  <c r="M49" i="68"/>
  <c r="N49" i="68"/>
  <c r="O49" i="68"/>
  <c r="P49" i="68"/>
  <c r="Q49" i="68"/>
  <c r="R49" i="68"/>
  <c r="S49" i="68"/>
  <c r="T49" i="68"/>
  <c r="U49" i="68"/>
  <c r="V49" i="68"/>
  <c r="E31" i="68" s="1"/>
  <c r="W49" i="68"/>
  <c r="X49" i="68"/>
  <c r="Y49" i="68"/>
  <c r="Z49" i="68"/>
  <c r="E35" i="68" s="1"/>
  <c r="AA49" i="68"/>
  <c r="AB49" i="68"/>
  <c r="AC49" i="68"/>
  <c r="AD49" i="68"/>
  <c r="E39" i="68" s="1"/>
  <c r="AE49" i="68"/>
  <c r="AF49" i="68"/>
  <c r="G50" i="68"/>
  <c r="H50" i="68"/>
  <c r="I50" i="68"/>
  <c r="J50" i="68"/>
  <c r="K50" i="68"/>
  <c r="L50" i="68"/>
  <c r="M50" i="68"/>
  <c r="N50" i="68"/>
  <c r="O50" i="68"/>
  <c r="P50" i="68"/>
  <c r="Q50" i="68"/>
  <c r="R50" i="68"/>
  <c r="S50" i="68"/>
  <c r="T50" i="68"/>
  <c r="U50" i="68"/>
  <c r="V50" i="68"/>
  <c r="W50" i="68"/>
  <c r="X50" i="68"/>
  <c r="F33" i="68" s="1"/>
  <c r="Y50" i="68"/>
  <c r="Z50" i="68"/>
  <c r="AA50" i="68"/>
  <c r="AB50" i="68"/>
  <c r="F37" i="68" s="1"/>
  <c r="AC50" i="68"/>
  <c r="AD50" i="68"/>
  <c r="AE50" i="68"/>
  <c r="AF50" i="68"/>
  <c r="F41" i="68" s="1"/>
  <c r="G51" i="68"/>
  <c r="H51" i="68"/>
  <c r="I51" i="68"/>
  <c r="J51" i="68"/>
  <c r="K51" i="68"/>
  <c r="L51" i="68"/>
  <c r="M51" i="68"/>
  <c r="N51" i="68"/>
  <c r="O51" i="68"/>
  <c r="P51" i="68"/>
  <c r="Q51" i="68"/>
  <c r="R51" i="68"/>
  <c r="S51" i="68"/>
  <c r="T51" i="68"/>
  <c r="U51" i="68"/>
  <c r="V51" i="68"/>
  <c r="G31" i="68" s="1"/>
  <c r="W51" i="68"/>
  <c r="X51" i="68"/>
  <c r="Y51" i="68"/>
  <c r="Z51" i="68"/>
  <c r="G35" i="68" s="1"/>
  <c r="AA51" i="68"/>
  <c r="AB51" i="68"/>
  <c r="AC51" i="68"/>
  <c r="AD51" i="68"/>
  <c r="G39" i="68" s="1"/>
  <c r="AE51" i="68"/>
  <c r="AF51" i="68"/>
  <c r="G52" i="68"/>
  <c r="H52" i="68"/>
  <c r="I52" i="68"/>
  <c r="J52" i="68"/>
  <c r="K52" i="68"/>
  <c r="L52" i="68"/>
  <c r="M52" i="68"/>
  <c r="N52" i="68"/>
  <c r="O52" i="68"/>
  <c r="P52" i="68"/>
  <c r="Q52" i="68"/>
  <c r="R52" i="68"/>
  <c r="S52" i="68"/>
  <c r="T52" i="68"/>
  <c r="H29" i="68" s="1"/>
  <c r="U52" i="68"/>
  <c r="V52" i="68"/>
  <c r="W52" i="68"/>
  <c r="X52" i="68"/>
  <c r="H33" i="68" s="1"/>
  <c r="Y52" i="68"/>
  <c r="Z52" i="68"/>
  <c r="AA52" i="68"/>
  <c r="AB52" i="68"/>
  <c r="H37" i="68" s="1"/>
  <c r="AC52" i="68"/>
  <c r="AD52" i="68"/>
  <c r="AE52" i="68"/>
  <c r="AF52" i="68"/>
  <c r="H41" i="68" s="1"/>
  <c r="G53" i="68"/>
  <c r="H53" i="68"/>
  <c r="I53" i="68"/>
  <c r="J53" i="68"/>
  <c r="K53" i="68"/>
  <c r="L53" i="68"/>
  <c r="M53" i="68"/>
  <c r="N53" i="68"/>
  <c r="O53" i="68"/>
  <c r="P53" i="68"/>
  <c r="Q53" i="68"/>
  <c r="R53" i="68"/>
  <c r="S53" i="68"/>
  <c r="T53" i="68"/>
  <c r="U53" i="68"/>
  <c r="V53" i="68"/>
  <c r="I31" i="68" s="1"/>
  <c r="W53" i="68"/>
  <c r="X53" i="68"/>
  <c r="Y53" i="68"/>
  <c r="Z53" i="68"/>
  <c r="I35" i="68" s="1"/>
  <c r="AA53" i="68"/>
  <c r="AB53" i="68"/>
  <c r="AC53" i="68"/>
  <c r="AD53" i="68"/>
  <c r="I39" i="68" s="1"/>
  <c r="AE53" i="68"/>
  <c r="AF53" i="68"/>
  <c r="G54" i="68"/>
  <c r="H54" i="68"/>
  <c r="I54" i="68"/>
  <c r="J54" i="68"/>
  <c r="K54" i="68"/>
  <c r="L54" i="68"/>
  <c r="M54" i="68"/>
  <c r="N54" i="68"/>
  <c r="O54" i="68"/>
  <c r="P54" i="68"/>
  <c r="Q54" i="68"/>
  <c r="R54" i="68"/>
  <c r="S54" i="68"/>
  <c r="T54" i="68"/>
  <c r="J29" i="68" s="1"/>
  <c r="U54" i="68"/>
  <c r="V54" i="68"/>
  <c r="W54" i="68"/>
  <c r="X54" i="68"/>
  <c r="Y54" i="68"/>
  <c r="Z54" i="68"/>
  <c r="AA54" i="68"/>
  <c r="AB54" i="68"/>
  <c r="J37" i="68" s="1"/>
  <c r="AC54" i="68"/>
  <c r="AD54" i="68"/>
  <c r="AE54" i="68"/>
  <c r="AF54" i="68"/>
  <c r="J41" i="68" s="1"/>
  <c r="G55" i="68"/>
  <c r="H55" i="68"/>
  <c r="I55" i="68"/>
  <c r="J55" i="68"/>
  <c r="K55" i="68"/>
  <c r="L55" i="68"/>
  <c r="M55" i="68"/>
  <c r="N55" i="68"/>
  <c r="O55" i="68"/>
  <c r="P55" i="68"/>
  <c r="Q55" i="68"/>
  <c r="R55" i="68"/>
  <c r="S55" i="68"/>
  <c r="T55" i="68"/>
  <c r="U55" i="68"/>
  <c r="V55" i="68"/>
  <c r="K31" i="68" s="1"/>
  <c r="W55" i="68"/>
  <c r="X55" i="68"/>
  <c r="Y55" i="68"/>
  <c r="Z55" i="68"/>
  <c r="K35" i="68" s="1"/>
  <c r="AA55" i="68"/>
  <c r="AB55" i="68"/>
  <c r="AC55" i="68"/>
  <c r="AD55" i="68"/>
  <c r="K39" i="68" s="1"/>
  <c r="AE55" i="68"/>
  <c r="AF55" i="68"/>
  <c r="G56" i="68"/>
  <c r="H56" i="68"/>
  <c r="I56" i="68"/>
  <c r="J56" i="68"/>
  <c r="K56" i="68"/>
  <c r="L56" i="68"/>
  <c r="M56" i="68"/>
  <c r="N56" i="68"/>
  <c r="O56" i="68"/>
  <c r="P56" i="68"/>
  <c r="Q56" i="68"/>
  <c r="R56" i="68"/>
  <c r="S56" i="68"/>
  <c r="T56" i="68"/>
  <c r="L29" i="68" s="1"/>
  <c r="U56" i="68"/>
  <c r="V56" i="68"/>
  <c r="W56" i="68"/>
  <c r="X56" i="68"/>
  <c r="L33" i="68" s="1"/>
  <c r="Y56" i="68"/>
  <c r="Z56" i="68"/>
  <c r="AA56" i="68"/>
  <c r="AB56" i="68"/>
  <c r="L37" i="68" s="1"/>
  <c r="AC56" i="68"/>
  <c r="AD56" i="68"/>
  <c r="AE56" i="68"/>
  <c r="AF56" i="68"/>
  <c r="L41" i="68" s="1"/>
  <c r="G57" i="68"/>
  <c r="H57" i="68"/>
  <c r="I57" i="68"/>
  <c r="J57" i="68"/>
  <c r="K57" i="68"/>
  <c r="L57" i="68"/>
  <c r="M57" i="68"/>
  <c r="N57" i="68"/>
  <c r="O57" i="68"/>
  <c r="P57" i="68"/>
  <c r="Q57" i="68"/>
  <c r="R57" i="68"/>
  <c r="S57" i="68"/>
  <c r="T57" i="68"/>
  <c r="U57" i="68"/>
  <c r="V57" i="68"/>
  <c r="M31" i="68" s="1"/>
  <c r="W57" i="68"/>
  <c r="X57" i="68"/>
  <c r="Y57" i="68"/>
  <c r="Z57" i="68"/>
  <c r="M35" i="68" s="1"/>
  <c r="AA57" i="68"/>
  <c r="AB57" i="68"/>
  <c r="AC57" i="68"/>
  <c r="AD57" i="68"/>
  <c r="M39" i="68" s="1"/>
  <c r="AE57" i="68"/>
  <c r="AF57" i="68"/>
  <c r="G58" i="68"/>
  <c r="H58" i="68"/>
  <c r="I58" i="68"/>
  <c r="J58" i="68"/>
  <c r="K58" i="68"/>
  <c r="L58" i="68"/>
  <c r="M58" i="68"/>
  <c r="N58" i="68"/>
  <c r="O58" i="68"/>
  <c r="P58" i="68"/>
  <c r="Q58" i="68"/>
  <c r="R58" i="68"/>
  <c r="S58" i="68"/>
  <c r="T58" i="68"/>
  <c r="N29" i="68" s="1"/>
  <c r="U58" i="68"/>
  <c r="V58" i="68"/>
  <c r="W58" i="68"/>
  <c r="X58" i="68"/>
  <c r="N33" i="68" s="1"/>
  <c r="Y58" i="68"/>
  <c r="Z58" i="68"/>
  <c r="AA58" i="68"/>
  <c r="AB58" i="68"/>
  <c r="BJ58" i="68" s="1"/>
  <c r="AC58" i="68"/>
  <c r="AD58" i="68"/>
  <c r="AE58" i="68"/>
  <c r="AF58" i="68"/>
  <c r="BN58" i="68" s="1"/>
  <c r="G59" i="68"/>
  <c r="H59" i="68"/>
  <c r="I59" i="68"/>
  <c r="J59" i="68"/>
  <c r="K59" i="68"/>
  <c r="L59" i="68"/>
  <c r="M59" i="68"/>
  <c r="N59" i="68"/>
  <c r="O59" i="68"/>
  <c r="P59" i="68"/>
  <c r="Q59" i="68"/>
  <c r="R59" i="68"/>
  <c r="S59" i="68"/>
  <c r="T59" i="68"/>
  <c r="U59" i="68"/>
  <c r="V59" i="68"/>
  <c r="O31" i="68" s="1"/>
  <c r="W59" i="68"/>
  <c r="X59" i="68"/>
  <c r="Y59" i="68"/>
  <c r="Z59" i="68"/>
  <c r="O35" i="68" s="1"/>
  <c r="AA59" i="68"/>
  <c r="AB59" i="68"/>
  <c r="AC59" i="68"/>
  <c r="AD59" i="68"/>
  <c r="O39" i="68" s="1"/>
  <c r="AE59" i="68"/>
  <c r="AF59" i="68"/>
  <c r="G60" i="68"/>
  <c r="H60" i="68"/>
  <c r="I60" i="68"/>
  <c r="J60" i="68"/>
  <c r="K60" i="68"/>
  <c r="L60" i="68"/>
  <c r="M60" i="68"/>
  <c r="N60" i="68"/>
  <c r="O60" i="68"/>
  <c r="P60" i="68"/>
  <c r="Q60" i="68"/>
  <c r="R60" i="68"/>
  <c r="S60" i="68"/>
  <c r="T60" i="68"/>
  <c r="P29" i="68" s="1"/>
  <c r="U60" i="68"/>
  <c r="V60" i="68"/>
  <c r="W60" i="68"/>
  <c r="X60" i="68"/>
  <c r="P33" i="68" s="1"/>
  <c r="Y60" i="68"/>
  <c r="Z60" i="68"/>
  <c r="AA60" i="68"/>
  <c r="AB60" i="68"/>
  <c r="P37" i="68" s="1"/>
  <c r="AC60" i="68"/>
  <c r="AD60" i="68"/>
  <c r="AE60" i="68"/>
  <c r="AF60" i="68"/>
  <c r="P41" i="68" s="1"/>
  <c r="G61" i="68"/>
  <c r="H61" i="68"/>
  <c r="I61" i="68"/>
  <c r="J61" i="68"/>
  <c r="K61" i="68"/>
  <c r="L61" i="68"/>
  <c r="M61" i="68"/>
  <c r="N61" i="68"/>
  <c r="O61" i="68"/>
  <c r="P61" i="68"/>
  <c r="Q61" i="68"/>
  <c r="R61" i="68"/>
  <c r="S61" i="68"/>
  <c r="T61" i="68"/>
  <c r="U61" i="68"/>
  <c r="V61" i="68"/>
  <c r="Q31" i="68" s="1"/>
  <c r="W61" i="68"/>
  <c r="X61" i="68"/>
  <c r="Y61" i="68"/>
  <c r="Z61" i="68"/>
  <c r="Q35" i="68" s="1"/>
  <c r="AA61" i="68"/>
  <c r="AB61" i="68"/>
  <c r="AC61" i="68"/>
  <c r="AD61" i="68"/>
  <c r="Q39" i="68" s="1"/>
  <c r="AE61" i="68"/>
  <c r="AF61" i="68"/>
  <c r="G62" i="68"/>
  <c r="H62" i="68"/>
  <c r="I62" i="68"/>
  <c r="J62" i="68"/>
  <c r="K62" i="68"/>
  <c r="L62" i="68"/>
  <c r="M62" i="68"/>
  <c r="N62" i="68"/>
  <c r="O62" i="68"/>
  <c r="P62" i="68"/>
  <c r="Q62" i="68"/>
  <c r="R62" i="68"/>
  <c r="S62" i="68"/>
  <c r="T62" i="68"/>
  <c r="BB62" i="68" s="1"/>
  <c r="U62" i="68"/>
  <c r="V62" i="68"/>
  <c r="W62" i="68"/>
  <c r="X62" i="68"/>
  <c r="R33" i="68" s="1"/>
  <c r="Y62" i="68"/>
  <c r="Z62" i="68"/>
  <c r="AA62" i="68"/>
  <c r="AB62" i="68"/>
  <c r="R37" i="68" s="1"/>
  <c r="AC62" i="68"/>
  <c r="AD62" i="68"/>
  <c r="AE62" i="68"/>
  <c r="AF62" i="68"/>
  <c r="BN62" i="68" s="1"/>
  <c r="G63" i="68"/>
  <c r="H63" i="68"/>
  <c r="I63" i="68"/>
  <c r="J63" i="68"/>
  <c r="K63" i="68"/>
  <c r="L63" i="68"/>
  <c r="M63" i="68"/>
  <c r="N63" i="68"/>
  <c r="O63" i="68"/>
  <c r="P63" i="68"/>
  <c r="Q63" i="68"/>
  <c r="R63" i="68"/>
  <c r="S63" i="68"/>
  <c r="T63" i="68"/>
  <c r="U63" i="68"/>
  <c r="V63" i="68"/>
  <c r="S31" i="68" s="1"/>
  <c r="W63" i="68"/>
  <c r="X63" i="68"/>
  <c r="Y63" i="68"/>
  <c r="Z63" i="68"/>
  <c r="S35" i="68" s="1"/>
  <c r="AA63" i="68"/>
  <c r="AB63" i="68"/>
  <c r="AC63" i="68"/>
  <c r="AD63" i="68"/>
  <c r="S39" i="68" s="1"/>
  <c r="AE63" i="68"/>
  <c r="AF63" i="68"/>
  <c r="G64" i="68"/>
  <c r="H64" i="68"/>
  <c r="I64" i="68"/>
  <c r="J64" i="68"/>
  <c r="K64" i="68"/>
  <c r="L64" i="68"/>
  <c r="M64" i="68"/>
  <c r="N64" i="68"/>
  <c r="O64" i="68"/>
  <c r="P64" i="68"/>
  <c r="Q64" i="68"/>
  <c r="R64" i="68"/>
  <c r="S64" i="68"/>
  <c r="T64" i="68"/>
  <c r="T29" i="68" s="1"/>
  <c r="U64" i="68"/>
  <c r="V64" i="68"/>
  <c r="W64" i="68"/>
  <c r="X64" i="68"/>
  <c r="T33" i="68" s="1"/>
  <c r="Y64" i="68"/>
  <c r="Z64" i="68"/>
  <c r="AA64" i="68"/>
  <c r="AB64" i="68"/>
  <c r="T37" i="68" s="1"/>
  <c r="AC64" i="68"/>
  <c r="AD64" i="68"/>
  <c r="AE64" i="68"/>
  <c r="AF64" i="68"/>
  <c r="T41" i="68" s="1"/>
  <c r="G65" i="68"/>
  <c r="H65" i="68"/>
  <c r="I65" i="68"/>
  <c r="J65" i="68"/>
  <c r="K65" i="68"/>
  <c r="L65" i="68"/>
  <c r="M65" i="68"/>
  <c r="N65" i="68"/>
  <c r="O65" i="68"/>
  <c r="P65" i="68"/>
  <c r="Q65" i="68"/>
  <c r="R65" i="68"/>
  <c r="S65" i="68"/>
  <c r="T65" i="68"/>
  <c r="U65" i="68"/>
  <c r="V65" i="68"/>
  <c r="U31" i="68" s="1"/>
  <c r="W65" i="68"/>
  <c r="X65" i="68"/>
  <c r="Y65" i="68"/>
  <c r="Z65" i="68"/>
  <c r="U35" i="68" s="1"/>
  <c r="AA65" i="68"/>
  <c r="AB65" i="68"/>
  <c r="AC65" i="68"/>
  <c r="AD65" i="68"/>
  <c r="U39" i="68" s="1"/>
  <c r="AE65" i="68"/>
  <c r="AF65" i="68"/>
  <c r="G66" i="68"/>
  <c r="H66" i="68"/>
  <c r="I66" i="68"/>
  <c r="J66" i="68"/>
  <c r="K66" i="68"/>
  <c r="L66" i="68"/>
  <c r="M66" i="68"/>
  <c r="N66" i="68"/>
  <c r="O66" i="68"/>
  <c r="P66" i="68"/>
  <c r="Q66" i="68"/>
  <c r="R66" i="68"/>
  <c r="S66" i="68"/>
  <c r="T66" i="68"/>
  <c r="BB66" i="68" s="1"/>
  <c r="U66" i="68"/>
  <c r="V66" i="68"/>
  <c r="W66" i="68"/>
  <c r="X66" i="68"/>
  <c r="V33" i="68" s="1"/>
  <c r="Y66" i="68"/>
  <c r="Z66" i="68"/>
  <c r="AA66" i="68"/>
  <c r="AB66" i="68"/>
  <c r="V37" i="68" s="1"/>
  <c r="AC66" i="68"/>
  <c r="AD66" i="68"/>
  <c r="AE66" i="68"/>
  <c r="AF66" i="68"/>
  <c r="V41" i="68" s="1"/>
  <c r="G67" i="68"/>
  <c r="H67" i="68"/>
  <c r="I67" i="68"/>
  <c r="J67" i="68"/>
  <c r="K67" i="68"/>
  <c r="L67" i="68"/>
  <c r="M67" i="68"/>
  <c r="N67" i="68"/>
  <c r="O67" i="68"/>
  <c r="P67" i="68"/>
  <c r="Q67" i="68"/>
  <c r="R67" i="68"/>
  <c r="S67" i="68"/>
  <c r="T67" i="68"/>
  <c r="U67" i="68"/>
  <c r="V67" i="68"/>
  <c r="W31" i="68" s="1"/>
  <c r="W67" i="68"/>
  <c r="X67" i="68"/>
  <c r="Y67" i="68"/>
  <c r="Z67" i="68"/>
  <c r="W35" i="68" s="1"/>
  <c r="AA67" i="68"/>
  <c r="AB67" i="68"/>
  <c r="AC67" i="68"/>
  <c r="AD67" i="68"/>
  <c r="W39" i="68" s="1"/>
  <c r="AE67" i="68"/>
  <c r="AF67" i="68"/>
  <c r="G68" i="68"/>
  <c r="H68" i="68"/>
  <c r="I68" i="68"/>
  <c r="J68" i="68"/>
  <c r="K68" i="68"/>
  <c r="L68" i="68"/>
  <c r="M68" i="68"/>
  <c r="N68" i="68"/>
  <c r="O68" i="68"/>
  <c r="P68" i="68"/>
  <c r="Q68" i="68"/>
  <c r="R68" i="68"/>
  <c r="S68" i="68"/>
  <c r="T68" i="68"/>
  <c r="X29" i="68" s="1"/>
  <c r="U68" i="68"/>
  <c r="V68" i="68"/>
  <c r="W68" i="68"/>
  <c r="X68" i="68"/>
  <c r="X33" i="68" s="1"/>
  <c r="Y68" i="68"/>
  <c r="Z68" i="68"/>
  <c r="AA68" i="68"/>
  <c r="AB68" i="68"/>
  <c r="X37" i="68" s="1"/>
  <c r="AC68" i="68"/>
  <c r="AD68" i="68"/>
  <c r="AE68" i="68"/>
  <c r="AF68" i="68"/>
  <c r="X41" i="68" s="1"/>
  <c r="G69" i="68"/>
  <c r="H69" i="68"/>
  <c r="I69" i="68"/>
  <c r="J69" i="68"/>
  <c r="K69" i="68"/>
  <c r="L69" i="68"/>
  <c r="M69" i="68"/>
  <c r="N69" i="68"/>
  <c r="O69" i="68"/>
  <c r="P69" i="68"/>
  <c r="Q69" i="68"/>
  <c r="R69" i="68"/>
  <c r="S69" i="68"/>
  <c r="T69" i="68"/>
  <c r="U69" i="68"/>
  <c r="V69" i="68"/>
  <c r="Y31" i="68" s="1"/>
  <c r="W69" i="68"/>
  <c r="X69" i="68"/>
  <c r="Y69" i="68"/>
  <c r="Z69" i="68"/>
  <c r="Y35" i="68" s="1"/>
  <c r="AA69" i="68"/>
  <c r="AB69" i="68"/>
  <c r="AC69" i="68"/>
  <c r="AD69" i="68"/>
  <c r="Y39" i="68" s="1"/>
  <c r="AE69" i="68"/>
  <c r="AF69" i="68"/>
  <c r="G70" i="68"/>
  <c r="H70" i="68"/>
  <c r="I70" i="68"/>
  <c r="J70" i="68"/>
  <c r="K70" i="68"/>
  <c r="L70" i="68"/>
  <c r="M70" i="68"/>
  <c r="N70" i="68"/>
  <c r="O70" i="68"/>
  <c r="P70" i="68"/>
  <c r="Q70" i="68"/>
  <c r="R70" i="68"/>
  <c r="S70" i="68"/>
  <c r="T70" i="68"/>
  <c r="Z29" i="68" s="1"/>
  <c r="U70" i="68"/>
  <c r="V70" i="68"/>
  <c r="W70" i="68"/>
  <c r="X70" i="68"/>
  <c r="BF70" i="68" s="1"/>
  <c r="Y70" i="68"/>
  <c r="Z70" i="68"/>
  <c r="AA70" i="68"/>
  <c r="AB70" i="68"/>
  <c r="Z37" i="68" s="1"/>
  <c r="AC70" i="68"/>
  <c r="AD70" i="68"/>
  <c r="AE70" i="68"/>
  <c r="AF70" i="68"/>
  <c r="Z41" i="68" s="1"/>
  <c r="G71" i="68"/>
  <c r="H71" i="68"/>
  <c r="I71" i="68"/>
  <c r="J71" i="68"/>
  <c r="K71" i="68"/>
  <c r="L71" i="68"/>
  <c r="M71" i="68"/>
  <c r="N71" i="68"/>
  <c r="O71" i="68"/>
  <c r="P71" i="68"/>
  <c r="Q71" i="68"/>
  <c r="R71" i="68"/>
  <c r="S71" i="68"/>
  <c r="T71" i="68"/>
  <c r="U71" i="68"/>
  <c r="V71" i="68"/>
  <c r="AA31" i="68" s="1"/>
  <c r="W71" i="68"/>
  <c r="X71" i="68"/>
  <c r="Y71" i="68"/>
  <c r="Z71" i="68"/>
  <c r="AA35" i="68" s="1"/>
  <c r="AA71" i="68"/>
  <c r="AB71" i="68"/>
  <c r="AC71" i="68"/>
  <c r="AD71" i="68"/>
  <c r="AA39" i="68" s="1"/>
  <c r="AE71" i="68"/>
  <c r="AF71" i="68"/>
  <c r="G72" i="68"/>
  <c r="H72" i="68"/>
  <c r="I72" i="68"/>
  <c r="J72" i="68"/>
  <c r="K72" i="68"/>
  <c r="L72" i="68"/>
  <c r="M72" i="68"/>
  <c r="N72" i="68"/>
  <c r="O72" i="68"/>
  <c r="P72" i="68"/>
  <c r="Q72" i="68"/>
  <c r="R72" i="68"/>
  <c r="S72" i="68"/>
  <c r="T72" i="68"/>
  <c r="AB29" i="68" s="1"/>
  <c r="U72" i="68"/>
  <c r="V72" i="68"/>
  <c r="W72" i="68"/>
  <c r="X72" i="68"/>
  <c r="AB33" i="68" s="1"/>
  <c r="Y72" i="68"/>
  <c r="Z72" i="68"/>
  <c r="AA72" i="68"/>
  <c r="AB72" i="68"/>
  <c r="AB37" i="68" s="1"/>
  <c r="AC72" i="68"/>
  <c r="AD72" i="68"/>
  <c r="AE72" i="68"/>
  <c r="AF72" i="68"/>
  <c r="AB41" i="68" s="1"/>
  <c r="G73" i="68"/>
  <c r="H73" i="68"/>
  <c r="I73" i="68"/>
  <c r="J73" i="68"/>
  <c r="K73" i="68"/>
  <c r="L73" i="68"/>
  <c r="M73" i="68"/>
  <c r="N73" i="68"/>
  <c r="O73" i="68"/>
  <c r="P73" i="68"/>
  <c r="Q73" i="68"/>
  <c r="R73" i="68"/>
  <c r="S73" i="68"/>
  <c r="T73" i="68"/>
  <c r="U73" i="68"/>
  <c r="V73" i="68"/>
  <c r="AC31" i="68" s="1"/>
  <c r="W73" i="68"/>
  <c r="X73" i="68"/>
  <c r="Y73" i="68"/>
  <c r="Z73" i="68"/>
  <c r="AC35" i="68" s="1"/>
  <c r="AA73" i="68"/>
  <c r="AB73" i="68"/>
  <c r="AC73" i="68"/>
  <c r="AD73" i="68"/>
  <c r="AC39" i="68" s="1"/>
  <c r="AE73" i="68"/>
  <c r="AF73" i="68"/>
  <c r="G74" i="68"/>
  <c r="H74" i="68"/>
  <c r="I74" i="68"/>
  <c r="J74" i="68"/>
  <c r="K74" i="68"/>
  <c r="L74" i="68"/>
  <c r="M74" i="68"/>
  <c r="N74" i="68"/>
  <c r="O74" i="68"/>
  <c r="P74" i="68"/>
  <c r="Q74" i="68"/>
  <c r="R74" i="68"/>
  <c r="S74" i="68"/>
  <c r="T74" i="68"/>
  <c r="AD29" i="68" s="1"/>
  <c r="U74" i="68"/>
  <c r="V74" i="68"/>
  <c r="W74" i="68"/>
  <c r="X74" i="68"/>
  <c r="AD33" i="68" s="1"/>
  <c r="Y74" i="68"/>
  <c r="Z74" i="68"/>
  <c r="AA74" i="68"/>
  <c r="AB74" i="68"/>
  <c r="BJ74" i="68" s="1"/>
  <c r="AC74" i="68"/>
  <c r="AD74" i="68"/>
  <c r="AE74" i="68"/>
  <c r="AF74" i="68"/>
  <c r="AD41" i="68" s="1"/>
  <c r="G75" i="68"/>
  <c r="H75" i="68"/>
  <c r="I75" i="68"/>
  <c r="J75" i="68"/>
  <c r="K75" i="68"/>
  <c r="L75" i="68"/>
  <c r="M75" i="68"/>
  <c r="N75" i="68"/>
  <c r="O75" i="68"/>
  <c r="P75" i="68"/>
  <c r="Q75" i="68"/>
  <c r="R75" i="68"/>
  <c r="S75" i="68"/>
  <c r="T75" i="68"/>
  <c r="U75" i="68"/>
  <c r="V75" i="68"/>
  <c r="AE31" i="68" s="1"/>
  <c r="W75" i="68"/>
  <c r="X75" i="68"/>
  <c r="Y75" i="68"/>
  <c r="Z75" i="68"/>
  <c r="AE35" i="68" s="1"/>
  <c r="AA75" i="68"/>
  <c r="AB75" i="68"/>
  <c r="AC75" i="68"/>
  <c r="AD75" i="68"/>
  <c r="AE39" i="68" s="1"/>
  <c r="AE75" i="68"/>
  <c r="AF75" i="68"/>
  <c r="G76" i="68"/>
  <c r="H76" i="68"/>
  <c r="I76" i="68"/>
  <c r="J76" i="68"/>
  <c r="K76" i="68"/>
  <c r="L76" i="68"/>
  <c r="M76" i="68"/>
  <c r="N76" i="68"/>
  <c r="O76" i="68"/>
  <c r="P76" i="68"/>
  <c r="Q76" i="68"/>
  <c r="R76" i="68"/>
  <c r="S76" i="68"/>
  <c r="T76" i="68"/>
  <c r="AF29" i="68" s="1"/>
  <c r="U76" i="68"/>
  <c r="V76" i="68"/>
  <c r="W76" i="68"/>
  <c r="X76" i="68"/>
  <c r="AF33" i="68" s="1"/>
  <c r="Y76" i="68"/>
  <c r="Z76" i="68"/>
  <c r="AA76" i="68"/>
  <c r="AB76" i="68"/>
  <c r="AF37" i="68" s="1"/>
  <c r="AC76" i="68"/>
  <c r="AD76" i="68"/>
  <c r="AE76" i="68"/>
  <c r="AF76" i="68"/>
  <c r="AF41" i="68" s="1"/>
  <c r="G77" i="68"/>
  <c r="H77" i="68"/>
  <c r="I77" i="68"/>
  <c r="J77" i="68"/>
  <c r="K77" i="68"/>
  <c r="L77" i="68"/>
  <c r="M77" i="68"/>
  <c r="N77" i="68"/>
  <c r="O77" i="68"/>
  <c r="P77" i="68"/>
  <c r="Q77" i="68"/>
  <c r="R77" i="68"/>
  <c r="S77" i="68"/>
  <c r="T77" i="68"/>
  <c r="U77" i="68"/>
  <c r="V77" i="68"/>
  <c r="AG31" i="68" s="1"/>
  <c r="W77" i="68"/>
  <c r="X77" i="68"/>
  <c r="Y77" i="68"/>
  <c r="Z77" i="68"/>
  <c r="AG35" i="68" s="1"/>
  <c r="AA77" i="68"/>
  <c r="AB77" i="68"/>
  <c r="AC77" i="68"/>
  <c r="AD77" i="68"/>
  <c r="AG39" i="68" s="1"/>
  <c r="AE77" i="68"/>
  <c r="AF77" i="68"/>
  <c r="G78" i="68"/>
  <c r="H78" i="68"/>
  <c r="I78" i="68"/>
  <c r="J78" i="68"/>
  <c r="K78" i="68"/>
  <c r="L78" i="68"/>
  <c r="M78" i="68"/>
  <c r="N78" i="68"/>
  <c r="O78" i="68"/>
  <c r="P78" i="68"/>
  <c r="Q78" i="68"/>
  <c r="R78" i="68"/>
  <c r="S78" i="68"/>
  <c r="T78" i="68"/>
  <c r="AH29" i="68" s="1"/>
  <c r="U78" i="68"/>
  <c r="V78" i="68"/>
  <c r="W78" i="68"/>
  <c r="X78" i="68"/>
  <c r="AH33" i="68" s="1"/>
  <c r="Y78" i="68"/>
  <c r="Z78" i="68"/>
  <c r="AA78" i="68"/>
  <c r="AB78" i="68"/>
  <c r="AH37" i="68" s="1"/>
  <c r="AC78" i="68"/>
  <c r="AD78" i="68"/>
  <c r="AE78" i="68"/>
  <c r="AF78" i="68"/>
  <c r="BN78" i="68" s="1"/>
  <c r="G79" i="68"/>
  <c r="H79" i="68"/>
  <c r="I79" i="68"/>
  <c r="J79" i="68"/>
  <c r="K79" i="68"/>
  <c r="L79" i="68"/>
  <c r="M79" i="68"/>
  <c r="N79" i="68"/>
  <c r="O79" i="68"/>
  <c r="P79" i="68"/>
  <c r="Q79" i="68"/>
  <c r="R79" i="68"/>
  <c r="S79" i="68"/>
  <c r="T79" i="68"/>
  <c r="U79" i="68"/>
  <c r="V79" i="68"/>
  <c r="W79" i="68"/>
  <c r="X79" i="68"/>
  <c r="Y79" i="68"/>
  <c r="Z79" i="68"/>
  <c r="AA79" i="68"/>
  <c r="AB79" i="68"/>
  <c r="AC79" i="68"/>
  <c r="AD79" i="68"/>
  <c r="AE79" i="68"/>
  <c r="AF79" i="68"/>
  <c r="G80" i="68"/>
  <c r="H80" i="68"/>
  <c r="I80" i="68"/>
  <c r="J80" i="68"/>
  <c r="K80" i="68"/>
  <c r="L80" i="68"/>
  <c r="M80" i="68"/>
  <c r="N80" i="68"/>
  <c r="O80" i="68"/>
  <c r="P80" i="68"/>
  <c r="Q80" i="68"/>
  <c r="R80" i="68"/>
  <c r="S80" i="68"/>
  <c r="T80" i="68"/>
  <c r="U80" i="68"/>
  <c r="V80" i="68"/>
  <c r="W80" i="68"/>
  <c r="X80" i="68"/>
  <c r="Y80" i="68"/>
  <c r="Z80" i="68"/>
  <c r="AA80" i="68"/>
  <c r="AB80" i="68"/>
  <c r="AC80" i="68"/>
  <c r="AD80" i="68"/>
  <c r="AE80" i="68"/>
  <c r="AF80" i="68"/>
  <c r="G81" i="68"/>
  <c r="H81" i="68"/>
  <c r="I81" i="68"/>
  <c r="J81" i="68"/>
  <c r="K81" i="68"/>
  <c r="L81" i="68"/>
  <c r="M81" i="68"/>
  <c r="N81" i="68"/>
  <c r="O81" i="68"/>
  <c r="P81" i="68"/>
  <c r="Q81" i="68"/>
  <c r="R81" i="68"/>
  <c r="S81" i="68"/>
  <c r="T81" i="68"/>
  <c r="U81" i="68"/>
  <c r="V81" i="68"/>
  <c r="W81" i="68"/>
  <c r="X81" i="68"/>
  <c r="Y81" i="68"/>
  <c r="Z81" i="68"/>
  <c r="AA81" i="68"/>
  <c r="AB81" i="68"/>
  <c r="AC81" i="68"/>
  <c r="AD81" i="68"/>
  <c r="AE81" i="68"/>
  <c r="AF81" i="68"/>
  <c r="G82" i="68"/>
  <c r="H82" i="68"/>
  <c r="I82" i="68"/>
  <c r="J82" i="68"/>
  <c r="K82" i="68"/>
  <c r="L82" i="68"/>
  <c r="M82" i="68"/>
  <c r="N82" i="68"/>
  <c r="O82" i="68"/>
  <c r="P82" i="68"/>
  <c r="Q82" i="68"/>
  <c r="R82" i="68"/>
  <c r="S82" i="68"/>
  <c r="T82" i="68"/>
  <c r="BB82" i="68" s="1"/>
  <c r="U82" i="68"/>
  <c r="V82" i="68"/>
  <c r="W82" i="68"/>
  <c r="X82" i="68"/>
  <c r="BF82" i="68" s="1"/>
  <c r="Y82" i="68"/>
  <c r="Z82" i="68"/>
  <c r="AA82" i="68"/>
  <c r="AB82" i="68"/>
  <c r="BJ82" i="68" s="1"/>
  <c r="AC82" i="68"/>
  <c r="AD82" i="68"/>
  <c r="AE82" i="68"/>
  <c r="AF82" i="68"/>
  <c r="BN82" i="68" s="1"/>
  <c r="G83" i="68"/>
  <c r="H83" i="68"/>
  <c r="I83" i="68"/>
  <c r="J83" i="68"/>
  <c r="K83" i="68"/>
  <c r="L83" i="68"/>
  <c r="M83" i="68"/>
  <c r="N83" i="68"/>
  <c r="O83" i="68"/>
  <c r="P83" i="68"/>
  <c r="Q83" i="68"/>
  <c r="R83" i="68"/>
  <c r="S83" i="68"/>
  <c r="T83" i="68"/>
  <c r="U83" i="68"/>
  <c r="V83" i="68"/>
  <c r="W83" i="68"/>
  <c r="X83" i="68"/>
  <c r="Y83" i="68"/>
  <c r="Z83" i="68"/>
  <c r="AA83" i="68"/>
  <c r="AB83" i="68"/>
  <c r="AC83" i="68"/>
  <c r="AD83" i="68"/>
  <c r="AE83" i="68"/>
  <c r="AF83" i="68"/>
  <c r="G84" i="68"/>
  <c r="H84" i="68"/>
  <c r="I84" i="68"/>
  <c r="J84" i="68"/>
  <c r="K84" i="68"/>
  <c r="L84" i="68"/>
  <c r="M84" i="68"/>
  <c r="N84" i="68"/>
  <c r="O84" i="68"/>
  <c r="P84" i="68"/>
  <c r="Q84" i="68"/>
  <c r="R84" i="68"/>
  <c r="S84" i="68"/>
  <c r="T84" i="68"/>
  <c r="U84" i="68"/>
  <c r="V84" i="68"/>
  <c r="W84" i="68"/>
  <c r="X84" i="68"/>
  <c r="Y84" i="68"/>
  <c r="Z84" i="68"/>
  <c r="AA84" i="68"/>
  <c r="AB84" i="68"/>
  <c r="AC84" i="68"/>
  <c r="AD84" i="68"/>
  <c r="AE84" i="68"/>
  <c r="AF84" i="68"/>
  <c r="G85" i="68"/>
  <c r="H85" i="68"/>
  <c r="I85" i="68"/>
  <c r="J85" i="68"/>
  <c r="K85" i="68"/>
  <c r="L85" i="68"/>
  <c r="M85" i="68"/>
  <c r="N85" i="68"/>
  <c r="O85" i="68"/>
  <c r="P85" i="68"/>
  <c r="Q85" i="68"/>
  <c r="R85" i="68"/>
  <c r="S85" i="68"/>
  <c r="T85" i="68"/>
  <c r="U85" i="68"/>
  <c r="V85" i="68"/>
  <c r="W85" i="68"/>
  <c r="X85" i="68"/>
  <c r="Y85" i="68"/>
  <c r="Z85" i="68"/>
  <c r="AA85" i="68"/>
  <c r="AB85" i="68"/>
  <c r="AC85" i="68"/>
  <c r="AD85" i="68"/>
  <c r="AE85" i="68"/>
  <c r="AF85" i="68"/>
  <c r="G86" i="68"/>
  <c r="H86" i="68"/>
  <c r="I86" i="68"/>
  <c r="J86" i="68"/>
  <c r="K86" i="68"/>
  <c r="L86" i="68"/>
  <c r="M86" i="68"/>
  <c r="N86" i="68"/>
  <c r="O86" i="68"/>
  <c r="P86" i="68"/>
  <c r="Q86" i="68"/>
  <c r="R86" i="68"/>
  <c r="S86" i="68"/>
  <c r="T86" i="68"/>
  <c r="BB86" i="68" s="1"/>
  <c r="U86" i="68"/>
  <c r="V86" i="68"/>
  <c r="W86" i="68"/>
  <c r="X86" i="68"/>
  <c r="BF86" i="68" s="1"/>
  <c r="Y86" i="68"/>
  <c r="Z86" i="68"/>
  <c r="AA86" i="68"/>
  <c r="AB86" i="68"/>
  <c r="BJ86" i="68" s="1"/>
  <c r="AC86" i="68"/>
  <c r="AD86" i="68"/>
  <c r="AE86" i="68"/>
  <c r="AF86" i="68"/>
  <c r="BN86" i="68" s="1"/>
  <c r="G87" i="68"/>
  <c r="H87" i="68"/>
  <c r="I87" i="68"/>
  <c r="J87" i="68"/>
  <c r="K87" i="68"/>
  <c r="L87" i="68"/>
  <c r="M87" i="68"/>
  <c r="N87" i="68"/>
  <c r="O87" i="68"/>
  <c r="P87" i="68"/>
  <c r="Q87" i="68"/>
  <c r="R87" i="68"/>
  <c r="S87" i="68"/>
  <c r="T87" i="68"/>
  <c r="U87" i="68"/>
  <c r="V87" i="68"/>
  <c r="W87" i="68"/>
  <c r="X87" i="68"/>
  <c r="Y87" i="68"/>
  <c r="Z87" i="68"/>
  <c r="AA87" i="68"/>
  <c r="AB87" i="68"/>
  <c r="AC87" i="68"/>
  <c r="AD87" i="68"/>
  <c r="AE87" i="68"/>
  <c r="AF87" i="68"/>
  <c r="G88" i="68"/>
  <c r="H88" i="68"/>
  <c r="I88" i="68"/>
  <c r="J88" i="68"/>
  <c r="K88" i="68"/>
  <c r="L88" i="68"/>
  <c r="M88" i="68"/>
  <c r="N88" i="68"/>
  <c r="O88" i="68"/>
  <c r="P88" i="68"/>
  <c r="Q88" i="68"/>
  <c r="R88" i="68"/>
  <c r="S88" i="68"/>
  <c r="T88" i="68"/>
  <c r="U88" i="68"/>
  <c r="V88" i="68"/>
  <c r="W88" i="68"/>
  <c r="X88" i="68"/>
  <c r="Y88" i="68"/>
  <c r="Z88" i="68"/>
  <c r="AA88" i="68"/>
  <c r="AB88" i="68"/>
  <c r="AC88" i="68"/>
  <c r="AD88" i="68"/>
  <c r="AE88" i="68"/>
  <c r="AF88" i="68"/>
  <c r="G89" i="68"/>
  <c r="H89" i="68"/>
  <c r="I89" i="68"/>
  <c r="J89" i="68"/>
  <c r="K89" i="68"/>
  <c r="L89" i="68"/>
  <c r="M89" i="68"/>
  <c r="N89" i="68"/>
  <c r="O89" i="68"/>
  <c r="P89" i="68"/>
  <c r="Q89" i="68"/>
  <c r="R89" i="68"/>
  <c r="S89" i="68"/>
  <c r="T89" i="68"/>
  <c r="U89" i="68"/>
  <c r="V89" i="68"/>
  <c r="W89" i="68"/>
  <c r="X89" i="68"/>
  <c r="Y89" i="68"/>
  <c r="Z89" i="68"/>
  <c r="AA89" i="68"/>
  <c r="AB89" i="68"/>
  <c r="AC89" i="68"/>
  <c r="AD89" i="68"/>
  <c r="AE89" i="68"/>
  <c r="AF89" i="68"/>
  <c r="G90" i="68"/>
  <c r="H90" i="68"/>
  <c r="I90" i="68"/>
  <c r="J90" i="68"/>
  <c r="K90" i="68"/>
  <c r="L90" i="68"/>
  <c r="M90" i="68"/>
  <c r="N90" i="68"/>
  <c r="O90" i="68"/>
  <c r="P90" i="68"/>
  <c r="Q90" i="68"/>
  <c r="R90" i="68"/>
  <c r="S90" i="68"/>
  <c r="T90" i="68"/>
  <c r="BB90" i="68" s="1"/>
  <c r="U90" i="68"/>
  <c r="V90" i="68"/>
  <c r="W90" i="68"/>
  <c r="X90" i="68"/>
  <c r="BF90" i="68" s="1"/>
  <c r="Y90" i="68"/>
  <c r="Z90" i="68"/>
  <c r="AA90" i="68"/>
  <c r="AB90" i="68"/>
  <c r="BJ90" i="68" s="1"/>
  <c r="AC90" i="68"/>
  <c r="AD90" i="68"/>
  <c r="AE90" i="68"/>
  <c r="AF90" i="68"/>
  <c r="BN90" i="68" s="1"/>
  <c r="G91" i="68"/>
  <c r="H91" i="68"/>
  <c r="I91" i="68"/>
  <c r="J91" i="68"/>
  <c r="K91" i="68"/>
  <c r="L91" i="68"/>
  <c r="M91" i="68"/>
  <c r="N91" i="68"/>
  <c r="O91" i="68"/>
  <c r="P91" i="68"/>
  <c r="Q91" i="68"/>
  <c r="R91" i="68"/>
  <c r="S91" i="68"/>
  <c r="T91" i="68"/>
  <c r="U91" i="68"/>
  <c r="V91" i="68"/>
  <c r="W91" i="68"/>
  <c r="X91" i="68"/>
  <c r="Y91" i="68"/>
  <c r="Z91" i="68"/>
  <c r="AA91" i="68"/>
  <c r="AB91" i="68"/>
  <c r="AC91" i="68"/>
  <c r="AD91" i="68"/>
  <c r="AE91" i="68"/>
  <c r="AF91" i="68"/>
  <c r="G92" i="68"/>
  <c r="H92" i="68"/>
  <c r="I92" i="68"/>
  <c r="J92" i="68"/>
  <c r="K92" i="68"/>
  <c r="L92" i="68"/>
  <c r="M92" i="68"/>
  <c r="N92" i="68"/>
  <c r="O92" i="68"/>
  <c r="P92" i="68"/>
  <c r="Q92" i="68"/>
  <c r="R92" i="68"/>
  <c r="S92" i="68"/>
  <c r="T92" i="68"/>
  <c r="U92" i="68"/>
  <c r="V92" i="68"/>
  <c r="W92" i="68"/>
  <c r="X92" i="68"/>
  <c r="Y92" i="68"/>
  <c r="Z92" i="68"/>
  <c r="AA92" i="68"/>
  <c r="AB92" i="68"/>
  <c r="AC92" i="68"/>
  <c r="AD92" i="68"/>
  <c r="AE92" i="68"/>
  <c r="AF92" i="68"/>
  <c r="F95" i="68"/>
  <c r="F96" i="68"/>
  <c r="F97" i="68"/>
  <c r="F98" i="68"/>
  <c r="F94" i="68"/>
  <c r="F48" i="68"/>
  <c r="F49" i="68"/>
  <c r="F50" i="68"/>
  <c r="F51" i="68"/>
  <c r="F53" i="68"/>
  <c r="F54" i="68"/>
  <c r="F55" i="68"/>
  <c r="F56" i="68"/>
  <c r="F57" i="68"/>
  <c r="F58" i="68"/>
  <c r="F59" i="68"/>
  <c r="F60" i="68"/>
  <c r="F61" i="68"/>
  <c r="F62" i="68"/>
  <c r="F63" i="68"/>
  <c r="F64" i="68"/>
  <c r="F65" i="68"/>
  <c r="F66" i="68"/>
  <c r="F67" i="68"/>
  <c r="F68" i="68"/>
  <c r="F69" i="68"/>
  <c r="F70" i="68"/>
  <c r="F71" i="68"/>
  <c r="F72" i="68"/>
  <c r="F73" i="68"/>
  <c r="F74" i="68"/>
  <c r="F75" i="68"/>
  <c r="F76" i="68"/>
  <c r="F77" i="68"/>
  <c r="F78" i="68"/>
  <c r="F79" i="68"/>
  <c r="F80" i="68"/>
  <c r="F81" i="68"/>
  <c r="F82" i="68"/>
  <c r="F83" i="68"/>
  <c r="F84" i="68"/>
  <c r="F85" i="68"/>
  <c r="F86" i="68"/>
  <c r="F87" i="68"/>
  <c r="F88" i="68"/>
  <c r="F89" i="68"/>
  <c r="F90" i="68"/>
  <c r="F91" i="68"/>
  <c r="F92" i="68"/>
  <c r="F47" i="68"/>
  <c r="K90" i="66"/>
  <c r="L90" i="66"/>
  <c r="M90" i="66"/>
  <c r="N90" i="66"/>
  <c r="O90" i="66"/>
  <c r="P90" i="66"/>
  <c r="Q90" i="66"/>
  <c r="R90" i="66"/>
  <c r="S90" i="66"/>
  <c r="T90" i="66"/>
  <c r="U90" i="66"/>
  <c r="V90" i="66"/>
  <c r="BD90" i="66" s="1"/>
  <c r="W90" i="66"/>
  <c r="X90" i="66"/>
  <c r="Y90" i="66"/>
  <c r="Z90" i="66"/>
  <c r="BH90" i="66" s="1"/>
  <c r="AA90" i="66"/>
  <c r="AB90" i="66"/>
  <c r="AC90" i="66"/>
  <c r="AD90" i="66"/>
  <c r="BL90" i="66" s="1"/>
  <c r="AE90" i="66"/>
  <c r="AF90" i="66"/>
  <c r="K91" i="66"/>
  <c r="L91" i="66"/>
  <c r="M91" i="66"/>
  <c r="N91" i="66"/>
  <c r="O91" i="66"/>
  <c r="P91" i="66"/>
  <c r="Q91" i="66"/>
  <c r="R91" i="66"/>
  <c r="S91" i="66"/>
  <c r="T91" i="66"/>
  <c r="BB91" i="66" s="1"/>
  <c r="U91" i="66"/>
  <c r="V91" i="66"/>
  <c r="W91" i="66"/>
  <c r="X91" i="66"/>
  <c r="BF91" i="66" s="1"/>
  <c r="Y91" i="66"/>
  <c r="Z91" i="66"/>
  <c r="AA91" i="66"/>
  <c r="AB91" i="66"/>
  <c r="AT37" i="66" s="1"/>
  <c r="AC91" i="66"/>
  <c r="AD91" i="66"/>
  <c r="AE91" i="66"/>
  <c r="AF91" i="66"/>
  <c r="AT41" i="66" s="1"/>
  <c r="K92" i="66"/>
  <c r="L92" i="66"/>
  <c r="M92" i="66"/>
  <c r="N92" i="66"/>
  <c r="O92" i="66"/>
  <c r="P92" i="66"/>
  <c r="Q92" i="66"/>
  <c r="R92" i="66"/>
  <c r="S92" i="66"/>
  <c r="T92" i="66"/>
  <c r="U92" i="66"/>
  <c r="V92" i="66"/>
  <c r="AU31" i="66" s="1"/>
  <c r="W92" i="66"/>
  <c r="X92" i="66"/>
  <c r="Y92" i="66"/>
  <c r="Z92" i="66"/>
  <c r="AU35" i="66" s="1"/>
  <c r="AA92" i="66"/>
  <c r="AB92" i="66"/>
  <c r="AC92" i="66"/>
  <c r="AD92" i="66"/>
  <c r="AU39" i="66" s="1"/>
  <c r="AE92" i="66"/>
  <c r="AF92" i="66"/>
  <c r="K93" i="66"/>
  <c r="L93" i="66"/>
  <c r="M93" i="66"/>
  <c r="N93" i="66"/>
  <c r="O93" i="66"/>
  <c r="P93" i="66"/>
  <c r="Q93" i="66"/>
  <c r="R93" i="66"/>
  <c r="S93" i="66"/>
  <c r="T93" i="66"/>
  <c r="AV29" i="66" s="1"/>
  <c r="U93" i="66"/>
  <c r="V93" i="66"/>
  <c r="W93" i="66"/>
  <c r="X93" i="66"/>
  <c r="AV33" i="66" s="1"/>
  <c r="Y93" i="66"/>
  <c r="Z93" i="66"/>
  <c r="AA93" i="66"/>
  <c r="AB93" i="66"/>
  <c r="BJ93" i="66" s="1"/>
  <c r="AC93" i="66"/>
  <c r="AD93" i="66"/>
  <c r="AE93" i="66"/>
  <c r="AF93" i="66"/>
  <c r="BN93" i="66" s="1"/>
  <c r="K94" i="66"/>
  <c r="L94" i="66"/>
  <c r="M94" i="66"/>
  <c r="N94" i="66"/>
  <c r="O94" i="66"/>
  <c r="P94" i="66"/>
  <c r="Q94" i="66"/>
  <c r="R94" i="66"/>
  <c r="S94" i="66"/>
  <c r="T94" i="66"/>
  <c r="U94" i="66"/>
  <c r="V94" i="66"/>
  <c r="BD94" i="66" s="1"/>
  <c r="W94" i="66"/>
  <c r="X94" i="66"/>
  <c r="Y94" i="66"/>
  <c r="Z94" i="66"/>
  <c r="BH94" i="66" s="1"/>
  <c r="AA94" i="66"/>
  <c r="AB94" i="66"/>
  <c r="AC94" i="66"/>
  <c r="AD94" i="66"/>
  <c r="BL94" i="66" s="1"/>
  <c r="AE94" i="66"/>
  <c r="AF94" i="66"/>
  <c r="G47" i="66"/>
  <c r="H47" i="66"/>
  <c r="I47" i="66"/>
  <c r="J47" i="66"/>
  <c r="K47" i="66"/>
  <c r="L47" i="66"/>
  <c r="M47" i="66"/>
  <c r="N47" i="66"/>
  <c r="O47" i="66"/>
  <c r="P47" i="66"/>
  <c r="Q47" i="66"/>
  <c r="R47" i="66"/>
  <c r="S47" i="66"/>
  <c r="T47" i="66"/>
  <c r="U47" i="66"/>
  <c r="V47" i="66"/>
  <c r="W47" i="66"/>
  <c r="X47" i="66"/>
  <c r="Y47" i="66"/>
  <c r="Z47" i="66"/>
  <c r="AA47" i="66"/>
  <c r="AB47" i="66"/>
  <c r="AC47" i="66"/>
  <c r="AD47" i="66"/>
  <c r="AE47" i="66"/>
  <c r="AF47" i="66"/>
  <c r="G48" i="66"/>
  <c r="H48" i="66"/>
  <c r="I48" i="66"/>
  <c r="J48" i="66"/>
  <c r="K48" i="66"/>
  <c r="L48" i="66"/>
  <c r="M48" i="66"/>
  <c r="N48" i="66"/>
  <c r="O48" i="66"/>
  <c r="P48" i="66"/>
  <c r="Q48" i="66"/>
  <c r="R48" i="66"/>
  <c r="S48" i="66"/>
  <c r="T48" i="66"/>
  <c r="U48" i="66"/>
  <c r="V48" i="66"/>
  <c r="W48" i="66"/>
  <c r="X48" i="66"/>
  <c r="Y48" i="66"/>
  <c r="Z48" i="66"/>
  <c r="AA48" i="66"/>
  <c r="AB48" i="66"/>
  <c r="D37" i="66" s="1"/>
  <c r="AC48" i="66"/>
  <c r="AD48" i="66"/>
  <c r="AE48" i="66"/>
  <c r="AF48" i="66"/>
  <c r="D41" i="66" s="1"/>
  <c r="G49" i="66"/>
  <c r="H49" i="66"/>
  <c r="I49" i="66"/>
  <c r="J49" i="66"/>
  <c r="K49" i="66"/>
  <c r="L49" i="66"/>
  <c r="M49" i="66"/>
  <c r="N49" i="66"/>
  <c r="O49" i="66"/>
  <c r="P49" i="66"/>
  <c r="Q49" i="66"/>
  <c r="R49" i="66"/>
  <c r="S49" i="66"/>
  <c r="T49" i="66"/>
  <c r="U49" i="66"/>
  <c r="V49" i="66"/>
  <c r="E31" i="66" s="1"/>
  <c r="W49" i="66"/>
  <c r="X49" i="66"/>
  <c r="Y49" i="66"/>
  <c r="Z49" i="66"/>
  <c r="E35" i="66" s="1"/>
  <c r="AA49" i="66"/>
  <c r="AB49" i="66"/>
  <c r="AC49" i="66"/>
  <c r="AD49" i="66"/>
  <c r="E39" i="66" s="1"/>
  <c r="AE49" i="66"/>
  <c r="AF49" i="66"/>
  <c r="G50" i="66"/>
  <c r="H50" i="66"/>
  <c r="I50" i="66"/>
  <c r="J50" i="66"/>
  <c r="K50" i="66"/>
  <c r="L50" i="66"/>
  <c r="M50" i="66"/>
  <c r="N50" i="66"/>
  <c r="O50" i="66"/>
  <c r="P50" i="66"/>
  <c r="Q50" i="66"/>
  <c r="R50" i="66"/>
  <c r="S50" i="66"/>
  <c r="T50" i="66"/>
  <c r="F29" i="66" s="1"/>
  <c r="U50" i="66"/>
  <c r="V50" i="66"/>
  <c r="W50" i="66"/>
  <c r="X50" i="66"/>
  <c r="F33" i="66" s="1"/>
  <c r="Y50" i="66"/>
  <c r="Z50" i="66"/>
  <c r="AA50" i="66"/>
  <c r="AB50" i="66"/>
  <c r="F37" i="66" s="1"/>
  <c r="AC50" i="66"/>
  <c r="AD50" i="66"/>
  <c r="AE50" i="66"/>
  <c r="AF50" i="66"/>
  <c r="F41" i="66" s="1"/>
  <c r="G51" i="66"/>
  <c r="H51" i="66"/>
  <c r="I51" i="66"/>
  <c r="J51" i="66"/>
  <c r="K51" i="66"/>
  <c r="L51" i="66"/>
  <c r="M51" i="66"/>
  <c r="N51" i="66"/>
  <c r="O51" i="66"/>
  <c r="P51" i="66"/>
  <c r="Q51" i="66"/>
  <c r="R51" i="66"/>
  <c r="S51" i="66"/>
  <c r="T51" i="66"/>
  <c r="U51" i="66"/>
  <c r="V51" i="66"/>
  <c r="W51" i="66"/>
  <c r="X51" i="66"/>
  <c r="Y51" i="66"/>
  <c r="Z51" i="66"/>
  <c r="AA51" i="66"/>
  <c r="AB51" i="66"/>
  <c r="AC51" i="66"/>
  <c r="AD51" i="66"/>
  <c r="AE51" i="66"/>
  <c r="AF51" i="66"/>
  <c r="G52" i="66"/>
  <c r="H52" i="66"/>
  <c r="I52" i="66"/>
  <c r="J52" i="66"/>
  <c r="K52" i="66"/>
  <c r="L52" i="66"/>
  <c r="M52" i="66"/>
  <c r="N52" i="66"/>
  <c r="O52" i="66"/>
  <c r="P52" i="66"/>
  <c r="Q52" i="66"/>
  <c r="R52" i="66"/>
  <c r="S52" i="66"/>
  <c r="T52" i="66"/>
  <c r="U52" i="66"/>
  <c r="V52" i="66"/>
  <c r="W52" i="66"/>
  <c r="X52" i="66"/>
  <c r="Y52" i="66"/>
  <c r="Z52" i="66"/>
  <c r="AA52" i="66"/>
  <c r="AB52" i="66"/>
  <c r="H37" i="66" s="1"/>
  <c r="AC52" i="66"/>
  <c r="AD52" i="66"/>
  <c r="AE52" i="66"/>
  <c r="AF52" i="66"/>
  <c r="H41" i="66" s="1"/>
  <c r="G53" i="66"/>
  <c r="H53" i="66"/>
  <c r="I53" i="66"/>
  <c r="J53" i="66"/>
  <c r="K53" i="66"/>
  <c r="L53" i="66"/>
  <c r="M53" i="66"/>
  <c r="N53" i="66"/>
  <c r="O53" i="66"/>
  <c r="P53" i="66"/>
  <c r="Q53" i="66"/>
  <c r="R53" i="66"/>
  <c r="S53" i="66"/>
  <c r="T53" i="66"/>
  <c r="U53" i="66"/>
  <c r="V53" i="66"/>
  <c r="I31" i="66" s="1"/>
  <c r="W53" i="66"/>
  <c r="X53" i="66"/>
  <c r="Y53" i="66"/>
  <c r="Z53" i="66"/>
  <c r="I35" i="66" s="1"/>
  <c r="AA53" i="66"/>
  <c r="AB53" i="66"/>
  <c r="AC53" i="66"/>
  <c r="AD53" i="66"/>
  <c r="I39" i="66" s="1"/>
  <c r="AE53" i="66"/>
  <c r="AF53" i="66"/>
  <c r="G54" i="66"/>
  <c r="H54" i="66"/>
  <c r="I54" i="66"/>
  <c r="J54" i="66"/>
  <c r="K54" i="66"/>
  <c r="L54" i="66"/>
  <c r="M54" i="66"/>
  <c r="N54" i="66"/>
  <c r="O54" i="66"/>
  <c r="P54" i="66"/>
  <c r="Q54" i="66"/>
  <c r="R54" i="66"/>
  <c r="S54" i="66"/>
  <c r="T54" i="66"/>
  <c r="J29" i="66" s="1"/>
  <c r="U54" i="66"/>
  <c r="V54" i="66"/>
  <c r="W54" i="66"/>
  <c r="X54" i="66"/>
  <c r="J33" i="66" s="1"/>
  <c r="Y54" i="66"/>
  <c r="Z54" i="66"/>
  <c r="AA54" i="66"/>
  <c r="AB54" i="66"/>
  <c r="J37" i="66" s="1"/>
  <c r="AC54" i="66"/>
  <c r="AD54" i="66"/>
  <c r="AE54" i="66"/>
  <c r="AF54" i="66"/>
  <c r="J41" i="66" s="1"/>
  <c r="G55" i="66"/>
  <c r="H55" i="66"/>
  <c r="I55" i="66"/>
  <c r="J55" i="66"/>
  <c r="K55" i="66"/>
  <c r="L55" i="66"/>
  <c r="M55" i="66"/>
  <c r="N55" i="66"/>
  <c r="O55" i="66"/>
  <c r="P55" i="66"/>
  <c r="Q55" i="66"/>
  <c r="R55" i="66"/>
  <c r="S55" i="66"/>
  <c r="T55" i="66"/>
  <c r="U55" i="66"/>
  <c r="V55" i="66"/>
  <c r="W55" i="66"/>
  <c r="X55" i="66"/>
  <c r="Y55" i="66"/>
  <c r="Z55" i="66"/>
  <c r="AA55" i="66"/>
  <c r="AB55" i="66"/>
  <c r="AC55" i="66"/>
  <c r="AD55" i="66"/>
  <c r="AE55" i="66"/>
  <c r="AF55" i="66"/>
  <c r="G56" i="66"/>
  <c r="H56" i="66"/>
  <c r="I56" i="66"/>
  <c r="J56" i="66"/>
  <c r="K56" i="66"/>
  <c r="L56" i="66"/>
  <c r="M56" i="66"/>
  <c r="N56" i="66"/>
  <c r="O56" i="66"/>
  <c r="P56" i="66"/>
  <c r="Q56" i="66"/>
  <c r="R56" i="66"/>
  <c r="S56" i="66"/>
  <c r="T56" i="66"/>
  <c r="U56" i="66"/>
  <c r="V56" i="66"/>
  <c r="W56" i="66"/>
  <c r="X56" i="66"/>
  <c r="Y56" i="66"/>
  <c r="Z56" i="66"/>
  <c r="AA56" i="66"/>
  <c r="AB56" i="66"/>
  <c r="L37" i="66" s="1"/>
  <c r="AC56" i="66"/>
  <c r="AD56" i="66"/>
  <c r="AE56" i="66"/>
  <c r="AF56" i="66"/>
  <c r="L41" i="66" s="1"/>
  <c r="G57" i="66"/>
  <c r="H57" i="66"/>
  <c r="I57" i="66"/>
  <c r="J57" i="66"/>
  <c r="K57" i="66"/>
  <c r="L57" i="66"/>
  <c r="M57" i="66"/>
  <c r="N57" i="66"/>
  <c r="O57" i="66"/>
  <c r="P57" i="66"/>
  <c r="Q57" i="66"/>
  <c r="R57" i="66"/>
  <c r="S57" i="66"/>
  <c r="T57" i="66"/>
  <c r="U57" i="66"/>
  <c r="V57" i="66"/>
  <c r="M31" i="66" s="1"/>
  <c r="W57" i="66"/>
  <c r="X57" i="66"/>
  <c r="Y57" i="66"/>
  <c r="Z57" i="66"/>
  <c r="M35" i="66" s="1"/>
  <c r="AA57" i="66"/>
  <c r="AB57" i="66"/>
  <c r="AC57" i="66"/>
  <c r="AD57" i="66"/>
  <c r="M39" i="66" s="1"/>
  <c r="AE57" i="66"/>
  <c r="AF57" i="66"/>
  <c r="G58" i="66"/>
  <c r="H58" i="66"/>
  <c r="I58" i="66"/>
  <c r="J58" i="66"/>
  <c r="K58" i="66"/>
  <c r="L58" i="66"/>
  <c r="M58" i="66"/>
  <c r="N58" i="66"/>
  <c r="O58" i="66"/>
  <c r="P58" i="66"/>
  <c r="Q58" i="66"/>
  <c r="R58" i="66"/>
  <c r="S58" i="66"/>
  <c r="T58" i="66"/>
  <c r="N29" i="66" s="1"/>
  <c r="U58" i="66"/>
  <c r="V58" i="66"/>
  <c r="W58" i="66"/>
  <c r="X58" i="66"/>
  <c r="N33" i="66" s="1"/>
  <c r="Y58" i="66"/>
  <c r="Z58" i="66"/>
  <c r="AA58" i="66"/>
  <c r="AB58" i="66"/>
  <c r="N37" i="66" s="1"/>
  <c r="AC58" i="66"/>
  <c r="AD58" i="66"/>
  <c r="AE58" i="66"/>
  <c r="AF58" i="66"/>
  <c r="N41" i="66" s="1"/>
  <c r="G59" i="66"/>
  <c r="H59" i="66"/>
  <c r="I59" i="66"/>
  <c r="J59" i="66"/>
  <c r="K59" i="66"/>
  <c r="L59" i="66"/>
  <c r="M59" i="66"/>
  <c r="N59" i="66"/>
  <c r="O59" i="66"/>
  <c r="P59" i="66"/>
  <c r="Q59" i="66"/>
  <c r="R59" i="66"/>
  <c r="S59" i="66"/>
  <c r="T59" i="66"/>
  <c r="U59" i="66"/>
  <c r="V59" i="66"/>
  <c r="W59" i="66"/>
  <c r="X59" i="66"/>
  <c r="Y59" i="66"/>
  <c r="Z59" i="66"/>
  <c r="AA59" i="66"/>
  <c r="AB59" i="66"/>
  <c r="AC59" i="66"/>
  <c r="AD59" i="66"/>
  <c r="AE59" i="66"/>
  <c r="AF59" i="66"/>
  <c r="G60" i="66"/>
  <c r="H60" i="66"/>
  <c r="I60" i="66"/>
  <c r="J60" i="66"/>
  <c r="K60" i="66"/>
  <c r="L60" i="66"/>
  <c r="M60" i="66"/>
  <c r="N60" i="66"/>
  <c r="O60" i="66"/>
  <c r="P60" i="66"/>
  <c r="Q60" i="66"/>
  <c r="R60" i="66"/>
  <c r="S60" i="66"/>
  <c r="T60" i="66"/>
  <c r="U60" i="66"/>
  <c r="V60" i="66"/>
  <c r="W60" i="66"/>
  <c r="X60" i="66"/>
  <c r="Y60" i="66"/>
  <c r="Z60" i="66"/>
  <c r="AA60" i="66"/>
  <c r="AB60" i="66"/>
  <c r="P37" i="66" s="1"/>
  <c r="AC60" i="66"/>
  <c r="AD60" i="66"/>
  <c r="AE60" i="66"/>
  <c r="AF60" i="66"/>
  <c r="P41" i="66" s="1"/>
  <c r="G61" i="66"/>
  <c r="H61" i="66"/>
  <c r="I61" i="66"/>
  <c r="J61" i="66"/>
  <c r="K61" i="66"/>
  <c r="L61" i="66"/>
  <c r="M61" i="66"/>
  <c r="N61" i="66"/>
  <c r="O61" i="66"/>
  <c r="P61" i="66"/>
  <c r="Q61" i="66"/>
  <c r="R61" i="66"/>
  <c r="S61" i="66"/>
  <c r="T61" i="66"/>
  <c r="U61" i="66"/>
  <c r="V61" i="66"/>
  <c r="Q31" i="66" s="1"/>
  <c r="W61" i="66"/>
  <c r="X61" i="66"/>
  <c r="Y61" i="66"/>
  <c r="Z61" i="66"/>
  <c r="Q35" i="66" s="1"/>
  <c r="AA61" i="66"/>
  <c r="AB61" i="66"/>
  <c r="AC61" i="66"/>
  <c r="AD61" i="66"/>
  <c r="Q39" i="66" s="1"/>
  <c r="AE61" i="66"/>
  <c r="AF61" i="66"/>
  <c r="G62" i="66"/>
  <c r="H62" i="66"/>
  <c r="I62" i="66"/>
  <c r="J62" i="66"/>
  <c r="K62" i="66"/>
  <c r="L62" i="66"/>
  <c r="M62" i="66"/>
  <c r="N62" i="66"/>
  <c r="O62" i="66"/>
  <c r="P62" i="66"/>
  <c r="Q62" i="66"/>
  <c r="R62" i="66"/>
  <c r="S62" i="66"/>
  <c r="T62" i="66"/>
  <c r="R29" i="66" s="1"/>
  <c r="U62" i="66"/>
  <c r="V62" i="66"/>
  <c r="W62" i="66"/>
  <c r="X62" i="66"/>
  <c r="R33" i="66" s="1"/>
  <c r="Y62" i="66"/>
  <c r="Z62" i="66"/>
  <c r="AA62" i="66"/>
  <c r="AB62" i="66"/>
  <c r="R37" i="66" s="1"/>
  <c r="AC62" i="66"/>
  <c r="AD62" i="66"/>
  <c r="AE62" i="66"/>
  <c r="AF62" i="66"/>
  <c r="R41" i="66" s="1"/>
  <c r="G63" i="66"/>
  <c r="H63" i="66"/>
  <c r="I63" i="66"/>
  <c r="J63" i="66"/>
  <c r="K63" i="66"/>
  <c r="L63" i="66"/>
  <c r="M63" i="66"/>
  <c r="N63" i="66"/>
  <c r="O63" i="66"/>
  <c r="P63" i="66"/>
  <c r="Q63" i="66"/>
  <c r="R63" i="66"/>
  <c r="S63" i="66"/>
  <c r="T63" i="66"/>
  <c r="U63" i="66"/>
  <c r="V63" i="66"/>
  <c r="W63" i="66"/>
  <c r="X63" i="66"/>
  <c r="Y63" i="66"/>
  <c r="Z63" i="66"/>
  <c r="AA63" i="66"/>
  <c r="AB63" i="66"/>
  <c r="AC63" i="66"/>
  <c r="AD63" i="66"/>
  <c r="AE63" i="66"/>
  <c r="AF63" i="66"/>
  <c r="G64" i="66"/>
  <c r="H64" i="66"/>
  <c r="I64" i="66"/>
  <c r="J64" i="66"/>
  <c r="K64" i="66"/>
  <c r="L64" i="66"/>
  <c r="M64" i="66"/>
  <c r="N64" i="66"/>
  <c r="O64" i="66"/>
  <c r="P64" i="66"/>
  <c r="Q64" i="66"/>
  <c r="R64" i="66"/>
  <c r="S64" i="66"/>
  <c r="T64" i="66"/>
  <c r="U64" i="66"/>
  <c r="V64" i="66"/>
  <c r="W64" i="66"/>
  <c r="X64" i="66"/>
  <c r="Y64" i="66"/>
  <c r="Z64" i="66"/>
  <c r="AA64" i="66"/>
  <c r="AB64" i="66"/>
  <c r="T37" i="66" s="1"/>
  <c r="AC64" i="66"/>
  <c r="AD64" i="66"/>
  <c r="AE64" i="66"/>
  <c r="AF64" i="66"/>
  <c r="T41" i="66" s="1"/>
  <c r="G65" i="66"/>
  <c r="H65" i="66"/>
  <c r="I65" i="66"/>
  <c r="J65" i="66"/>
  <c r="K65" i="66"/>
  <c r="L65" i="66"/>
  <c r="M65" i="66"/>
  <c r="N65" i="66"/>
  <c r="O65" i="66"/>
  <c r="P65" i="66"/>
  <c r="Q65" i="66"/>
  <c r="R65" i="66"/>
  <c r="S65" i="66"/>
  <c r="T65" i="66"/>
  <c r="U65" i="66"/>
  <c r="V65" i="66"/>
  <c r="U31" i="66" s="1"/>
  <c r="W65" i="66"/>
  <c r="X65" i="66"/>
  <c r="Y65" i="66"/>
  <c r="Z65" i="66"/>
  <c r="U35" i="66" s="1"/>
  <c r="AA65" i="66"/>
  <c r="AB65" i="66"/>
  <c r="AC65" i="66"/>
  <c r="AD65" i="66"/>
  <c r="U39" i="66" s="1"/>
  <c r="AE65" i="66"/>
  <c r="AF65" i="66"/>
  <c r="G66" i="66"/>
  <c r="H66" i="66"/>
  <c r="I66" i="66"/>
  <c r="J66" i="66"/>
  <c r="K66" i="66"/>
  <c r="L66" i="66"/>
  <c r="M66" i="66"/>
  <c r="N66" i="66"/>
  <c r="O66" i="66"/>
  <c r="P66" i="66"/>
  <c r="Q66" i="66"/>
  <c r="R66" i="66"/>
  <c r="S66" i="66"/>
  <c r="T66" i="66"/>
  <c r="V29" i="66" s="1"/>
  <c r="U66" i="66"/>
  <c r="V66" i="66"/>
  <c r="W66" i="66"/>
  <c r="X66" i="66"/>
  <c r="V33" i="66" s="1"/>
  <c r="Y66" i="66"/>
  <c r="Z66" i="66"/>
  <c r="AA66" i="66"/>
  <c r="AB66" i="66"/>
  <c r="V37" i="66" s="1"/>
  <c r="AC66" i="66"/>
  <c r="AD66" i="66"/>
  <c r="AE66" i="66"/>
  <c r="AF66" i="66"/>
  <c r="V41" i="66" s="1"/>
  <c r="G67" i="66"/>
  <c r="H67" i="66"/>
  <c r="I67" i="66"/>
  <c r="J67" i="66"/>
  <c r="K67" i="66"/>
  <c r="L67" i="66"/>
  <c r="M67" i="66"/>
  <c r="N67" i="66"/>
  <c r="O67" i="66"/>
  <c r="P67" i="66"/>
  <c r="Q67" i="66"/>
  <c r="R67" i="66"/>
  <c r="S67" i="66"/>
  <c r="T67" i="66"/>
  <c r="U67" i="66"/>
  <c r="V67" i="66"/>
  <c r="W67" i="66"/>
  <c r="X67" i="66"/>
  <c r="Y67" i="66"/>
  <c r="Z67" i="66"/>
  <c r="AA67" i="66"/>
  <c r="AB67" i="66"/>
  <c r="AC67" i="66"/>
  <c r="AD67" i="66"/>
  <c r="AE67" i="66"/>
  <c r="AF67" i="66"/>
  <c r="G68" i="66"/>
  <c r="H68" i="66"/>
  <c r="I68" i="66"/>
  <c r="J68" i="66"/>
  <c r="K68" i="66"/>
  <c r="L68" i="66"/>
  <c r="M68" i="66"/>
  <c r="N68" i="66"/>
  <c r="O68" i="66"/>
  <c r="P68" i="66"/>
  <c r="Q68" i="66"/>
  <c r="R68" i="66"/>
  <c r="S68" i="66"/>
  <c r="T68" i="66"/>
  <c r="U68" i="66"/>
  <c r="V68" i="66"/>
  <c r="W68" i="66"/>
  <c r="X68" i="66"/>
  <c r="Y68" i="66"/>
  <c r="Z68" i="66"/>
  <c r="AA68" i="66"/>
  <c r="AB68" i="66"/>
  <c r="X37" i="66" s="1"/>
  <c r="AC68" i="66"/>
  <c r="AD68" i="66"/>
  <c r="AE68" i="66"/>
  <c r="AF68" i="66"/>
  <c r="X41" i="66" s="1"/>
  <c r="G69" i="66"/>
  <c r="H69" i="66"/>
  <c r="I69" i="66"/>
  <c r="J69" i="66"/>
  <c r="K69" i="66"/>
  <c r="L69" i="66"/>
  <c r="M69" i="66"/>
  <c r="N69" i="66"/>
  <c r="O69" i="66"/>
  <c r="P69" i="66"/>
  <c r="Q69" i="66"/>
  <c r="R69" i="66"/>
  <c r="S69" i="66"/>
  <c r="T69" i="66"/>
  <c r="U69" i="66"/>
  <c r="V69" i="66"/>
  <c r="Y31" i="66" s="1"/>
  <c r="W69" i="66"/>
  <c r="X69" i="66"/>
  <c r="Y69" i="66"/>
  <c r="Z69" i="66"/>
  <c r="Y35" i="66" s="1"/>
  <c r="AA69" i="66"/>
  <c r="AB69" i="66"/>
  <c r="AC69" i="66"/>
  <c r="AD69" i="66"/>
  <c r="Y39" i="66" s="1"/>
  <c r="AE69" i="66"/>
  <c r="AF69" i="66"/>
  <c r="G70" i="66"/>
  <c r="H70" i="66"/>
  <c r="I70" i="66"/>
  <c r="J70" i="66"/>
  <c r="K70" i="66"/>
  <c r="L70" i="66"/>
  <c r="M70" i="66"/>
  <c r="N70" i="66"/>
  <c r="O70" i="66"/>
  <c r="P70" i="66"/>
  <c r="Q70" i="66"/>
  <c r="R70" i="66"/>
  <c r="S70" i="66"/>
  <c r="T70" i="66"/>
  <c r="Z29" i="66" s="1"/>
  <c r="U70" i="66"/>
  <c r="V70" i="66"/>
  <c r="W70" i="66"/>
  <c r="X70" i="66"/>
  <c r="Z33" i="66" s="1"/>
  <c r="Y70" i="66"/>
  <c r="Z70" i="66"/>
  <c r="AA70" i="66"/>
  <c r="AB70" i="66"/>
  <c r="Z37" i="66" s="1"/>
  <c r="AC70" i="66"/>
  <c r="AD70" i="66"/>
  <c r="AE70" i="66"/>
  <c r="AF70" i="66"/>
  <c r="Z41" i="66" s="1"/>
  <c r="G71" i="66"/>
  <c r="H71" i="66"/>
  <c r="I71" i="66"/>
  <c r="J71" i="66"/>
  <c r="K71" i="66"/>
  <c r="L71" i="66"/>
  <c r="M71" i="66"/>
  <c r="N71" i="66"/>
  <c r="O71" i="66"/>
  <c r="P71" i="66"/>
  <c r="Q71" i="66"/>
  <c r="R71" i="66"/>
  <c r="S71" i="66"/>
  <c r="T71" i="66"/>
  <c r="U71" i="66"/>
  <c r="V71" i="66"/>
  <c r="W71" i="66"/>
  <c r="X71" i="66"/>
  <c r="Y71" i="66"/>
  <c r="Z71" i="66"/>
  <c r="AA71" i="66"/>
  <c r="AB71" i="66"/>
  <c r="AC71" i="66"/>
  <c r="AD71" i="66"/>
  <c r="AE71" i="66"/>
  <c r="AF71" i="66"/>
  <c r="G72" i="66"/>
  <c r="H72" i="66"/>
  <c r="I72" i="66"/>
  <c r="J72" i="66"/>
  <c r="K72" i="66"/>
  <c r="L72" i="66"/>
  <c r="M72" i="66"/>
  <c r="N72" i="66"/>
  <c r="O72" i="66"/>
  <c r="P72" i="66"/>
  <c r="Q72" i="66"/>
  <c r="R72" i="66"/>
  <c r="S72" i="66"/>
  <c r="T72" i="66"/>
  <c r="U72" i="66"/>
  <c r="V72" i="66"/>
  <c r="W72" i="66"/>
  <c r="X72" i="66"/>
  <c r="Y72" i="66"/>
  <c r="Z72" i="66"/>
  <c r="AA72" i="66"/>
  <c r="AB72" i="66"/>
  <c r="AB37" i="66" s="1"/>
  <c r="AC72" i="66"/>
  <c r="AD72" i="66"/>
  <c r="AE72" i="66"/>
  <c r="AF72" i="66"/>
  <c r="AB41" i="66" s="1"/>
  <c r="G73" i="66"/>
  <c r="H73" i="66"/>
  <c r="I73" i="66"/>
  <c r="J73" i="66"/>
  <c r="K73" i="66"/>
  <c r="L73" i="66"/>
  <c r="M73" i="66"/>
  <c r="N73" i="66"/>
  <c r="O73" i="66"/>
  <c r="P73" i="66"/>
  <c r="Q73" i="66"/>
  <c r="R73" i="66"/>
  <c r="S73" i="66"/>
  <c r="T73" i="66"/>
  <c r="U73" i="66"/>
  <c r="V73" i="66"/>
  <c r="AC31" i="66" s="1"/>
  <c r="W73" i="66"/>
  <c r="X73" i="66"/>
  <c r="Y73" i="66"/>
  <c r="Z73" i="66"/>
  <c r="AC35" i="66" s="1"/>
  <c r="AA73" i="66"/>
  <c r="AB73" i="66"/>
  <c r="AC73" i="66"/>
  <c r="AD73" i="66"/>
  <c r="AC39" i="66" s="1"/>
  <c r="AE73" i="66"/>
  <c r="AF73" i="66"/>
  <c r="G74" i="66"/>
  <c r="H74" i="66"/>
  <c r="I74" i="66"/>
  <c r="J74" i="66"/>
  <c r="K74" i="66"/>
  <c r="L74" i="66"/>
  <c r="M74" i="66"/>
  <c r="N74" i="66"/>
  <c r="O74" i="66"/>
  <c r="P74" i="66"/>
  <c r="Q74" i="66"/>
  <c r="R74" i="66"/>
  <c r="S74" i="66"/>
  <c r="T74" i="66"/>
  <c r="AD29" i="66" s="1"/>
  <c r="U74" i="66"/>
  <c r="V74" i="66"/>
  <c r="W74" i="66"/>
  <c r="X74" i="66"/>
  <c r="AD33" i="66" s="1"/>
  <c r="Y74" i="66"/>
  <c r="Z74" i="66"/>
  <c r="AA74" i="66"/>
  <c r="AB74" i="66"/>
  <c r="AD37" i="66" s="1"/>
  <c r="AC74" i="66"/>
  <c r="AD74" i="66"/>
  <c r="AE74" i="66"/>
  <c r="AF74" i="66"/>
  <c r="AD41" i="66" s="1"/>
  <c r="G75" i="66"/>
  <c r="H75" i="66"/>
  <c r="I75" i="66"/>
  <c r="J75" i="66"/>
  <c r="K75" i="66"/>
  <c r="L75" i="66"/>
  <c r="M75" i="66"/>
  <c r="N75" i="66"/>
  <c r="O75" i="66"/>
  <c r="P75" i="66"/>
  <c r="Q75" i="66"/>
  <c r="R75" i="66"/>
  <c r="S75" i="66"/>
  <c r="T75" i="66"/>
  <c r="U75" i="66"/>
  <c r="V75" i="66"/>
  <c r="W75" i="66"/>
  <c r="X75" i="66"/>
  <c r="Y75" i="66"/>
  <c r="Z75" i="66"/>
  <c r="AA75" i="66"/>
  <c r="AB75" i="66"/>
  <c r="AC75" i="66"/>
  <c r="AD75" i="66"/>
  <c r="AE75" i="66"/>
  <c r="AF75" i="66"/>
  <c r="G76" i="66"/>
  <c r="H76" i="66"/>
  <c r="I76" i="66"/>
  <c r="J76" i="66"/>
  <c r="K76" i="66"/>
  <c r="L76" i="66"/>
  <c r="M76" i="66"/>
  <c r="N76" i="66"/>
  <c r="O76" i="66"/>
  <c r="P76" i="66"/>
  <c r="Q76" i="66"/>
  <c r="R76" i="66"/>
  <c r="S76" i="66"/>
  <c r="T76" i="66"/>
  <c r="U76" i="66"/>
  <c r="V76" i="66"/>
  <c r="W76" i="66"/>
  <c r="X76" i="66"/>
  <c r="Y76" i="66"/>
  <c r="Z76" i="66"/>
  <c r="AA76" i="66"/>
  <c r="AB76" i="66"/>
  <c r="AF37" i="66" s="1"/>
  <c r="AC76" i="66"/>
  <c r="AD76" i="66"/>
  <c r="AE76" i="66"/>
  <c r="AF76" i="66"/>
  <c r="AF41" i="66" s="1"/>
  <c r="G77" i="66"/>
  <c r="H77" i="66"/>
  <c r="I77" i="66"/>
  <c r="J77" i="66"/>
  <c r="K77" i="66"/>
  <c r="L77" i="66"/>
  <c r="M77" i="66"/>
  <c r="N77" i="66"/>
  <c r="O77" i="66"/>
  <c r="P77" i="66"/>
  <c r="Q77" i="66"/>
  <c r="R77" i="66"/>
  <c r="S77" i="66"/>
  <c r="T77" i="66"/>
  <c r="U77" i="66"/>
  <c r="V77" i="66"/>
  <c r="AG31" i="66" s="1"/>
  <c r="W77" i="66"/>
  <c r="X77" i="66"/>
  <c r="Y77" i="66"/>
  <c r="Z77" i="66"/>
  <c r="AG35" i="66" s="1"/>
  <c r="AA77" i="66"/>
  <c r="AB77" i="66"/>
  <c r="AC77" i="66"/>
  <c r="AD77" i="66"/>
  <c r="AG39" i="66" s="1"/>
  <c r="AE77" i="66"/>
  <c r="AF77" i="66"/>
  <c r="G78" i="66"/>
  <c r="H78" i="66"/>
  <c r="I78" i="66"/>
  <c r="J78" i="66"/>
  <c r="K78" i="66"/>
  <c r="L78" i="66"/>
  <c r="M78" i="66"/>
  <c r="N78" i="66"/>
  <c r="O78" i="66"/>
  <c r="P78" i="66"/>
  <c r="Q78" i="66"/>
  <c r="R78" i="66"/>
  <c r="S78" i="66"/>
  <c r="T78" i="66"/>
  <c r="AH29" i="66" s="1"/>
  <c r="U78" i="66"/>
  <c r="V78" i="66"/>
  <c r="W78" i="66"/>
  <c r="X78" i="66"/>
  <c r="AH33" i="66" s="1"/>
  <c r="Y78" i="66"/>
  <c r="Z78" i="66"/>
  <c r="AA78" i="66"/>
  <c r="AB78" i="66"/>
  <c r="AH37" i="66" s="1"/>
  <c r="AC78" i="66"/>
  <c r="AD78" i="66"/>
  <c r="AE78" i="66"/>
  <c r="AF78" i="66"/>
  <c r="AH41" i="66" s="1"/>
  <c r="G79" i="66"/>
  <c r="H79" i="66"/>
  <c r="I79" i="66"/>
  <c r="J79" i="66"/>
  <c r="K79" i="66"/>
  <c r="L79" i="66"/>
  <c r="M79" i="66"/>
  <c r="N79" i="66"/>
  <c r="O79" i="66"/>
  <c r="P79" i="66"/>
  <c r="Q79" i="66"/>
  <c r="R79" i="66"/>
  <c r="S79" i="66"/>
  <c r="T79" i="66"/>
  <c r="U79" i="66"/>
  <c r="V79" i="66"/>
  <c r="W79" i="66"/>
  <c r="X79" i="66"/>
  <c r="Y79" i="66"/>
  <c r="Z79" i="66"/>
  <c r="AA79" i="66"/>
  <c r="AB79" i="66"/>
  <c r="AC79" i="66"/>
  <c r="AD79" i="66"/>
  <c r="AE79" i="66"/>
  <c r="AF79" i="66"/>
  <c r="G80" i="66"/>
  <c r="H80" i="66"/>
  <c r="I80" i="66"/>
  <c r="J80" i="66"/>
  <c r="K80" i="66"/>
  <c r="L80" i="66"/>
  <c r="M80" i="66"/>
  <c r="N80" i="66"/>
  <c r="O80" i="66"/>
  <c r="P80" i="66"/>
  <c r="Q80" i="66"/>
  <c r="R80" i="66"/>
  <c r="S80" i="66"/>
  <c r="T80" i="66"/>
  <c r="U80" i="66"/>
  <c r="V80" i="66"/>
  <c r="W80" i="66"/>
  <c r="X80" i="66"/>
  <c r="Y80" i="66"/>
  <c r="Z80" i="66"/>
  <c r="AA80" i="66"/>
  <c r="AB80" i="66"/>
  <c r="AJ37" i="66" s="1"/>
  <c r="AC80" i="66"/>
  <c r="AD80" i="66"/>
  <c r="AE80" i="66"/>
  <c r="AF80" i="66"/>
  <c r="AJ41" i="66" s="1"/>
  <c r="G81" i="66"/>
  <c r="H81" i="66"/>
  <c r="I81" i="66"/>
  <c r="J81" i="66"/>
  <c r="K81" i="66"/>
  <c r="L81" i="66"/>
  <c r="M81" i="66"/>
  <c r="N81" i="66"/>
  <c r="O81" i="66"/>
  <c r="P81" i="66"/>
  <c r="Q81" i="66"/>
  <c r="R81" i="66"/>
  <c r="S81" i="66"/>
  <c r="T81" i="66"/>
  <c r="U81" i="66"/>
  <c r="V81" i="66"/>
  <c r="AK31" i="66" s="1"/>
  <c r="W81" i="66"/>
  <c r="X81" i="66"/>
  <c r="Y81" i="66"/>
  <c r="Z81" i="66"/>
  <c r="AK35" i="66" s="1"/>
  <c r="AA81" i="66"/>
  <c r="AB81" i="66"/>
  <c r="AC81" i="66"/>
  <c r="AD81" i="66"/>
  <c r="AK39" i="66" s="1"/>
  <c r="AE81" i="66"/>
  <c r="AF81" i="66"/>
  <c r="G82" i="66"/>
  <c r="H82" i="66"/>
  <c r="I82" i="66"/>
  <c r="J82" i="66"/>
  <c r="K82" i="66"/>
  <c r="L82" i="66"/>
  <c r="M82" i="66"/>
  <c r="N82" i="66"/>
  <c r="O82" i="66"/>
  <c r="P82" i="66"/>
  <c r="Q82" i="66"/>
  <c r="R82" i="66"/>
  <c r="S82" i="66"/>
  <c r="T82" i="66"/>
  <c r="AL29" i="66" s="1"/>
  <c r="U82" i="66"/>
  <c r="V82" i="66"/>
  <c r="W82" i="66"/>
  <c r="X82" i="66"/>
  <c r="AL33" i="66" s="1"/>
  <c r="Y82" i="66"/>
  <c r="Z82" i="66"/>
  <c r="AA82" i="66"/>
  <c r="AB82" i="66"/>
  <c r="AL37" i="66" s="1"/>
  <c r="AC82" i="66"/>
  <c r="AD82" i="66"/>
  <c r="AE82" i="66"/>
  <c r="AF82" i="66"/>
  <c r="AL41" i="66" s="1"/>
  <c r="G83" i="66"/>
  <c r="H83" i="66"/>
  <c r="I83" i="66"/>
  <c r="J83" i="66"/>
  <c r="K83" i="66"/>
  <c r="L83" i="66"/>
  <c r="M83" i="66"/>
  <c r="N83" i="66"/>
  <c r="O83" i="66"/>
  <c r="P83" i="66"/>
  <c r="Q83" i="66"/>
  <c r="R83" i="66"/>
  <c r="S83" i="66"/>
  <c r="T83" i="66"/>
  <c r="U83" i="66"/>
  <c r="V83" i="66"/>
  <c r="W83" i="66"/>
  <c r="X83" i="66"/>
  <c r="Y83" i="66"/>
  <c r="Z83" i="66"/>
  <c r="AA83" i="66"/>
  <c r="AB83" i="66"/>
  <c r="AC83" i="66"/>
  <c r="AD83" i="66"/>
  <c r="AE83" i="66"/>
  <c r="AF83" i="66"/>
  <c r="G84" i="66"/>
  <c r="H84" i="66"/>
  <c r="I84" i="66"/>
  <c r="J84" i="66"/>
  <c r="K84" i="66"/>
  <c r="L84" i="66"/>
  <c r="M84" i="66"/>
  <c r="N84" i="66"/>
  <c r="O84" i="66"/>
  <c r="P84" i="66"/>
  <c r="Q84" i="66"/>
  <c r="R84" i="66"/>
  <c r="S84" i="66"/>
  <c r="T84" i="66"/>
  <c r="U84" i="66"/>
  <c r="V84" i="66"/>
  <c r="W84" i="66"/>
  <c r="X84" i="66"/>
  <c r="Y84" i="66"/>
  <c r="Z84" i="66"/>
  <c r="AA84" i="66"/>
  <c r="AB84" i="66"/>
  <c r="AN37" i="66" s="1"/>
  <c r="AC84" i="66"/>
  <c r="AD84" i="66"/>
  <c r="AE84" i="66"/>
  <c r="AF84" i="66"/>
  <c r="AN41" i="66" s="1"/>
  <c r="G85" i="66"/>
  <c r="H85" i="66"/>
  <c r="I85" i="66"/>
  <c r="J85" i="66"/>
  <c r="K85" i="66"/>
  <c r="L85" i="66"/>
  <c r="M85" i="66"/>
  <c r="N85" i="66"/>
  <c r="O85" i="66"/>
  <c r="P85" i="66"/>
  <c r="Q85" i="66"/>
  <c r="R85" i="66"/>
  <c r="S85" i="66"/>
  <c r="T85" i="66"/>
  <c r="U85" i="66"/>
  <c r="V85" i="66"/>
  <c r="AO31" i="66" s="1"/>
  <c r="W85" i="66"/>
  <c r="X85" i="66"/>
  <c r="Y85" i="66"/>
  <c r="Z85" i="66"/>
  <c r="AO35" i="66" s="1"/>
  <c r="AA85" i="66"/>
  <c r="AB85" i="66"/>
  <c r="AC85" i="66"/>
  <c r="AD85" i="66"/>
  <c r="AO39" i="66" s="1"/>
  <c r="AE85" i="66"/>
  <c r="AF85" i="66"/>
  <c r="G86" i="66"/>
  <c r="H86" i="66"/>
  <c r="I86" i="66"/>
  <c r="J86" i="66"/>
  <c r="K86" i="66"/>
  <c r="L86" i="66"/>
  <c r="M86" i="66"/>
  <c r="N86" i="66"/>
  <c r="O86" i="66"/>
  <c r="P86" i="66"/>
  <c r="Q86" i="66"/>
  <c r="R86" i="66"/>
  <c r="S86" i="66"/>
  <c r="T86" i="66"/>
  <c r="AP29" i="66" s="1"/>
  <c r="U86" i="66"/>
  <c r="V86" i="66"/>
  <c r="W86" i="66"/>
  <c r="X86" i="66"/>
  <c r="AP33" i="66" s="1"/>
  <c r="Y86" i="66"/>
  <c r="Z86" i="66"/>
  <c r="AA86" i="66"/>
  <c r="AB86" i="66"/>
  <c r="AP37" i="66" s="1"/>
  <c r="AC86" i="66"/>
  <c r="AD86" i="66"/>
  <c r="AE86" i="66"/>
  <c r="AF86" i="66"/>
  <c r="AP41" i="66" s="1"/>
  <c r="G87" i="66"/>
  <c r="H87" i="66"/>
  <c r="I87" i="66"/>
  <c r="J87" i="66"/>
  <c r="K87" i="66"/>
  <c r="L87" i="66"/>
  <c r="M87" i="66"/>
  <c r="N87" i="66"/>
  <c r="O87" i="66"/>
  <c r="P87" i="66"/>
  <c r="Q87" i="66"/>
  <c r="R87" i="66"/>
  <c r="S87" i="66"/>
  <c r="T87" i="66"/>
  <c r="U87" i="66"/>
  <c r="V87" i="66"/>
  <c r="W87" i="66"/>
  <c r="X87" i="66"/>
  <c r="Y87" i="66"/>
  <c r="Z87" i="66"/>
  <c r="AA87" i="66"/>
  <c r="AB87" i="66"/>
  <c r="AC87" i="66"/>
  <c r="AD87" i="66"/>
  <c r="AE87" i="66"/>
  <c r="AF87" i="66"/>
  <c r="G88" i="66"/>
  <c r="H88" i="66"/>
  <c r="I88" i="66"/>
  <c r="J88" i="66"/>
  <c r="K88" i="66"/>
  <c r="L88" i="66"/>
  <c r="M88" i="66"/>
  <c r="N88" i="66"/>
  <c r="O88" i="66"/>
  <c r="P88" i="66"/>
  <c r="Q88" i="66"/>
  <c r="R88" i="66"/>
  <c r="S88" i="66"/>
  <c r="T88" i="66"/>
  <c r="U88" i="66"/>
  <c r="V88" i="66"/>
  <c r="W88" i="66"/>
  <c r="X88" i="66"/>
  <c r="Y88" i="66"/>
  <c r="Z88" i="66"/>
  <c r="AA88" i="66"/>
  <c r="AB88" i="66"/>
  <c r="AR37" i="66" s="1"/>
  <c r="AC88" i="66"/>
  <c r="AD88" i="66"/>
  <c r="AE88" i="66"/>
  <c r="AF88" i="66"/>
  <c r="AR41" i="66" s="1"/>
  <c r="G90" i="66"/>
  <c r="H90" i="66"/>
  <c r="I90" i="66"/>
  <c r="J90" i="66"/>
  <c r="G91" i="66"/>
  <c r="H91" i="66"/>
  <c r="I91" i="66"/>
  <c r="J91" i="66"/>
  <c r="G92" i="66"/>
  <c r="H92" i="66"/>
  <c r="I92" i="66"/>
  <c r="J92" i="66"/>
  <c r="G93" i="66"/>
  <c r="H93" i="66"/>
  <c r="I93" i="66"/>
  <c r="J93" i="66"/>
  <c r="G94" i="66"/>
  <c r="H94" i="66"/>
  <c r="I94" i="66"/>
  <c r="J94" i="66"/>
  <c r="F91" i="66"/>
  <c r="F92" i="66"/>
  <c r="F93" i="66"/>
  <c r="F94" i="66"/>
  <c r="F90" i="66"/>
  <c r="F48" i="66"/>
  <c r="F49" i="66"/>
  <c r="F50" i="66"/>
  <c r="F51" i="66"/>
  <c r="F52" i="66"/>
  <c r="F53" i="66"/>
  <c r="F54" i="66"/>
  <c r="F55" i="66"/>
  <c r="F56" i="66"/>
  <c r="F57" i="66"/>
  <c r="F58" i="66"/>
  <c r="F59" i="66"/>
  <c r="F60" i="66"/>
  <c r="F61" i="66"/>
  <c r="F62" i="66"/>
  <c r="F63" i="66"/>
  <c r="F64" i="66"/>
  <c r="F65" i="66"/>
  <c r="F66" i="66"/>
  <c r="F67" i="66"/>
  <c r="F68" i="66"/>
  <c r="F69" i="66"/>
  <c r="F70" i="66"/>
  <c r="F71" i="66"/>
  <c r="F72" i="66"/>
  <c r="F73" i="66"/>
  <c r="F74" i="66"/>
  <c r="F75" i="66"/>
  <c r="F76" i="66"/>
  <c r="F77" i="66"/>
  <c r="F78" i="66"/>
  <c r="F79" i="66"/>
  <c r="F80" i="66"/>
  <c r="F81" i="66"/>
  <c r="F82" i="66"/>
  <c r="F83" i="66"/>
  <c r="F84" i="66"/>
  <c r="F85" i="66"/>
  <c r="F86" i="66"/>
  <c r="F87" i="66"/>
  <c r="F88" i="66"/>
  <c r="F47" i="66"/>
  <c r="G94" i="64"/>
  <c r="H94" i="64"/>
  <c r="I94" i="64"/>
  <c r="J94" i="64"/>
  <c r="K94" i="64"/>
  <c r="L94" i="64"/>
  <c r="M94" i="64"/>
  <c r="N94" i="64"/>
  <c r="O94" i="64"/>
  <c r="P94" i="64"/>
  <c r="Q94" i="64"/>
  <c r="R94" i="64"/>
  <c r="S94" i="64"/>
  <c r="T94" i="64"/>
  <c r="U94" i="64"/>
  <c r="V94" i="64"/>
  <c r="BD94" i="64" s="1"/>
  <c r="W94" i="64"/>
  <c r="X94" i="64"/>
  <c r="Y94" i="64"/>
  <c r="Z94" i="64"/>
  <c r="BH94" i="64" s="1"/>
  <c r="AA94" i="64"/>
  <c r="AB94" i="64"/>
  <c r="AC94" i="64"/>
  <c r="AD94" i="64"/>
  <c r="BL94" i="64" s="1"/>
  <c r="AE94" i="64"/>
  <c r="AF94" i="64"/>
  <c r="G95" i="64"/>
  <c r="H95" i="64"/>
  <c r="I95" i="64"/>
  <c r="J95" i="64"/>
  <c r="K95" i="64"/>
  <c r="L95" i="64"/>
  <c r="M95" i="64"/>
  <c r="N95" i="64"/>
  <c r="O95" i="64"/>
  <c r="P95" i="64"/>
  <c r="Q95" i="64"/>
  <c r="R95" i="64"/>
  <c r="S95" i="64"/>
  <c r="T95" i="64"/>
  <c r="BB95" i="64" s="1"/>
  <c r="U95" i="64"/>
  <c r="V95" i="64"/>
  <c r="W95" i="64"/>
  <c r="X95" i="64"/>
  <c r="BF95" i="64" s="1"/>
  <c r="Y95" i="64"/>
  <c r="Z95" i="64"/>
  <c r="AA95" i="64"/>
  <c r="AB95" i="64"/>
  <c r="BJ95" i="64" s="1"/>
  <c r="AC95" i="64"/>
  <c r="AD95" i="64"/>
  <c r="AE95" i="64"/>
  <c r="AF95" i="64"/>
  <c r="BN95" i="64" s="1"/>
  <c r="G96" i="64"/>
  <c r="H96" i="64"/>
  <c r="I96" i="64"/>
  <c r="J96" i="64"/>
  <c r="K96" i="64"/>
  <c r="L96" i="64"/>
  <c r="M96" i="64"/>
  <c r="N96" i="64"/>
  <c r="O96" i="64"/>
  <c r="P96" i="64"/>
  <c r="Q96" i="64"/>
  <c r="R96" i="64"/>
  <c r="S96" i="64"/>
  <c r="T96" i="64"/>
  <c r="U96" i="64"/>
  <c r="V96" i="64"/>
  <c r="BD96" i="64" s="1"/>
  <c r="W96" i="64"/>
  <c r="X96" i="64"/>
  <c r="Y96" i="64"/>
  <c r="Z96" i="64"/>
  <c r="AY35" i="64" s="1"/>
  <c r="AA96" i="64"/>
  <c r="AB96" i="64"/>
  <c r="AC96" i="64"/>
  <c r="AD96" i="64"/>
  <c r="BL96" i="64" s="1"/>
  <c r="AE96" i="64"/>
  <c r="AF96" i="64"/>
  <c r="G97" i="64"/>
  <c r="H97" i="64"/>
  <c r="I97" i="64"/>
  <c r="J97" i="64"/>
  <c r="K97" i="64"/>
  <c r="L97" i="64"/>
  <c r="M97" i="64"/>
  <c r="N97" i="64"/>
  <c r="O97" i="64"/>
  <c r="P97" i="64"/>
  <c r="Q97" i="64"/>
  <c r="R97" i="64"/>
  <c r="S97" i="64"/>
  <c r="T97" i="64"/>
  <c r="BB97" i="64" s="1"/>
  <c r="U97" i="64"/>
  <c r="V97" i="64"/>
  <c r="W97" i="64"/>
  <c r="X97" i="64"/>
  <c r="AZ33" i="64" s="1"/>
  <c r="Y97" i="64"/>
  <c r="Z97" i="64"/>
  <c r="AA97" i="64"/>
  <c r="AB97" i="64"/>
  <c r="AZ37" i="64" s="1"/>
  <c r="AC97" i="64"/>
  <c r="AD97" i="64"/>
  <c r="AE97" i="64"/>
  <c r="AF97" i="64"/>
  <c r="BN97" i="64" s="1"/>
  <c r="G98" i="64"/>
  <c r="H98" i="64"/>
  <c r="I98" i="64"/>
  <c r="J98" i="64"/>
  <c r="K98" i="64"/>
  <c r="L98" i="64"/>
  <c r="M98" i="64"/>
  <c r="N98" i="64"/>
  <c r="O98" i="64"/>
  <c r="P98" i="64"/>
  <c r="Q98" i="64"/>
  <c r="R98" i="64"/>
  <c r="S98" i="64"/>
  <c r="T98" i="64"/>
  <c r="U98" i="64"/>
  <c r="V98" i="64"/>
  <c r="BD98" i="64" s="1"/>
  <c r="W98" i="64"/>
  <c r="X98" i="64"/>
  <c r="Y98" i="64"/>
  <c r="Z98" i="64"/>
  <c r="BH98" i="64" s="1"/>
  <c r="AA98" i="64"/>
  <c r="AB98" i="64"/>
  <c r="AC98" i="64"/>
  <c r="AD98" i="64"/>
  <c r="BL98" i="64" s="1"/>
  <c r="AE98" i="64"/>
  <c r="AF98" i="64"/>
  <c r="G47" i="64"/>
  <c r="H47" i="64"/>
  <c r="I47" i="64"/>
  <c r="J47" i="64"/>
  <c r="K47" i="64"/>
  <c r="L47" i="64"/>
  <c r="M47" i="64"/>
  <c r="N47" i="64"/>
  <c r="O47" i="64"/>
  <c r="P47" i="64"/>
  <c r="Q47" i="64"/>
  <c r="R47" i="64"/>
  <c r="S47" i="64"/>
  <c r="T47" i="64"/>
  <c r="U47" i="64"/>
  <c r="V47" i="64"/>
  <c r="W47" i="64"/>
  <c r="X47" i="64"/>
  <c r="Y47" i="64"/>
  <c r="Z47" i="64"/>
  <c r="AA47" i="64"/>
  <c r="AB47" i="64"/>
  <c r="AC47" i="64"/>
  <c r="AD47" i="64"/>
  <c r="AE47" i="64"/>
  <c r="AF47" i="64"/>
  <c r="G48" i="64"/>
  <c r="H48" i="64"/>
  <c r="I48" i="64"/>
  <c r="J48" i="64"/>
  <c r="K48" i="64"/>
  <c r="L48" i="64"/>
  <c r="M48" i="64"/>
  <c r="N48" i="64"/>
  <c r="O48" i="64"/>
  <c r="P48" i="64"/>
  <c r="Q48" i="64"/>
  <c r="R48" i="64"/>
  <c r="S48" i="64"/>
  <c r="T48" i="64"/>
  <c r="U48" i="64"/>
  <c r="V48" i="64"/>
  <c r="W48" i="64"/>
  <c r="X48" i="64"/>
  <c r="Y48" i="64"/>
  <c r="Z48" i="64"/>
  <c r="AA48" i="64"/>
  <c r="AB48" i="64"/>
  <c r="AC48" i="64"/>
  <c r="AD48" i="64"/>
  <c r="AE48" i="64"/>
  <c r="AF48" i="64"/>
  <c r="G49" i="64"/>
  <c r="H49" i="64"/>
  <c r="I49" i="64"/>
  <c r="J49" i="64"/>
  <c r="K49" i="64"/>
  <c r="L49" i="64"/>
  <c r="M49" i="64"/>
  <c r="N49" i="64"/>
  <c r="O49" i="64"/>
  <c r="P49" i="64"/>
  <c r="Q49" i="64"/>
  <c r="R49" i="64"/>
  <c r="S49" i="64"/>
  <c r="T49" i="64"/>
  <c r="U49" i="64"/>
  <c r="V49" i="64"/>
  <c r="W49" i="64"/>
  <c r="X49" i="64"/>
  <c r="Y49" i="64"/>
  <c r="Z49" i="64"/>
  <c r="AA49" i="64"/>
  <c r="AB49" i="64"/>
  <c r="AC49" i="64"/>
  <c r="AD49" i="64"/>
  <c r="AE49" i="64"/>
  <c r="AF49" i="64"/>
  <c r="G50" i="64"/>
  <c r="H50" i="64"/>
  <c r="I50" i="64"/>
  <c r="J50" i="64"/>
  <c r="K50" i="64"/>
  <c r="L50" i="64"/>
  <c r="M50" i="64"/>
  <c r="N50" i="64"/>
  <c r="O50" i="64"/>
  <c r="P50" i="64"/>
  <c r="Q50" i="64"/>
  <c r="R50" i="64"/>
  <c r="S50" i="64"/>
  <c r="T50" i="64"/>
  <c r="U50" i="64"/>
  <c r="V50" i="64"/>
  <c r="W50" i="64"/>
  <c r="X50" i="64"/>
  <c r="Y50" i="64"/>
  <c r="Z50" i="64"/>
  <c r="AA50" i="64"/>
  <c r="AB50" i="64"/>
  <c r="F37" i="64" s="1"/>
  <c r="AC50" i="64"/>
  <c r="AD50" i="64"/>
  <c r="AE50" i="64"/>
  <c r="AF50" i="64"/>
  <c r="F41" i="64" s="1"/>
  <c r="G51" i="64"/>
  <c r="H51" i="64"/>
  <c r="I51" i="64"/>
  <c r="J51" i="64"/>
  <c r="K51" i="64"/>
  <c r="L51" i="64"/>
  <c r="M51" i="64"/>
  <c r="N51" i="64"/>
  <c r="O51" i="64"/>
  <c r="P51" i="64"/>
  <c r="Q51" i="64"/>
  <c r="R51" i="64"/>
  <c r="S51" i="64"/>
  <c r="T51" i="64"/>
  <c r="U51" i="64"/>
  <c r="V51" i="64"/>
  <c r="W51" i="64"/>
  <c r="X51" i="64"/>
  <c r="Y51" i="64"/>
  <c r="Z51" i="64"/>
  <c r="AA51" i="64"/>
  <c r="AB51" i="64"/>
  <c r="AC51" i="64"/>
  <c r="AD51" i="64"/>
  <c r="AE51" i="64"/>
  <c r="AF51" i="64"/>
  <c r="G52" i="64"/>
  <c r="H52" i="64"/>
  <c r="I52" i="64"/>
  <c r="J52" i="64"/>
  <c r="K52" i="64"/>
  <c r="L52" i="64"/>
  <c r="M52" i="64"/>
  <c r="N52" i="64"/>
  <c r="O52" i="64"/>
  <c r="P52" i="64"/>
  <c r="Q52" i="64"/>
  <c r="R52" i="64"/>
  <c r="S52" i="64"/>
  <c r="T52" i="64"/>
  <c r="U52" i="64"/>
  <c r="V52" i="64"/>
  <c r="W52" i="64"/>
  <c r="X52" i="64"/>
  <c r="Y52" i="64"/>
  <c r="Z52" i="64"/>
  <c r="AA52" i="64"/>
  <c r="AB52" i="64"/>
  <c r="AC52" i="64"/>
  <c r="AD52" i="64"/>
  <c r="AE52" i="64"/>
  <c r="AF52" i="64"/>
  <c r="G53" i="64"/>
  <c r="H53" i="64"/>
  <c r="I53" i="64"/>
  <c r="J53" i="64"/>
  <c r="K53" i="64"/>
  <c r="L53" i="64"/>
  <c r="M53" i="64"/>
  <c r="N53" i="64"/>
  <c r="O53" i="64"/>
  <c r="P53" i="64"/>
  <c r="Q53" i="64"/>
  <c r="R53" i="64"/>
  <c r="S53" i="64"/>
  <c r="T53" i="64"/>
  <c r="U53" i="64"/>
  <c r="V53" i="64"/>
  <c r="W53" i="64"/>
  <c r="X53" i="64"/>
  <c r="Y53" i="64"/>
  <c r="Z53" i="64"/>
  <c r="AA53" i="64"/>
  <c r="AB53" i="64"/>
  <c r="AC53" i="64"/>
  <c r="AD53" i="64"/>
  <c r="AE53" i="64"/>
  <c r="AF53" i="64"/>
  <c r="G54" i="64"/>
  <c r="H54" i="64"/>
  <c r="I54" i="64"/>
  <c r="J54" i="64"/>
  <c r="K54" i="64"/>
  <c r="L54" i="64"/>
  <c r="M54" i="64"/>
  <c r="N54" i="64"/>
  <c r="O54" i="64"/>
  <c r="P54" i="64"/>
  <c r="Q54" i="64"/>
  <c r="R54" i="64"/>
  <c r="S54" i="64"/>
  <c r="T54" i="64"/>
  <c r="U54" i="64"/>
  <c r="V54" i="64"/>
  <c r="W54" i="64"/>
  <c r="X54" i="64"/>
  <c r="J33" i="64" s="1"/>
  <c r="Y54" i="64"/>
  <c r="Z54" i="64"/>
  <c r="AA54" i="64"/>
  <c r="AB54" i="64"/>
  <c r="J37" i="64" s="1"/>
  <c r="AC54" i="64"/>
  <c r="AD54" i="64"/>
  <c r="AE54" i="64"/>
  <c r="AF54" i="64"/>
  <c r="J41" i="64" s="1"/>
  <c r="G55" i="64"/>
  <c r="H55" i="64"/>
  <c r="I55" i="64"/>
  <c r="J55" i="64"/>
  <c r="K55" i="64"/>
  <c r="L55" i="64"/>
  <c r="M55" i="64"/>
  <c r="N55" i="64"/>
  <c r="O55" i="64"/>
  <c r="P55" i="64"/>
  <c r="Q55" i="64"/>
  <c r="R55" i="64"/>
  <c r="S55" i="64"/>
  <c r="T55" i="64"/>
  <c r="U55" i="64"/>
  <c r="V55" i="64"/>
  <c r="W55" i="64"/>
  <c r="X55" i="64"/>
  <c r="Y55" i="64"/>
  <c r="Z55" i="64"/>
  <c r="AA55" i="64"/>
  <c r="AB55" i="64"/>
  <c r="AC55" i="64"/>
  <c r="AD55" i="64"/>
  <c r="AE55" i="64"/>
  <c r="AF55" i="64"/>
  <c r="G56" i="64"/>
  <c r="H56" i="64"/>
  <c r="I56" i="64"/>
  <c r="J56" i="64"/>
  <c r="K56" i="64"/>
  <c r="L56" i="64"/>
  <c r="M56" i="64"/>
  <c r="N56" i="64"/>
  <c r="O56" i="64"/>
  <c r="P56" i="64"/>
  <c r="Q56" i="64"/>
  <c r="R56" i="64"/>
  <c r="S56" i="64"/>
  <c r="T56" i="64"/>
  <c r="U56" i="64"/>
  <c r="V56" i="64"/>
  <c r="W56" i="64"/>
  <c r="X56" i="64"/>
  <c r="Y56" i="64"/>
  <c r="Z56" i="64"/>
  <c r="AA56" i="64"/>
  <c r="AB56" i="64"/>
  <c r="AC56" i="64"/>
  <c r="AD56" i="64"/>
  <c r="AE56" i="64"/>
  <c r="AF56" i="64"/>
  <c r="G57" i="64"/>
  <c r="H57" i="64"/>
  <c r="I57" i="64"/>
  <c r="J57" i="64"/>
  <c r="K57" i="64"/>
  <c r="L57" i="64"/>
  <c r="M57" i="64"/>
  <c r="N57" i="64"/>
  <c r="O57" i="64"/>
  <c r="P57" i="64"/>
  <c r="Q57" i="64"/>
  <c r="R57" i="64"/>
  <c r="S57" i="64"/>
  <c r="T57" i="64"/>
  <c r="U57" i="64"/>
  <c r="V57" i="64"/>
  <c r="W57" i="64"/>
  <c r="X57" i="64"/>
  <c r="Y57" i="64"/>
  <c r="Z57" i="64"/>
  <c r="AA57" i="64"/>
  <c r="AB57" i="64"/>
  <c r="AC57" i="64"/>
  <c r="AD57" i="64"/>
  <c r="AE57" i="64"/>
  <c r="AF57" i="64"/>
  <c r="G58" i="64"/>
  <c r="H58" i="64"/>
  <c r="I58" i="64"/>
  <c r="J58" i="64"/>
  <c r="K58" i="64"/>
  <c r="L58" i="64"/>
  <c r="M58" i="64"/>
  <c r="N58" i="64"/>
  <c r="O58" i="64"/>
  <c r="P58" i="64"/>
  <c r="Q58" i="64"/>
  <c r="R58" i="64"/>
  <c r="S58" i="64"/>
  <c r="T58" i="64"/>
  <c r="U58" i="64"/>
  <c r="V58" i="64"/>
  <c r="W58" i="64"/>
  <c r="X58" i="64"/>
  <c r="N33" i="64" s="1"/>
  <c r="Y58" i="64"/>
  <c r="Z58" i="64"/>
  <c r="AA58" i="64"/>
  <c r="AB58" i="64"/>
  <c r="N37" i="64" s="1"/>
  <c r="AC58" i="64"/>
  <c r="AD58" i="64"/>
  <c r="AE58" i="64"/>
  <c r="AF58" i="64"/>
  <c r="N41" i="64" s="1"/>
  <c r="G59" i="64"/>
  <c r="H59" i="64"/>
  <c r="I59" i="64"/>
  <c r="J59" i="64"/>
  <c r="K59" i="64"/>
  <c r="L59" i="64"/>
  <c r="M59" i="64"/>
  <c r="N59" i="64"/>
  <c r="O59" i="64"/>
  <c r="P59" i="64"/>
  <c r="Q59" i="64"/>
  <c r="R59" i="64"/>
  <c r="S59" i="64"/>
  <c r="T59" i="64"/>
  <c r="U59" i="64"/>
  <c r="V59" i="64"/>
  <c r="W59" i="64"/>
  <c r="X59" i="64"/>
  <c r="Y59" i="64"/>
  <c r="Z59" i="64"/>
  <c r="AA59" i="64"/>
  <c r="AB59" i="64"/>
  <c r="AC59" i="64"/>
  <c r="AD59" i="64"/>
  <c r="AE59" i="64"/>
  <c r="AF59" i="64"/>
  <c r="G60" i="64"/>
  <c r="H60" i="64"/>
  <c r="I60" i="64"/>
  <c r="J60" i="64"/>
  <c r="K60" i="64"/>
  <c r="L60" i="64"/>
  <c r="M60" i="64"/>
  <c r="N60" i="64"/>
  <c r="O60" i="64"/>
  <c r="P60" i="64"/>
  <c r="Q60" i="64"/>
  <c r="R60" i="64"/>
  <c r="S60" i="64"/>
  <c r="T60" i="64"/>
  <c r="U60" i="64"/>
  <c r="V60" i="64"/>
  <c r="W60" i="64"/>
  <c r="X60" i="64"/>
  <c r="Y60" i="64"/>
  <c r="Z60" i="64"/>
  <c r="AA60" i="64"/>
  <c r="AB60" i="64"/>
  <c r="AC60" i="64"/>
  <c r="AD60" i="64"/>
  <c r="AE60" i="64"/>
  <c r="AF60" i="64"/>
  <c r="G61" i="64"/>
  <c r="H61" i="64"/>
  <c r="I61" i="64"/>
  <c r="J61" i="64"/>
  <c r="K61" i="64"/>
  <c r="L61" i="64"/>
  <c r="M61" i="64"/>
  <c r="N61" i="64"/>
  <c r="O61" i="64"/>
  <c r="P61" i="64"/>
  <c r="Q61" i="64"/>
  <c r="R61" i="64"/>
  <c r="S61" i="64"/>
  <c r="T61" i="64"/>
  <c r="U61" i="64"/>
  <c r="V61" i="64"/>
  <c r="W61" i="64"/>
  <c r="X61" i="64"/>
  <c r="Y61" i="64"/>
  <c r="Z61" i="64"/>
  <c r="AA61" i="64"/>
  <c r="AB61" i="64"/>
  <c r="AC61" i="64"/>
  <c r="AD61" i="64"/>
  <c r="AE61" i="64"/>
  <c r="AF61" i="64"/>
  <c r="G62" i="64"/>
  <c r="H62" i="64"/>
  <c r="I62" i="64"/>
  <c r="J62" i="64"/>
  <c r="K62" i="64"/>
  <c r="L62" i="64"/>
  <c r="M62" i="64"/>
  <c r="N62" i="64"/>
  <c r="O62" i="64"/>
  <c r="P62" i="64"/>
  <c r="Q62" i="64"/>
  <c r="R62" i="64"/>
  <c r="S62" i="64"/>
  <c r="T62" i="64"/>
  <c r="R29" i="64" s="1"/>
  <c r="U62" i="64"/>
  <c r="V62" i="64"/>
  <c r="W62" i="64"/>
  <c r="X62" i="64"/>
  <c r="R33" i="64" s="1"/>
  <c r="Y62" i="64"/>
  <c r="Z62" i="64"/>
  <c r="AA62" i="64"/>
  <c r="AB62" i="64"/>
  <c r="R37" i="64" s="1"/>
  <c r="AC62" i="64"/>
  <c r="AD62" i="64"/>
  <c r="AE62" i="64"/>
  <c r="AF62" i="64"/>
  <c r="R41" i="64" s="1"/>
  <c r="G63" i="64"/>
  <c r="H63" i="64"/>
  <c r="I63" i="64"/>
  <c r="J63" i="64"/>
  <c r="K63" i="64"/>
  <c r="L63" i="64"/>
  <c r="M63" i="64"/>
  <c r="N63" i="64"/>
  <c r="O63" i="64"/>
  <c r="P63" i="64"/>
  <c r="Q63" i="64"/>
  <c r="R63" i="64"/>
  <c r="S63" i="64"/>
  <c r="T63" i="64"/>
  <c r="U63" i="64"/>
  <c r="V63" i="64"/>
  <c r="W63" i="64"/>
  <c r="X63" i="64"/>
  <c r="Y63" i="64"/>
  <c r="Z63" i="64"/>
  <c r="AA63" i="64"/>
  <c r="AB63" i="64"/>
  <c r="AC63" i="64"/>
  <c r="AD63" i="64"/>
  <c r="AE63" i="64"/>
  <c r="AF63" i="64"/>
  <c r="G64" i="64"/>
  <c r="H64" i="64"/>
  <c r="I64" i="64"/>
  <c r="J64" i="64"/>
  <c r="K64" i="64"/>
  <c r="L64" i="64"/>
  <c r="M64" i="64"/>
  <c r="N64" i="64"/>
  <c r="O64" i="64"/>
  <c r="P64" i="64"/>
  <c r="Q64" i="64"/>
  <c r="R64" i="64"/>
  <c r="S64" i="64"/>
  <c r="T64" i="64"/>
  <c r="U64" i="64"/>
  <c r="V64" i="64"/>
  <c r="W64" i="64"/>
  <c r="X64" i="64"/>
  <c r="Y64" i="64"/>
  <c r="Z64" i="64"/>
  <c r="AA64" i="64"/>
  <c r="AB64" i="64"/>
  <c r="AC64" i="64"/>
  <c r="AD64" i="64"/>
  <c r="AE64" i="64"/>
  <c r="AF64" i="64"/>
  <c r="G65" i="64"/>
  <c r="H65" i="64"/>
  <c r="I65" i="64"/>
  <c r="J65" i="64"/>
  <c r="K65" i="64"/>
  <c r="L65" i="64"/>
  <c r="M65" i="64"/>
  <c r="N65" i="64"/>
  <c r="O65" i="64"/>
  <c r="P65" i="64"/>
  <c r="Q65" i="64"/>
  <c r="R65" i="64"/>
  <c r="S65" i="64"/>
  <c r="T65" i="64"/>
  <c r="U65" i="64"/>
  <c r="V65" i="64"/>
  <c r="W65" i="64"/>
  <c r="X65" i="64"/>
  <c r="Y65" i="64"/>
  <c r="Z65" i="64"/>
  <c r="AA65" i="64"/>
  <c r="AB65" i="64"/>
  <c r="AC65" i="64"/>
  <c r="AD65" i="64"/>
  <c r="AE65" i="64"/>
  <c r="AF65" i="64"/>
  <c r="G66" i="64"/>
  <c r="H66" i="64"/>
  <c r="I66" i="64"/>
  <c r="J66" i="64"/>
  <c r="K66" i="64"/>
  <c r="L66" i="64"/>
  <c r="M66" i="64"/>
  <c r="N66" i="64"/>
  <c r="O66" i="64"/>
  <c r="P66" i="64"/>
  <c r="Q66" i="64"/>
  <c r="R66" i="64"/>
  <c r="S66" i="64"/>
  <c r="T66" i="64"/>
  <c r="V29" i="64" s="1"/>
  <c r="U66" i="64"/>
  <c r="V66" i="64"/>
  <c r="W66" i="64"/>
  <c r="X66" i="64"/>
  <c r="V33" i="64" s="1"/>
  <c r="Y66" i="64"/>
  <c r="Z66" i="64"/>
  <c r="AA66" i="64"/>
  <c r="AB66" i="64"/>
  <c r="V37" i="64" s="1"/>
  <c r="AC66" i="64"/>
  <c r="AD66" i="64"/>
  <c r="AE66" i="64"/>
  <c r="AF66" i="64"/>
  <c r="V41" i="64" s="1"/>
  <c r="G67" i="64"/>
  <c r="H67" i="64"/>
  <c r="I67" i="64"/>
  <c r="J67" i="64"/>
  <c r="K67" i="64"/>
  <c r="L67" i="64"/>
  <c r="M67" i="64"/>
  <c r="N67" i="64"/>
  <c r="O67" i="64"/>
  <c r="P67" i="64"/>
  <c r="Q67" i="64"/>
  <c r="R67" i="64"/>
  <c r="S67" i="64"/>
  <c r="T67" i="64"/>
  <c r="U67" i="64"/>
  <c r="V67" i="64"/>
  <c r="W67" i="64"/>
  <c r="X67" i="64"/>
  <c r="Y67" i="64"/>
  <c r="Z67" i="64"/>
  <c r="AA67" i="64"/>
  <c r="AB67" i="64"/>
  <c r="AC67" i="64"/>
  <c r="AD67" i="64"/>
  <c r="AE67" i="64"/>
  <c r="AF67" i="64"/>
  <c r="G68" i="64"/>
  <c r="H68" i="64"/>
  <c r="I68" i="64"/>
  <c r="J68" i="64"/>
  <c r="K68" i="64"/>
  <c r="L68" i="64"/>
  <c r="M68" i="64"/>
  <c r="N68" i="64"/>
  <c r="O68" i="64"/>
  <c r="P68" i="64"/>
  <c r="Q68" i="64"/>
  <c r="R68" i="64"/>
  <c r="S68" i="64"/>
  <c r="T68" i="64"/>
  <c r="U68" i="64"/>
  <c r="V68" i="64"/>
  <c r="W68" i="64"/>
  <c r="X68" i="64"/>
  <c r="Y68" i="64"/>
  <c r="Z68" i="64"/>
  <c r="AA68" i="64"/>
  <c r="AB68" i="64"/>
  <c r="AC68" i="64"/>
  <c r="AD68" i="64"/>
  <c r="AE68" i="64"/>
  <c r="AF68" i="64"/>
  <c r="G69" i="64"/>
  <c r="H69" i="64"/>
  <c r="I69" i="64"/>
  <c r="J69" i="64"/>
  <c r="K69" i="64"/>
  <c r="L69" i="64"/>
  <c r="M69" i="64"/>
  <c r="N69" i="64"/>
  <c r="O69" i="64"/>
  <c r="P69" i="64"/>
  <c r="Q69" i="64"/>
  <c r="R69" i="64"/>
  <c r="S69" i="64"/>
  <c r="T69" i="64"/>
  <c r="U69" i="64"/>
  <c r="V69" i="64"/>
  <c r="W69" i="64"/>
  <c r="X69" i="64"/>
  <c r="Y69" i="64"/>
  <c r="Z69" i="64"/>
  <c r="AA69" i="64"/>
  <c r="AB69" i="64"/>
  <c r="AC69" i="64"/>
  <c r="AD69" i="64"/>
  <c r="AE69" i="64"/>
  <c r="AF69" i="64"/>
  <c r="G70" i="64"/>
  <c r="H70" i="64"/>
  <c r="I70" i="64"/>
  <c r="J70" i="64"/>
  <c r="K70" i="64"/>
  <c r="L70" i="64"/>
  <c r="M70" i="64"/>
  <c r="N70" i="64"/>
  <c r="O70" i="64"/>
  <c r="P70" i="64"/>
  <c r="Q70" i="64"/>
  <c r="R70" i="64"/>
  <c r="S70" i="64"/>
  <c r="T70" i="64"/>
  <c r="Z29" i="64" s="1"/>
  <c r="U70" i="64"/>
  <c r="V70" i="64"/>
  <c r="W70" i="64"/>
  <c r="X70" i="64"/>
  <c r="Z33" i="64" s="1"/>
  <c r="Y70" i="64"/>
  <c r="Z70" i="64"/>
  <c r="AA70" i="64"/>
  <c r="AB70" i="64"/>
  <c r="Z37" i="64" s="1"/>
  <c r="AC70" i="64"/>
  <c r="AD70" i="64"/>
  <c r="AE70" i="64"/>
  <c r="AF70" i="64"/>
  <c r="Z41" i="64" s="1"/>
  <c r="G71" i="64"/>
  <c r="H71" i="64"/>
  <c r="I71" i="64"/>
  <c r="J71" i="64"/>
  <c r="K71" i="64"/>
  <c r="L71" i="64"/>
  <c r="M71" i="64"/>
  <c r="N71" i="64"/>
  <c r="O71" i="64"/>
  <c r="P71" i="64"/>
  <c r="Q71" i="64"/>
  <c r="R71" i="64"/>
  <c r="S71" i="64"/>
  <c r="T71" i="64"/>
  <c r="U71" i="64"/>
  <c r="V71" i="64"/>
  <c r="W71" i="64"/>
  <c r="X71" i="64"/>
  <c r="Y71" i="64"/>
  <c r="Z71" i="64"/>
  <c r="AA71" i="64"/>
  <c r="AB71" i="64"/>
  <c r="AC71" i="64"/>
  <c r="AD71" i="64"/>
  <c r="AE71" i="64"/>
  <c r="AF71" i="64"/>
  <c r="G72" i="64"/>
  <c r="H72" i="64"/>
  <c r="I72" i="64"/>
  <c r="J72" i="64"/>
  <c r="K72" i="64"/>
  <c r="L72" i="64"/>
  <c r="M72" i="64"/>
  <c r="N72" i="64"/>
  <c r="O72" i="64"/>
  <c r="P72" i="64"/>
  <c r="Q72" i="64"/>
  <c r="R72" i="64"/>
  <c r="S72" i="64"/>
  <c r="T72" i="64"/>
  <c r="U72" i="64"/>
  <c r="V72" i="64"/>
  <c r="W72" i="64"/>
  <c r="X72" i="64"/>
  <c r="Y72" i="64"/>
  <c r="Z72" i="64"/>
  <c r="AA72" i="64"/>
  <c r="AB72" i="64"/>
  <c r="AC72" i="64"/>
  <c r="AD72" i="64"/>
  <c r="AE72" i="64"/>
  <c r="AF72" i="64"/>
  <c r="G73" i="64"/>
  <c r="H73" i="64"/>
  <c r="I73" i="64"/>
  <c r="J73" i="64"/>
  <c r="K73" i="64"/>
  <c r="L73" i="64"/>
  <c r="M73" i="64"/>
  <c r="N73" i="64"/>
  <c r="O73" i="64"/>
  <c r="P73" i="64"/>
  <c r="Q73" i="64"/>
  <c r="R73" i="64"/>
  <c r="S73" i="64"/>
  <c r="T73" i="64"/>
  <c r="U73" i="64"/>
  <c r="V73" i="64"/>
  <c r="W73" i="64"/>
  <c r="X73" i="64"/>
  <c r="Y73" i="64"/>
  <c r="Z73" i="64"/>
  <c r="AA73" i="64"/>
  <c r="AB73" i="64"/>
  <c r="AC73" i="64"/>
  <c r="AD73" i="64"/>
  <c r="AE73" i="64"/>
  <c r="AF73" i="64"/>
  <c r="G74" i="64"/>
  <c r="H74" i="64"/>
  <c r="I74" i="64"/>
  <c r="J74" i="64"/>
  <c r="K74" i="64"/>
  <c r="L74" i="64"/>
  <c r="M74" i="64"/>
  <c r="N74" i="64"/>
  <c r="O74" i="64"/>
  <c r="P74" i="64"/>
  <c r="Q74" i="64"/>
  <c r="R74" i="64"/>
  <c r="S74" i="64"/>
  <c r="T74" i="64"/>
  <c r="AD29" i="64" s="1"/>
  <c r="U74" i="64"/>
  <c r="V74" i="64"/>
  <c r="W74" i="64"/>
  <c r="X74" i="64"/>
  <c r="AD33" i="64" s="1"/>
  <c r="Y74" i="64"/>
  <c r="Z74" i="64"/>
  <c r="AA74" i="64"/>
  <c r="AB74" i="64"/>
  <c r="AD37" i="64" s="1"/>
  <c r="AC74" i="64"/>
  <c r="AD74" i="64"/>
  <c r="AE74" i="64"/>
  <c r="AF74" i="64"/>
  <c r="AD41" i="64" s="1"/>
  <c r="G75" i="64"/>
  <c r="H75" i="64"/>
  <c r="I75" i="64"/>
  <c r="J75" i="64"/>
  <c r="K75" i="64"/>
  <c r="L75" i="64"/>
  <c r="M75" i="64"/>
  <c r="N75" i="64"/>
  <c r="O75" i="64"/>
  <c r="P75" i="64"/>
  <c r="Q75" i="64"/>
  <c r="R75" i="64"/>
  <c r="S75" i="64"/>
  <c r="T75" i="64"/>
  <c r="U75" i="64"/>
  <c r="V75" i="64"/>
  <c r="W75" i="64"/>
  <c r="X75" i="64"/>
  <c r="Y75" i="64"/>
  <c r="Z75" i="64"/>
  <c r="AA75" i="64"/>
  <c r="AB75" i="64"/>
  <c r="AC75" i="64"/>
  <c r="AD75" i="64"/>
  <c r="AE75" i="64"/>
  <c r="AF75" i="64"/>
  <c r="G76" i="64"/>
  <c r="H76" i="64"/>
  <c r="I76" i="64"/>
  <c r="J76" i="64"/>
  <c r="K76" i="64"/>
  <c r="L76" i="64"/>
  <c r="M76" i="64"/>
  <c r="N76" i="64"/>
  <c r="O76" i="64"/>
  <c r="P76" i="64"/>
  <c r="Q76" i="64"/>
  <c r="R76" i="64"/>
  <c r="S76" i="64"/>
  <c r="T76" i="64"/>
  <c r="U76" i="64"/>
  <c r="V76" i="64"/>
  <c r="W76" i="64"/>
  <c r="X76" i="64"/>
  <c r="Y76" i="64"/>
  <c r="Z76" i="64"/>
  <c r="AA76" i="64"/>
  <c r="AB76" i="64"/>
  <c r="AC76" i="64"/>
  <c r="AD76" i="64"/>
  <c r="AE76" i="64"/>
  <c r="AF76" i="64"/>
  <c r="G77" i="64"/>
  <c r="H77" i="64"/>
  <c r="I77" i="64"/>
  <c r="J77" i="64"/>
  <c r="K77" i="64"/>
  <c r="L77" i="64"/>
  <c r="M77" i="64"/>
  <c r="N77" i="64"/>
  <c r="O77" i="64"/>
  <c r="P77" i="64"/>
  <c r="Q77" i="64"/>
  <c r="R77" i="64"/>
  <c r="S77" i="64"/>
  <c r="T77" i="64"/>
  <c r="U77" i="64"/>
  <c r="V77" i="64"/>
  <c r="W77" i="64"/>
  <c r="X77" i="64"/>
  <c r="Y77" i="64"/>
  <c r="Z77" i="64"/>
  <c r="AA77" i="64"/>
  <c r="AB77" i="64"/>
  <c r="AC77" i="64"/>
  <c r="AD77" i="64"/>
  <c r="AE77" i="64"/>
  <c r="AF77" i="64"/>
  <c r="G78" i="64"/>
  <c r="H78" i="64"/>
  <c r="I78" i="64"/>
  <c r="J78" i="64"/>
  <c r="K78" i="64"/>
  <c r="L78" i="64"/>
  <c r="M78" i="64"/>
  <c r="N78" i="64"/>
  <c r="O78" i="64"/>
  <c r="P78" i="64"/>
  <c r="Q78" i="64"/>
  <c r="R78" i="64"/>
  <c r="S78" i="64"/>
  <c r="T78" i="64"/>
  <c r="AH29" i="64" s="1"/>
  <c r="U78" i="64"/>
  <c r="V78" i="64"/>
  <c r="W78" i="64"/>
  <c r="X78" i="64"/>
  <c r="AH33" i="64" s="1"/>
  <c r="Y78" i="64"/>
  <c r="Z78" i="64"/>
  <c r="AA78" i="64"/>
  <c r="AB78" i="64"/>
  <c r="AH37" i="64" s="1"/>
  <c r="AC78" i="64"/>
  <c r="AD78" i="64"/>
  <c r="AE78" i="64"/>
  <c r="AF78" i="64"/>
  <c r="AH41" i="64" s="1"/>
  <c r="G79" i="64"/>
  <c r="H79" i="64"/>
  <c r="I79" i="64"/>
  <c r="J79" i="64"/>
  <c r="K79" i="64"/>
  <c r="L79" i="64"/>
  <c r="M79" i="64"/>
  <c r="N79" i="64"/>
  <c r="O79" i="64"/>
  <c r="P79" i="64"/>
  <c r="Q79" i="64"/>
  <c r="R79" i="64"/>
  <c r="S79" i="64"/>
  <c r="T79" i="64"/>
  <c r="U79" i="64"/>
  <c r="V79" i="64"/>
  <c r="W79" i="64"/>
  <c r="X79" i="64"/>
  <c r="Y79" i="64"/>
  <c r="Z79" i="64"/>
  <c r="AA79" i="64"/>
  <c r="AB79" i="64"/>
  <c r="AC79" i="64"/>
  <c r="AD79" i="64"/>
  <c r="AE79" i="64"/>
  <c r="AF79" i="64"/>
  <c r="G80" i="64"/>
  <c r="H80" i="64"/>
  <c r="I80" i="64"/>
  <c r="J80" i="64"/>
  <c r="K80" i="64"/>
  <c r="L80" i="64"/>
  <c r="M80" i="64"/>
  <c r="N80" i="64"/>
  <c r="O80" i="64"/>
  <c r="P80" i="64"/>
  <c r="Q80" i="64"/>
  <c r="R80" i="64"/>
  <c r="S80" i="64"/>
  <c r="T80" i="64"/>
  <c r="U80" i="64"/>
  <c r="V80" i="64"/>
  <c r="W80" i="64"/>
  <c r="X80" i="64"/>
  <c r="Y80" i="64"/>
  <c r="Z80" i="64"/>
  <c r="AA80" i="64"/>
  <c r="AB80" i="64"/>
  <c r="AC80" i="64"/>
  <c r="AD80" i="64"/>
  <c r="AE80" i="64"/>
  <c r="AF80" i="64"/>
  <c r="G81" i="64"/>
  <c r="H81" i="64"/>
  <c r="I81" i="64"/>
  <c r="J81" i="64"/>
  <c r="K81" i="64"/>
  <c r="L81" i="64"/>
  <c r="M81" i="64"/>
  <c r="N81" i="64"/>
  <c r="O81" i="64"/>
  <c r="P81" i="64"/>
  <c r="Q81" i="64"/>
  <c r="R81" i="64"/>
  <c r="S81" i="64"/>
  <c r="T81" i="64"/>
  <c r="U81" i="64"/>
  <c r="V81" i="64"/>
  <c r="W81" i="64"/>
  <c r="X81" i="64"/>
  <c r="Y81" i="64"/>
  <c r="Z81" i="64"/>
  <c r="AA81" i="64"/>
  <c r="AB81" i="64"/>
  <c r="AC81" i="64"/>
  <c r="AD81" i="64"/>
  <c r="AE81" i="64"/>
  <c r="AF81" i="64"/>
  <c r="G82" i="64"/>
  <c r="H82" i="64"/>
  <c r="I82" i="64"/>
  <c r="J82" i="64"/>
  <c r="K82" i="64"/>
  <c r="L82" i="64"/>
  <c r="M82" i="64"/>
  <c r="N82" i="64"/>
  <c r="O82" i="64"/>
  <c r="P82" i="64"/>
  <c r="Q82" i="64"/>
  <c r="R82" i="64"/>
  <c r="S82" i="64"/>
  <c r="T82" i="64"/>
  <c r="AL29" i="64" s="1"/>
  <c r="U82" i="64"/>
  <c r="V82" i="64"/>
  <c r="W82" i="64"/>
  <c r="X82" i="64"/>
  <c r="AL33" i="64" s="1"/>
  <c r="Y82" i="64"/>
  <c r="Z82" i="64"/>
  <c r="AA82" i="64"/>
  <c r="AB82" i="64"/>
  <c r="AL37" i="64" s="1"/>
  <c r="AC82" i="64"/>
  <c r="AD82" i="64"/>
  <c r="AE82" i="64"/>
  <c r="AF82" i="64"/>
  <c r="AL41" i="64" s="1"/>
  <c r="G83" i="64"/>
  <c r="H83" i="64"/>
  <c r="I83" i="64"/>
  <c r="J83" i="64"/>
  <c r="K83" i="64"/>
  <c r="L83" i="64"/>
  <c r="M83" i="64"/>
  <c r="N83" i="64"/>
  <c r="O83" i="64"/>
  <c r="P83" i="64"/>
  <c r="Q83" i="64"/>
  <c r="R83" i="64"/>
  <c r="S83" i="64"/>
  <c r="T83" i="64"/>
  <c r="U83" i="64"/>
  <c r="V83" i="64"/>
  <c r="W83" i="64"/>
  <c r="X83" i="64"/>
  <c r="Y83" i="64"/>
  <c r="Z83" i="64"/>
  <c r="AA83" i="64"/>
  <c r="AB83" i="64"/>
  <c r="AC83" i="64"/>
  <c r="AD83" i="64"/>
  <c r="AE83" i="64"/>
  <c r="AF83" i="64"/>
  <c r="G84" i="64"/>
  <c r="H84" i="64"/>
  <c r="I84" i="64"/>
  <c r="J84" i="64"/>
  <c r="K84" i="64"/>
  <c r="L84" i="64"/>
  <c r="M84" i="64"/>
  <c r="N84" i="64"/>
  <c r="O84" i="64"/>
  <c r="P84" i="64"/>
  <c r="Q84" i="64"/>
  <c r="R84" i="64"/>
  <c r="S84" i="64"/>
  <c r="T84" i="64"/>
  <c r="U84" i="64"/>
  <c r="V84" i="64"/>
  <c r="W84" i="64"/>
  <c r="X84" i="64"/>
  <c r="Y84" i="64"/>
  <c r="Z84" i="64"/>
  <c r="AA84" i="64"/>
  <c r="AB84" i="64"/>
  <c r="AC84" i="64"/>
  <c r="AD84" i="64"/>
  <c r="AE84" i="64"/>
  <c r="AF84" i="64"/>
  <c r="G85" i="64"/>
  <c r="H85" i="64"/>
  <c r="I85" i="64"/>
  <c r="J85" i="64"/>
  <c r="K85" i="64"/>
  <c r="L85" i="64"/>
  <c r="M85" i="64"/>
  <c r="N85" i="64"/>
  <c r="O85" i="64"/>
  <c r="P85" i="64"/>
  <c r="Q85" i="64"/>
  <c r="R85" i="64"/>
  <c r="S85" i="64"/>
  <c r="T85" i="64"/>
  <c r="U85" i="64"/>
  <c r="V85" i="64"/>
  <c r="W85" i="64"/>
  <c r="X85" i="64"/>
  <c r="Y85" i="64"/>
  <c r="Z85" i="64"/>
  <c r="AA85" i="64"/>
  <c r="AB85" i="64"/>
  <c r="AC85" i="64"/>
  <c r="AD85" i="64"/>
  <c r="AE85" i="64"/>
  <c r="AF85" i="64"/>
  <c r="G86" i="64"/>
  <c r="H86" i="64"/>
  <c r="I86" i="64"/>
  <c r="J86" i="64"/>
  <c r="K86" i="64"/>
  <c r="L86" i="64"/>
  <c r="M86" i="64"/>
  <c r="N86" i="64"/>
  <c r="O86" i="64"/>
  <c r="P86" i="64"/>
  <c r="Q86" i="64"/>
  <c r="R86" i="64"/>
  <c r="S86" i="64"/>
  <c r="T86" i="64"/>
  <c r="AP29" i="64" s="1"/>
  <c r="U86" i="64"/>
  <c r="V86" i="64"/>
  <c r="W86" i="64"/>
  <c r="X86" i="64"/>
  <c r="AP33" i="64" s="1"/>
  <c r="Y86" i="64"/>
  <c r="Z86" i="64"/>
  <c r="AA86" i="64"/>
  <c r="AB86" i="64"/>
  <c r="AP37" i="64" s="1"/>
  <c r="AC86" i="64"/>
  <c r="AD86" i="64"/>
  <c r="AE86" i="64"/>
  <c r="AF86" i="64"/>
  <c r="AP41" i="64" s="1"/>
  <c r="G87" i="64"/>
  <c r="H87" i="64"/>
  <c r="I87" i="64"/>
  <c r="J87" i="64"/>
  <c r="K87" i="64"/>
  <c r="L87" i="64"/>
  <c r="M87" i="64"/>
  <c r="N87" i="64"/>
  <c r="O87" i="64"/>
  <c r="P87" i="64"/>
  <c r="Q87" i="64"/>
  <c r="R87" i="64"/>
  <c r="S87" i="64"/>
  <c r="T87" i="64"/>
  <c r="U87" i="64"/>
  <c r="V87" i="64"/>
  <c r="W87" i="64"/>
  <c r="X87" i="64"/>
  <c r="Y87" i="64"/>
  <c r="Z87" i="64"/>
  <c r="AA87" i="64"/>
  <c r="AB87" i="64"/>
  <c r="AC87" i="64"/>
  <c r="AD87" i="64"/>
  <c r="AE87" i="64"/>
  <c r="AF87" i="64"/>
  <c r="G88" i="64"/>
  <c r="H88" i="64"/>
  <c r="I88" i="64"/>
  <c r="J88" i="64"/>
  <c r="K88" i="64"/>
  <c r="L88" i="64"/>
  <c r="M88" i="64"/>
  <c r="N88" i="64"/>
  <c r="O88" i="64"/>
  <c r="P88" i="64"/>
  <c r="Q88" i="64"/>
  <c r="R88" i="64"/>
  <c r="S88" i="64"/>
  <c r="T88" i="64"/>
  <c r="U88" i="64"/>
  <c r="V88" i="64"/>
  <c r="W88" i="64"/>
  <c r="X88" i="64"/>
  <c r="BF88" i="64" s="1"/>
  <c r="Y88" i="64"/>
  <c r="Z88" i="64"/>
  <c r="AA88" i="64"/>
  <c r="AB88" i="64"/>
  <c r="BJ88" i="64" s="1"/>
  <c r="AC88" i="64"/>
  <c r="AD88" i="64"/>
  <c r="AE88" i="64"/>
  <c r="AF88" i="64"/>
  <c r="BN88" i="64" s="1"/>
  <c r="G89" i="64"/>
  <c r="H89" i="64"/>
  <c r="I89" i="64"/>
  <c r="J89" i="64"/>
  <c r="K89" i="64"/>
  <c r="L89" i="64"/>
  <c r="M89" i="64"/>
  <c r="N89" i="64"/>
  <c r="O89" i="64"/>
  <c r="P89" i="64"/>
  <c r="Q89" i="64"/>
  <c r="R89" i="64"/>
  <c r="S89" i="64"/>
  <c r="T89" i="64"/>
  <c r="U89" i="64"/>
  <c r="V89" i="64"/>
  <c r="BD89" i="64" s="1"/>
  <c r="W89" i="64"/>
  <c r="X89" i="64"/>
  <c r="Y89" i="64"/>
  <c r="Z89" i="64"/>
  <c r="BH89" i="64" s="1"/>
  <c r="AA89" i="64"/>
  <c r="AB89" i="64"/>
  <c r="AC89" i="64"/>
  <c r="AD89" i="64"/>
  <c r="AS39" i="64" s="1"/>
  <c r="AE89" i="64"/>
  <c r="AF89" i="64"/>
  <c r="G90" i="64"/>
  <c r="H90" i="64"/>
  <c r="I90" i="64"/>
  <c r="J90" i="64"/>
  <c r="K90" i="64"/>
  <c r="L90" i="64"/>
  <c r="M90" i="64"/>
  <c r="N90" i="64"/>
  <c r="O90" i="64"/>
  <c r="P90" i="64"/>
  <c r="Q90" i="64"/>
  <c r="R90" i="64"/>
  <c r="S90" i="64"/>
  <c r="T90" i="64"/>
  <c r="AT29" i="64" s="1"/>
  <c r="U90" i="64"/>
  <c r="V90" i="64"/>
  <c r="W90" i="64"/>
  <c r="X90" i="64"/>
  <c r="AT33" i="64" s="1"/>
  <c r="Y90" i="64"/>
  <c r="Z90" i="64"/>
  <c r="AA90" i="64"/>
  <c r="AB90" i="64"/>
  <c r="AT37" i="64" s="1"/>
  <c r="AC90" i="64"/>
  <c r="AD90" i="64"/>
  <c r="AE90" i="64"/>
  <c r="AF90" i="64"/>
  <c r="AT41" i="64" s="1"/>
  <c r="G91" i="64"/>
  <c r="H91" i="64"/>
  <c r="I91" i="64"/>
  <c r="J91" i="64"/>
  <c r="K91" i="64"/>
  <c r="L91" i="64"/>
  <c r="M91" i="64"/>
  <c r="N91" i="64"/>
  <c r="O91" i="64"/>
  <c r="P91" i="64"/>
  <c r="Q91" i="64"/>
  <c r="R91" i="64"/>
  <c r="S91" i="64"/>
  <c r="T91" i="64"/>
  <c r="U91" i="64"/>
  <c r="V91" i="64"/>
  <c r="AU31" i="64" s="1"/>
  <c r="W91" i="64"/>
  <c r="X91" i="64"/>
  <c r="Y91" i="64"/>
  <c r="Z91" i="64"/>
  <c r="AU35" i="64" s="1"/>
  <c r="AA91" i="64"/>
  <c r="AB91" i="64"/>
  <c r="AC91" i="64"/>
  <c r="AD91" i="64"/>
  <c r="BL91" i="64" s="1"/>
  <c r="AE91" i="64"/>
  <c r="AF91" i="64"/>
  <c r="G92" i="64"/>
  <c r="H92" i="64"/>
  <c r="I92" i="64"/>
  <c r="J92" i="64"/>
  <c r="K92" i="64"/>
  <c r="L92" i="64"/>
  <c r="M92" i="64"/>
  <c r="N92" i="64"/>
  <c r="O92" i="64"/>
  <c r="P92" i="64"/>
  <c r="Q92" i="64"/>
  <c r="R92" i="64"/>
  <c r="S92" i="64"/>
  <c r="T92" i="64"/>
  <c r="BB92" i="64" s="1"/>
  <c r="U92" i="64"/>
  <c r="V92" i="64"/>
  <c r="W92" i="64"/>
  <c r="X92" i="64"/>
  <c r="BF92" i="64" s="1"/>
  <c r="Y92" i="64"/>
  <c r="Z92" i="64"/>
  <c r="AA92" i="64"/>
  <c r="AB92" i="64"/>
  <c r="BJ92" i="64" s="1"/>
  <c r="AC92" i="64"/>
  <c r="AD92" i="64"/>
  <c r="AE92" i="64"/>
  <c r="AF92" i="64"/>
  <c r="BN92" i="64" s="1"/>
  <c r="F95" i="64"/>
  <c r="F96" i="64"/>
  <c r="F97" i="64"/>
  <c r="F98" i="64"/>
  <c r="F94" i="64"/>
  <c r="F48" i="64"/>
  <c r="F49" i="64"/>
  <c r="F50" i="64"/>
  <c r="F51" i="64"/>
  <c r="F52" i="64"/>
  <c r="F53" i="64"/>
  <c r="F54" i="64"/>
  <c r="F55" i="64"/>
  <c r="F56" i="64"/>
  <c r="F57" i="64"/>
  <c r="F58" i="64"/>
  <c r="F59" i="64"/>
  <c r="F60" i="64"/>
  <c r="F61" i="64"/>
  <c r="F62" i="64"/>
  <c r="F63" i="64"/>
  <c r="F64" i="64"/>
  <c r="F65" i="64"/>
  <c r="F66" i="64"/>
  <c r="F67" i="64"/>
  <c r="F68" i="64"/>
  <c r="F69" i="64"/>
  <c r="F70" i="64"/>
  <c r="F71" i="64"/>
  <c r="F72" i="64"/>
  <c r="F73" i="64"/>
  <c r="F74" i="64"/>
  <c r="F75" i="64"/>
  <c r="F76" i="64"/>
  <c r="F77" i="64"/>
  <c r="F78" i="64"/>
  <c r="F79" i="64"/>
  <c r="F80" i="64"/>
  <c r="F81" i="64"/>
  <c r="F82" i="64"/>
  <c r="F83" i="64"/>
  <c r="F84" i="64"/>
  <c r="F85" i="64"/>
  <c r="F86" i="64"/>
  <c r="F87" i="64"/>
  <c r="F88" i="64"/>
  <c r="F89" i="64"/>
  <c r="F90" i="64"/>
  <c r="F91" i="64"/>
  <c r="F92" i="64"/>
  <c r="F47" i="64"/>
  <c r="G81" i="60"/>
  <c r="H81" i="60"/>
  <c r="I81" i="60"/>
  <c r="J81" i="60"/>
  <c r="K81" i="60"/>
  <c r="L81" i="60"/>
  <c r="M81" i="60"/>
  <c r="N81" i="60"/>
  <c r="O81" i="60"/>
  <c r="F81" i="60"/>
  <c r="F35" i="60"/>
  <c r="G35" i="60"/>
  <c r="H35" i="60"/>
  <c r="I35" i="60"/>
  <c r="J35" i="60"/>
  <c r="K35" i="60"/>
  <c r="L35" i="60"/>
  <c r="M35" i="60"/>
  <c r="N35" i="60"/>
  <c r="O35" i="60"/>
  <c r="F36" i="60"/>
  <c r="G36" i="60"/>
  <c r="H36" i="60"/>
  <c r="I36" i="60"/>
  <c r="J36" i="60"/>
  <c r="K36" i="60"/>
  <c r="L36" i="60"/>
  <c r="M36" i="60"/>
  <c r="N36" i="60"/>
  <c r="O36" i="60"/>
  <c r="F37" i="60"/>
  <c r="G37" i="60"/>
  <c r="H37" i="60"/>
  <c r="I37" i="60"/>
  <c r="J37" i="60"/>
  <c r="K37" i="60"/>
  <c r="L37" i="60"/>
  <c r="M37" i="60"/>
  <c r="N37" i="60"/>
  <c r="O37" i="60"/>
  <c r="F38" i="60"/>
  <c r="G38" i="60"/>
  <c r="H38" i="60"/>
  <c r="I38" i="60"/>
  <c r="J38" i="60"/>
  <c r="K38" i="60"/>
  <c r="L38" i="60"/>
  <c r="M38" i="60"/>
  <c r="N38" i="60"/>
  <c r="O38" i="60"/>
  <c r="F39" i="60"/>
  <c r="G39" i="60"/>
  <c r="H39" i="60"/>
  <c r="I39" i="60"/>
  <c r="J39" i="60"/>
  <c r="K39" i="60"/>
  <c r="L39" i="60"/>
  <c r="M39" i="60"/>
  <c r="N39" i="60"/>
  <c r="O39" i="60"/>
  <c r="F40" i="60"/>
  <c r="G40" i="60"/>
  <c r="H40" i="60"/>
  <c r="I40" i="60"/>
  <c r="J40" i="60"/>
  <c r="K40" i="60"/>
  <c r="L40" i="60"/>
  <c r="M40" i="60"/>
  <c r="N40" i="60"/>
  <c r="O40" i="60"/>
  <c r="F41" i="60"/>
  <c r="G41" i="60"/>
  <c r="H41" i="60"/>
  <c r="I41" i="60"/>
  <c r="J41" i="60"/>
  <c r="K41" i="60"/>
  <c r="L41" i="60"/>
  <c r="M41" i="60"/>
  <c r="N41" i="60"/>
  <c r="O41" i="60"/>
  <c r="F42" i="60"/>
  <c r="G42" i="60"/>
  <c r="H42" i="60"/>
  <c r="I42" i="60"/>
  <c r="J42" i="60"/>
  <c r="K42" i="60"/>
  <c r="L42" i="60"/>
  <c r="M42" i="60"/>
  <c r="N42" i="60"/>
  <c r="O42" i="60"/>
  <c r="F43" i="60"/>
  <c r="G43" i="60"/>
  <c r="H43" i="60"/>
  <c r="I43" i="60"/>
  <c r="J43" i="60"/>
  <c r="K43" i="60"/>
  <c r="L43" i="60"/>
  <c r="M43" i="60"/>
  <c r="N43" i="60"/>
  <c r="O43" i="60"/>
  <c r="F44" i="60"/>
  <c r="G44" i="60"/>
  <c r="H44" i="60"/>
  <c r="I44" i="60"/>
  <c r="J44" i="60"/>
  <c r="K44" i="60"/>
  <c r="L44" i="60"/>
  <c r="M44" i="60"/>
  <c r="N44" i="60"/>
  <c r="O44" i="60"/>
  <c r="F45" i="60"/>
  <c r="G45" i="60"/>
  <c r="H45" i="60"/>
  <c r="I45" i="60"/>
  <c r="J45" i="60"/>
  <c r="K45" i="60"/>
  <c r="L45" i="60"/>
  <c r="M45" i="60"/>
  <c r="N45" i="60"/>
  <c r="O45" i="60"/>
  <c r="F46" i="60"/>
  <c r="G46" i="60"/>
  <c r="H46" i="60"/>
  <c r="I46" i="60"/>
  <c r="J46" i="60"/>
  <c r="K46" i="60"/>
  <c r="L46" i="60"/>
  <c r="M46" i="60"/>
  <c r="N46" i="60"/>
  <c r="O46" i="60"/>
  <c r="F47" i="60"/>
  <c r="G47" i="60"/>
  <c r="H47" i="60"/>
  <c r="I47" i="60"/>
  <c r="J47" i="60"/>
  <c r="K47" i="60"/>
  <c r="L47" i="60"/>
  <c r="M47" i="60"/>
  <c r="N47" i="60"/>
  <c r="O47" i="60"/>
  <c r="F48" i="60"/>
  <c r="G48" i="60"/>
  <c r="H48" i="60"/>
  <c r="I48" i="60"/>
  <c r="J48" i="60"/>
  <c r="K48" i="60"/>
  <c r="L48" i="60"/>
  <c r="M48" i="60"/>
  <c r="N48" i="60"/>
  <c r="O48" i="60"/>
  <c r="F49" i="60"/>
  <c r="G49" i="60"/>
  <c r="H49" i="60"/>
  <c r="I49" i="60"/>
  <c r="J49" i="60"/>
  <c r="K49" i="60"/>
  <c r="L49" i="60"/>
  <c r="M49" i="60"/>
  <c r="N49" i="60"/>
  <c r="O49" i="60"/>
  <c r="F50" i="60"/>
  <c r="G50" i="60"/>
  <c r="H50" i="60"/>
  <c r="I50" i="60"/>
  <c r="J50" i="60"/>
  <c r="K50" i="60"/>
  <c r="L50" i="60"/>
  <c r="M50" i="60"/>
  <c r="N50" i="60"/>
  <c r="O50" i="60"/>
  <c r="F51" i="60"/>
  <c r="G51" i="60"/>
  <c r="H51" i="60"/>
  <c r="I51" i="60"/>
  <c r="J51" i="60"/>
  <c r="K51" i="60"/>
  <c r="L51" i="60"/>
  <c r="M51" i="60"/>
  <c r="N51" i="60"/>
  <c r="O51" i="60"/>
  <c r="F52" i="60"/>
  <c r="G52" i="60"/>
  <c r="H52" i="60"/>
  <c r="I52" i="60"/>
  <c r="J52" i="60"/>
  <c r="K52" i="60"/>
  <c r="L52" i="60"/>
  <c r="M52" i="60"/>
  <c r="N52" i="60"/>
  <c r="O52" i="60"/>
  <c r="F53" i="60"/>
  <c r="G53" i="60"/>
  <c r="H53" i="60"/>
  <c r="I53" i="60"/>
  <c r="J53" i="60"/>
  <c r="K53" i="60"/>
  <c r="L53" i="60"/>
  <c r="M53" i="60"/>
  <c r="N53" i="60"/>
  <c r="O53" i="60"/>
  <c r="F54" i="60"/>
  <c r="G54" i="60"/>
  <c r="H54" i="60"/>
  <c r="I54" i="60"/>
  <c r="J54" i="60"/>
  <c r="K54" i="60"/>
  <c r="L54" i="60"/>
  <c r="M54" i="60"/>
  <c r="N54" i="60"/>
  <c r="O54" i="60"/>
  <c r="F55" i="60"/>
  <c r="G55" i="60"/>
  <c r="H55" i="60"/>
  <c r="I55" i="60"/>
  <c r="J55" i="60"/>
  <c r="K55" i="60"/>
  <c r="L55" i="60"/>
  <c r="M55" i="60"/>
  <c r="N55" i="60"/>
  <c r="O55" i="60"/>
  <c r="F56" i="60"/>
  <c r="G56" i="60"/>
  <c r="H56" i="60"/>
  <c r="I56" i="60"/>
  <c r="J56" i="60"/>
  <c r="K56" i="60"/>
  <c r="L56" i="60"/>
  <c r="M56" i="60"/>
  <c r="N56" i="60"/>
  <c r="O56" i="60"/>
  <c r="F57" i="60"/>
  <c r="G57" i="60"/>
  <c r="H57" i="60"/>
  <c r="I57" i="60"/>
  <c r="J57" i="60"/>
  <c r="K57" i="60"/>
  <c r="L57" i="60"/>
  <c r="M57" i="60"/>
  <c r="N57" i="60"/>
  <c r="O57" i="60"/>
  <c r="F58" i="60"/>
  <c r="G58" i="60"/>
  <c r="H58" i="60"/>
  <c r="I58" i="60"/>
  <c r="J58" i="60"/>
  <c r="K58" i="60"/>
  <c r="L58" i="60"/>
  <c r="M58" i="60"/>
  <c r="N58" i="60"/>
  <c r="O58" i="60"/>
  <c r="F59" i="60"/>
  <c r="G59" i="60"/>
  <c r="H59" i="60"/>
  <c r="I59" i="60"/>
  <c r="J59" i="60"/>
  <c r="K59" i="60"/>
  <c r="L59" i="60"/>
  <c r="M59" i="60"/>
  <c r="N59" i="60"/>
  <c r="O59" i="60"/>
  <c r="F60" i="60"/>
  <c r="G60" i="60"/>
  <c r="H60" i="60"/>
  <c r="I60" i="60"/>
  <c r="J60" i="60"/>
  <c r="K60" i="60"/>
  <c r="L60" i="60"/>
  <c r="M60" i="60"/>
  <c r="N60" i="60"/>
  <c r="O60" i="60"/>
  <c r="F61" i="60"/>
  <c r="G61" i="60"/>
  <c r="H61" i="60"/>
  <c r="I61" i="60"/>
  <c r="J61" i="60"/>
  <c r="K61" i="60"/>
  <c r="L61" i="60"/>
  <c r="M61" i="60"/>
  <c r="N61" i="60"/>
  <c r="O61" i="60"/>
  <c r="F62" i="60"/>
  <c r="G62" i="60"/>
  <c r="H62" i="60"/>
  <c r="I62" i="60"/>
  <c r="J62" i="60"/>
  <c r="K62" i="60"/>
  <c r="L62" i="60"/>
  <c r="M62" i="60"/>
  <c r="N62" i="60"/>
  <c r="O62" i="60"/>
  <c r="F63" i="60"/>
  <c r="G63" i="60"/>
  <c r="H63" i="60"/>
  <c r="I63" i="60"/>
  <c r="J63" i="60"/>
  <c r="K63" i="60"/>
  <c r="L63" i="60"/>
  <c r="M63" i="60"/>
  <c r="N63" i="60"/>
  <c r="O63" i="60"/>
  <c r="F64" i="60"/>
  <c r="G64" i="60"/>
  <c r="H64" i="60"/>
  <c r="I64" i="60"/>
  <c r="J64" i="60"/>
  <c r="K64" i="60"/>
  <c r="L64" i="60"/>
  <c r="M64" i="60"/>
  <c r="N64" i="60"/>
  <c r="O64" i="60"/>
  <c r="F65" i="60"/>
  <c r="G65" i="60"/>
  <c r="H65" i="60"/>
  <c r="I65" i="60"/>
  <c r="J65" i="60"/>
  <c r="K65" i="60"/>
  <c r="L65" i="60"/>
  <c r="M65" i="60"/>
  <c r="N65" i="60"/>
  <c r="O65" i="60"/>
  <c r="F66" i="60"/>
  <c r="G66" i="60"/>
  <c r="H66" i="60"/>
  <c r="I66" i="60"/>
  <c r="J66" i="60"/>
  <c r="K66" i="60"/>
  <c r="L66" i="60"/>
  <c r="M66" i="60"/>
  <c r="N66" i="60"/>
  <c r="O66" i="60"/>
  <c r="F67" i="60"/>
  <c r="G67" i="60"/>
  <c r="H67" i="60"/>
  <c r="I67" i="60"/>
  <c r="J67" i="60"/>
  <c r="K67" i="60"/>
  <c r="L67" i="60"/>
  <c r="M67" i="60"/>
  <c r="N67" i="60"/>
  <c r="O67" i="60"/>
  <c r="F68" i="60"/>
  <c r="G68" i="60"/>
  <c r="H68" i="60"/>
  <c r="I68" i="60"/>
  <c r="J68" i="60"/>
  <c r="K68" i="60"/>
  <c r="L68" i="60"/>
  <c r="M68" i="60"/>
  <c r="N68" i="60"/>
  <c r="O68" i="60"/>
  <c r="F69" i="60"/>
  <c r="G69" i="60"/>
  <c r="H69" i="60"/>
  <c r="I69" i="60"/>
  <c r="J69" i="60"/>
  <c r="K69" i="60"/>
  <c r="L69" i="60"/>
  <c r="M69" i="60"/>
  <c r="N69" i="60"/>
  <c r="O69" i="60"/>
  <c r="F70" i="60"/>
  <c r="G70" i="60"/>
  <c r="H70" i="60"/>
  <c r="I70" i="60"/>
  <c r="J70" i="60"/>
  <c r="K70" i="60"/>
  <c r="L70" i="60"/>
  <c r="M70" i="60"/>
  <c r="N70" i="60"/>
  <c r="O70" i="60"/>
  <c r="F71" i="60"/>
  <c r="G71" i="60"/>
  <c r="H71" i="60"/>
  <c r="I71" i="60"/>
  <c r="J71" i="60"/>
  <c r="K71" i="60"/>
  <c r="L71" i="60"/>
  <c r="M71" i="60"/>
  <c r="N71" i="60"/>
  <c r="O71" i="60"/>
  <c r="F72" i="60"/>
  <c r="G72" i="60"/>
  <c r="H72" i="60"/>
  <c r="I72" i="60"/>
  <c r="J72" i="60"/>
  <c r="K72" i="60"/>
  <c r="L72" i="60"/>
  <c r="M72" i="60"/>
  <c r="N72" i="60"/>
  <c r="O72" i="60"/>
  <c r="F73" i="60"/>
  <c r="G73" i="60"/>
  <c r="H73" i="60"/>
  <c r="I73" i="60"/>
  <c r="J73" i="60"/>
  <c r="K73" i="60"/>
  <c r="L73" i="60"/>
  <c r="M73" i="60"/>
  <c r="N73" i="60"/>
  <c r="O73" i="60"/>
  <c r="F74" i="60"/>
  <c r="G74" i="60"/>
  <c r="H74" i="60"/>
  <c r="I74" i="60"/>
  <c r="J74" i="60"/>
  <c r="K74" i="60"/>
  <c r="L74" i="60"/>
  <c r="M74" i="60"/>
  <c r="N74" i="60"/>
  <c r="O74" i="60"/>
  <c r="F75" i="60"/>
  <c r="G75" i="60"/>
  <c r="H75" i="60"/>
  <c r="I75" i="60"/>
  <c r="J75" i="60"/>
  <c r="K75" i="60"/>
  <c r="L75" i="60"/>
  <c r="M75" i="60"/>
  <c r="N75" i="60"/>
  <c r="O75" i="60"/>
  <c r="F76" i="60"/>
  <c r="G76" i="60"/>
  <c r="H76" i="60"/>
  <c r="I76" i="60"/>
  <c r="J76" i="60"/>
  <c r="K76" i="60"/>
  <c r="L76" i="60"/>
  <c r="M76" i="60"/>
  <c r="N76" i="60"/>
  <c r="O76" i="60"/>
  <c r="F77" i="60"/>
  <c r="G77" i="60"/>
  <c r="H77" i="60"/>
  <c r="I77" i="60"/>
  <c r="J77" i="60"/>
  <c r="K77" i="60"/>
  <c r="L77" i="60"/>
  <c r="M77" i="60"/>
  <c r="N77" i="60"/>
  <c r="O77" i="60"/>
  <c r="F78" i="60"/>
  <c r="G78" i="60"/>
  <c r="H78" i="60"/>
  <c r="I78" i="60"/>
  <c r="J78" i="60"/>
  <c r="K78" i="60"/>
  <c r="L78" i="60"/>
  <c r="M78" i="60"/>
  <c r="N78" i="60"/>
  <c r="O78" i="60"/>
  <c r="F79" i="60"/>
  <c r="G79" i="60"/>
  <c r="H79" i="60"/>
  <c r="I79" i="60"/>
  <c r="J79" i="60"/>
  <c r="K79" i="60"/>
  <c r="L79" i="60"/>
  <c r="M79" i="60"/>
  <c r="N79" i="60"/>
  <c r="O79" i="60"/>
  <c r="G34" i="60"/>
  <c r="H34" i="60"/>
  <c r="I34" i="60"/>
  <c r="J34" i="60"/>
  <c r="K34" i="60"/>
  <c r="L34" i="60"/>
  <c r="M34" i="60"/>
  <c r="N34" i="60"/>
  <c r="O34" i="60"/>
  <c r="F34" i="60"/>
  <c r="G83" i="58"/>
  <c r="H83" i="58"/>
  <c r="I83" i="58"/>
  <c r="J83" i="58"/>
  <c r="K83" i="58"/>
  <c r="L83" i="58"/>
  <c r="M83" i="58"/>
  <c r="N83" i="58"/>
  <c r="F83" i="58"/>
  <c r="F34" i="58"/>
  <c r="G34" i="58"/>
  <c r="H34" i="58"/>
  <c r="I34" i="58"/>
  <c r="J34" i="58"/>
  <c r="K34" i="58"/>
  <c r="L34" i="58"/>
  <c r="M34" i="58"/>
  <c r="N34" i="58"/>
  <c r="F35" i="58"/>
  <c r="G35" i="58"/>
  <c r="H35" i="58"/>
  <c r="I35" i="58"/>
  <c r="J35" i="58"/>
  <c r="K35" i="58"/>
  <c r="L35" i="58"/>
  <c r="M35" i="58"/>
  <c r="N35" i="58"/>
  <c r="F36" i="58"/>
  <c r="G36" i="58"/>
  <c r="H36" i="58"/>
  <c r="I36" i="58"/>
  <c r="J36" i="58"/>
  <c r="K36" i="58"/>
  <c r="L36" i="58"/>
  <c r="M36" i="58"/>
  <c r="N36" i="58"/>
  <c r="F37" i="58"/>
  <c r="G37" i="58"/>
  <c r="H37" i="58"/>
  <c r="I37" i="58"/>
  <c r="J37" i="58"/>
  <c r="K37" i="58"/>
  <c r="L37" i="58"/>
  <c r="M37" i="58"/>
  <c r="N37" i="58"/>
  <c r="F38" i="58"/>
  <c r="G38" i="58"/>
  <c r="H38" i="58"/>
  <c r="I38" i="58"/>
  <c r="J38" i="58"/>
  <c r="K38" i="58"/>
  <c r="L38" i="58"/>
  <c r="M38" i="58"/>
  <c r="N38" i="58"/>
  <c r="F39" i="58"/>
  <c r="G39" i="58"/>
  <c r="H39" i="58"/>
  <c r="I39" i="58"/>
  <c r="J39" i="58"/>
  <c r="K39" i="58"/>
  <c r="L39" i="58"/>
  <c r="M39" i="58"/>
  <c r="N39" i="58"/>
  <c r="F40" i="58"/>
  <c r="G40" i="58"/>
  <c r="H40" i="58"/>
  <c r="I40" i="58"/>
  <c r="J40" i="58"/>
  <c r="K40" i="58"/>
  <c r="L40" i="58"/>
  <c r="M40" i="58"/>
  <c r="N40" i="58"/>
  <c r="F41" i="58"/>
  <c r="G41" i="58"/>
  <c r="H41" i="58"/>
  <c r="I41" i="58"/>
  <c r="J41" i="58"/>
  <c r="K41" i="58"/>
  <c r="L41" i="58"/>
  <c r="M41" i="58"/>
  <c r="N41" i="58"/>
  <c r="F42" i="58"/>
  <c r="G42" i="58"/>
  <c r="H42" i="58"/>
  <c r="I42" i="58"/>
  <c r="J42" i="58"/>
  <c r="K42" i="58"/>
  <c r="L42" i="58"/>
  <c r="M42" i="58"/>
  <c r="N42" i="58"/>
  <c r="F43" i="58"/>
  <c r="G43" i="58"/>
  <c r="H43" i="58"/>
  <c r="I43" i="58"/>
  <c r="J43" i="58"/>
  <c r="K43" i="58"/>
  <c r="L43" i="58"/>
  <c r="M43" i="58"/>
  <c r="N43" i="58"/>
  <c r="F44" i="58"/>
  <c r="G44" i="58"/>
  <c r="H44" i="58"/>
  <c r="I44" i="58"/>
  <c r="J44" i="58"/>
  <c r="K44" i="58"/>
  <c r="L44" i="58"/>
  <c r="M44" i="58"/>
  <c r="N44" i="58"/>
  <c r="F45" i="58"/>
  <c r="G45" i="58"/>
  <c r="H45" i="58"/>
  <c r="I45" i="58"/>
  <c r="J45" i="58"/>
  <c r="K45" i="58"/>
  <c r="L45" i="58"/>
  <c r="M45" i="58"/>
  <c r="N45" i="58"/>
  <c r="F46" i="58"/>
  <c r="G46" i="58"/>
  <c r="H46" i="58"/>
  <c r="I46" i="58"/>
  <c r="J46" i="58"/>
  <c r="K46" i="58"/>
  <c r="L46" i="58"/>
  <c r="M46" i="58"/>
  <c r="N46" i="58"/>
  <c r="F47" i="58"/>
  <c r="G47" i="58"/>
  <c r="H47" i="58"/>
  <c r="I47" i="58"/>
  <c r="J47" i="58"/>
  <c r="K47" i="58"/>
  <c r="L47" i="58"/>
  <c r="M47" i="58"/>
  <c r="N47" i="58"/>
  <c r="F48" i="58"/>
  <c r="G48" i="58"/>
  <c r="H48" i="58"/>
  <c r="I48" i="58"/>
  <c r="J48" i="58"/>
  <c r="K48" i="58"/>
  <c r="L48" i="58"/>
  <c r="M48" i="58"/>
  <c r="N48" i="58"/>
  <c r="F49" i="58"/>
  <c r="G49" i="58"/>
  <c r="H49" i="58"/>
  <c r="I49" i="58"/>
  <c r="J49" i="58"/>
  <c r="K49" i="58"/>
  <c r="L49" i="58"/>
  <c r="M49" i="58"/>
  <c r="N49" i="58"/>
  <c r="F50" i="58"/>
  <c r="G50" i="58"/>
  <c r="H50" i="58"/>
  <c r="I50" i="58"/>
  <c r="J50" i="58"/>
  <c r="K50" i="58"/>
  <c r="L50" i="58"/>
  <c r="M50" i="58"/>
  <c r="N50" i="58"/>
  <c r="F51" i="58"/>
  <c r="G51" i="58"/>
  <c r="H51" i="58"/>
  <c r="I51" i="58"/>
  <c r="J51" i="58"/>
  <c r="K51" i="58"/>
  <c r="L51" i="58"/>
  <c r="M51" i="58"/>
  <c r="N51" i="58"/>
  <c r="F52" i="58"/>
  <c r="G52" i="58"/>
  <c r="H52" i="58"/>
  <c r="I52" i="58"/>
  <c r="J52" i="58"/>
  <c r="K52" i="58"/>
  <c r="L52" i="58"/>
  <c r="M52" i="58"/>
  <c r="N52" i="58"/>
  <c r="F53" i="58"/>
  <c r="G53" i="58"/>
  <c r="H53" i="58"/>
  <c r="I53" i="58"/>
  <c r="J53" i="58"/>
  <c r="K53" i="58"/>
  <c r="L53" i="58"/>
  <c r="M53" i="58"/>
  <c r="N53" i="58"/>
  <c r="F54" i="58"/>
  <c r="G54" i="58"/>
  <c r="H54" i="58"/>
  <c r="I54" i="58"/>
  <c r="J54" i="58"/>
  <c r="K54" i="58"/>
  <c r="L54" i="58"/>
  <c r="M54" i="58"/>
  <c r="N54" i="58"/>
  <c r="F55" i="58"/>
  <c r="G55" i="58"/>
  <c r="H55" i="58"/>
  <c r="I55" i="58"/>
  <c r="J55" i="58"/>
  <c r="K55" i="58"/>
  <c r="L55" i="58"/>
  <c r="M55" i="58"/>
  <c r="N55" i="58"/>
  <c r="F56" i="58"/>
  <c r="G56" i="58"/>
  <c r="H56" i="58"/>
  <c r="I56" i="58"/>
  <c r="J56" i="58"/>
  <c r="K56" i="58"/>
  <c r="L56" i="58"/>
  <c r="M56" i="58"/>
  <c r="N56" i="58"/>
  <c r="F57" i="58"/>
  <c r="G57" i="58"/>
  <c r="H57" i="58"/>
  <c r="I57" i="58"/>
  <c r="J57" i="58"/>
  <c r="K57" i="58"/>
  <c r="L57" i="58"/>
  <c r="M57" i="58"/>
  <c r="N57" i="58"/>
  <c r="F58" i="58"/>
  <c r="G58" i="58"/>
  <c r="H58" i="58"/>
  <c r="I58" i="58"/>
  <c r="J58" i="58"/>
  <c r="K58" i="58"/>
  <c r="L58" i="58"/>
  <c r="M58" i="58"/>
  <c r="N58" i="58"/>
  <c r="F59" i="58"/>
  <c r="G59" i="58"/>
  <c r="H59" i="58"/>
  <c r="I59" i="58"/>
  <c r="J59" i="58"/>
  <c r="K59" i="58"/>
  <c r="L59" i="58"/>
  <c r="M59" i="58"/>
  <c r="N59" i="58"/>
  <c r="F60" i="58"/>
  <c r="G60" i="58"/>
  <c r="H60" i="58"/>
  <c r="I60" i="58"/>
  <c r="J60" i="58"/>
  <c r="K60" i="58"/>
  <c r="L60" i="58"/>
  <c r="M60" i="58"/>
  <c r="N60" i="58"/>
  <c r="F61" i="58"/>
  <c r="G61" i="58"/>
  <c r="H61" i="58"/>
  <c r="I61" i="58"/>
  <c r="J61" i="58"/>
  <c r="K61" i="58"/>
  <c r="L61" i="58"/>
  <c r="M61" i="58"/>
  <c r="N61" i="58"/>
  <c r="F62" i="58"/>
  <c r="G62" i="58"/>
  <c r="H62" i="58"/>
  <c r="I62" i="58"/>
  <c r="J62" i="58"/>
  <c r="K62" i="58"/>
  <c r="L62" i="58"/>
  <c r="M62" i="58"/>
  <c r="N62" i="58"/>
  <c r="F63" i="58"/>
  <c r="G63" i="58"/>
  <c r="H63" i="58"/>
  <c r="I63" i="58"/>
  <c r="J63" i="58"/>
  <c r="K63" i="58"/>
  <c r="L63" i="58"/>
  <c r="M63" i="58"/>
  <c r="N63" i="58"/>
  <c r="F64" i="58"/>
  <c r="G64" i="58"/>
  <c r="H64" i="58"/>
  <c r="I64" i="58"/>
  <c r="J64" i="58"/>
  <c r="K64" i="58"/>
  <c r="L64" i="58"/>
  <c r="M64" i="58"/>
  <c r="N64" i="58"/>
  <c r="F65" i="58"/>
  <c r="G65" i="58"/>
  <c r="H65" i="58"/>
  <c r="I65" i="58"/>
  <c r="J65" i="58"/>
  <c r="K65" i="58"/>
  <c r="L65" i="58"/>
  <c r="M65" i="58"/>
  <c r="N65" i="58"/>
  <c r="F66" i="58"/>
  <c r="G66" i="58"/>
  <c r="H66" i="58"/>
  <c r="I66" i="58"/>
  <c r="J66" i="58"/>
  <c r="K66" i="58"/>
  <c r="L66" i="58"/>
  <c r="M66" i="58"/>
  <c r="N66" i="58"/>
  <c r="F67" i="58"/>
  <c r="G67" i="58"/>
  <c r="H67" i="58"/>
  <c r="I67" i="58"/>
  <c r="J67" i="58"/>
  <c r="K67" i="58"/>
  <c r="L67" i="58"/>
  <c r="M67" i="58"/>
  <c r="N67" i="58"/>
  <c r="F68" i="58"/>
  <c r="G68" i="58"/>
  <c r="H68" i="58"/>
  <c r="I68" i="58"/>
  <c r="J68" i="58"/>
  <c r="K68" i="58"/>
  <c r="L68" i="58"/>
  <c r="M68" i="58"/>
  <c r="N68" i="58"/>
  <c r="F69" i="58"/>
  <c r="G69" i="58"/>
  <c r="H69" i="58"/>
  <c r="I69" i="58"/>
  <c r="J69" i="58"/>
  <c r="K69" i="58"/>
  <c r="L69" i="58"/>
  <c r="M69" i="58"/>
  <c r="N69" i="58"/>
  <c r="F70" i="58"/>
  <c r="G70" i="58"/>
  <c r="H70" i="58"/>
  <c r="I70" i="58"/>
  <c r="J70" i="58"/>
  <c r="K70" i="58"/>
  <c r="L70" i="58"/>
  <c r="M70" i="58"/>
  <c r="N70" i="58"/>
  <c r="F71" i="58"/>
  <c r="G71" i="58"/>
  <c r="H71" i="58"/>
  <c r="I71" i="58"/>
  <c r="J71" i="58"/>
  <c r="K71" i="58"/>
  <c r="L71" i="58"/>
  <c r="M71" i="58"/>
  <c r="N71" i="58"/>
  <c r="F72" i="58"/>
  <c r="G72" i="58"/>
  <c r="H72" i="58"/>
  <c r="I72" i="58"/>
  <c r="J72" i="58"/>
  <c r="K72" i="58"/>
  <c r="L72" i="58"/>
  <c r="M72" i="58"/>
  <c r="N72" i="58"/>
  <c r="F73" i="58"/>
  <c r="G73" i="58"/>
  <c r="H73" i="58"/>
  <c r="I73" i="58"/>
  <c r="J73" i="58"/>
  <c r="K73" i="58"/>
  <c r="L73" i="58"/>
  <c r="M73" i="58"/>
  <c r="N73" i="58"/>
  <c r="F74" i="58"/>
  <c r="G74" i="58"/>
  <c r="H74" i="58"/>
  <c r="I74" i="58"/>
  <c r="J74" i="58"/>
  <c r="K74" i="58"/>
  <c r="L74" i="58"/>
  <c r="M74" i="58"/>
  <c r="N74" i="58"/>
  <c r="F75" i="58"/>
  <c r="G75" i="58"/>
  <c r="H75" i="58"/>
  <c r="I75" i="58"/>
  <c r="J75" i="58"/>
  <c r="K75" i="58"/>
  <c r="L75" i="58"/>
  <c r="M75" i="58"/>
  <c r="N75" i="58"/>
  <c r="F76" i="58"/>
  <c r="G76" i="58"/>
  <c r="H76" i="58"/>
  <c r="I76" i="58"/>
  <c r="J76" i="58"/>
  <c r="K76" i="58"/>
  <c r="L76" i="58"/>
  <c r="M76" i="58"/>
  <c r="N76" i="58"/>
  <c r="F77" i="58"/>
  <c r="G77" i="58"/>
  <c r="H77" i="58"/>
  <c r="I77" i="58"/>
  <c r="J77" i="58"/>
  <c r="K77" i="58"/>
  <c r="L77" i="58"/>
  <c r="M77" i="58"/>
  <c r="N77" i="58"/>
  <c r="F78" i="58"/>
  <c r="G78" i="58"/>
  <c r="H78" i="58"/>
  <c r="I78" i="58"/>
  <c r="J78" i="58"/>
  <c r="K78" i="58"/>
  <c r="L78" i="58"/>
  <c r="M78" i="58"/>
  <c r="N78" i="58"/>
  <c r="F79" i="58"/>
  <c r="G79" i="58"/>
  <c r="H79" i="58"/>
  <c r="I79" i="58"/>
  <c r="J79" i="58"/>
  <c r="K79" i="58"/>
  <c r="L79" i="58"/>
  <c r="M79" i="58"/>
  <c r="N79" i="58"/>
  <c r="F80" i="58"/>
  <c r="G80" i="58"/>
  <c r="H80" i="58"/>
  <c r="I80" i="58"/>
  <c r="J80" i="58"/>
  <c r="K80" i="58"/>
  <c r="L80" i="58"/>
  <c r="M80" i="58"/>
  <c r="N80" i="58"/>
  <c r="F81" i="58"/>
  <c r="G81" i="58"/>
  <c r="H81" i="58"/>
  <c r="I81" i="58"/>
  <c r="J81" i="58"/>
  <c r="K81" i="58"/>
  <c r="L81" i="58"/>
  <c r="M81" i="58"/>
  <c r="N81" i="58"/>
  <c r="G33" i="58"/>
  <c r="H33" i="58"/>
  <c r="I33" i="58"/>
  <c r="J33" i="58"/>
  <c r="K33" i="58"/>
  <c r="L33" i="58"/>
  <c r="M33" i="58"/>
  <c r="N33" i="58"/>
  <c r="F33" i="58"/>
  <c r="J87" i="52"/>
  <c r="K87" i="52"/>
  <c r="L87" i="52"/>
  <c r="M87" i="52"/>
  <c r="N87" i="52"/>
  <c r="O87" i="52"/>
  <c r="P87" i="52"/>
  <c r="Q87" i="52"/>
  <c r="R87" i="52"/>
  <c r="I87" i="52"/>
  <c r="K47" i="52"/>
  <c r="I38" i="52"/>
  <c r="J38" i="52"/>
  <c r="K38" i="52"/>
  <c r="L38" i="52"/>
  <c r="M38" i="52"/>
  <c r="N38" i="52"/>
  <c r="O38" i="52"/>
  <c r="P38" i="52"/>
  <c r="Q38" i="52"/>
  <c r="R38" i="52"/>
  <c r="I39" i="52"/>
  <c r="J39" i="52"/>
  <c r="K39" i="52"/>
  <c r="L39" i="52"/>
  <c r="M39" i="52"/>
  <c r="N39" i="52"/>
  <c r="O39" i="52"/>
  <c r="P39" i="52"/>
  <c r="Q39" i="52"/>
  <c r="R39" i="52"/>
  <c r="I40" i="52"/>
  <c r="J40" i="52"/>
  <c r="K40" i="52"/>
  <c r="L40" i="52"/>
  <c r="M40" i="52"/>
  <c r="N40" i="52"/>
  <c r="O40" i="52"/>
  <c r="P40" i="52"/>
  <c r="Q40" i="52"/>
  <c r="R40" i="52"/>
  <c r="I41" i="52"/>
  <c r="J41" i="52"/>
  <c r="K41" i="52"/>
  <c r="L41" i="52"/>
  <c r="M41" i="52"/>
  <c r="N41" i="52"/>
  <c r="O41" i="52"/>
  <c r="P41" i="52"/>
  <c r="Q41" i="52"/>
  <c r="R41" i="52"/>
  <c r="I42" i="52"/>
  <c r="J42" i="52"/>
  <c r="K42" i="52"/>
  <c r="L42" i="52"/>
  <c r="M42" i="52"/>
  <c r="N42" i="52"/>
  <c r="O42" i="52"/>
  <c r="P42" i="52"/>
  <c r="Q42" i="52"/>
  <c r="R42" i="52"/>
  <c r="I43" i="52"/>
  <c r="J43" i="52"/>
  <c r="K43" i="52"/>
  <c r="L43" i="52"/>
  <c r="M43" i="52"/>
  <c r="N43" i="52"/>
  <c r="O43" i="52"/>
  <c r="P43" i="52"/>
  <c r="Q43" i="52"/>
  <c r="R43" i="52"/>
  <c r="I44" i="52"/>
  <c r="J44" i="52"/>
  <c r="K44" i="52"/>
  <c r="L44" i="52"/>
  <c r="M44" i="52"/>
  <c r="N44" i="52"/>
  <c r="O44" i="52"/>
  <c r="P44" i="52"/>
  <c r="Q44" i="52"/>
  <c r="R44" i="52"/>
  <c r="I45" i="52"/>
  <c r="J45" i="52"/>
  <c r="K45" i="52"/>
  <c r="L45" i="52"/>
  <c r="M45" i="52"/>
  <c r="N45" i="52"/>
  <c r="O45" i="52"/>
  <c r="P45" i="52"/>
  <c r="Q45" i="52"/>
  <c r="R45" i="52"/>
  <c r="I46" i="52"/>
  <c r="J46" i="52"/>
  <c r="K46" i="52"/>
  <c r="L46" i="52"/>
  <c r="M46" i="52"/>
  <c r="N46" i="52"/>
  <c r="O46" i="52"/>
  <c r="P46" i="52"/>
  <c r="Q46" i="52"/>
  <c r="R46" i="52"/>
  <c r="I47" i="52"/>
  <c r="J47" i="52"/>
  <c r="L47" i="52"/>
  <c r="M47" i="52"/>
  <c r="N47" i="52"/>
  <c r="O47" i="52"/>
  <c r="P47" i="52"/>
  <c r="Q47" i="52"/>
  <c r="R47" i="52"/>
  <c r="I48" i="52"/>
  <c r="J48" i="52"/>
  <c r="K48" i="52"/>
  <c r="L48" i="52"/>
  <c r="M48" i="52"/>
  <c r="N48" i="52"/>
  <c r="O48" i="52"/>
  <c r="P48" i="52"/>
  <c r="Q48" i="52"/>
  <c r="R48" i="52"/>
  <c r="I49" i="52"/>
  <c r="J49" i="52"/>
  <c r="K49" i="52"/>
  <c r="L49" i="52"/>
  <c r="M49" i="52"/>
  <c r="N49" i="52"/>
  <c r="O49" i="52"/>
  <c r="P49" i="52"/>
  <c r="Q49" i="52"/>
  <c r="R49" i="52"/>
  <c r="I50" i="52"/>
  <c r="J50" i="52"/>
  <c r="K50" i="52"/>
  <c r="L50" i="52"/>
  <c r="M50" i="52"/>
  <c r="N50" i="52"/>
  <c r="O50" i="52"/>
  <c r="P50" i="52"/>
  <c r="Q50" i="52"/>
  <c r="R50" i="52"/>
  <c r="I51" i="52"/>
  <c r="J51" i="52"/>
  <c r="K51" i="52"/>
  <c r="L51" i="52"/>
  <c r="M51" i="52"/>
  <c r="N51" i="52"/>
  <c r="O51" i="52"/>
  <c r="P51" i="52"/>
  <c r="Q51" i="52"/>
  <c r="R51" i="52"/>
  <c r="I52" i="52"/>
  <c r="J52" i="52"/>
  <c r="K52" i="52"/>
  <c r="L52" i="52"/>
  <c r="M52" i="52"/>
  <c r="N52" i="52"/>
  <c r="O52" i="52"/>
  <c r="P52" i="52"/>
  <c r="Q52" i="52"/>
  <c r="R52" i="52"/>
  <c r="I53" i="52"/>
  <c r="J53" i="52"/>
  <c r="K53" i="52"/>
  <c r="L53" i="52"/>
  <c r="M53" i="52"/>
  <c r="N53" i="52"/>
  <c r="O53" i="52"/>
  <c r="P53" i="52"/>
  <c r="Q53" i="52"/>
  <c r="R53" i="52"/>
  <c r="I54" i="52"/>
  <c r="J54" i="52"/>
  <c r="K54" i="52"/>
  <c r="L54" i="52"/>
  <c r="M54" i="52"/>
  <c r="N54" i="52"/>
  <c r="O54" i="52"/>
  <c r="P54" i="52"/>
  <c r="Q54" i="52"/>
  <c r="R54" i="52"/>
  <c r="I55" i="52"/>
  <c r="J55" i="52"/>
  <c r="K55" i="52"/>
  <c r="L55" i="52"/>
  <c r="M55" i="52"/>
  <c r="N55" i="52"/>
  <c r="O55" i="52"/>
  <c r="P55" i="52"/>
  <c r="Q55" i="52"/>
  <c r="R55" i="52"/>
  <c r="I56" i="52"/>
  <c r="J56" i="52"/>
  <c r="K56" i="52"/>
  <c r="L56" i="52"/>
  <c r="M56" i="52"/>
  <c r="N56" i="52"/>
  <c r="O56" i="52"/>
  <c r="P56" i="52"/>
  <c r="Q56" i="52"/>
  <c r="R56" i="52"/>
  <c r="I57" i="52"/>
  <c r="J57" i="52"/>
  <c r="K57" i="52"/>
  <c r="L57" i="52"/>
  <c r="M57" i="52"/>
  <c r="N57" i="52"/>
  <c r="O57" i="52"/>
  <c r="P57" i="52"/>
  <c r="Q57" i="52"/>
  <c r="R57" i="52"/>
  <c r="I58" i="52"/>
  <c r="J58" i="52"/>
  <c r="K58" i="52"/>
  <c r="L58" i="52"/>
  <c r="M58" i="52"/>
  <c r="N58" i="52"/>
  <c r="O58" i="52"/>
  <c r="P58" i="52"/>
  <c r="Q58" i="52"/>
  <c r="R58" i="52"/>
  <c r="I59" i="52"/>
  <c r="J59" i="52"/>
  <c r="K59" i="52"/>
  <c r="L59" i="52"/>
  <c r="M59" i="52"/>
  <c r="N59" i="52"/>
  <c r="O59" i="52"/>
  <c r="P59" i="52"/>
  <c r="Q59" i="52"/>
  <c r="R59" i="52"/>
  <c r="I60" i="52"/>
  <c r="J60" i="52"/>
  <c r="K60" i="52"/>
  <c r="L60" i="52"/>
  <c r="M60" i="52"/>
  <c r="N60" i="52"/>
  <c r="O60" i="52"/>
  <c r="P60" i="52"/>
  <c r="Q60" i="52"/>
  <c r="R60" i="52"/>
  <c r="I61" i="52"/>
  <c r="J61" i="52"/>
  <c r="K61" i="52"/>
  <c r="L61" i="52"/>
  <c r="M61" i="52"/>
  <c r="N61" i="52"/>
  <c r="O61" i="52"/>
  <c r="P61" i="52"/>
  <c r="Q61" i="52"/>
  <c r="R61" i="52"/>
  <c r="I62" i="52"/>
  <c r="J62" i="52"/>
  <c r="K62" i="52"/>
  <c r="L62" i="52"/>
  <c r="M62" i="52"/>
  <c r="N62" i="52"/>
  <c r="O62" i="52"/>
  <c r="P62" i="52"/>
  <c r="Q62" i="52"/>
  <c r="R62" i="52"/>
  <c r="I63" i="52"/>
  <c r="J63" i="52"/>
  <c r="K63" i="52"/>
  <c r="L63" i="52"/>
  <c r="M63" i="52"/>
  <c r="N63" i="52"/>
  <c r="O63" i="52"/>
  <c r="P63" i="52"/>
  <c r="Q63" i="52"/>
  <c r="R63" i="52"/>
  <c r="I64" i="52"/>
  <c r="J64" i="52"/>
  <c r="K64" i="52"/>
  <c r="L64" i="52"/>
  <c r="M64" i="52"/>
  <c r="N64" i="52"/>
  <c r="O64" i="52"/>
  <c r="P64" i="52"/>
  <c r="Q64" i="52"/>
  <c r="R64" i="52"/>
  <c r="I65" i="52"/>
  <c r="J65" i="52"/>
  <c r="K65" i="52"/>
  <c r="L65" i="52"/>
  <c r="M65" i="52"/>
  <c r="N65" i="52"/>
  <c r="O65" i="52"/>
  <c r="P65" i="52"/>
  <c r="Q65" i="52"/>
  <c r="R65" i="52"/>
  <c r="I66" i="52"/>
  <c r="J66" i="52"/>
  <c r="K66" i="52"/>
  <c r="L66" i="52"/>
  <c r="M66" i="52"/>
  <c r="N66" i="52"/>
  <c r="O66" i="52"/>
  <c r="P66" i="52"/>
  <c r="Q66" i="52"/>
  <c r="R66" i="52"/>
  <c r="I67" i="52"/>
  <c r="J67" i="52"/>
  <c r="K67" i="52"/>
  <c r="L67" i="52"/>
  <c r="M67" i="52"/>
  <c r="N67" i="52"/>
  <c r="O67" i="52"/>
  <c r="P67" i="52"/>
  <c r="Q67" i="52"/>
  <c r="R67" i="52"/>
  <c r="I68" i="52"/>
  <c r="J68" i="52"/>
  <c r="K68" i="52"/>
  <c r="L68" i="52"/>
  <c r="M68" i="52"/>
  <c r="N68" i="52"/>
  <c r="O68" i="52"/>
  <c r="P68" i="52"/>
  <c r="Q68" i="52"/>
  <c r="R68" i="52"/>
  <c r="I69" i="52"/>
  <c r="J69" i="52"/>
  <c r="K69" i="52"/>
  <c r="L69" i="52"/>
  <c r="M69" i="52"/>
  <c r="N69" i="52"/>
  <c r="O69" i="52"/>
  <c r="P69" i="52"/>
  <c r="Q69" i="52"/>
  <c r="R69" i="52"/>
  <c r="I70" i="52"/>
  <c r="J70" i="52"/>
  <c r="K70" i="52"/>
  <c r="L70" i="52"/>
  <c r="M70" i="52"/>
  <c r="N70" i="52"/>
  <c r="O70" i="52"/>
  <c r="P70" i="52"/>
  <c r="Q70" i="52"/>
  <c r="R70" i="52"/>
  <c r="I71" i="52"/>
  <c r="J71" i="52"/>
  <c r="K71" i="52"/>
  <c r="L71" i="52"/>
  <c r="M71" i="52"/>
  <c r="N71" i="52"/>
  <c r="O71" i="52"/>
  <c r="P71" i="52"/>
  <c r="Q71" i="52"/>
  <c r="R71" i="52"/>
  <c r="I72" i="52"/>
  <c r="J72" i="52"/>
  <c r="K72" i="52"/>
  <c r="L72" i="52"/>
  <c r="M72" i="52"/>
  <c r="N72" i="52"/>
  <c r="O72" i="52"/>
  <c r="P72" i="52"/>
  <c r="Q72" i="52"/>
  <c r="R72" i="52"/>
  <c r="I73" i="52"/>
  <c r="J73" i="52"/>
  <c r="K73" i="52"/>
  <c r="L73" i="52"/>
  <c r="M73" i="52"/>
  <c r="N73" i="52"/>
  <c r="O73" i="52"/>
  <c r="P73" i="52"/>
  <c r="Q73" i="52"/>
  <c r="R73" i="52"/>
  <c r="I74" i="52"/>
  <c r="J74" i="52"/>
  <c r="K74" i="52"/>
  <c r="L74" i="52"/>
  <c r="M74" i="52"/>
  <c r="N74" i="52"/>
  <c r="O74" i="52"/>
  <c r="P74" i="52"/>
  <c r="Q74" i="52"/>
  <c r="R74" i="52"/>
  <c r="I75" i="52"/>
  <c r="J75" i="52"/>
  <c r="K75" i="52"/>
  <c r="L75" i="52"/>
  <c r="M75" i="52"/>
  <c r="N75" i="52"/>
  <c r="O75" i="52"/>
  <c r="P75" i="52"/>
  <c r="Q75" i="52"/>
  <c r="R75" i="52"/>
  <c r="I76" i="52"/>
  <c r="J76" i="52"/>
  <c r="K76" i="52"/>
  <c r="L76" i="52"/>
  <c r="M76" i="52"/>
  <c r="N76" i="52"/>
  <c r="O76" i="52"/>
  <c r="P76" i="52"/>
  <c r="Q76" i="52"/>
  <c r="R76" i="52"/>
  <c r="I77" i="52"/>
  <c r="J77" i="52"/>
  <c r="K77" i="52"/>
  <c r="L77" i="52"/>
  <c r="M77" i="52"/>
  <c r="N77" i="52"/>
  <c r="O77" i="52"/>
  <c r="P77" i="52"/>
  <c r="Q77" i="52"/>
  <c r="R77" i="52"/>
  <c r="I78" i="52"/>
  <c r="J78" i="52"/>
  <c r="K78" i="52"/>
  <c r="L78" i="52"/>
  <c r="M78" i="52"/>
  <c r="N78" i="52"/>
  <c r="O78" i="52"/>
  <c r="P78" i="52"/>
  <c r="Q78" i="52"/>
  <c r="R78" i="52"/>
  <c r="I79" i="52"/>
  <c r="J79" i="52"/>
  <c r="K79" i="52"/>
  <c r="L79" i="52"/>
  <c r="M79" i="52"/>
  <c r="N79" i="52"/>
  <c r="O79" i="52"/>
  <c r="P79" i="52"/>
  <c r="Q79" i="52"/>
  <c r="R79" i="52"/>
  <c r="I80" i="52"/>
  <c r="J80" i="52"/>
  <c r="K80" i="52"/>
  <c r="L80" i="52"/>
  <c r="M80" i="52"/>
  <c r="N80" i="52"/>
  <c r="O80" i="52"/>
  <c r="P80" i="52"/>
  <c r="Q80" i="52"/>
  <c r="R80" i="52"/>
  <c r="I81" i="52"/>
  <c r="J81" i="52"/>
  <c r="K81" i="52"/>
  <c r="L81" i="52"/>
  <c r="M81" i="52"/>
  <c r="N81" i="52"/>
  <c r="O81" i="52"/>
  <c r="P81" i="52"/>
  <c r="Q81" i="52"/>
  <c r="R81" i="52"/>
  <c r="I82" i="52"/>
  <c r="J82" i="52"/>
  <c r="K82" i="52"/>
  <c r="L82" i="52"/>
  <c r="M82" i="52"/>
  <c r="N82" i="52"/>
  <c r="O82" i="52"/>
  <c r="P82" i="52"/>
  <c r="Q82" i="52"/>
  <c r="R82" i="52"/>
  <c r="I83" i="52"/>
  <c r="J83" i="52"/>
  <c r="K83" i="52"/>
  <c r="L83" i="52"/>
  <c r="M83" i="52"/>
  <c r="N83" i="52"/>
  <c r="O83" i="52"/>
  <c r="P83" i="52"/>
  <c r="Q83" i="52"/>
  <c r="R83" i="52"/>
  <c r="I84" i="52"/>
  <c r="J84" i="52"/>
  <c r="K84" i="52"/>
  <c r="L84" i="52"/>
  <c r="M84" i="52"/>
  <c r="N84" i="52"/>
  <c r="O84" i="52"/>
  <c r="P84" i="52"/>
  <c r="Q84" i="52"/>
  <c r="R84" i="52"/>
  <c r="I85" i="52"/>
  <c r="J85" i="52"/>
  <c r="K85" i="52"/>
  <c r="L85" i="52"/>
  <c r="M85" i="52"/>
  <c r="N85" i="52"/>
  <c r="O85" i="52"/>
  <c r="P85" i="52"/>
  <c r="Q85" i="52"/>
  <c r="R85" i="52"/>
  <c r="J37" i="52"/>
  <c r="K37" i="52"/>
  <c r="L37" i="52"/>
  <c r="M37" i="52"/>
  <c r="N37" i="52"/>
  <c r="O37" i="52"/>
  <c r="P37" i="52"/>
  <c r="Q37" i="52"/>
  <c r="R37" i="52"/>
  <c r="I37" i="52"/>
  <c r="H30" i="46"/>
  <c r="G30" i="46"/>
  <c r="F30" i="46"/>
  <c r="E30" i="46"/>
  <c r="D30" i="46"/>
  <c r="C30" i="46"/>
  <c r="H28" i="46"/>
  <c r="G28" i="46"/>
  <c r="F28" i="46"/>
  <c r="E28" i="46"/>
  <c r="D28" i="46"/>
  <c r="C28" i="46"/>
  <c r="H26" i="46"/>
  <c r="G26" i="46"/>
  <c r="F26" i="46"/>
  <c r="E26" i="46"/>
  <c r="D26" i="46"/>
  <c r="C26" i="46"/>
  <c r="H24" i="46"/>
  <c r="G24" i="46"/>
  <c r="F24" i="46"/>
  <c r="E24" i="46"/>
  <c r="D24" i="46"/>
  <c r="C24" i="46"/>
  <c r="H22" i="46"/>
  <c r="G22" i="46"/>
  <c r="F22" i="46"/>
  <c r="E22" i="46"/>
  <c r="D22" i="46"/>
  <c r="C22" i="46"/>
  <c r="H20" i="46"/>
  <c r="G20" i="46"/>
  <c r="F20" i="46"/>
  <c r="E20" i="46"/>
  <c r="D20" i="46"/>
  <c r="C20" i="46"/>
  <c r="H18" i="46"/>
  <c r="G18" i="46"/>
  <c r="F18" i="46"/>
  <c r="E18" i="46"/>
  <c r="D18" i="46"/>
  <c r="C18" i="46"/>
  <c r="H16" i="46"/>
  <c r="G16" i="46"/>
  <c r="F16" i="46"/>
  <c r="E16" i="46"/>
  <c r="D16" i="46"/>
  <c r="C16" i="46"/>
  <c r="H14" i="46"/>
  <c r="G14" i="46"/>
  <c r="F14" i="46"/>
  <c r="E14" i="46"/>
  <c r="D14" i="46"/>
  <c r="C14" i="46"/>
  <c r="H15" i="46"/>
  <c r="G15" i="46"/>
  <c r="F15" i="46"/>
  <c r="E15" i="46"/>
  <c r="D15" i="46"/>
  <c r="C15" i="46"/>
  <c r="H17" i="46"/>
  <c r="G17" i="46"/>
  <c r="F17" i="46"/>
  <c r="E17" i="46"/>
  <c r="D17" i="46"/>
  <c r="C17" i="46"/>
  <c r="H19" i="46"/>
  <c r="G19" i="46"/>
  <c r="F19" i="46"/>
  <c r="E19" i="46"/>
  <c r="D19" i="46"/>
  <c r="C19" i="46"/>
  <c r="H21" i="46"/>
  <c r="G21" i="46"/>
  <c r="F21" i="46"/>
  <c r="E21" i="46"/>
  <c r="D21" i="46"/>
  <c r="C21" i="46"/>
  <c r="H23" i="46"/>
  <c r="G23" i="46"/>
  <c r="F23" i="46"/>
  <c r="E23" i="46"/>
  <c r="D23" i="46"/>
  <c r="C23" i="46"/>
  <c r="H25" i="46"/>
  <c r="G25" i="46"/>
  <c r="F25" i="46"/>
  <c r="E25" i="46"/>
  <c r="D25" i="46"/>
  <c r="C25" i="46"/>
  <c r="H27" i="46"/>
  <c r="G27" i="46"/>
  <c r="F27" i="46"/>
  <c r="E27" i="46"/>
  <c r="D27" i="46"/>
  <c r="C27" i="46"/>
  <c r="H29" i="46"/>
  <c r="G29" i="46"/>
  <c r="F29" i="46"/>
  <c r="E29" i="46"/>
  <c r="D29" i="46"/>
  <c r="C29" i="46"/>
  <c r="H31" i="46"/>
  <c r="G31" i="46"/>
  <c r="F31" i="46"/>
  <c r="E31" i="46"/>
  <c r="D31" i="46"/>
  <c r="C31" i="46"/>
  <c r="C21" i="69"/>
  <c r="C21" i="67"/>
  <c r="C21" i="65"/>
  <c r="BA17" i="64"/>
  <c r="C22" i="64"/>
  <c r="H23" i="95"/>
  <c r="G23" i="95"/>
  <c r="F23" i="95"/>
  <c r="E23" i="95"/>
  <c r="D23" i="95"/>
  <c r="C23" i="95"/>
  <c r="H22" i="95"/>
  <c r="G22" i="95"/>
  <c r="F22" i="95"/>
  <c r="E22" i="95"/>
  <c r="D22" i="95"/>
  <c r="C22" i="95"/>
  <c r="H21" i="95"/>
  <c r="G21" i="95"/>
  <c r="F21" i="95"/>
  <c r="E21" i="95"/>
  <c r="D21" i="95"/>
  <c r="C21" i="95"/>
  <c r="H20" i="95"/>
  <c r="G20" i="95"/>
  <c r="F20" i="95"/>
  <c r="E20" i="95"/>
  <c r="D20" i="95"/>
  <c r="C20" i="95"/>
  <c r="H19" i="95"/>
  <c r="G19" i="95"/>
  <c r="F19" i="95"/>
  <c r="E19" i="95"/>
  <c r="D19" i="95"/>
  <c r="C19" i="95"/>
  <c r="H18" i="95"/>
  <c r="G18" i="95"/>
  <c r="F18" i="95"/>
  <c r="E18" i="95"/>
  <c r="D18" i="95"/>
  <c r="C18" i="95"/>
  <c r="H17" i="95"/>
  <c r="G17" i="95"/>
  <c r="F17" i="95"/>
  <c r="E17" i="95"/>
  <c r="D17" i="95"/>
  <c r="C17" i="95"/>
  <c r="H16" i="95"/>
  <c r="G16" i="95"/>
  <c r="F16" i="95"/>
  <c r="E16" i="95"/>
  <c r="D16" i="95"/>
  <c r="C16" i="95"/>
  <c r="H15" i="95"/>
  <c r="G15" i="95"/>
  <c r="F15" i="95"/>
  <c r="E15" i="95"/>
  <c r="D15" i="95"/>
  <c r="C15" i="95"/>
  <c r="H14" i="95"/>
  <c r="G14" i="95"/>
  <c r="F14" i="95"/>
  <c r="E14" i="95"/>
  <c r="D14" i="95"/>
  <c r="C14" i="95"/>
  <c r="H49" i="97"/>
  <c r="G49" i="97"/>
  <c r="F49" i="97"/>
  <c r="E49" i="97"/>
  <c r="D49" i="97"/>
  <c r="C49" i="97"/>
  <c r="H48" i="97"/>
  <c r="G48" i="97"/>
  <c r="F48" i="97"/>
  <c r="E48" i="97"/>
  <c r="D48" i="97"/>
  <c r="C48" i="97"/>
  <c r="H47" i="97"/>
  <c r="G47" i="97"/>
  <c r="F47" i="97"/>
  <c r="E47" i="97"/>
  <c r="D47" i="97"/>
  <c r="C47" i="97"/>
  <c r="H46" i="97"/>
  <c r="G46" i="97"/>
  <c r="F46" i="97"/>
  <c r="E46" i="97"/>
  <c r="D46" i="97"/>
  <c r="C46" i="97"/>
  <c r="H45" i="97"/>
  <c r="G45" i="97"/>
  <c r="F45" i="97"/>
  <c r="E45" i="97"/>
  <c r="D45" i="97"/>
  <c r="C45" i="97"/>
  <c r="H44" i="97"/>
  <c r="G44" i="97"/>
  <c r="F44" i="97"/>
  <c r="E44" i="97"/>
  <c r="D44" i="97"/>
  <c r="C44" i="97"/>
  <c r="H43" i="97"/>
  <c r="G43" i="97"/>
  <c r="F43" i="97"/>
  <c r="E43" i="97"/>
  <c r="D43" i="97"/>
  <c r="C43" i="97"/>
  <c r="H42" i="97"/>
  <c r="G42" i="97"/>
  <c r="F42" i="97"/>
  <c r="E42" i="97"/>
  <c r="D42" i="97"/>
  <c r="C42" i="97"/>
  <c r="H41" i="97"/>
  <c r="G41" i="97"/>
  <c r="F41" i="97"/>
  <c r="E41" i="97"/>
  <c r="D41" i="97"/>
  <c r="C41" i="97"/>
  <c r="H40" i="97"/>
  <c r="G40" i="97"/>
  <c r="F40" i="97"/>
  <c r="E40" i="97"/>
  <c r="D40" i="97"/>
  <c r="C40" i="97"/>
  <c r="H39" i="97"/>
  <c r="G39" i="97"/>
  <c r="F39" i="97"/>
  <c r="E39" i="97"/>
  <c r="D39" i="97"/>
  <c r="C39" i="97"/>
  <c r="H38" i="97"/>
  <c r="G38" i="97"/>
  <c r="F38" i="97"/>
  <c r="E38" i="97"/>
  <c r="D38" i="97"/>
  <c r="C38" i="97"/>
  <c r="H37" i="97"/>
  <c r="G37" i="97"/>
  <c r="F37" i="97"/>
  <c r="E37" i="97"/>
  <c r="D37" i="97"/>
  <c r="C37" i="97"/>
  <c r="H36" i="97"/>
  <c r="G36" i="97"/>
  <c r="F36" i="97"/>
  <c r="E36" i="97"/>
  <c r="D36" i="97"/>
  <c r="C36" i="97"/>
  <c r="H35" i="97"/>
  <c r="G35" i="97"/>
  <c r="F35" i="97"/>
  <c r="E35" i="97"/>
  <c r="D35" i="97"/>
  <c r="C35" i="97"/>
  <c r="H34" i="97"/>
  <c r="G34" i="97"/>
  <c r="F34" i="97"/>
  <c r="E34" i="97"/>
  <c r="D34" i="97"/>
  <c r="C34" i="97"/>
  <c r="H33" i="97"/>
  <c r="G33" i="97"/>
  <c r="F33" i="97"/>
  <c r="E33" i="97"/>
  <c r="D33" i="97"/>
  <c r="C33" i="97"/>
  <c r="H32" i="97"/>
  <c r="G32" i="97"/>
  <c r="F32" i="97"/>
  <c r="E32" i="97"/>
  <c r="D32" i="97"/>
  <c r="C32" i="97"/>
  <c r="H31" i="97"/>
  <c r="G31" i="97"/>
  <c r="F31" i="97"/>
  <c r="E31" i="97"/>
  <c r="D31" i="97"/>
  <c r="C31" i="97"/>
  <c r="H30" i="97"/>
  <c r="G30" i="97"/>
  <c r="F30" i="97"/>
  <c r="E30" i="97"/>
  <c r="D30" i="97"/>
  <c r="C30" i="97"/>
  <c r="H29" i="97"/>
  <c r="G29" i="97"/>
  <c r="F29" i="97"/>
  <c r="E29" i="97"/>
  <c r="D29" i="97"/>
  <c r="C29" i="97"/>
  <c r="H28" i="97"/>
  <c r="G28" i="97"/>
  <c r="F28" i="97"/>
  <c r="E28" i="97"/>
  <c r="D28" i="97"/>
  <c r="C28" i="97"/>
  <c r="H27" i="97"/>
  <c r="G27" i="97"/>
  <c r="F27" i="97"/>
  <c r="E27" i="97"/>
  <c r="D27" i="97"/>
  <c r="C27" i="97"/>
  <c r="H26" i="97"/>
  <c r="G26" i="97"/>
  <c r="F26" i="97"/>
  <c r="E26" i="97"/>
  <c r="D26" i="97"/>
  <c r="C26" i="97"/>
  <c r="H25" i="97"/>
  <c r="G25" i="97"/>
  <c r="F25" i="97"/>
  <c r="E25" i="97"/>
  <c r="D25" i="97"/>
  <c r="C25" i="97"/>
  <c r="H24" i="97"/>
  <c r="G24" i="97"/>
  <c r="F24" i="97"/>
  <c r="E24" i="97"/>
  <c r="D24" i="97"/>
  <c r="C24" i="97"/>
  <c r="H23" i="97"/>
  <c r="G23" i="97"/>
  <c r="F23" i="97"/>
  <c r="E23" i="97"/>
  <c r="D23" i="97"/>
  <c r="C23" i="97"/>
  <c r="H22" i="97"/>
  <c r="G22" i="97"/>
  <c r="F22" i="97"/>
  <c r="E22" i="97"/>
  <c r="D22" i="97"/>
  <c r="C22" i="97"/>
  <c r="H21" i="97"/>
  <c r="G21" i="97"/>
  <c r="F21" i="97"/>
  <c r="E21" i="97"/>
  <c r="D21" i="97"/>
  <c r="C21" i="97"/>
  <c r="H20" i="97"/>
  <c r="G20" i="97"/>
  <c r="F20" i="97"/>
  <c r="E20" i="97"/>
  <c r="D20" i="97"/>
  <c r="C20" i="97"/>
  <c r="H19" i="97"/>
  <c r="G19" i="97"/>
  <c r="F19" i="97"/>
  <c r="E19" i="97"/>
  <c r="D19" i="97"/>
  <c r="C19" i="97"/>
  <c r="H18" i="97"/>
  <c r="G18" i="97"/>
  <c r="F18" i="97"/>
  <c r="E18" i="97"/>
  <c r="D18" i="97"/>
  <c r="C18" i="97"/>
  <c r="H17" i="97"/>
  <c r="G17" i="97"/>
  <c r="F17" i="97"/>
  <c r="E17" i="97"/>
  <c r="D17" i="97"/>
  <c r="C17" i="97"/>
  <c r="H16" i="97"/>
  <c r="G16" i="97"/>
  <c r="F16" i="97"/>
  <c r="E16" i="97"/>
  <c r="D16" i="97"/>
  <c r="C16" i="97"/>
  <c r="H15" i="97"/>
  <c r="G15" i="97"/>
  <c r="F15" i="97"/>
  <c r="E15" i="97"/>
  <c r="D15" i="97"/>
  <c r="C15" i="97"/>
  <c r="H14" i="97"/>
  <c r="G14" i="97"/>
  <c r="F14" i="97"/>
  <c r="E14" i="97"/>
  <c r="D14" i="97"/>
  <c r="C14" i="97"/>
  <c r="H49" i="48"/>
  <c r="G49" i="48"/>
  <c r="F49" i="48"/>
  <c r="E49" i="48"/>
  <c r="D49" i="48"/>
  <c r="C49" i="48"/>
  <c r="H48" i="48"/>
  <c r="G48" i="48"/>
  <c r="F48" i="48"/>
  <c r="E48" i="48"/>
  <c r="D48" i="48"/>
  <c r="C48" i="48"/>
  <c r="H47" i="48"/>
  <c r="G47" i="48"/>
  <c r="F47" i="48"/>
  <c r="E47" i="48"/>
  <c r="D47" i="48"/>
  <c r="C47" i="48"/>
  <c r="H46" i="48"/>
  <c r="G46" i="48"/>
  <c r="F46" i="48"/>
  <c r="E46" i="48"/>
  <c r="D46" i="48"/>
  <c r="C46" i="48"/>
  <c r="H45" i="48"/>
  <c r="G45" i="48"/>
  <c r="F45" i="48"/>
  <c r="E45" i="48"/>
  <c r="D45" i="48"/>
  <c r="C45" i="48"/>
  <c r="H44" i="48"/>
  <c r="G44" i="48"/>
  <c r="F44" i="48"/>
  <c r="E44" i="48"/>
  <c r="D44" i="48"/>
  <c r="C44" i="48"/>
  <c r="H43" i="48"/>
  <c r="G43" i="48"/>
  <c r="F43" i="48"/>
  <c r="E43" i="48"/>
  <c r="D43" i="48"/>
  <c r="C43" i="48"/>
  <c r="H42" i="48"/>
  <c r="G42" i="48"/>
  <c r="F42" i="48"/>
  <c r="E42" i="48"/>
  <c r="D42" i="48"/>
  <c r="C42" i="48"/>
  <c r="H41" i="48"/>
  <c r="G41" i="48"/>
  <c r="F41" i="48"/>
  <c r="E41" i="48"/>
  <c r="D41" i="48"/>
  <c r="C41" i="48"/>
  <c r="H40" i="48"/>
  <c r="G40" i="48"/>
  <c r="F40" i="48"/>
  <c r="E40" i="48"/>
  <c r="D40" i="48"/>
  <c r="C40" i="48"/>
  <c r="H39" i="48"/>
  <c r="G39" i="48"/>
  <c r="F39" i="48"/>
  <c r="E39" i="48"/>
  <c r="D39" i="48"/>
  <c r="C39" i="48"/>
  <c r="H38" i="48"/>
  <c r="G38" i="48"/>
  <c r="F38" i="48"/>
  <c r="E38" i="48"/>
  <c r="D38" i="48"/>
  <c r="C38" i="48"/>
  <c r="H37" i="48"/>
  <c r="G37" i="48"/>
  <c r="F37" i="48"/>
  <c r="E37" i="48"/>
  <c r="D37" i="48"/>
  <c r="C37" i="48"/>
  <c r="H36" i="48"/>
  <c r="G36" i="48"/>
  <c r="F36" i="48"/>
  <c r="E36" i="48"/>
  <c r="D36" i="48"/>
  <c r="C36" i="48"/>
  <c r="H35" i="48"/>
  <c r="G35" i="48"/>
  <c r="F35" i="48"/>
  <c r="E35" i="48"/>
  <c r="D35" i="48"/>
  <c r="C35" i="48"/>
  <c r="H34" i="48"/>
  <c r="G34" i="48"/>
  <c r="F34" i="48"/>
  <c r="E34" i="48"/>
  <c r="D34" i="48"/>
  <c r="C34" i="48"/>
  <c r="H33" i="48"/>
  <c r="G33" i="48"/>
  <c r="F33" i="48"/>
  <c r="E33" i="48"/>
  <c r="D33" i="48"/>
  <c r="C33" i="48"/>
  <c r="H32" i="48"/>
  <c r="G32" i="48"/>
  <c r="F32" i="48"/>
  <c r="E32" i="48"/>
  <c r="D32" i="48"/>
  <c r="C32" i="48"/>
  <c r="H31" i="48"/>
  <c r="G31" i="48"/>
  <c r="F31" i="48"/>
  <c r="E31" i="48"/>
  <c r="D31" i="48"/>
  <c r="C31" i="48"/>
  <c r="H30" i="48"/>
  <c r="G30" i="48"/>
  <c r="F30" i="48"/>
  <c r="E30" i="48"/>
  <c r="D30" i="48"/>
  <c r="C30" i="48"/>
  <c r="H29" i="48"/>
  <c r="G29" i="48"/>
  <c r="F29" i="48"/>
  <c r="E29" i="48"/>
  <c r="D29" i="48"/>
  <c r="C29" i="48"/>
  <c r="H28" i="48"/>
  <c r="G28" i="48"/>
  <c r="F28" i="48"/>
  <c r="E28" i="48"/>
  <c r="D28" i="48"/>
  <c r="C28" i="48"/>
  <c r="H27" i="48"/>
  <c r="G27" i="48"/>
  <c r="F27" i="48"/>
  <c r="E27" i="48"/>
  <c r="D27" i="48"/>
  <c r="C27" i="48"/>
  <c r="H26" i="48"/>
  <c r="G26" i="48"/>
  <c r="F26" i="48"/>
  <c r="E26" i="48"/>
  <c r="D26" i="48"/>
  <c r="C26" i="48"/>
  <c r="H25" i="48"/>
  <c r="G25" i="48"/>
  <c r="F25" i="48"/>
  <c r="E25" i="48"/>
  <c r="D25" i="48"/>
  <c r="C25" i="48"/>
  <c r="H24" i="48"/>
  <c r="G24" i="48"/>
  <c r="F24" i="48"/>
  <c r="E24" i="48"/>
  <c r="D24" i="48"/>
  <c r="C24" i="48"/>
  <c r="H23" i="48"/>
  <c r="G23" i="48"/>
  <c r="F23" i="48"/>
  <c r="E23" i="48"/>
  <c r="D23" i="48"/>
  <c r="C23" i="48"/>
  <c r="H22" i="48"/>
  <c r="G22" i="48"/>
  <c r="F22" i="48"/>
  <c r="E22" i="48"/>
  <c r="D22" i="48"/>
  <c r="C22" i="48"/>
  <c r="H21" i="48"/>
  <c r="G21" i="48"/>
  <c r="F21" i="48"/>
  <c r="E21" i="48"/>
  <c r="D21" i="48"/>
  <c r="C21" i="48"/>
  <c r="H20" i="48"/>
  <c r="G20" i="48"/>
  <c r="F20" i="48"/>
  <c r="E20" i="48"/>
  <c r="D20" i="48"/>
  <c r="C20" i="48"/>
  <c r="H19" i="48"/>
  <c r="G19" i="48"/>
  <c r="F19" i="48"/>
  <c r="E19" i="48"/>
  <c r="D19" i="48"/>
  <c r="C19" i="48"/>
  <c r="H18" i="48"/>
  <c r="G18" i="48"/>
  <c r="F18" i="48"/>
  <c r="E18" i="48"/>
  <c r="D18" i="48"/>
  <c r="C18" i="48"/>
  <c r="H17" i="48"/>
  <c r="G17" i="48"/>
  <c r="F17" i="48"/>
  <c r="E17" i="48"/>
  <c r="D17" i="48"/>
  <c r="C17" i="48"/>
  <c r="H16" i="48"/>
  <c r="G16" i="48"/>
  <c r="F16" i="48"/>
  <c r="E16" i="48"/>
  <c r="D16" i="48"/>
  <c r="C16" i="48"/>
  <c r="H15" i="48"/>
  <c r="G15" i="48"/>
  <c r="F15" i="48"/>
  <c r="E15" i="48"/>
  <c r="D15" i="48"/>
  <c r="C15" i="48"/>
  <c r="H14" i="48"/>
  <c r="G14" i="48"/>
  <c r="F14" i="48"/>
  <c r="E14" i="48"/>
  <c r="D14" i="48"/>
  <c r="C14" i="48"/>
  <c r="C21" i="98"/>
  <c r="C21" i="47"/>
  <c r="C21" i="96"/>
  <c r="C21" i="93"/>
  <c r="AW41" i="70"/>
  <c r="AU41" i="70"/>
  <c r="AS41" i="70"/>
  <c r="AQ41" i="70"/>
  <c r="AO41" i="70"/>
  <c r="AM41" i="70"/>
  <c r="AK41" i="70"/>
  <c r="AI41" i="70"/>
  <c r="AG41" i="70"/>
  <c r="AE41" i="70"/>
  <c r="AC41" i="70"/>
  <c r="AA41" i="70"/>
  <c r="Y41" i="70"/>
  <c r="W41" i="70"/>
  <c r="U41" i="70"/>
  <c r="S41" i="70"/>
  <c r="Q41" i="70"/>
  <c r="O41" i="70"/>
  <c r="M41" i="70"/>
  <c r="K41" i="70"/>
  <c r="I41" i="70"/>
  <c r="G41" i="70"/>
  <c r="E41" i="70"/>
  <c r="C41" i="70"/>
  <c r="AW40" i="70"/>
  <c r="AV40" i="70"/>
  <c r="AU40" i="70"/>
  <c r="AT40" i="70"/>
  <c r="AS40" i="70"/>
  <c r="AR40" i="70"/>
  <c r="AQ40" i="70"/>
  <c r="AP40" i="70"/>
  <c r="AO40" i="70"/>
  <c r="AN40" i="70"/>
  <c r="AM40" i="70"/>
  <c r="AL40" i="70"/>
  <c r="AK40" i="70"/>
  <c r="AJ40" i="70"/>
  <c r="AI40" i="70"/>
  <c r="AH40" i="70"/>
  <c r="AG40" i="70"/>
  <c r="AF40" i="70"/>
  <c r="AE40" i="70"/>
  <c r="AD40" i="70"/>
  <c r="AC40" i="70"/>
  <c r="AB40" i="70"/>
  <c r="AA40" i="70"/>
  <c r="Z40" i="70"/>
  <c r="Y40" i="70"/>
  <c r="X40" i="70"/>
  <c r="W40" i="70"/>
  <c r="V40" i="70"/>
  <c r="U40" i="70"/>
  <c r="T40" i="70"/>
  <c r="S40" i="70"/>
  <c r="R40" i="70"/>
  <c r="Q40" i="70"/>
  <c r="P40" i="70"/>
  <c r="O40" i="70"/>
  <c r="N40" i="70"/>
  <c r="M40" i="70"/>
  <c r="L40" i="70"/>
  <c r="K40" i="70"/>
  <c r="J40" i="70"/>
  <c r="I40" i="70"/>
  <c r="H40" i="70"/>
  <c r="G40" i="70"/>
  <c r="F40" i="70"/>
  <c r="E40" i="70"/>
  <c r="D40" i="70"/>
  <c r="C40" i="70"/>
  <c r="AV39" i="70"/>
  <c r="AT39" i="70"/>
  <c r="AR39" i="70"/>
  <c r="AP39" i="70"/>
  <c r="AO39" i="70"/>
  <c r="AN39" i="70"/>
  <c r="AL39" i="70"/>
  <c r="AK39" i="70"/>
  <c r="AJ39" i="70"/>
  <c r="AH39" i="70"/>
  <c r="AG39" i="70"/>
  <c r="AF39" i="70"/>
  <c r="AD39" i="70"/>
  <c r="AC39" i="70"/>
  <c r="AB39" i="70"/>
  <c r="Z39" i="70"/>
  <c r="Y39" i="70"/>
  <c r="X39" i="70"/>
  <c r="V39" i="70"/>
  <c r="U39" i="70"/>
  <c r="T39" i="70"/>
  <c r="R39" i="70"/>
  <c r="Q39" i="70"/>
  <c r="P39" i="70"/>
  <c r="N39" i="70"/>
  <c r="M39" i="70"/>
  <c r="L39" i="70"/>
  <c r="J39" i="70"/>
  <c r="I39" i="70"/>
  <c r="H39" i="70"/>
  <c r="F39" i="70"/>
  <c r="E39" i="70"/>
  <c r="D39" i="70"/>
  <c r="AW38" i="70"/>
  <c r="AV38" i="70"/>
  <c r="AU38" i="70"/>
  <c r="AT38" i="70"/>
  <c r="AS38" i="70"/>
  <c r="AR38" i="70"/>
  <c r="AQ38" i="70"/>
  <c r="AP38" i="70"/>
  <c r="AO38" i="70"/>
  <c r="AN38" i="70"/>
  <c r="AM38" i="70"/>
  <c r="AL38" i="70"/>
  <c r="AK38" i="70"/>
  <c r="AJ38" i="70"/>
  <c r="AI38" i="70"/>
  <c r="AH38" i="70"/>
  <c r="AG38" i="70"/>
  <c r="AF38" i="70"/>
  <c r="AE38" i="70"/>
  <c r="AD38" i="70"/>
  <c r="AC38" i="70"/>
  <c r="AB38" i="70"/>
  <c r="AA38" i="70"/>
  <c r="Z38" i="70"/>
  <c r="Y38" i="70"/>
  <c r="X38" i="70"/>
  <c r="W38" i="70"/>
  <c r="V38" i="70"/>
  <c r="U38" i="70"/>
  <c r="T38" i="70"/>
  <c r="S38" i="70"/>
  <c r="R38" i="70"/>
  <c r="Q38" i="70"/>
  <c r="P38" i="70"/>
  <c r="O38" i="70"/>
  <c r="N38" i="70"/>
  <c r="M38" i="70"/>
  <c r="L38" i="70"/>
  <c r="K38" i="70"/>
  <c r="J38" i="70"/>
  <c r="I38" i="70"/>
  <c r="H38" i="70"/>
  <c r="G38" i="70"/>
  <c r="F38" i="70"/>
  <c r="E38" i="70"/>
  <c r="D38" i="70"/>
  <c r="C38" i="70"/>
  <c r="AW37" i="70"/>
  <c r="AU37" i="70"/>
  <c r="AS37" i="70"/>
  <c r="AQ37" i="70"/>
  <c r="AO37" i="70"/>
  <c r="AM37" i="70"/>
  <c r="AK37" i="70"/>
  <c r="AI37" i="70"/>
  <c r="AG37" i="70"/>
  <c r="AE37" i="70"/>
  <c r="AC37" i="70"/>
  <c r="AA37" i="70"/>
  <c r="Y37" i="70"/>
  <c r="W37" i="70"/>
  <c r="U37" i="70"/>
  <c r="S37" i="70"/>
  <c r="Q37" i="70"/>
  <c r="O37" i="70"/>
  <c r="M37" i="70"/>
  <c r="K37" i="70"/>
  <c r="I37" i="70"/>
  <c r="G37" i="70"/>
  <c r="E37" i="70"/>
  <c r="C37" i="70"/>
  <c r="AW36" i="70"/>
  <c r="AV36" i="70"/>
  <c r="AU36" i="70"/>
  <c r="AT36" i="70"/>
  <c r="AS36" i="70"/>
  <c r="AR36" i="70"/>
  <c r="AQ36" i="70"/>
  <c r="AP36" i="70"/>
  <c r="AO36" i="70"/>
  <c r="AN36" i="70"/>
  <c r="AM36" i="70"/>
  <c r="AL36" i="70"/>
  <c r="AK36" i="70"/>
  <c r="AJ36" i="70"/>
  <c r="AI36" i="70"/>
  <c r="AH36" i="70"/>
  <c r="AG36" i="70"/>
  <c r="AF36" i="70"/>
  <c r="AE36" i="70"/>
  <c r="AD36" i="70"/>
  <c r="AC36" i="70"/>
  <c r="AB36" i="70"/>
  <c r="AA36" i="70"/>
  <c r="Z36" i="70"/>
  <c r="Y36" i="70"/>
  <c r="X36" i="70"/>
  <c r="W36" i="70"/>
  <c r="V36" i="70"/>
  <c r="U36" i="70"/>
  <c r="T36" i="70"/>
  <c r="S36" i="70"/>
  <c r="R36" i="70"/>
  <c r="Q36" i="70"/>
  <c r="P36" i="70"/>
  <c r="O36" i="70"/>
  <c r="N36" i="70"/>
  <c r="M36" i="70"/>
  <c r="L36" i="70"/>
  <c r="K36" i="70"/>
  <c r="J36" i="70"/>
  <c r="I36" i="70"/>
  <c r="H36" i="70"/>
  <c r="G36" i="70"/>
  <c r="F36" i="70"/>
  <c r="E36" i="70"/>
  <c r="D36" i="70"/>
  <c r="C36" i="70"/>
  <c r="AV35" i="70"/>
  <c r="AT35" i="70"/>
  <c r="AR35" i="70"/>
  <c r="AP35" i="70"/>
  <c r="AO35" i="70"/>
  <c r="AN35" i="70"/>
  <c r="AL35" i="70"/>
  <c r="AK35" i="70"/>
  <c r="AJ35" i="70"/>
  <c r="AH35" i="70"/>
  <c r="AG35" i="70"/>
  <c r="AF35" i="70"/>
  <c r="AD35" i="70"/>
  <c r="AC35" i="70"/>
  <c r="AB35" i="70"/>
  <c r="Z35" i="70"/>
  <c r="Y35" i="70"/>
  <c r="X35" i="70"/>
  <c r="V35" i="70"/>
  <c r="U35" i="70"/>
  <c r="T35" i="70"/>
  <c r="R35" i="70"/>
  <c r="Q35" i="70"/>
  <c r="P35" i="70"/>
  <c r="N35" i="70"/>
  <c r="M35" i="70"/>
  <c r="L35" i="70"/>
  <c r="K35" i="70"/>
  <c r="J35" i="70"/>
  <c r="I35" i="70"/>
  <c r="H35" i="70"/>
  <c r="G35" i="70"/>
  <c r="F35" i="70"/>
  <c r="E35" i="70"/>
  <c r="D35" i="70"/>
  <c r="C35" i="70"/>
  <c r="AW34" i="70"/>
  <c r="AV34" i="70"/>
  <c r="AU34" i="70"/>
  <c r="AT34" i="70"/>
  <c r="AS34" i="70"/>
  <c r="AR34" i="70"/>
  <c r="AQ34" i="70"/>
  <c r="AP34" i="70"/>
  <c r="AO34" i="70"/>
  <c r="AN34" i="70"/>
  <c r="AM34" i="70"/>
  <c r="AL34" i="70"/>
  <c r="AK34" i="70"/>
  <c r="AJ34" i="70"/>
  <c r="AI34" i="70"/>
  <c r="AH34" i="70"/>
  <c r="AG34" i="70"/>
  <c r="AF34" i="70"/>
  <c r="AE34" i="70"/>
  <c r="AD34" i="70"/>
  <c r="AC34" i="70"/>
  <c r="AB34" i="70"/>
  <c r="AA34" i="70"/>
  <c r="Z34" i="70"/>
  <c r="Y34" i="70"/>
  <c r="X34" i="70"/>
  <c r="W34" i="70"/>
  <c r="V34" i="70"/>
  <c r="U34" i="70"/>
  <c r="T34" i="70"/>
  <c r="S34" i="70"/>
  <c r="R34" i="70"/>
  <c r="Q34" i="70"/>
  <c r="P34" i="70"/>
  <c r="O34" i="70"/>
  <c r="N34" i="70"/>
  <c r="M34" i="70"/>
  <c r="L34" i="70"/>
  <c r="K34" i="70"/>
  <c r="J34" i="70"/>
  <c r="I34" i="70"/>
  <c r="H34" i="70"/>
  <c r="G34" i="70"/>
  <c r="F34" i="70"/>
  <c r="E34" i="70"/>
  <c r="D34" i="70"/>
  <c r="C34" i="70"/>
  <c r="AW33" i="70"/>
  <c r="AV33" i="70"/>
  <c r="AU33" i="70"/>
  <c r="AS33" i="70"/>
  <c r="AR33" i="70"/>
  <c r="AQ33" i="70"/>
  <c r="AO33" i="70"/>
  <c r="AN33" i="70"/>
  <c r="AM33" i="70"/>
  <c r="AK33" i="70"/>
  <c r="AJ33" i="70"/>
  <c r="AI33" i="70"/>
  <c r="AG33" i="70"/>
  <c r="AF33" i="70"/>
  <c r="AE33" i="70"/>
  <c r="AC33" i="70"/>
  <c r="AB33" i="70"/>
  <c r="AA33" i="70"/>
  <c r="Y33" i="70"/>
  <c r="X33" i="70"/>
  <c r="W33" i="70"/>
  <c r="U33" i="70"/>
  <c r="T33" i="70"/>
  <c r="S33" i="70"/>
  <c r="Q33" i="70"/>
  <c r="P33" i="70"/>
  <c r="O33" i="70"/>
  <c r="M33" i="70"/>
  <c r="L33" i="70"/>
  <c r="K33" i="70"/>
  <c r="I33" i="70"/>
  <c r="H33" i="70"/>
  <c r="G33" i="70"/>
  <c r="F33" i="70"/>
  <c r="E33" i="70"/>
  <c r="D33" i="70"/>
  <c r="C33" i="70"/>
  <c r="AW32" i="70"/>
  <c r="AV32" i="70"/>
  <c r="AU32" i="70"/>
  <c r="AT32" i="70"/>
  <c r="AS32" i="70"/>
  <c r="AR32" i="70"/>
  <c r="AQ32" i="70"/>
  <c r="AP32" i="70"/>
  <c r="AO32" i="70"/>
  <c r="AN32" i="70"/>
  <c r="AM32" i="70"/>
  <c r="AL32" i="70"/>
  <c r="AK32" i="70"/>
  <c r="AJ32" i="70"/>
  <c r="AI32" i="70"/>
  <c r="AH32" i="70"/>
  <c r="AG32" i="70"/>
  <c r="AF32" i="70"/>
  <c r="AE32"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E32" i="70"/>
  <c r="D32" i="70"/>
  <c r="C32" i="70"/>
  <c r="AW31" i="70"/>
  <c r="AV31" i="70"/>
  <c r="AT31" i="70"/>
  <c r="AS31" i="70"/>
  <c r="AR31" i="70"/>
  <c r="AP31" i="70"/>
  <c r="AO31" i="70"/>
  <c r="AN31" i="70"/>
  <c r="AL31" i="70"/>
  <c r="AK31" i="70"/>
  <c r="AJ31" i="70"/>
  <c r="AH31" i="70"/>
  <c r="AG31" i="70"/>
  <c r="AF31" i="70"/>
  <c r="AD31" i="70"/>
  <c r="AC31" i="70"/>
  <c r="AB31" i="70"/>
  <c r="Z31" i="70"/>
  <c r="Y31" i="70"/>
  <c r="X31" i="70"/>
  <c r="V31" i="70"/>
  <c r="U31" i="70"/>
  <c r="T31" i="70"/>
  <c r="S31" i="70"/>
  <c r="R31" i="70"/>
  <c r="Q31" i="70"/>
  <c r="P31" i="70"/>
  <c r="O31" i="70"/>
  <c r="N31" i="70"/>
  <c r="M31" i="70"/>
  <c r="L31" i="70"/>
  <c r="K31" i="70"/>
  <c r="J31" i="70"/>
  <c r="I31" i="70"/>
  <c r="H31" i="70"/>
  <c r="G31" i="70"/>
  <c r="F31" i="70"/>
  <c r="E31" i="70"/>
  <c r="D31" i="70"/>
  <c r="C31" i="70"/>
  <c r="AW30" i="70"/>
  <c r="AV30" i="70"/>
  <c r="AU30" i="70"/>
  <c r="AT30" i="70"/>
  <c r="AS30" i="70"/>
  <c r="AR30" i="70"/>
  <c r="AQ30" i="70"/>
  <c r="AP30" i="70"/>
  <c r="AO30" i="70"/>
  <c r="AN30" i="70"/>
  <c r="AM30" i="70"/>
  <c r="AL30" i="70"/>
  <c r="AK30" i="70"/>
  <c r="AJ30" i="70"/>
  <c r="AI30" i="70"/>
  <c r="AH30" i="70"/>
  <c r="AG30" i="70"/>
  <c r="AF30" i="70"/>
  <c r="AE30" i="70"/>
  <c r="AD30" i="70"/>
  <c r="AC30" i="70"/>
  <c r="AB30" i="70"/>
  <c r="AA30" i="70"/>
  <c r="Z30" i="70"/>
  <c r="Y30" i="70"/>
  <c r="X30" i="70"/>
  <c r="W30" i="70"/>
  <c r="V30" i="70"/>
  <c r="U30" i="70"/>
  <c r="T30" i="70"/>
  <c r="S30" i="70"/>
  <c r="R30" i="70"/>
  <c r="Q30" i="70"/>
  <c r="P30" i="70"/>
  <c r="O30" i="70"/>
  <c r="N30" i="70"/>
  <c r="M30" i="70"/>
  <c r="L30" i="70"/>
  <c r="K30" i="70"/>
  <c r="J30" i="70"/>
  <c r="I30" i="70"/>
  <c r="H30" i="70"/>
  <c r="G30" i="70"/>
  <c r="F30" i="70"/>
  <c r="E30" i="70"/>
  <c r="D30" i="70"/>
  <c r="C30" i="70"/>
  <c r="AW29" i="70"/>
  <c r="AU29" i="70"/>
  <c r="AS29" i="70"/>
  <c r="AR29" i="70"/>
  <c r="AQ29" i="70"/>
  <c r="AO29" i="70"/>
  <c r="AN29" i="70"/>
  <c r="AM29" i="70"/>
  <c r="AK29" i="70"/>
  <c r="AJ29" i="70"/>
  <c r="AI29" i="70"/>
  <c r="AG29" i="70"/>
  <c r="AF29" i="70"/>
  <c r="AE29" i="70"/>
  <c r="AC29" i="70"/>
  <c r="AB29" i="70"/>
  <c r="AA29" i="70"/>
  <c r="Y29" i="70"/>
  <c r="X29" i="70"/>
  <c r="W29" i="70"/>
  <c r="U29" i="70"/>
  <c r="T29" i="70"/>
  <c r="S29" i="70"/>
  <c r="Q29" i="70"/>
  <c r="P29" i="70"/>
  <c r="O29" i="70"/>
  <c r="N29" i="70"/>
  <c r="M29" i="70"/>
  <c r="L29" i="70"/>
  <c r="K29" i="70"/>
  <c r="J29" i="70"/>
  <c r="I29" i="70"/>
  <c r="H29" i="70"/>
  <c r="G29" i="70"/>
  <c r="F29" i="70"/>
  <c r="E29" i="70"/>
  <c r="D29" i="70"/>
  <c r="C29" i="70"/>
  <c r="AW28" i="70"/>
  <c r="AV28" i="70"/>
  <c r="AU28" i="70"/>
  <c r="AT28" i="70"/>
  <c r="AS28" i="70"/>
  <c r="AR28" i="70"/>
  <c r="AQ28" i="70"/>
  <c r="AP28" i="70"/>
  <c r="AO28" i="70"/>
  <c r="AN28" i="70"/>
  <c r="AM28" i="70"/>
  <c r="AL28" i="70"/>
  <c r="AK28" i="70"/>
  <c r="AJ28" i="70"/>
  <c r="AI28" i="70"/>
  <c r="AH28" i="70"/>
  <c r="AG28" i="70"/>
  <c r="AF28" i="70"/>
  <c r="AE28" i="70"/>
  <c r="AD28" i="70"/>
  <c r="AC28" i="70"/>
  <c r="AB28" i="70"/>
  <c r="AA28" i="70"/>
  <c r="Z28" i="70"/>
  <c r="Y28" i="70"/>
  <c r="X28" i="70"/>
  <c r="W28" i="70"/>
  <c r="V28" i="70"/>
  <c r="U28" i="70"/>
  <c r="T28" i="70"/>
  <c r="S28" i="70"/>
  <c r="R28" i="70"/>
  <c r="Q28" i="70"/>
  <c r="P28" i="70"/>
  <c r="O28" i="70"/>
  <c r="N28" i="70"/>
  <c r="M28" i="70"/>
  <c r="L28" i="70"/>
  <c r="K28" i="70"/>
  <c r="J28" i="70"/>
  <c r="I28" i="70"/>
  <c r="H28" i="70"/>
  <c r="G28" i="70"/>
  <c r="F28" i="70"/>
  <c r="E28" i="70"/>
  <c r="D28" i="70"/>
  <c r="C28" i="70"/>
  <c r="BN94" i="70"/>
  <c r="BM94" i="70"/>
  <c r="BK94" i="70"/>
  <c r="BJ94" i="70"/>
  <c r="BI94" i="70"/>
  <c r="BG94" i="70"/>
  <c r="BF94" i="70"/>
  <c r="BE94" i="70"/>
  <c r="BC94" i="70"/>
  <c r="BB94" i="70"/>
  <c r="BA94" i="70"/>
  <c r="BM93" i="70"/>
  <c r="BL93" i="70"/>
  <c r="BK93" i="70"/>
  <c r="BI93" i="70"/>
  <c r="BH93" i="70"/>
  <c r="BG93" i="70"/>
  <c r="BE93" i="70"/>
  <c r="BD93" i="70"/>
  <c r="BC93" i="70"/>
  <c r="BA93" i="70"/>
  <c r="BN92" i="70"/>
  <c r="BM92" i="70"/>
  <c r="BK92" i="70"/>
  <c r="BJ92" i="70"/>
  <c r="BI92" i="70"/>
  <c r="BG92" i="70"/>
  <c r="BF92" i="70"/>
  <c r="BE92" i="70"/>
  <c r="BC92" i="70"/>
  <c r="BB92" i="70"/>
  <c r="BA92" i="70"/>
  <c r="BM91" i="70"/>
  <c r="BL91" i="70"/>
  <c r="BK91" i="70"/>
  <c r="BI91" i="70"/>
  <c r="BH91" i="70"/>
  <c r="BG91" i="70"/>
  <c r="BE91" i="70"/>
  <c r="BD91" i="70"/>
  <c r="BC91" i="70"/>
  <c r="BA91" i="70"/>
  <c r="BN90" i="70"/>
  <c r="BM90" i="70"/>
  <c r="BK90" i="70"/>
  <c r="BJ90" i="70"/>
  <c r="BI90" i="70"/>
  <c r="BG90" i="70"/>
  <c r="BF90" i="70"/>
  <c r="BE90" i="70"/>
  <c r="BC90" i="70"/>
  <c r="BB90" i="70"/>
  <c r="BA90" i="70"/>
  <c r="BM88" i="70"/>
  <c r="BL88" i="70"/>
  <c r="BK88" i="70"/>
  <c r="BI88" i="70"/>
  <c r="BH88" i="70"/>
  <c r="BG88" i="70"/>
  <c r="BE88" i="70"/>
  <c r="BD88" i="70"/>
  <c r="BC88" i="70"/>
  <c r="BA88" i="70"/>
  <c r="BN87" i="70"/>
  <c r="BM87" i="70"/>
  <c r="BK87" i="70"/>
  <c r="BJ87" i="70"/>
  <c r="BI87" i="70"/>
  <c r="BG87" i="70"/>
  <c r="BF87" i="70"/>
  <c r="BE87" i="70"/>
  <c r="BC87" i="70"/>
  <c r="BB87" i="70"/>
  <c r="BA87" i="70"/>
  <c r="BM86" i="70"/>
  <c r="BL86" i="70"/>
  <c r="BK86" i="70"/>
  <c r="BI86" i="70"/>
  <c r="BH86" i="70"/>
  <c r="BG86" i="70"/>
  <c r="BE86" i="70"/>
  <c r="BD86" i="70"/>
  <c r="BC86" i="70"/>
  <c r="BA86" i="70"/>
  <c r="BN85" i="70"/>
  <c r="BM85" i="70"/>
  <c r="BK85" i="70"/>
  <c r="BJ85" i="70"/>
  <c r="BI85" i="70"/>
  <c r="BG85" i="70"/>
  <c r="BF85" i="70"/>
  <c r="BE85" i="70"/>
  <c r="BC85" i="70"/>
  <c r="BB85" i="70"/>
  <c r="BA85" i="70"/>
  <c r="BM84" i="70"/>
  <c r="BL84" i="70"/>
  <c r="BK84" i="70"/>
  <c r="BI84" i="70"/>
  <c r="BH84" i="70"/>
  <c r="BG84" i="70"/>
  <c r="BE84" i="70"/>
  <c r="BD84" i="70"/>
  <c r="BC84" i="70"/>
  <c r="BA84" i="70"/>
  <c r="BN83" i="70"/>
  <c r="BM83" i="70"/>
  <c r="BK83" i="70"/>
  <c r="BJ83" i="70"/>
  <c r="BI83" i="70"/>
  <c r="BG83" i="70"/>
  <c r="BF83" i="70"/>
  <c r="BE83" i="70"/>
  <c r="BC83" i="70"/>
  <c r="BB83" i="70"/>
  <c r="BA83" i="70"/>
  <c r="BM82" i="70"/>
  <c r="BL82" i="70"/>
  <c r="BK82" i="70"/>
  <c r="BI82" i="70"/>
  <c r="BH82" i="70"/>
  <c r="BG82" i="70"/>
  <c r="BE82" i="70"/>
  <c r="BD82" i="70"/>
  <c r="BC82" i="70"/>
  <c r="BA82" i="70"/>
  <c r="BN81" i="70"/>
  <c r="BM81" i="70"/>
  <c r="BK81" i="70"/>
  <c r="BJ81" i="70"/>
  <c r="BI81" i="70"/>
  <c r="BG81" i="70"/>
  <c r="BF81" i="70"/>
  <c r="BE81" i="70"/>
  <c r="BC81" i="70"/>
  <c r="BB81" i="70"/>
  <c r="BA81" i="70"/>
  <c r="BM80" i="70"/>
  <c r="BL80" i="70"/>
  <c r="BK80" i="70"/>
  <c r="BI80" i="70"/>
  <c r="BH80" i="70"/>
  <c r="BG80" i="70"/>
  <c r="BE80" i="70"/>
  <c r="BD80" i="70"/>
  <c r="BC80" i="70"/>
  <c r="BA80" i="70"/>
  <c r="BN79" i="70"/>
  <c r="BM79" i="70"/>
  <c r="BK79" i="70"/>
  <c r="BJ79" i="70"/>
  <c r="BI79" i="70"/>
  <c r="BG79" i="70"/>
  <c r="BF79" i="70"/>
  <c r="BE79" i="70"/>
  <c r="BC79" i="70"/>
  <c r="BB79" i="70"/>
  <c r="BA79" i="70"/>
  <c r="BM78" i="70"/>
  <c r="BL78" i="70"/>
  <c r="BK78" i="70"/>
  <c r="BJ78" i="70"/>
  <c r="BI78" i="70"/>
  <c r="BH78" i="70"/>
  <c r="BG78" i="70"/>
  <c r="BF78" i="70"/>
  <c r="BE78" i="70"/>
  <c r="BD78" i="70"/>
  <c r="BC78" i="70"/>
  <c r="BB78" i="70"/>
  <c r="BA78" i="70"/>
  <c r="BN77" i="70"/>
  <c r="BM77" i="70"/>
  <c r="BL77" i="70"/>
  <c r="BK77" i="70"/>
  <c r="BJ77" i="70"/>
  <c r="BI77" i="70"/>
  <c r="BH77" i="70"/>
  <c r="BG77" i="70"/>
  <c r="BF77" i="70"/>
  <c r="BE77" i="70"/>
  <c r="BD77" i="70"/>
  <c r="BC77" i="70"/>
  <c r="BB77" i="70"/>
  <c r="BA77" i="70"/>
  <c r="BN76" i="70"/>
  <c r="BM76" i="70"/>
  <c r="BL76" i="70"/>
  <c r="BK76" i="70"/>
  <c r="BJ76" i="70"/>
  <c r="BI76" i="70"/>
  <c r="BH76" i="70"/>
  <c r="BG76" i="70"/>
  <c r="BF76" i="70"/>
  <c r="BE76" i="70"/>
  <c r="BD76" i="70"/>
  <c r="BC76" i="70"/>
  <c r="BB76" i="70"/>
  <c r="BA76" i="70"/>
  <c r="BN75" i="70"/>
  <c r="BM75" i="70"/>
  <c r="BL75" i="70"/>
  <c r="BK75" i="70"/>
  <c r="BJ75" i="70"/>
  <c r="BI75" i="70"/>
  <c r="BH75" i="70"/>
  <c r="BG75" i="70"/>
  <c r="BF75" i="70"/>
  <c r="BE75" i="70"/>
  <c r="BD75" i="70"/>
  <c r="BC75" i="70"/>
  <c r="BB75" i="70"/>
  <c r="BA75" i="70"/>
  <c r="BN74" i="70"/>
  <c r="BM74" i="70"/>
  <c r="BL74" i="70"/>
  <c r="BK74" i="70"/>
  <c r="BJ74" i="70"/>
  <c r="BI74" i="70"/>
  <c r="BH74" i="70"/>
  <c r="BG74" i="70"/>
  <c r="BF74" i="70"/>
  <c r="BE74" i="70"/>
  <c r="BD74" i="70"/>
  <c r="BC74" i="70"/>
  <c r="BB74" i="70"/>
  <c r="BA74" i="70"/>
  <c r="BN73" i="70"/>
  <c r="BM73" i="70"/>
  <c r="BL73" i="70"/>
  <c r="BK73" i="70"/>
  <c r="BJ73" i="70"/>
  <c r="BI73" i="70"/>
  <c r="BH73" i="70"/>
  <c r="BG73" i="70"/>
  <c r="BF73" i="70"/>
  <c r="BE73" i="70"/>
  <c r="BD73" i="70"/>
  <c r="BC73" i="70"/>
  <c r="BB73" i="70"/>
  <c r="BA73" i="70"/>
  <c r="BN72" i="70"/>
  <c r="BM72" i="70"/>
  <c r="BL72" i="70"/>
  <c r="BK72" i="70"/>
  <c r="BJ72" i="70"/>
  <c r="BI72" i="70"/>
  <c r="BH72" i="70"/>
  <c r="BG72" i="70"/>
  <c r="BF72" i="70"/>
  <c r="BE72" i="70"/>
  <c r="BD72" i="70"/>
  <c r="BC72" i="70"/>
  <c r="BB72" i="70"/>
  <c r="BA72" i="70"/>
  <c r="BN71" i="70"/>
  <c r="BM71" i="70"/>
  <c r="BL71" i="70"/>
  <c r="BK71" i="70"/>
  <c r="BJ71" i="70"/>
  <c r="BI71" i="70"/>
  <c r="BH71" i="70"/>
  <c r="BG71" i="70"/>
  <c r="BF71" i="70"/>
  <c r="BE71" i="70"/>
  <c r="BD71" i="70"/>
  <c r="BC71" i="70"/>
  <c r="BB71" i="70"/>
  <c r="BA71" i="70"/>
  <c r="BN70" i="70"/>
  <c r="BM70" i="70"/>
  <c r="BL70" i="70"/>
  <c r="BK70" i="70"/>
  <c r="BJ70" i="70"/>
  <c r="BI70" i="70"/>
  <c r="BH70" i="70"/>
  <c r="BG70" i="70"/>
  <c r="BF70" i="70"/>
  <c r="BE70" i="70"/>
  <c r="BD70" i="70"/>
  <c r="BC70" i="70"/>
  <c r="BB70" i="70"/>
  <c r="BA70" i="70"/>
  <c r="BN69" i="70"/>
  <c r="BM69" i="70"/>
  <c r="BL69" i="70"/>
  <c r="BK69" i="70"/>
  <c r="BJ69" i="70"/>
  <c r="BI69" i="70"/>
  <c r="BH69" i="70"/>
  <c r="BG69" i="70"/>
  <c r="BF69" i="70"/>
  <c r="BE69" i="70"/>
  <c r="BD69" i="70"/>
  <c r="BC69" i="70"/>
  <c r="BB69" i="70"/>
  <c r="BA69" i="70"/>
  <c r="BN68" i="70"/>
  <c r="BM68" i="70"/>
  <c r="BL68" i="70"/>
  <c r="BK68" i="70"/>
  <c r="BJ68" i="70"/>
  <c r="BI68" i="70"/>
  <c r="BH68" i="70"/>
  <c r="BG68" i="70"/>
  <c r="BF68" i="70"/>
  <c r="BE68" i="70"/>
  <c r="BD68" i="70"/>
  <c r="BC68" i="70"/>
  <c r="BB68" i="70"/>
  <c r="BA68" i="70"/>
  <c r="BN67" i="70"/>
  <c r="BM67" i="70"/>
  <c r="BL67" i="70"/>
  <c r="BK67" i="70"/>
  <c r="BJ67" i="70"/>
  <c r="BI67" i="70"/>
  <c r="BH67" i="70"/>
  <c r="BG67" i="70"/>
  <c r="BF67" i="70"/>
  <c r="BE67" i="70"/>
  <c r="BD67" i="70"/>
  <c r="BC67" i="70"/>
  <c r="BB67" i="70"/>
  <c r="BA67" i="70"/>
  <c r="BN66" i="70"/>
  <c r="BM66" i="70"/>
  <c r="BL66" i="70"/>
  <c r="BK66" i="70"/>
  <c r="BJ66" i="70"/>
  <c r="BI66" i="70"/>
  <c r="BH66" i="70"/>
  <c r="BG66" i="70"/>
  <c r="BF66" i="70"/>
  <c r="BE66" i="70"/>
  <c r="BD66" i="70"/>
  <c r="BC66" i="70"/>
  <c r="BB66" i="70"/>
  <c r="BA66" i="70"/>
  <c r="BN65" i="70"/>
  <c r="BM65" i="70"/>
  <c r="BL65" i="70"/>
  <c r="BK65" i="70"/>
  <c r="BJ65" i="70"/>
  <c r="BI65" i="70"/>
  <c r="BH65" i="70"/>
  <c r="BG65" i="70"/>
  <c r="BF65" i="70"/>
  <c r="BE65" i="70"/>
  <c r="BD65" i="70"/>
  <c r="BC65" i="70"/>
  <c r="BB65" i="70"/>
  <c r="BA65" i="70"/>
  <c r="BN64" i="70"/>
  <c r="BM64" i="70"/>
  <c r="BL64" i="70"/>
  <c r="BK64" i="70"/>
  <c r="BJ64" i="70"/>
  <c r="BI64" i="70"/>
  <c r="BH64" i="70"/>
  <c r="BG64" i="70"/>
  <c r="BF64" i="70"/>
  <c r="BE64" i="70"/>
  <c r="BD64" i="70"/>
  <c r="BC64" i="70"/>
  <c r="BB64" i="70"/>
  <c r="BA64" i="70"/>
  <c r="BN63" i="70"/>
  <c r="BM63" i="70"/>
  <c r="BL63" i="70"/>
  <c r="BK63" i="70"/>
  <c r="BJ63" i="70"/>
  <c r="BI63" i="70"/>
  <c r="BH63" i="70"/>
  <c r="BG63" i="70"/>
  <c r="BF63" i="70"/>
  <c r="BE63" i="70"/>
  <c r="BD63" i="70"/>
  <c r="BC63" i="70"/>
  <c r="BB63" i="70"/>
  <c r="BA63" i="70"/>
  <c r="BN62" i="70"/>
  <c r="BM62" i="70"/>
  <c r="BL62" i="70"/>
  <c r="BK62" i="70"/>
  <c r="BJ62" i="70"/>
  <c r="BI62" i="70"/>
  <c r="BH62" i="70"/>
  <c r="BG62" i="70"/>
  <c r="BF62" i="70"/>
  <c r="BE62" i="70"/>
  <c r="BD62" i="70"/>
  <c r="BC62" i="70"/>
  <c r="BB62" i="70"/>
  <c r="BA62" i="70"/>
  <c r="BN61" i="70"/>
  <c r="BM61" i="70"/>
  <c r="BL61" i="70"/>
  <c r="BK61" i="70"/>
  <c r="BJ61" i="70"/>
  <c r="BI61" i="70"/>
  <c r="BH61" i="70"/>
  <c r="BG61" i="70"/>
  <c r="BF61" i="70"/>
  <c r="BE61" i="70"/>
  <c r="BD61" i="70"/>
  <c r="BC61" i="70"/>
  <c r="BB61" i="70"/>
  <c r="BA61" i="70"/>
  <c r="BN60" i="70"/>
  <c r="BM60" i="70"/>
  <c r="BL60" i="70"/>
  <c r="BK60" i="70"/>
  <c r="BJ60" i="70"/>
  <c r="BI60" i="70"/>
  <c r="BH60" i="70"/>
  <c r="BG60" i="70"/>
  <c r="BF60" i="70"/>
  <c r="BE60" i="70"/>
  <c r="BD60" i="70"/>
  <c r="BC60" i="70"/>
  <c r="BB60" i="70"/>
  <c r="BA60" i="70"/>
  <c r="BN59" i="70"/>
  <c r="BM59" i="70"/>
  <c r="BL59" i="70"/>
  <c r="BK59" i="70"/>
  <c r="BJ59" i="70"/>
  <c r="BI59" i="70"/>
  <c r="BH59" i="70"/>
  <c r="BG59" i="70"/>
  <c r="BF59" i="70"/>
  <c r="BE59" i="70"/>
  <c r="BD59" i="70"/>
  <c r="BC59" i="70"/>
  <c r="BB59" i="70"/>
  <c r="BA59" i="70"/>
  <c r="BN58" i="70"/>
  <c r="BM58" i="70"/>
  <c r="BL58" i="70"/>
  <c r="BK58" i="70"/>
  <c r="BJ58" i="70"/>
  <c r="BI58" i="70"/>
  <c r="BH58" i="70"/>
  <c r="BG58" i="70"/>
  <c r="BF58" i="70"/>
  <c r="BE58" i="70"/>
  <c r="BD58" i="70"/>
  <c r="BC58" i="70"/>
  <c r="BB58" i="70"/>
  <c r="BA58" i="70"/>
  <c r="BN57" i="70"/>
  <c r="BM57" i="70"/>
  <c r="BL57" i="70"/>
  <c r="BK57" i="70"/>
  <c r="BJ57" i="70"/>
  <c r="BI57" i="70"/>
  <c r="BH57" i="70"/>
  <c r="BG57" i="70"/>
  <c r="BF57" i="70"/>
  <c r="BE57" i="70"/>
  <c r="BD57" i="70"/>
  <c r="BC57" i="70"/>
  <c r="BB57" i="70"/>
  <c r="BA57" i="70"/>
  <c r="BN56" i="70"/>
  <c r="BM56" i="70"/>
  <c r="BL56" i="70"/>
  <c r="BK56" i="70"/>
  <c r="BJ56" i="70"/>
  <c r="BI56" i="70"/>
  <c r="BH56" i="70"/>
  <c r="BG56" i="70"/>
  <c r="BF56" i="70"/>
  <c r="BE56" i="70"/>
  <c r="BD56" i="70"/>
  <c r="BC56" i="70"/>
  <c r="BB56" i="70"/>
  <c r="BA56" i="70"/>
  <c r="BN55" i="70"/>
  <c r="BM55" i="70"/>
  <c r="BL55" i="70"/>
  <c r="BK55" i="70"/>
  <c r="BJ55" i="70"/>
  <c r="BI55" i="70"/>
  <c r="BH55" i="70"/>
  <c r="BG55" i="70"/>
  <c r="BF55" i="70"/>
  <c r="BE55" i="70"/>
  <c r="BD55" i="70"/>
  <c r="BC55" i="70"/>
  <c r="BB55" i="70"/>
  <c r="BA55" i="70"/>
  <c r="BN54" i="70"/>
  <c r="BM54" i="70"/>
  <c r="BL54" i="70"/>
  <c r="BK54" i="70"/>
  <c r="BJ54" i="70"/>
  <c r="BI54" i="70"/>
  <c r="BH54" i="70"/>
  <c r="BG54" i="70"/>
  <c r="BF54" i="70"/>
  <c r="BE54" i="70"/>
  <c r="BD54" i="70"/>
  <c r="BC54" i="70"/>
  <c r="BB54" i="70"/>
  <c r="BA54" i="70"/>
  <c r="BN53" i="70"/>
  <c r="BM53" i="70"/>
  <c r="BL53" i="70"/>
  <c r="BK53" i="70"/>
  <c r="BJ53" i="70"/>
  <c r="BI53" i="70"/>
  <c r="BH53" i="70"/>
  <c r="BG53" i="70"/>
  <c r="BF53" i="70"/>
  <c r="BE53" i="70"/>
  <c r="BD53" i="70"/>
  <c r="BC53" i="70"/>
  <c r="BB53" i="70"/>
  <c r="BA53" i="70"/>
  <c r="BN52" i="70"/>
  <c r="BM52" i="70"/>
  <c r="BL52" i="70"/>
  <c r="BK52" i="70"/>
  <c r="BJ52" i="70"/>
  <c r="BI52" i="70"/>
  <c r="BH52" i="70"/>
  <c r="BG52" i="70"/>
  <c r="BF52" i="70"/>
  <c r="BE52" i="70"/>
  <c r="BD52" i="70"/>
  <c r="BC52" i="70"/>
  <c r="BB52" i="70"/>
  <c r="BA52" i="70"/>
  <c r="BN51" i="70"/>
  <c r="BM51" i="70"/>
  <c r="BL51" i="70"/>
  <c r="BK51" i="70"/>
  <c r="BJ51" i="70"/>
  <c r="BI51" i="70"/>
  <c r="BH51" i="70"/>
  <c r="BG51" i="70"/>
  <c r="BF51" i="70"/>
  <c r="BE51" i="70"/>
  <c r="BD51" i="70"/>
  <c r="BC51" i="70"/>
  <c r="BB51" i="70"/>
  <c r="BA51" i="70"/>
  <c r="BN50" i="70"/>
  <c r="BM50" i="70"/>
  <c r="BL50" i="70"/>
  <c r="BK50" i="70"/>
  <c r="BJ50" i="70"/>
  <c r="BI50" i="70"/>
  <c r="BH50" i="70"/>
  <c r="BG50" i="70"/>
  <c r="BF50" i="70"/>
  <c r="BE50" i="70"/>
  <c r="BD50" i="70"/>
  <c r="BC50" i="70"/>
  <c r="BB50" i="70"/>
  <c r="BA50" i="70"/>
  <c r="BN49" i="70"/>
  <c r="BM49" i="70"/>
  <c r="BL49" i="70"/>
  <c r="BK49" i="70"/>
  <c r="BJ49" i="70"/>
  <c r="BI49" i="70"/>
  <c r="BH49" i="70"/>
  <c r="BG49" i="70"/>
  <c r="BF49" i="70"/>
  <c r="BE49" i="70"/>
  <c r="BD49" i="70"/>
  <c r="BC49" i="70"/>
  <c r="BB49" i="70"/>
  <c r="BA49" i="70"/>
  <c r="BN48" i="70"/>
  <c r="BM48" i="70"/>
  <c r="BL48" i="70"/>
  <c r="BK48" i="70"/>
  <c r="BJ48" i="70"/>
  <c r="BI48" i="70"/>
  <c r="BH48" i="70"/>
  <c r="BG48" i="70"/>
  <c r="BF48" i="70"/>
  <c r="BE48" i="70"/>
  <c r="BD48" i="70"/>
  <c r="BC48" i="70"/>
  <c r="BB48" i="70"/>
  <c r="BA48" i="70"/>
  <c r="BN47" i="70"/>
  <c r="BM47" i="70"/>
  <c r="BL47" i="70"/>
  <c r="BK47" i="70"/>
  <c r="BJ47" i="70"/>
  <c r="BI47" i="70"/>
  <c r="BH47" i="70"/>
  <c r="BG47" i="70"/>
  <c r="BF47" i="70"/>
  <c r="BE47" i="70"/>
  <c r="BD47" i="70"/>
  <c r="BC47" i="70"/>
  <c r="BB47" i="70"/>
  <c r="BA47" i="70"/>
  <c r="BA41" i="68"/>
  <c r="AZ41" i="68"/>
  <c r="AY41" i="68"/>
  <c r="AW41" i="68"/>
  <c r="AU41" i="68"/>
  <c r="AS41" i="68"/>
  <c r="AQ41" i="68"/>
  <c r="AO41" i="68"/>
  <c r="AM41" i="68"/>
  <c r="AK41" i="68"/>
  <c r="AI41" i="68"/>
  <c r="AH41" i="68"/>
  <c r="AG41" i="68"/>
  <c r="AE41" i="68"/>
  <c r="AC41" i="68"/>
  <c r="AA41" i="68"/>
  <c r="Y41" i="68"/>
  <c r="W41" i="68"/>
  <c r="U41" i="68"/>
  <c r="S41" i="68"/>
  <c r="R41" i="68"/>
  <c r="Q41" i="68"/>
  <c r="O41" i="68"/>
  <c r="M41" i="68"/>
  <c r="K41" i="68"/>
  <c r="I41" i="68"/>
  <c r="G41" i="68"/>
  <c r="E41" i="68"/>
  <c r="C41" i="68"/>
  <c r="BA40" i="68"/>
  <c r="AZ40" i="68"/>
  <c r="AY40" i="68"/>
  <c r="AX40" i="68"/>
  <c r="AW40" i="68"/>
  <c r="AV40" i="68"/>
  <c r="AU40" i="68"/>
  <c r="AT40" i="68"/>
  <c r="AS40" i="68"/>
  <c r="AR40" i="68"/>
  <c r="AQ40" i="68"/>
  <c r="AP40" i="68"/>
  <c r="AO40" i="68"/>
  <c r="AN40" i="68"/>
  <c r="AM40" i="68"/>
  <c r="AL40" i="68"/>
  <c r="AK40" i="68"/>
  <c r="AJ40" i="68"/>
  <c r="AI40" i="68"/>
  <c r="AH40" i="68"/>
  <c r="AG40" i="68"/>
  <c r="AF40" i="68"/>
  <c r="AE40" i="68"/>
  <c r="AD40" i="68"/>
  <c r="AC40" i="68"/>
  <c r="AB40" i="68"/>
  <c r="AA40" i="68"/>
  <c r="Z40" i="68"/>
  <c r="Y40" i="68"/>
  <c r="X40" i="68"/>
  <c r="W40" i="68"/>
  <c r="V40" i="68"/>
  <c r="U40" i="68"/>
  <c r="T40" i="68"/>
  <c r="S40" i="68"/>
  <c r="R40" i="68"/>
  <c r="Q40" i="68"/>
  <c r="P40" i="68"/>
  <c r="O40" i="68"/>
  <c r="N40" i="68"/>
  <c r="M40" i="68"/>
  <c r="L40" i="68"/>
  <c r="K40" i="68"/>
  <c r="J40" i="68"/>
  <c r="I40" i="68"/>
  <c r="H40" i="68"/>
  <c r="G40" i="68"/>
  <c r="F40" i="68"/>
  <c r="E40" i="68"/>
  <c r="D40" i="68"/>
  <c r="C40" i="68"/>
  <c r="BA39" i="68"/>
  <c r="AZ39" i="68"/>
  <c r="AX39" i="68"/>
  <c r="AW39" i="68"/>
  <c r="AV39" i="68"/>
  <c r="AT39" i="68"/>
  <c r="AR39" i="68"/>
  <c r="AP39" i="68"/>
  <c r="AN39" i="68"/>
  <c r="AL39" i="68"/>
  <c r="AJ39" i="68"/>
  <c r="AH39" i="68"/>
  <c r="AF39" i="68"/>
  <c r="AD39" i="68"/>
  <c r="AB39" i="68"/>
  <c r="Z39" i="68"/>
  <c r="X39" i="68"/>
  <c r="V39" i="68"/>
  <c r="T39" i="68"/>
  <c r="R39" i="68"/>
  <c r="P39" i="68"/>
  <c r="N39" i="68"/>
  <c r="L39" i="68"/>
  <c r="J39" i="68"/>
  <c r="H39" i="68"/>
  <c r="F39" i="68"/>
  <c r="D39" i="68"/>
  <c r="BA38" i="68"/>
  <c r="AZ38" i="68"/>
  <c r="AY38" i="68"/>
  <c r="AX38" i="68"/>
  <c r="AW38" i="68"/>
  <c r="AV38" i="68"/>
  <c r="AU38" i="68"/>
  <c r="AT38" i="68"/>
  <c r="AS38" i="68"/>
  <c r="AR38" i="68"/>
  <c r="AQ38" i="68"/>
  <c r="AP38" i="68"/>
  <c r="AO38" i="68"/>
  <c r="AN38" i="68"/>
  <c r="AM38" i="68"/>
  <c r="AL38" i="68"/>
  <c r="AK38" i="68"/>
  <c r="AJ38" i="68"/>
  <c r="AI38" i="68"/>
  <c r="AH38" i="68"/>
  <c r="AG38" i="68"/>
  <c r="AF38" i="68"/>
  <c r="AE38" i="68"/>
  <c r="AD38" i="68"/>
  <c r="AC38" i="68"/>
  <c r="AB38" i="68"/>
  <c r="AA38" i="68"/>
  <c r="Z38" i="68"/>
  <c r="Y38" i="68"/>
  <c r="X38" i="68"/>
  <c r="W38" i="68"/>
  <c r="V38" i="68"/>
  <c r="U38" i="68"/>
  <c r="T38" i="68"/>
  <c r="S38" i="68"/>
  <c r="R38" i="68"/>
  <c r="Q38" i="68"/>
  <c r="P38" i="68"/>
  <c r="O38" i="68"/>
  <c r="N38" i="68"/>
  <c r="M38" i="68"/>
  <c r="L38" i="68"/>
  <c r="K38" i="68"/>
  <c r="J38" i="68"/>
  <c r="I38" i="68"/>
  <c r="H38" i="68"/>
  <c r="G38" i="68"/>
  <c r="F38" i="68"/>
  <c r="E38" i="68"/>
  <c r="D38" i="68"/>
  <c r="C38" i="68"/>
  <c r="BA37" i="68"/>
  <c r="AZ37" i="68"/>
  <c r="AY37" i="68"/>
  <c r="AW37" i="68"/>
  <c r="AU37" i="68"/>
  <c r="AT37" i="68"/>
  <c r="AS37" i="68"/>
  <c r="AQ37" i="68"/>
  <c r="AO37" i="68"/>
  <c r="AM37" i="68"/>
  <c r="AK37" i="68"/>
  <c r="AI37" i="68"/>
  <c r="AG37" i="68"/>
  <c r="AE37" i="68"/>
  <c r="AD37" i="68"/>
  <c r="AC37" i="68"/>
  <c r="AA37" i="68"/>
  <c r="Y37" i="68"/>
  <c r="W37" i="68"/>
  <c r="U37" i="68"/>
  <c r="S37" i="68"/>
  <c r="Q37" i="68"/>
  <c r="O37" i="68"/>
  <c r="N37" i="68"/>
  <c r="M37" i="68"/>
  <c r="K37" i="68"/>
  <c r="I37" i="68"/>
  <c r="G37" i="68"/>
  <c r="E37" i="68"/>
  <c r="C37" i="68"/>
  <c r="BA36" i="68"/>
  <c r="AZ36" i="68"/>
  <c r="AY36" i="68"/>
  <c r="AX36" i="68"/>
  <c r="AW36" i="68"/>
  <c r="AV36" i="68"/>
  <c r="AU36" i="68"/>
  <c r="AT36" i="68"/>
  <c r="AS36" i="68"/>
  <c r="AR36" i="68"/>
  <c r="AQ36" i="68"/>
  <c r="AP36" i="68"/>
  <c r="AO36" i="68"/>
  <c r="AN36" i="68"/>
  <c r="AM36" i="68"/>
  <c r="AL36" i="68"/>
  <c r="AK36" i="68"/>
  <c r="AJ36" i="68"/>
  <c r="AI36" i="68"/>
  <c r="AH36" i="68"/>
  <c r="AG36" i="68"/>
  <c r="AF36" i="68"/>
  <c r="AE36" i="68"/>
  <c r="AD36" i="68"/>
  <c r="AC36" i="68"/>
  <c r="AB36" i="68"/>
  <c r="AA36" i="68"/>
  <c r="Z36" i="68"/>
  <c r="Y36" i="68"/>
  <c r="X36" i="68"/>
  <c r="W36" i="68"/>
  <c r="V36" i="68"/>
  <c r="U36" i="68"/>
  <c r="T36" i="68"/>
  <c r="S36" i="68"/>
  <c r="R36" i="68"/>
  <c r="Q36" i="68"/>
  <c r="P36" i="68"/>
  <c r="O36" i="68"/>
  <c r="N36" i="68"/>
  <c r="M36" i="68"/>
  <c r="L36" i="68"/>
  <c r="K36" i="68"/>
  <c r="J36" i="68"/>
  <c r="I36" i="68"/>
  <c r="H36" i="68"/>
  <c r="G36" i="68"/>
  <c r="F36" i="68"/>
  <c r="E36" i="68"/>
  <c r="D36" i="68"/>
  <c r="C36" i="68"/>
  <c r="AZ35" i="68"/>
  <c r="AX35" i="68"/>
  <c r="AV35" i="68"/>
  <c r="AT35" i="68"/>
  <c r="AR35" i="68"/>
  <c r="AP35" i="68"/>
  <c r="AN35" i="68"/>
  <c r="AL35" i="68"/>
  <c r="AJ35" i="68"/>
  <c r="AH35" i="68"/>
  <c r="AF35" i="68"/>
  <c r="AD35" i="68"/>
  <c r="AB35" i="68"/>
  <c r="Z35" i="68"/>
  <c r="X35" i="68"/>
  <c r="V35" i="68"/>
  <c r="T35" i="68"/>
  <c r="R35" i="68"/>
  <c r="P35" i="68"/>
  <c r="N35" i="68"/>
  <c r="L35" i="68"/>
  <c r="J35" i="68"/>
  <c r="H35" i="68"/>
  <c r="F35" i="68"/>
  <c r="D35" i="68"/>
  <c r="BA34" i="68"/>
  <c r="AZ34" i="68"/>
  <c r="AY34" i="68"/>
  <c r="AX34" i="68"/>
  <c r="AW34" i="68"/>
  <c r="AV34" i="68"/>
  <c r="AU34" i="68"/>
  <c r="AT34" i="68"/>
  <c r="AS34" i="68"/>
  <c r="AR34" i="68"/>
  <c r="AQ34" i="68"/>
  <c r="AP34" i="68"/>
  <c r="AO34" i="68"/>
  <c r="AN34" i="68"/>
  <c r="AM34" i="68"/>
  <c r="AL34" i="68"/>
  <c r="AK34" i="68"/>
  <c r="AJ34" i="68"/>
  <c r="AI34" i="68"/>
  <c r="AH34" i="68"/>
  <c r="AG34" i="68"/>
  <c r="AF34" i="68"/>
  <c r="AE34" i="68"/>
  <c r="AD34" i="68"/>
  <c r="AC34" i="68"/>
  <c r="AB34" i="68"/>
  <c r="AA34" i="68"/>
  <c r="Z34" i="68"/>
  <c r="Y34" i="68"/>
  <c r="X34" i="68"/>
  <c r="W34" i="68"/>
  <c r="V34" i="68"/>
  <c r="U34" i="68"/>
  <c r="T34" i="68"/>
  <c r="S34" i="68"/>
  <c r="R34" i="68"/>
  <c r="Q34" i="68"/>
  <c r="P34" i="68"/>
  <c r="O34" i="68"/>
  <c r="N34" i="68"/>
  <c r="M34" i="68"/>
  <c r="L34" i="68"/>
  <c r="K34" i="68"/>
  <c r="J34" i="68"/>
  <c r="I34" i="68"/>
  <c r="H34" i="68"/>
  <c r="G34" i="68"/>
  <c r="F34" i="68"/>
  <c r="E34" i="68"/>
  <c r="D34" i="68"/>
  <c r="C34" i="68"/>
  <c r="BA33" i="68"/>
  <c r="AY33" i="68"/>
  <c r="AW33" i="68"/>
  <c r="AU33" i="68"/>
  <c r="AS33" i="68"/>
  <c r="AQ33" i="68"/>
  <c r="AP33" i="68"/>
  <c r="AO33" i="68"/>
  <c r="AM33" i="68"/>
  <c r="AK33" i="68"/>
  <c r="AI33" i="68"/>
  <c r="AG33" i="68"/>
  <c r="AE33" i="68"/>
  <c r="AC33" i="68"/>
  <c r="AA33" i="68"/>
  <c r="Z33" i="68"/>
  <c r="Y33" i="68"/>
  <c r="W33" i="68"/>
  <c r="U33" i="68"/>
  <c r="S33" i="68"/>
  <c r="Q33" i="68"/>
  <c r="O33" i="68"/>
  <c r="M33" i="68"/>
  <c r="K33" i="68"/>
  <c r="J33" i="68"/>
  <c r="I33" i="68"/>
  <c r="G33" i="68"/>
  <c r="E33" i="68"/>
  <c r="C33" i="68"/>
  <c r="BA32" i="68"/>
  <c r="AZ32" i="68"/>
  <c r="AY32" i="68"/>
  <c r="AX32" i="68"/>
  <c r="AW32" i="68"/>
  <c r="AV32" i="68"/>
  <c r="AU32" i="68"/>
  <c r="AT32" i="68"/>
  <c r="AS32" i="68"/>
  <c r="AR32" i="68"/>
  <c r="AQ32" i="68"/>
  <c r="AP32" i="68"/>
  <c r="AO32" i="68"/>
  <c r="AN32" i="68"/>
  <c r="AM32" i="68"/>
  <c r="AL32" i="68"/>
  <c r="AK32" i="68"/>
  <c r="AJ32" i="68"/>
  <c r="AI32" i="68"/>
  <c r="AH32" i="68"/>
  <c r="AG32" i="68"/>
  <c r="AF32" i="68"/>
  <c r="AE32" i="68"/>
  <c r="AD32" i="68"/>
  <c r="AC32" i="68"/>
  <c r="AB32" i="68"/>
  <c r="AA32" i="68"/>
  <c r="Z32" i="68"/>
  <c r="Y32" i="68"/>
  <c r="X32" i="68"/>
  <c r="W32" i="68"/>
  <c r="V32" i="68"/>
  <c r="U32" i="68"/>
  <c r="T32" i="68"/>
  <c r="S32" i="68"/>
  <c r="R32" i="68"/>
  <c r="Q32" i="68"/>
  <c r="P32" i="68"/>
  <c r="O32" i="68"/>
  <c r="N32" i="68"/>
  <c r="M32" i="68"/>
  <c r="L32" i="68"/>
  <c r="K32" i="68"/>
  <c r="J32" i="68"/>
  <c r="I32" i="68"/>
  <c r="H32" i="68"/>
  <c r="G32" i="68"/>
  <c r="F32" i="68"/>
  <c r="E32" i="68"/>
  <c r="D32" i="68"/>
  <c r="C32" i="68"/>
  <c r="AZ31" i="68"/>
  <c r="AY31" i="68"/>
  <c r="AX31" i="68"/>
  <c r="AV31" i="68"/>
  <c r="AT31" i="68"/>
  <c r="AR31" i="68"/>
  <c r="AP31" i="68"/>
  <c r="AN31" i="68"/>
  <c r="AL31" i="68"/>
  <c r="AJ31" i="68"/>
  <c r="AH31" i="68"/>
  <c r="AF31" i="68"/>
  <c r="AD31" i="68"/>
  <c r="AB31" i="68"/>
  <c r="Z31" i="68"/>
  <c r="X31" i="68"/>
  <c r="V31" i="68"/>
  <c r="T31" i="68"/>
  <c r="R31" i="68"/>
  <c r="P31" i="68"/>
  <c r="N31" i="68"/>
  <c r="L31" i="68"/>
  <c r="J31" i="68"/>
  <c r="H31" i="68"/>
  <c r="F31" i="68"/>
  <c r="D31" i="68"/>
  <c r="BA30" i="68"/>
  <c r="AZ30" i="68"/>
  <c r="AY30" i="68"/>
  <c r="AX30" i="68"/>
  <c r="AW30" i="68"/>
  <c r="AV30" i="68"/>
  <c r="AU30" i="68"/>
  <c r="AT30" i="68"/>
  <c r="AS30" i="68"/>
  <c r="AR30" i="68"/>
  <c r="AQ30" i="68"/>
  <c r="AP30" i="68"/>
  <c r="AO30" i="68"/>
  <c r="AN30" i="68"/>
  <c r="AM30" i="68"/>
  <c r="AL30" i="68"/>
  <c r="AK30" i="68"/>
  <c r="AJ30" i="68"/>
  <c r="AI30" i="68"/>
  <c r="AH30" i="68"/>
  <c r="AG30" i="68"/>
  <c r="AF30" i="68"/>
  <c r="AE30" i="68"/>
  <c r="AD30" i="68"/>
  <c r="AC30" i="68"/>
  <c r="AB30" i="68"/>
  <c r="AA30" i="68"/>
  <c r="Z30" i="68"/>
  <c r="Y30" i="68"/>
  <c r="X30" i="68"/>
  <c r="W30" i="68"/>
  <c r="V30" i="68"/>
  <c r="U30" i="68"/>
  <c r="T30" i="68"/>
  <c r="S30" i="68"/>
  <c r="R30" i="68"/>
  <c r="Q30" i="68"/>
  <c r="P30" i="68"/>
  <c r="O30" i="68"/>
  <c r="N30" i="68"/>
  <c r="M30" i="68"/>
  <c r="L30" i="68"/>
  <c r="K30" i="68"/>
  <c r="J30" i="68"/>
  <c r="I30" i="68"/>
  <c r="H30" i="68"/>
  <c r="G30" i="68"/>
  <c r="F30" i="68"/>
  <c r="E30" i="68"/>
  <c r="D30" i="68"/>
  <c r="C30" i="68"/>
  <c r="BA29" i="68"/>
  <c r="AY29" i="68"/>
  <c r="AX29" i="68"/>
  <c r="AW29" i="68"/>
  <c r="AU29" i="68"/>
  <c r="AS29" i="68"/>
  <c r="AQ29" i="68"/>
  <c r="AO29" i="68"/>
  <c r="AM29" i="68"/>
  <c r="AL29" i="68"/>
  <c r="AK29" i="68"/>
  <c r="AI29" i="68"/>
  <c r="AG29" i="68"/>
  <c r="AE29" i="68"/>
  <c r="AC29" i="68"/>
  <c r="AA29" i="68"/>
  <c r="Y29" i="68"/>
  <c r="W29" i="68"/>
  <c r="V29" i="68"/>
  <c r="U29" i="68"/>
  <c r="S29" i="68"/>
  <c r="Q29" i="68"/>
  <c r="O29" i="68"/>
  <c r="M29" i="68"/>
  <c r="K29" i="68"/>
  <c r="I29" i="68"/>
  <c r="G29" i="68"/>
  <c r="F29" i="68"/>
  <c r="E29" i="68"/>
  <c r="C29" i="68"/>
  <c r="BA28" i="68"/>
  <c r="AZ28" i="68"/>
  <c r="AY28" i="68"/>
  <c r="AX28" i="68"/>
  <c r="AW28" i="68"/>
  <c r="AV28" i="68"/>
  <c r="AU28" i="68"/>
  <c r="AT28" i="68"/>
  <c r="AS28" i="68"/>
  <c r="AR28" i="68"/>
  <c r="AQ28" i="68"/>
  <c r="AP28" i="68"/>
  <c r="AO28" i="68"/>
  <c r="AN28" i="68"/>
  <c r="AM28" i="68"/>
  <c r="AL28" i="68"/>
  <c r="AK28" i="68"/>
  <c r="AJ28" i="68"/>
  <c r="AI28" i="68"/>
  <c r="AH28" i="68"/>
  <c r="AG28" i="68"/>
  <c r="AF28" i="68"/>
  <c r="AE28" i="68"/>
  <c r="AD28" i="68"/>
  <c r="AC28" i="68"/>
  <c r="AB28" i="68"/>
  <c r="AA28" i="68"/>
  <c r="Z28" i="68"/>
  <c r="Y28" i="68"/>
  <c r="X28" i="68"/>
  <c r="W28" i="68"/>
  <c r="V28" i="68"/>
  <c r="U28" i="68"/>
  <c r="T28" i="68"/>
  <c r="S28" i="68"/>
  <c r="R28" i="68"/>
  <c r="Q28" i="68"/>
  <c r="P28" i="68"/>
  <c r="O28" i="68"/>
  <c r="N28" i="68"/>
  <c r="M28" i="68"/>
  <c r="L28" i="68"/>
  <c r="K28" i="68"/>
  <c r="J28" i="68"/>
  <c r="I28" i="68"/>
  <c r="H28" i="68"/>
  <c r="G28" i="68"/>
  <c r="F28" i="68"/>
  <c r="E28" i="68"/>
  <c r="D28" i="68"/>
  <c r="C28" i="68"/>
  <c r="BN98" i="68"/>
  <c r="BM98" i="68"/>
  <c r="BK98" i="68"/>
  <c r="BJ98" i="68"/>
  <c r="BI98" i="68"/>
  <c r="BG98" i="68"/>
  <c r="BF98" i="68"/>
  <c r="BE98" i="68"/>
  <c r="BC98" i="68"/>
  <c r="BB98" i="68"/>
  <c r="BA98" i="68"/>
  <c r="BM97" i="68"/>
  <c r="BL97" i="68"/>
  <c r="BK97" i="68"/>
  <c r="BI97" i="68"/>
  <c r="BH97" i="68"/>
  <c r="BG97" i="68"/>
  <c r="BE97" i="68"/>
  <c r="BD97" i="68"/>
  <c r="BC97" i="68"/>
  <c r="BA97" i="68"/>
  <c r="BN96" i="68"/>
  <c r="BM96" i="68"/>
  <c r="BK96" i="68"/>
  <c r="BJ96" i="68"/>
  <c r="BI96" i="68"/>
  <c r="BG96" i="68"/>
  <c r="BF96" i="68"/>
  <c r="BE96" i="68"/>
  <c r="BC96" i="68"/>
  <c r="BB96" i="68"/>
  <c r="BA96" i="68"/>
  <c r="BM95" i="68"/>
  <c r="BL95" i="68"/>
  <c r="BK95" i="68"/>
  <c r="BI95" i="68"/>
  <c r="BH95" i="68"/>
  <c r="BG95" i="68"/>
  <c r="BE95" i="68"/>
  <c r="BD95" i="68"/>
  <c r="BC95" i="68"/>
  <c r="BA95" i="68"/>
  <c r="BN94" i="68"/>
  <c r="BM94" i="68"/>
  <c r="BK94" i="68"/>
  <c r="BJ94" i="68"/>
  <c r="BI94" i="68"/>
  <c r="BG94" i="68"/>
  <c r="BF94" i="68"/>
  <c r="BE94" i="68"/>
  <c r="BC94" i="68"/>
  <c r="BB94" i="68"/>
  <c r="BA94" i="68"/>
  <c r="BM92" i="68"/>
  <c r="BL92" i="68"/>
  <c r="BK92" i="68"/>
  <c r="BI92" i="68"/>
  <c r="BH92" i="68"/>
  <c r="BG92" i="68"/>
  <c r="BE92" i="68"/>
  <c r="BD92" i="68"/>
  <c r="BC92" i="68"/>
  <c r="BA92" i="68"/>
  <c r="BN91" i="68"/>
  <c r="BM91" i="68"/>
  <c r="BK91" i="68"/>
  <c r="BJ91" i="68"/>
  <c r="BI91" i="68"/>
  <c r="BG91" i="68"/>
  <c r="BF91" i="68"/>
  <c r="BE91" i="68"/>
  <c r="BC91" i="68"/>
  <c r="BB91" i="68"/>
  <c r="BA91" i="68"/>
  <c r="BM90" i="68"/>
  <c r="BL90" i="68"/>
  <c r="BK90" i="68"/>
  <c r="BI90" i="68"/>
  <c r="BH90" i="68"/>
  <c r="BG90" i="68"/>
  <c r="BE90" i="68"/>
  <c r="BD90" i="68"/>
  <c r="BC90" i="68"/>
  <c r="BA90" i="68"/>
  <c r="BN89" i="68"/>
  <c r="BM89" i="68"/>
  <c r="BK89" i="68"/>
  <c r="BJ89" i="68"/>
  <c r="BI89" i="68"/>
  <c r="BG89" i="68"/>
  <c r="BF89" i="68"/>
  <c r="BE89" i="68"/>
  <c r="BC89" i="68"/>
  <c r="BB89" i="68"/>
  <c r="BA89" i="68"/>
  <c r="BM88" i="68"/>
  <c r="BL88" i="68"/>
  <c r="BK88" i="68"/>
  <c r="BI88" i="68"/>
  <c r="BH88" i="68"/>
  <c r="BG88" i="68"/>
  <c r="BE88" i="68"/>
  <c r="BD88" i="68"/>
  <c r="BC88" i="68"/>
  <c r="BA88" i="68"/>
  <c r="BN87" i="68"/>
  <c r="BM87" i="68"/>
  <c r="BK87" i="68"/>
  <c r="BJ87" i="68"/>
  <c r="BI87" i="68"/>
  <c r="BG87" i="68"/>
  <c r="BF87" i="68"/>
  <c r="BE87" i="68"/>
  <c r="BC87" i="68"/>
  <c r="BB87" i="68"/>
  <c r="BA87" i="68"/>
  <c r="BM86" i="68"/>
  <c r="BL86" i="68"/>
  <c r="BK86" i="68"/>
  <c r="BI86" i="68"/>
  <c r="BH86" i="68"/>
  <c r="BG86" i="68"/>
  <c r="BE86" i="68"/>
  <c r="BD86" i="68"/>
  <c r="BC86" i="68"/>
  <c r="BA86" i="68"/>
  <c r="BN85" i="68"/>
  <c r="BM85" i="68"/>
  <c r="BK85" i="68"/>
  <c r="BJ85" i="68"/>
  <c r="BI85" i="68"/>
  <c r="BG85" i="68"/>
  <c r="BF85" i="68"/>
  <c r="BE85" i="68"/>
  <c r="BC85" i="68"/>
  <c r="BB85" i="68"/>
  <c r="BA85" i="68"/>
  <c r="BM84" i="68"/>
  <c r="BL84" i="68"/>
  <c r="BK84" i="68"/>
  <c r="BI84" i="68"/>
  <c r="BH84" i="68"/>
  <c r="BG84" i="68"/>
  <c r="BE84" i="68"/>
  <c r="BD84" i="68"/>
  <c r="BC84" i="68"/>
  <c r="BA84" i="68"/>
  <c r="BN83" i="68"/>
  <c r="BM83" i="68"/>
  <c r="BK83" i="68"/>
  <c r="BJ83" i="68"/>
  <c r="BI83" i="68"/>
  <c r="BG83" i="68"/>
  <c r="BF83" i="68"/>
  <c r="BE83" i="68"/>
  <c r="BC83" i="68"/>
  <c r="BB83" i="68"/>
  <c r="BA83" i="68"/>
  <c r="BM82" i="68"/>
  <c r="BL82" i="68"/>
  <c r="BK82" i="68"/>
  <c r="BI82" i="68"/>
  <c r="BH82" i="68"/>
  <c r="BG82" i="68"/>
  <c r="BE82" i="68"/>
  <c r="BD82" i="68"/>
  <c r="BC82" i="68"/>
  <c r="BA82" i="68"/>
  <c r="BN81" i="68"/>
  <c r="BM81" i="68"/>
  <c r="BK81" i="68"/>
  <c r="BJ81" i="68"/>
  <c r="BI81" i="68"/>
  <c r="BG81" i="68"/>
  <c r="BF81" i="68"/>
  <c r="BE81" i="68"/>
  <c r="BC81" i="68"/>
  <c r="BB81" i="68"/>
  <c r="BA81" i="68"/>
  <c r="BM80" i="68"/>
  <c r="BL80" i="68"/>
  <c r="BK80" i="68"/>
  <c r="BI80" i="68"/>
  <c r="BH80" i="68"/>
  <c r="BG80" i="68"/>
  <c r="BE80" i="68"/>
  <c r="BD80" i="68"/>
  <c r="BC80" i="68"/>
  <c r="BA80" i="68"/>
  <c r="BN79" i="68"/>
  <c r="BM79" i="68"/>
  <c r="BK79" i="68"/>
  <c r="BJ79" i="68"/>
  <c r="BI79" i="68"/>
  <c r="BG79" i="68"/>
  <c r="BF79" i="68"/>
  <c r="BE79" i="68"/>
  <c r="BC79" i="68"/>
  <c r="BB79" i="68"/>
  <c r="BA79" i="68"/>
  <c r="BM78" i="68"/>
  <c r="BL78" i="68"/>
  <c r="BK78" i="68"/>
  <c r="BI78" i="68"/>
  <c r="BH78" i="68"/>
  <c r="BG78" i="68"/>
  <c r="BE78" i="68"/>
  <c r="BD78" i="68"/>
  <c r="BC78" i="68"/>
  <c r="BA78" i="68"/>
  <c r="BN77" i="68"/>
  <c r="BM77" i="68"/>
  <c r="BK77" i="68"/>
  <c r="BJ77" i="68"/>
  <c r="BI77" i="68"/>
  <c r="BG77" i="68"/>
  <c r="BF77" i="68"/>
  <c r="BE77" i="68"/>
  <c r="BC77" i="68"/>
  <c r="BB77" i="68"/>
  <c r="BA77" i="68"/>
  <c r="BM76" i="68"/>
  <c r="BL76" i="68"/>
  <c r="BK76" i="68"/>
  <c r="BI76" i="68"/>
  <c r="BH76" i="68"/>
  <c r="BG76" i="68"/>
  <c r="BE76" i="68"/>
  <c r="BD76" i="68"/>
  <c r="BC76" i="68"/>
  <c r="BA76" i="68"/>
  <c r="BN75" i="68"/>
  <c r="BM75" i="68"/>
  <c r="BK75" i="68"/>
  <c r="BJ75" i="68"/>
  <c r="BI75" i="68"/>
  <c r="BG75" i="68"/>
  <c r="BF75" i="68"/>
  <c r="BE75" i="68"/>
  <c r="BC75" i="68"/>
  <c r="BB75" i="68"/>
  <c r="BA75" i="68"/>
  <c r="BM74" i="68"/>
  <c r="BL74" i="68"/>
  <c r="BK74" i="68"/>
  <c r="BI74" i="68"/>
  <c r="BH74" i="68"/>
  <c r="BG74" i="68"/>
  <c r="BE74" i="68"/>
  <c r="BD74" i="68"/>
  <c r="BC74" i="68"/>
  <c r="BA74" i="68"/>
  <c r="BN73" i="68"/>
  <c r="BM73" i="68"/>
  <c r="BK73" i="68"/>
  <c r="BJ73" i="68"/>
  <c r="BI73" i="68"/>
  <c r="BG73" i="68"/>
  <c r="BF73" i="68"/>
  <c r="BE73" i="68"/>
  <c r="BC73" i="68"/>
  <c r="BB73" i="68"/>
  <c r="BA73" i="68"/>
  <c r="BM72" i="68"/>
  <c r="BL72" i="68"/>
  <c r="BK72" i="68"/>
  <c r="BI72" i="68"/>
  <c r="BH72" i="68"/>
  <c r="BG72" i="68"/>
  <c r="BE72" i="68"/>
  <c r="BD72" i="68"/>
  <c r="BC72" i="68"/>
  <c r="BA72" i="68"/>
  <c r="BN71" i="68"/>
  <c r="BM71" i="68"/>
  <c r="BK71" i="68"/>
  <c r="BJ71" i="68"/>
  <c r="BI71" i="68"/>
  <c r="BG71" i="68"/>
  <c r="BF71" i="68"/>
  <c r="BE71" i="68"/>
  <c r="BC71" i="68"/>
  <c r="BB71" i="68"/>
  <c r="BA71" i="68"/>
  <c r="BM70" i="68"/>
  <c r="BL70" i="68"/>
  <c r="BK70" i="68"/>
  <c r="BI70" i="68"/>
  <c r="BH70" i="68"/>
  <c r="BG70" i="68"/>
  <c r="BE70" i="68"/>
  <c r="BD70" i="68"/>
  <c r="BC70" i="68"/>
  <c r="BA70" i="68"/>
  <c r="BN69" i="68"/>
  <c r="BM69" i="68"/>
  <c r="BK69" i="68"/>
  <c r="BJ69" i="68"/>
  <c r="BI69" i="68"/>
  <c r="BG69" i="68"/>
  <c r="BF69" i="68"/>
  <c r="BE69" i="68"/>
  <c r="BC69" i="68"/>
  <c r="BB69" i="68"/>
  <c r="BA69" i="68"/>
  <c r="BM68" i="68"/>
  <c r="BL68" i="68"/>
  <c r="BK68" i="68"/>
  <c r="BI68" i="68"/>
  <c r="BH68" i="68"/>
  <c r="BG68" i="68"/>
  <c r="BE68" i="68"/>
  <c r="BD68" i="68"/>
  <c r="BC68" i="68"/>
  <c r="BA68" i="68"/>
  <c r="BN67" i="68"/>
  <c r="BM67" i="68"/>
  <c r="BK67" i="68"/>
  <c r="BJ67" i="68"/>
  <c r="BI67" i="68"/>
  <c r="BG67" i="68"/>
  <c r="BF67" i="68"/>
  <c r="BE67" i="68"/>
  <c r="BC67" i="68"/>
  <c r="BB67" i="68"/>
  <c r="BA67" i="68"/>
  <c r="BM66" i="68"/>
  <c r="BL66" i="68"/>
  <c r="BK66" i="68"/>
  <c r="BI66" i="68"/>
  <c r="BH66" i="68"/>
  <c r="BG66" i="68"/>
  <c r="BE66" i="68"/>
  <c r="BD66" i="68"/>
  <c r="BC66" i="68"/>
  <c r="BA66" i="68"/>
  <c r="BN65" i="68"/>
  <c r="BM65" i="68"/>
  <c r="BK65" i="68"/>
  <c r="BJ65" i="68"/>
  <c r="BI65" i="68"/>
  <c r="BG65" i="68"/>
  <c r="BF65" i="68"/>
  <c r="BE65" i="68"/>
  <c r="BC65" i="68"/>
  <c r="BB65" i="68"/>
  <c r="BA65" i="68"/>
  <c r="BM64" i="68"/>
  <c r="BL64" i="68"/>
  <c r="BK64" i="68"/>
  <c r="BI64" i="68"/>
  <c r="BH64" i="68"/>
  <c r="BG64" i="68"/>
  <c r="BE64" i="68"/>
  <c r="BD64" i="68"/>
  <c r="BC64" i="68"/>
  <c r="BA64" i="68"/>
  <c r="BN63" i="68"/>
  <c r="BM63" i="68"/>
  <c r="BK63" i="68"/>
  <c r="BJ63" i="68"/>
  <c r="BI63" i="68"/>
  <c r="BG63" i="68"/>
  <c r="BF63" i="68"/>
  <c r="BE63" i="68"/>
  <c r="BC63" i="68"/>
  <c r="BB63" i="68"/>
  <c r="BA63" i="68"/>
  <c r="BM62" i="68"/>
  <c r="BL62" i="68"/>
  <c r="BK62" i="68"/>
  <c r="BI62" i="68"/>
  <c r="BH62" i="68"/>
  <c r="BG62" i="68"/>
  <c r="BE62" i="68"/>
  <c r="BD62" i="68"/>
  <c r="BC62" i="68"/>
  <c r="BA62" i="68"/>
  <c r="BN61" i="68"/>
  <c r="BM61" i="68"/>
  <c r="BK61" i="68"/>
  <c r="BJ61" i="68"/>
  <c r="BI61" i="68"/>
  <c r="BG61" i="68"/>
  <c r="BF61" i="68"/>
  <c r="BE61" i="68"/>
  <c r="BC61" i="68"/>
  <c r="BB61" i="68"/>
  <c r="BA61" i="68"/>
  <c r="BM60" i="68"/>
  <c r="BL60" i="68"/>
  <c r="BK60" i="68"/>
  <c r="BI60" i="68"/>
  <c r="BH60" i="68"/>
  <c r="BG60" i="68"/>
  <c r="BE60" i="68"/>
  <c r="BD60" i="68"/>
  <c r="BC60" i="68"/>
  <c r="BA60" i="68"/>
  <c r="BN59" i="68"/>
  <c r="BM59" i="68"/>
  <c r="BK59" i="68"/>
  <c r="BJ59" i="68"/>
  <c r="BI59" i="68"/>
  <c r="BG59" i="68"/>
  <c r="BF59" i="68"/>
  <c r="BE59" i="68"/>
  <c r="BC59" i="68"/>
  <c r="BB59" i="68"/>
  <c r="BA59" i="68"/>
  <c r="BM58" i="68"/>
  <c r="BL58" i="68"/>
  <c r="BK58" i="68"/>
  <c r="BI58" i="68"/>
  <c r="BH58" i="68"/>
  <c r="BG58" i="68"/>
  <c r="BE58" i="68"/>
  <c r="BD58" i="68"/>
  <c r="BC58" i="68"/>
  <c r="BA58" i="68"/>
  <c r="BN57" i="68"/>
  <c r="BM57" i="68"/>
  <c r="BK57" i="68"/>
  <c r="BJ57" i="68"/>
  <c r="BI57" i="68"/>
  <c r="BG57" i="68"/>
  <c r="BF57" i="68"/>
  <c r="BE57" i="68"/>
  <c r="BC57" i="68"/>
  <c r="BB57" i="68"/>
  <c r="BA57" i="68"/>
  <c r="BM56" i="68"/>
  <c r="BL56" i="68"/>
  <c r="BK56" i="68"/>
  <c r="BI56" i="68"/>
  <c r="BH56" i="68"/>
  <c r="BG56" i="68"/>
  <c r="BF56" i="68"/>
  <c r="BE56" i="68"/>
  <c r="BD56" i="68"/>
  <c r="BC56" i="68"/>
  <c r="BB56" i="68"/>
  <c r="BA56" i="68"/>
  <c r="BN55" i="68"/>
  <c r="BM55" i="68"/>
  <c r="BL55" i="68"/>
  <c r="BK55" i="68"/>
  <c r="BJ55" i="68"/>
  <c r="BI55" i="68"/>
  <c r="BH55" i="68"/>
  <c r="BG55" i="68"/>
  <c r="BF55" i="68"/>
  <c r="BE55" i="68"/>
  <c r="BD55" i="68"/>
  <c r="BC55" i="68"/>
  <c r="BB55" i="68"/>
  <c r="BA55" i="68"/>
  <c r="BN54" i="68"/>
  <c r="BM54" i="68"/>
  <c r="BL54" i="68"/>
  <c r="BK54" i="68"/>
  <c r="BJ54" i="68"/>
  <c r="BI54" i="68"/>
  <c r="BH54" i="68"/>
  <c r="BG54" i="68"/>
  <c r="BF54" i="68"/>
  <c r="BE54" i="68"/>
  <c r="BD54" i="68"/>
  <c r="BC54" i="68"/>
  <c r="BB54" i="68"/>
  <c r="BA54" i="68"/>
  <c r="BN53" i="68"/>
  <c r="BM53" i="68"/>
  <c r="BL53" i="68"/>
  <c r="BK53" i="68"/>
  <c r="BJ53" i="68"/>
  <c r="BI53" i="68"/>
  <c r="BH53" i="68"/>
  <c r="BG53" i="68"/>
  <c r="BF53" i="68"/>
  <c r="BE53" i="68"/>
  <c r="BD53" i="68"/>
  <c r="BC53" i="68"/>
  <c r="BB53" i="68"/>
  <c r="BA53" i="68"/>
  <c r="BN52" i="68"/>
  <c r="BM52" i="68"/>
  <c r="BL52" i="68"/>
  <c r="BK52" i="68"/>
  <c r="BJ52" i="68"/>
  <c r="BI52" i="68"/>
  <c r="BH52" i="68"/>
  <c r="BG52" i="68"/>
  <c r="BF52" i="68"/>
  <c r="BE52" i="68"/>
  <c r="BD52" i="68"/>
  <c r="BC52" i="68"/>
  <c r="BB52" i="68"/>
  <c r="BA52" i="68"/>
  <c r="BN51" i="68"/>
  <c r="BM51" i="68"/>
  <c r="BL51" i="68"/>
  <c r="BK51" i="68"/>
  <c r="BJ51" i="68"/>
  <c r="BI51" i="68"/>
  <c r="BH51" i="68"/>
  <c r="BG51" i="68"/>
  <c r="BF51" i="68"/>
  <c r="BE51" i="68"/>
  <c r="BD51" i="68"/>
  <c r="BC51" i="68"/>
  <c r="BB51" i="68"/>
  <c r="BA51" i="68"/>
  <c r="BN50" i="68"/>
  <c r="BM50" i="68"/>
  <c r="BL50" i="68"/>
  <c r="BK50" i="68"/>
  <c r="BJ50" i="68"/>
  <c r="BI50" i="68"/>
  <c r="BH50" i="68"/>
  <c r="BG50" i="68"/>
  <c r="BF50" i="68"/>
  <c r="BE50" i="68"/>
  <c r="BD50" i="68"/>
  <c r="BC50" i="68"/>
  <c r="BB50" i="68"/>
  <c r="BA50" i="68"/>
  <c r="BN49" i="68"/>
  <c r="BM49" i="68"/>
  <c r="BL49" i="68"/>
  <c r="BK49" i="68"/>
  <c r="BJ49" i="68"/>
  <c r="BI49" i="68"/>
  <c r="BH49" i="68"/>
  <c r="BG49" i="68"/>
  <c r="BF49" i="68"/>
  <c r="BE49" i="68"/>
  <c r="BD49" i="68"/>
  <c r="BC49" i="68"/>
  <c r="BB49" i="68"/>
  <c r="BA49" i="68"/>
  <c r="BN48" i="68"/>
  <c r="BM48" i="68"/>
  <c r="BL48" i="68"/>
  <c r="BK48" i="68"/>
  <c r="BJ48" i="68"/>
  <c r="BI48" i="68"/>
  <c r="BH48" i="68"/>
  <c r="BG48" i="68"/>
  <c r="BF48" i="68"/>
  <c r="BE48" i="68"/>
  <c r="BD48" i="68"/>
  <c r="BC48" i="68"/>
  <c r="BB48" i="68"/>
  <c r="BA48" i="68"/>
  <c r="BN47" i="68"/>
  <c r="BM47" i="68"/>
  <c r="BL47" i="68"/>
  <c r="BK47" i="68"/>
  <c r="BJ47" i="68"/>
  <c r="BI47" i="68"/>
  <c r="BH47" i="68"/>
  <c r="BG47" i="68"/>
  <c r="BF47" i="68"/>
  <c r="BE47" i="68"/>
  <c r="BD47" i="68"/>
  <c r="BC47" i="68"/>
  <c r="BB47" i="68"/>
  <c r="BA47" i="68"/>
  <c r="AW41" i="66"/>
  <c r="AU41" i="66"/>
  <c r="AS41" i="66"/>
  <c r="AQ41" i="66"/>
  <c r="AO41" i="66"/>
  <c r="AM41" i="66"/>
  <c r="AK41" i="66"/>
  <c r="AI41" i="66"/>
  <c r="AG41" i="66"/>
  <c r="AE41" i="66"/>
  <c r="AC41" i="66"/>
  <c r="AA41" i="66"/>
  <c r="Y41" i="66"/>
  <c r="W41" i="66"/>
  <c r="U41" i="66"/>
  <c r="S41" i="66"/>
  <c r="Q41" i="66"/>
  <c r="O41" i="66"/>
  <c r="M41" i="66"/>
  <c r="K41" i="66"/>
  <c r="I41" i="66"/>
  <c r="G41" i="66"/>
  <c r="E41" i="66"/>
  <c r="C41" i="66"/>
  <c r="AW40" i="66"/>
  <c r="AV40" i="66"/>
  <c r="AU40" i="66"/>
  <c r="AT40" i="66"/>
  <c r="AS40" i="66"/>
  <c r="AR40" i="66"/>
  <c r="AQ40" i="66"/>
  <c r="AP40" i="66"/>
  <c r="AO40" i="66"/>
  <c r="AN40" i="66"/>
  <c r="AM40" i="66"/>
  <c r="AL40" i="66"/>
  <c r="AK40" i="66"/>
  <c r="AJ40" i="66"/>
  <c r="AI40" i="66"/>
  <c r="AH40" i="66"/>
  <c r="AG40" i="66"/>
  <c r="AF40" i="66"/>
  <c r="AE40" i="66"/>
  <c r="AD40" i="66"/>
  <c r="AC40" i="66"/>
  <c r="AB40" i="66"/>
  <c r="AA40" i="66"/>
  <c r="Z40" i="66"/>
  <c r="Y40" i="66"/>
  <c r="X40" i="66"/>
  <c r="W40" i="66"/>
  <c r="V40" i="66"/>
  <c r="U40" i="66"/>
  <c r="T40" i="66"/>
  <c r="S40" i="66"/>
  <c r="R40" i="66"/>
  <c r="Q40" i="66"/>
  <c r="P40" i="66"/>
  <c r="O40" i="66"/>
  <c r="N40" i="66"/>
  <c r="M40" i="66"/>
  <c r="L40" i="66"/>
  <c r="K40" i="66"/>
  <c r="J40" i="66"/>
  <c r="I40" i="66"/>
  <c r="H40" i="66"/>
  <c r="G40" i="66"/>
  <c r="F40" i="66"/>
  <c r="E40" i="66"/>
  <c r="D40" i="66"/>
  <c r="C40" i="66"/>
  <c r="AV39" i="66"/>
  <c r="AT39" i="66"/>
  <c r="AR39" i="66"/>
  <c r="AQ39" i="66"/>
  <c r="AP39" i="66"/>
  <c r="AN39" i="66"/>
  <c r="AM39" i="66"/>
  <c r="AL39" i="66"/>
  <c r="AJ39" i="66"/>
  <c r="AI39" i="66"/>
  <c r="AH39" i="66"/>
  <c r="AF39" i="66"/>
  <c r="AE39" i="66"/>
  <c r="AD39" i="66"/>
  <c r="AB39" i="66"/>
  <c r="AA39" i="66"/>
  <c r="Z39" i="66"/>
  <c r="X39" i="66"/>
  <c r="W39" i="66"/>
  <c r="V39" i="66"/>
  <c r="T39" i="66"/>
  <c r="S39" i="66"/>
  <c r="R39" i="66"/>
  <c r="P39" i="66"/>
  <c r="O39" i="66"/>
  <c r="N39" i="66"/>
  <c r="L39" i="66"/>
  <c r="K39" i="66"/>
  <c r="J39" i="66"/>
  <c r="H39" i="66"/>
  <c r="G39" i="66"/>
  <c r="F39" i="66"/>
  <c r="D39" i="66"/>
  <c r="C39" i="66"/>
  <c r="AW38" i="66"/>
  <c r="AV38" i="66"/>
  <c r="AU38" i="66"/>
  <c r="AT38" i="66"/>
  <c r="AS38" i="66"/>
  <c r="AR38" i="66"/>
  <c r="AQ38" i="66"/>
  <c r="AP38" i="66"/>
  <c r="AO38" i="66"/>
  <c r="AN38" i="66"/>
  <c r="AM38" i="66"/>
  <c r="AL38" i="66"/>
  <c r="AK38" i="66"/>
  <c r="AJ38" i="66"/>
  <c r="AI38" i="66"/>
  <c r="AH38" i="66"/>
  <c r="AG38" i="66"/>
  <c r="AF38" i="66"/>
  <c r="AE38" i="66"/>
  <c r="AD38" i="66"/>
  <c r="AC38" i="66"/>
  <c r="AB38" i="66"/>
  <c r="AA38" i="66"/>
  <c r="Z38" i="66"/>
  <c r="Y38" i="66"/>
  <c r="X38" i="66"/>
  <c r="W38" i="66"/>
  <c r="V38" i="66"/>
  <c r="U38" i="66"/>
  <c r="T38" i="66"/>
  <c r="S38" i="66"/>
  <c r="R38" i="66"/>
  <c r="Q38" i="66"/>
  <c r="P38" i="66"/>
  <c r="O38" i="66"/>
  <c r="N38" i="66"/>
  <c r="M38" i="66"/>
  <c r="L38" i="66"/>
  <c r="K38" i="66"/>
  <c r="J38" i="66"/>
  <c r="I38" i="66"/>
  <c r="H38" i="66"/>
  <c r="G38" i="66"/>
  <c r="F38" i="66"/>
  <c r="E38" i="66"/>
  <c r="D38" i="66"/>
  <c r="C38" i="66"/>
  <c r="AW37" i="66"/>
  <c r="AV37" i="66"/>
  <c r="AU37" i="66"/>
  <c r="AS37" i="66"/>
  <c r="AQ37" i="66"/>
  <c r="AO37" i="66"/>
  <c r="AM37" i="66"/>
  <c r="AK37" i="66"/>
  <c r="AI37" i="66"/>
  <c r="AG37" i="66"/>
  <c r="AE37" i="66"/>
  <c r="AC37" i="66"/>
  <c r="AA37" i="66"/>
  <c r="Y37" i="66"/>
  <c r="W37" i="66"/>
  <c r="U37" i="66"/>
  <c r="S37" i="66"/>
  <c r="Q37" i="66"/>
  <c r="O37" i="66"/>
  <c r="M37" i="66"/>
  <c r="K37" i="66"/>
  <c r="I37" i="66"/>
  <c r="G37" i="66"/>
  <c r="E37" i="66"/>
  <c r="C37" i="66"/>
  <c r="AW36" i="66"/>
  <c r="AV36" i="66"/>
  <c r="AU36" i="66"/>
  <c r="AT36" i="66"/>
  <c r="AS36" i="66"/>
  <c r="AR36" i="66"/>
  <c r="AQ36" i="66"/>
  <c r="AP36" i="66"/>
  <c r="AO36" i="66"/>
  <c r="AN36" i="66"/>
  <c r="AM36" i="66"/>
  <c r="AL36" i="66"/>
  <c r="AK36" i="66"/>
  <c r="AJ36" i="66"/>
  <c r="AI36" i="66"/>
  <c r="AH36" i="66"/>
  <c r="AG36" i="66"/>
  <c r="AF36" i="66"/>
  <c r="AE36" i="66"/>
  <c r="AD36" i="66"/>
  <c r="AC36" i="66"/>
  <c r="AB36" i="66"/>
  <c r="AA36" i="66"/>
  <c r="Z36" i="66"/>
  <c r="Y36" i="66"/>
  <c r="X36" i="66"/>
  <c r="W36" i="66"/>
  <c r="V36" i="66"/>
  <c r="U36" i="66"/>
  <c r="T36" i="66"/>
  <c r="S36" i="66"/>
  <c r="R36" i="66"/>
  <c r="Q36" i="66"/>
  <c r="P36" i="66"/>
  <c r="O36" i="66"/>
  <c r="N36" i="66"/>
  <c r="M36" i="66"/>
  <c r="L36" i="66"/>
  <c r="K36" i="66"/>
  <c r="J36" i="66"/>
  <c r="I36" i="66"/>
  <c r="H36" i="66"/>
  <c r="G36" i="66"/>
  <c r="F36" i="66"/>
  <c r="E36" i="66"/>
  <c r="D36" i="66"/>
  <c r="C36" i="66"/>
  <c r="AW35" i="66"/>
  <c r="AV35" i="66"/>
  <c r="AT35" i="66"/>
  <c r="AS35" i="66"/>
  <c r="AR35" i="66"/>
  <c r="AQ35" i="66"/>
  <c r="AP35" i="66"/>
  <c r="AN35" i="66"/>
  <c r="AM35" i="66"/>
  <c r="AL35" i="66"/>
  <c r="AJ35" i="66"/>
  <c r="AI35" i="66"/>
  <c r="AH35" i="66"/>
  <c r="AF35" i="66"/>
  <c r="AE35" i="66"/>
  <c r="AD35" i="66"/>
  <c r="AB35" i="66"/>
  <c r="AA35" i="66"/>
  <c r="Z35" i="66"/>
  <c r="X35" i="66"/>
  <c r="W35" i="66"/>
  <c r="V35" i="66"/>
  <c r="T35" i="66"/>
  <c r="S35" i="66"/>
  <c r="R35" i="66"/>
  <c r="P35" i="66"/>
  <c r="O35" i="66"/>
  <c r="N35" i="66"/>
  <c r="L35" i="66"/>
  <c r="K35" i="66"/>
  <c r="J35" i="66"/>
  <c r="H35" i="66"/>
  <c r="G35" i="66"/>
  <c r="F35" i="66"/>
  <c r="D35" i="66"/>
  <c r="C35" i="66"/>
  <c r="AW34" i="66"/>
  <c r="AV34" i="66"/>
  <c r="AU34" i="66"/>
  <c r="AT34" i="66"/>
  <c r="AS34" i="66"/>
  <c r="AR34" i="66"/>
  <c r="AQ34" i="66"/>
  <c r="AP34" i="66"/>
  <c r="AO34" i="66"/>
  <c r="AN34" i="66"/>
  <c r="AM34" i="66"/>
  <c r="AL34" i="66"/>
  <c r="AK34" i="66"/>
  <c r="AJ34" i="66"/>
  <c r="AI34" i="66"/>
  <c r="AH34" i="66"/>
  <c r="AG34" i="66"/>
  <c r="AF34" i="66"/>
  <c r="AE34" i="66"/>
  <c r="AD34" i="66"/>
  <c r="AC34" i="66"/>
  <c r="AB34" i="66"/>
  <c r="AA34" i="66"/>
  <c r="Z34" i="66"/>
  <c r="Y34" i="66"/>
  <c r="X34" i="66"/>
  <c r="W34" i="66"/>
  <c r="V34" i="66"/>
  <c r="U34" i="66"/>
  <c r="T34" i="66"/>
  <c r="S34" i="66"/>
  <c r="R34" i="66"/>
  <c r="Q34" i="66"/>
  <c r="P34" i="66"/>
  <c r="O34" i="66"/>
  <c r="N34" i="66"/>
  <c r="M34" i="66"/>
  <c r="L34" i="66"/>
  <c r="K34" i="66"/>
  <c r="J34" i="66"/>
  <c r="I34" i="66"/>
  <c r="H34" i="66"/>
  <c r="G34" i="66"/>
  <c r="F34" i="66"/>
  <c r="E34" i="66"/>
  <c r="D34" i="66"/>
  <c r="C34" i="66"/>
  <c r="AW33" i="66"/>
  <c r="AU33" i="66"/>
  <c r="AS33" i="66"/>
  <c r="AR33" i="66"/>
  <c r="AQ33" i="66"/>
  <c r="AO33" i="66"/>
  <c r="AN33" i="66"/>
  <c r="AM33" i="66"/>
  <c r="AK33" i="66"/>
  <c r="AJ33" i="66"/>
  <c r="AI33" i="66"/>
  <c r="AG33" i="66"/>
  <c r="AF33" i="66"/>
  <c r="AE33" i="66"/>
  <c r="AC33" i="66"/>
  <c r="AB33" i="66"/>
  <c r="AA33" i="66"/>
  <c r="Y33" i="66"/>
  <c r="X33" i="66"/>
  <c r="W33" i="66"/>
  <c r="U33" i="66"/>
  <c r="T33" i="66"/>
  <c r="S33" i="66"/>
  <c r="Q33" i="66"/>
  <c r="P33" i="66"/>
  <c r="O33" i="66"/>
  <c r="M33" i="66"/>
  <c r="L33" i="66"/>
  <c r="K33" i="66"/>
  <c r="I33" i="66"/>
  <c r="H33" i="66"/>
  <c r="G33" i="66"/>
  <c r="E33" i="66"/>
  <c r="D33" i="66"/>
  <c r="C33" i="66"/>
  <c r="AW32" i="66"/>
  <c r="AV32" i="66"/>
  <c r="AU32" i="66"/>
  <c r="AT32" i="66"/>
  <c r="AS32" i="66"/>
  <c r="AR32" i="66"/>
  <c r="AQ32" i="66"/>
  <c r="AP32" i="66"/>
  <c r="AO32" i="66"/>
  <c r="AN32" i="66"/>
  <c r="AM32" i="66"/>
  <c r="AL32" i="66"/>
  <c r="AK32" i="66"/>
  <c r="AJ32" i="66"/>
  <c r="AI32" i="66"/>
  <c r="AH32" i="66"/>
  <c r="AG32" i="66"/>
  <c r="AF32" i="66"/>
  <c r="AE32" i="66"/>
  <c r="AD32" i="66"/>
  <c r="AC32" i="66"/>
  <c r="AB32" i="66"/>
  <c r="AA32" i="66"/>
  <c r="Z32" i="66"/>
  <c r="Y32" i="66"/>
  <c r="X32" i="66"/>
  <c r="W32" i="66"/>
  <c r="V32" i="66"/>
  <c r="U32" i="66"/>
  <c r="T32" i="66"/>
  <c r="S32" i="66"/>
  <c r="R32" i="66"/>
  <c r="Q32" i="66"/>
  <c r="P32" i="66"/>
  <c r="O32" i="66"/>
  <c r="N32" i="66"/>
  <c r="M32" i="66"/>
  <c r="L32" i="66"/>
  <c r="K32" i="66"/>
  <c r="J32" i="66"/>
  <c r="I32" i="66"/>
  <c r="H32" i="66"/>
  <c r="G32" i="66"/>
  <c r="F32" i="66"/>
  <c r="E32" i="66"/>
  <c r="D32" i="66"/>
  <c r="C32" i="66"/>
  <c r="AW31" i="66"/>
  <c r="AV31" i="66"/>
  <c r="AT31" i="66"/>
  <c r="AS31" i="66"/>
  <c r="AR31" i="66"/>
  <c r="AQ31" i="66"/>
  <c r="AP31" i="66"/>
  <c r="AN31" i="66"/>
  <c r="AM31" i="66"/>
  <c r="AL31" i="66"/>
  <c r="AJ31" i="66"/>
  <c r="AI31" i="66"/>
  <c r="AH31" i="66"/>
  <c r="AF31" i="66"/>
  <c r="AE31" i="66"/>
  <c r="AD31" i="66"/>
  <c r="AB31" i="66"/>
  <c r="AA31" i="66"/>
  <c r="Z31" i="66"/>
  <c r="X31" i="66"/>
  <c r="W31" i="66"/>
  <c r="V31" i="66"/>
  <c r="T31" i="66"/>
  <c r="S31" i="66"/>
  <c r="R31" i="66"/>
  <c r="P31" i="66"/>
  <c r="O31" i="66"/>
  <c r="N31" i="66"/>
  <c r="L31" i="66"/>
  <c r="K31" i="66"/>
  <c r="J31" i="66"/>
  <c r="H31" i="66"/>
  <c r="G31" i="66"/>
  <c r="F31" i="66"/>
  <c r="D31" i="66"/>
  <c r="C31" i="66"/>
  <c r="AW30" i="66"/>
  <c r="AV30" i="66"/>
  <c r="AU30" i="66"/>
  <c r="AT30" i="66"/>
  <c r="AS30" i="66"/>
  <c r="AR30" i="66"/>
  <c r="AQ30" i="66"/>
  <c r="AP30" i="66"/>
  <c r="AO30" i="66"/>
  <c r="AN30" i="66"/>
  <c r="AM30" i="66"/>
  <c r="AL30" i="66"/>
  <c r="AK30" i="66"/>
  <c r="AJ30" i="66"/>
  <c r="AI30" i="66"/>
  <c r="AH30" i="66"/>
  <c r="AG30" i="66"/>
  <c r="AF30" i="66"/>
  <c r="AE30" i="66"/>
  <c r="AD30" i="66"/>
  <c r="AC30" i="66"/>
  <c r="AB30" i="66"/>
  <c r="AA30" i="66"/>
  <c r="Z30" i="66"/>
  <c r="Y30" i="66"/>
  <c r="X30" i="66"/>
  <c r="W30" i="66"/>
  <c r="V30" i="66"/>
  <c r="U30" i="66"/>
  <c r="T30" i="66"/>
  <c r="S30" i="66"/>
  <c r="R30" i="66"/>
  <c r="Q30" i="66"/>
  <c r="P30" i="66"/>
  <c r="O30" i="66"/>
  <c r="N30" i="66"/>
  <c r="M30" i="66"/>
  <c r="L30" i="66"/>
  <c r="K30" i="66"/>
  <c r="J30" i="66"/>
  <c r="I30" i="66"/>
  <c r="H30" i="66"/>
  <c r="G30" i="66"/>
  <c r="F30" i="66"/>
  <c r="E30" i="66"/>
  <c r="D30" i="66"/>
  <c r="C30" i="66"/>
  <c r="AW29" i="66"/>
  <c r="AU29" i="66"/>
  <c r="AS29" i="66"/>
  <c r="AR29" i="66"/>
  <c r="AQ29" i="66"/>
  <c r="AO29" i="66"/>
  <c r="AN29" i="66"/>
  <c r="AM29" i="66"/>
  <c r="AK29" i="66"/>
  <c r="AJ29" i="66"/>
  <c r="AI29" i="66"/>
  <c r="AG29" i="66"/>
  <c r="AF29" i="66"/>
  <c r="AE29" i="66"/>
  <c r="AC29" i="66"/>
  <c r="AB29" i="66"/>
  <c r="AA29" i="66"/>
  <c r="Y29" i="66"/>
  <c r="X29" i="66"/>
  <c r="W29" i="66"/>
  <c r="U29" i="66"/>
  <c r="T29" i="66"/>
  <c r="S29" i="66"/>
  <c r="Q29" i="66"/>
  <c r="P29" i="66"/>
  <c r="O29" i="66"/>
  <c r="M29" i="66"/>
  <c r="L29" i="66"/>
  <c r="K29" i="66"/>
  <c r="I29" i="66"/>
  <c r="H29" i="66"/>
  <c r="G29" i="66"/>
  <c r="E29" i="66"/>
  <c r="D29" i="66"/>
  <c r="C29" i="66"/>
  <c r="AW28" i="66"/>
  <c r="AV28" i="66"/>
  <c r="AU28" i="66"/>
  <c r="AT28" i="66"/>
  <c r="AS28" i="66"/>
  <c r="AR28" i="66"/>
  <c r="AQ28" i="66"/>
  <c r="AP28" i="66"/>
  <c r="AO28" i="66"/>
  <c r="AN28" i="66"/>
  <c r="AM28" i="66"/>
  <c r="AL28" i="66"/>
  <c r="AK28" i="66"/>
  <c r="AJ28" i="66"/>
  <c r="AI28" i="66"/>
  <c r="AH28" i="66"/>
  <c r="AG28" i="66"/>
  <c r="AF28" i="66"/>
  <c r="AE28" i="66"/>
  <c r="AD28" i="66"/>
  <c r="AC28" i="66"/>
  <c r="AB28" i="66"/>
  <c r="AA28" i="66"/>
  <c r="Z28" i="66"/>
  <c r="Y28" i="66"/>
  <c r="X28" i="66"/>
  <c r="W28" i="66"/>
  <c r="V28" i="66"/>
  <c r="U28" i="66"/>
  <c r="T28" i="66"/>
  <c r="S28" i="66"/>
  <c r="R28" i="66"/>
  <c r="Q28" i="66"/>
  <c r="P28" i="66"/>
  <c r="O28" i="66"/>
  <c r="N28" i="66"/>
  <c r="M28" i="66"/>
  <c r="L28" i="66"/>
  <c r="K28" i="66"/>
  <c r="J28" i="66"/>
  <c r="I28" i="66"/>
  <c r="H28" i="66"/>
  <c r="G28" i="66"/>
  <c r="F28" i="66"/>
  <c r="E28" i="66"/>
  <c r="D28" i="66"/>
  <c r="C28" i="66"/>
  <c r="BN94" i="66"/>
  <c r="BM94" i="66"/>
  <c r="BK94" i="66"/>
  <c r="BJ94" i="66"/>
  <c r="BI94" i="66"/>
  <c r="BG94" i="66"/>
  <c r="BF94" i="66"/>
  <c r="BE94" i="66"/>
  <c r="BC94" i="66"/>
  <c r="BB94" i="66"/>
  <c r="BA94" i="66"/>
  <c r="BM93" i="66"/>
  <c r="BL93" i="66"/>
  <c r="BK93" i="66"/>
  <c r="BI93" i="66"/>
  <c r="BH93" i="66"/>
  <c r="BG93" i="66"/>
  <c r="BE93" i="66"/>
  <c r="BD93" i="66"/>
  <c r="BC93" i="66"/>
  <c r="BA93" i="66"/>
  <c r="BN92" i="66"/>
  <c r="BM92" i="66"/>
  <c r="BK92" i="66"/>
  <c r="BJ92" i="66"/>
  <c r="BI92" i="66"/>
  <c r="BG92" i="66"/>
  <c r="BF92" i="66"/>
  <c r="BE92" i="66"/>
  <c r="BC92" i="66"/>
  <c r="BB92" i="66"/>
  <c r="BA92" i="66"/>
  <c r="BM91" i="66"/>
  <c r="BL91" i="66"/>
  <c r="BK91" i="66"/>
  <c r="BI91" i="66"/>
  <c r="BH91" i="66"/>
  <c r="BG91" i="66"/>
  <c r="BE91" i="66"/>
  <c r="BD91" i="66"/>
  <c r="BC91" i="66"/>
  <c r="BA91" i="66"/>
  <c r="BN90" i="66"/>
  <c r="BM90" i="66"/>
  <c r="BK90" i="66"/>
  <c r="BJ90" i="66"/>
  <c r="BI90" i="66"/>
  <c r="BG90" i="66"/>
  <c r="BF90" i="66"/>
  <c r="BE90" i="66"/>
  <c r="BC90" i="66"/>
  <c r="BB90" i="66"/>
  <c r="BA90" i="66"/>
  <c r="BN88" i="66"/>
  <c r="BM88" i="66"/>
  <c r="BL88" i="66"/>
  <c r="BK88" i="66"/>
  <c r="BJ88" i="66"/>
  <c r="BI88" i="66"/>
  <c r="BH88" i="66"/>
  <c r="BG88" i="66"/>
  <c r="BF88" i="66"/>
  <c r="BE88" i="66"/>
  <c r="BD88" i="66"/>
  <c r="BC88" i="66"/>
  <c r="BB88" i="66"/>
  <c r="BA88" i="66"/>
  <c r="BN87" i="66"/>
  <c r="BM87" i="66"/>
  <c r="BL87" i="66"/>
  <c r="BK87" i="66"/>
  <c r="BJ87" i="66"/>
  <c r="BI87" i="66"/>
  <c r="BH87" i="66"/>
  <c r="BG87" i="66"/>
  <c r="BF87" i="66"/>
  <c r="BE87" i="66"/>
  <c r="BD87" i="66"/>
  <c r="BC87" i="66"/>
  <c r="BB87" i="66"/>
  <c r="BA87" i="66"/>
  <c r="BN86" i="66"/>
  <c r="BM86" i="66"/>
  <c r="BL86" i="66"/>
  <c r="BK86" i="66"/>
  <c r="BJ86" i="66"/>
  <c r="BI86" i="66"/>
  <c r="BH86" i="66"/>
  <c r="BG86" i="66"/>
  <c r="BF86" i="66"/>
  <c r="BE86" i="66"/>
  <c r="BD86" i="66"/>
  <c r="BC86" i="66"/>
  <c r="BB86" i="66"/>
  <c r="BA86" i="66"/>
  <c r="BN85" i="66"/>
  <c r="BM85" i="66"/>
  <c r="BL85" i="66"/>
  <c r="BK85" i="66"/>
  <c r="BJ85" i="66"/>
  <c r="BI85" i="66"/>
  <c r="BH85" i="66"/>
  <c r="BG85" i="66"/>
  <c r="BF85" i="66"/>
  <c r="BE85" i="66"/>
  <c r="BD85" i="66"/>
  <c r="BC85" i="66"/>
  <c r="BB85" i="66"/>
  <c r="BA85" i="66"/>
  <c r="BN84" i="66"/>
  <c r="BM84" i="66"/>
  <c r="BL84" i="66"/>
  <c r="BK84" i="66"/>
  <c r="BJ84" i="66"/>
  <c r="BI84" i="66"/>
  <c r="BH84" i="66"/>
  <c r="BG84" i="66"/>
  <c r="BF84" i="66"/>
  <c r="BE84" i="66"/>
  <c r="BD84" i="66"/>
  <c r="BC84" i="66"/>
  <c r="BB84" i="66"/>
  <c r="BA84" i="66"/>
  <c r="BN83" i="66"/>
  <c r="BM83" i="66"/>
  <c r="BL83" i="66"/>
  <c r="BK83" i="66"/>
  <c r="BJ83" i="66"/>
  <c r="BI83" i="66"/>
  <c r="BH83" i="66"/>
  <c r="BG83" i="66"/>
  <c r="BF83" i="66"/>
  <c r="BE83" i="66"/>
  <c r="BD83" i="66"/>
  <c r="BC83" i="66"/>
  <c r="BB83" i="66"/>
  <c r="BA83" i="66"/>
  <c r="BN82" i="66"/>
  <c r="BM82" i="66"/>
  <c r="BL82" i="66"/>
  <c r="BK82" i="66"/>
  <c r="BJ82" i="66"/>
  <c r="BI82" i="66"/>
  <c r="BH82" i="66"/>
  <c r="BG82" i="66"/>
  <c r="BF82" i="66"/>
  <c r="BE82" i="66"/>
  <c r="BD82" i="66"/>
  <c r="BC82" i="66"/>
  <c r="BB82" i="66"/>
  <c r="BA82" i="66"/>
  <c r="BN81" i="66"/>
  <c r="BM81" i="66"/>
  <c r="BL81" i="66"/>
  <c r="BK81" i="66"/>
  <c r="BJ81" i="66"/>
  <c r="BI81" i="66"/>
  <c r="BH81" i="66"/>
  <c r="BG81" i="66"/>
  <c r="BF81" i="66"/>
  <c r="BE81" i="66"/>
  <c r="BD81" i="66"/>
  <c r="BC81" i="66"/>
  <c r="BB81" i="66"/>
  <c r="BA81" i="66"/>
  <c r="BN80" i="66"/>
  <c r="BM80" i="66"/>
  <c r="BL80" i="66"/>
  <c r="BK80" i="66"/>
  <c r="BJ80" i="66"/>
  <c r="BI80" i="66"/>
  <c r="BH80" i="66"/>
  <c r="BG80" i="66"/>
  <c r="BF80" i="66"/>
  <c r="BE80" i="66"/>
  <c r="BD80" i="66"/>
  <c r="BC80" i="66"/>
  <c r="BB80" i="66"/>
  <c r="BA80" i="66"/>
  <c r="BN79" i="66"/>
  <c r="BM79" i="66"/>
  <c r="BL79" i="66"/>
  <c r="BK79" i="66"/>
  <c r="BJ79" i="66"/>
  <c r="BI79" i="66"/>
  <c r="BH79" i="66"/>
  <c r="BG79" i="66"/>
  <c r="BF79" i="66"/>
  <c r="BE79" i="66"/>
  <c r="BD79" i="66"/>
  <c r="BC79" i="66"/>
  <c r="BB79" i="66"/>
  <c r="BA79" i="66"/>
  <c r="BN78" i="66"/>
  <c r="BM78" i="66"/>
  <c r="BL78" i="66"/>
  <c r="BK78" i="66"/>
  <c r="BJ78" i="66"/>
  <c r="BI78" i="66"/>
  <c r="BH78" i="66"/>
  <c r="BG78" i="66"/>
  <c r="BF78" i="66"/>
  <c r="BE78" i="66"/>
  <c r="BD78" i="66"/>
  <c r="BC78" i="66"/>
  <c r="BB78" i="66"/>
  <c r="BA78" i="66"/>
  <c r="BN77" i="66"/>
  <c r="BM77" i="66"/>
  <c r="BL77" i="66"/>
  <c r="BK77" i="66"/>
  <c r="BJ77" i="66"/>
  <c r="BI77" i="66"/>
  <c r="BH77" i="66"/>
  <c r="BG77" i="66"/>
  <c r="BF77" i="66"/>
  <c r="BE77" i="66"/>
  <c r="BD77" i="66"/>
  <c r="BC77" i="66"/>
  <c r="BB77" i="66"/>
  <c r="BA77" i="66"/>
  <c r="BN76" i="66"/>
  <c r="BM76" i="66"/>
  <c r="BL76" i="66"/>
  <c r="BK76" i="66"/>
  <c r="BJ76" i="66"/>
  <c r="BI76" i="66"/>
  <c r="BH76" i="66"/>
  <c r="BG76" i="66"/>
  <c r="BF76" i="66"/>
  <c r="BE76" i="66"/>
  <c r="BD76" i="66"/>
  <c r="BC76" i="66"/>
  <c r="BB76" i="66"/>
  <c r="BA76" i="66"/>
  <c r="BN75" i="66"/>
  <c r="BM75" i="66"/>
  <c r="BL75" i="66"/>
  <c r="BK75" i="66"/>
  <c r="BJ75" i="66"/>
  <c r="BI75" i="66"/>
  <c r="BH75" i="66"/>
  <c r="BG75" i="66"/>
  <c r="BF75" i="66"/>
  <c r="BE75" i="66"/>
  <c r="BD75" i="66"/>
  <c r="BC75" i="66"/>
  <c r="BB75" i="66"/>
  <c r="BA75" i="66"/>
  <c r="BN74" i="66"/>
  <c r="BM74" i="66"/>
  <c r="BL74" i="66"/>
  <c r="BK74" i="66"/>
  <c r="BJ74" i="66"/>
  <c r="BI74" i="66"/>
  <c r="BH74" i="66"/>
  <c r="BG74" i="66"/>
  <c r="BF74" i="66"/>
  <c r="BE74" i="66"/>
  <c r="BD74" i="66"/>
  <c r="BC74" i="66"/>
  <c r="BB74" i="66"/>
  <c r="BA74" i="66"/>
  <c r="BN73" i="66"/>
  <c r="BM73" i="66"/>
  <c r="BL73" i="66"/>
  <c r="BK73" i="66"/>
  <c r="BJ73" i="66"/>
  <c r="BI73" i="66"/>
  <c r="BH73" i="66"/>
  <c r="BG73" i="66"/>
  <c r="BF73" i="66"/>
  <c r="BE73" i="66"/>
  <c r="BD73" i="66"/>
  <c r="BC73" i="66"/>
  <c r="BB73" i="66"/>
  <c r="BA73" i="66"/>
  <c r="BN72" i="66"/>
  <c r="BM72" i="66"/>
  <c r="BL72" i="66"/>
  <c r="BK72" i="66"/>
  <c r="BJ72" i="66"/>
  <c r="BI72" i="66"/>
  <c r="BH72" i="66"/>
  <c r="BG72" i="66"/>
  <c r="BF72" i="66"/>
  <c r="BE72" i="66"/>
  <c r="BD72" i="66"/>
  <c r="BC72" i="66"/>
  <c r="BB72" i="66"/>
  <c r="BA72" i="66"/>
  <c r="BN71" i="66"/>
  <c r="BM71" i="66"/>
  <c r="BL71" i="66"/>
  <c r="BK71" i="66"/>
  <c r="BJ71" i="66"/>
  <c r="BI71" i="66"/>
  <c r="BH71" i="66"/>
  <c r="BG71" i="66"/>
  <c r="BF71" i="66"/>
  <c r="BE71" i="66"/>
  <c r="BD71" i="66"/>
  <c r="BC71" i="66"/>
  <c r="BB71" i="66"/>
  <c r="BA71" i="66"/>
  <c r="BN70" i="66"/>
  <c r="BM70" i="66"/>
  <c r="BL70" i="66"/>
  <c r="BK70" i="66"/>
  <c r="BJ70" i="66"/>
  <c r="BI70" i="66"/>
  <c r="BH70" i="66"/>
  <c r="BG70" i="66"/>
  <c r="BF70" i="66"/>
  <c r="BE70" i="66"/>
  <c r="BD70" i="66"/>
  <c r="BC70" i="66"/>
  <c r="BB70" i="66"/>
  <c r="BA70" i="66"/>
  <c r="BN69" i="66"/>
  <c r="BM69" i="66"/>
  <c r="BL69" i="66"/>
  <c r="BK69" i="66"/>
  <c r="BJ69" i="66"/>
  <c r="BI69" i="66"/>
  <c r="BH69" i="66"/>
  <c r="BG69" i="66"/>
  <c r="BF69" i="66"/>
  <c r="BE69" i="66"/>
  <c r="BD69" i="66"/>
  <c r="BC69" i="66"/>
  <c r="BB69" i="66"/>
  <c r="BA69" i="66"/>
  <c r="BN68" i="66"/>
  <c r="BM68" i="66"/>
  <c r="BL68" i="66"/>
  <c r="BK68" i="66"/>
  <c r="BJ68" i="66"/>
  <c r="BI68" i="66"/>
  <c r="BH68" i="66"/>
  <c r="BG68" i="66"/>
  <c r="BF68" i="66"/>
  <c r="BE68" i="66"/>
  <c r="BD68" i="66"/>
  <c r="BC68" i="66"/>
  <c r="BB68" i="66"/>
  <c r="BA68" i="66"/>
  <c r="BN67" i="66"/>
  <c r="BM67" i="66"/>
  <c r="BL67" i="66"/>
  <c r="BK67" i="66"/>
  <c r="BJ67" i="66"/>
  <c r="BI67" i="66"/>
  <c r="BH67" i="66"/>
  <c r="BG67" i="66"/>
  <c r="BF67" i="66"/>
  <c r="BE67" i="66"/>
  <c r="BD67" i="66"/>
  <c r="BC67" i="66"/>
  <c r="BB67" i="66"/>
  <c r="BA67" i="66"/>
  <c r="BN66" i="66"/>
  <c r="BM66" i="66"/>
  <c r="BL66" i="66"/>
  <c r="BK66" i="66"/>
  <c r="BJ66" i="66"/>
  <c r="BI66" i="66"/>
  <c r="BH66" i="66"/>
  <c r="BG66" i="66"/>
  <c r="BF66" i="66"/>
  <c r="BE66" i="66"/>
  <c r="BD66" i="66"/>
  <c r="BC66" i="66"/>
  <c r="BB66" i="66"/>
  <c r="BA66" i="66"/>
  <c r="BN65" i="66"/>
  <c r="BM65" i="66"/>
  <c r="BL65" i="66"/>
  <c r="BK65" i="66"/>
  <c r="BJ65" i="66"/>
  <c r="BI65" i="66"/>
  <c r="BH65" i="66"/>
  <c r="BG65" i="66"/>
  <c r="BF65" i="66"/>
  <c r="BE65" i="66"/>
  <c r="BD65" i="66"/>
  <c r="BC65" i="66"/>
  <c r="BB65" i="66"/>
  <c r="BA65" i="66"/>
  <c r="BN64" i="66"/>
  <c r="BM64" i="66"/>
  <c r="BL64" i="66"/>
  <c r="BK64" i="66"/>
  <c r="BJ64" i="66"/>
  <c r="BI64" i="66"/>
  <c r="BH64" i="66"/>
  <c r="BG64" i="66"/>
  <c r="BF64" i="66"/>
  <c r="BE64" i="66"/>
  <c r="BD64" i="66"/>
  <c r="BC64" i="66"/>
  <c r="BB64" i="66"/>
  <c r="BA64" i="66"/>
  <c r="BN63" i="66"/>
  <c r="BM63" i="66"/>
  <c r="BL63" i="66"/>
  <c r="BK63" i="66"/>
  <c r="BJ63" i="66"/>
  <c r="BI63" i="66"/>
  <c r="BH63" i="66"/>
  <c r="BG63" i="66"/>
  <c r="BF63" i="66"/>
  <c r="BE63" i="66"/>
  <c r="BD63" i="66"/>
  <c r="BC63" i="66"/>
  <c r="BB63" i="66"/>
  <c r="BA63" i="66"/>
  <c r="BN62" i="66"/>
  <c r="BM62" i="66"/>
  <c r="BL62" i="66"/>
  <c r="BK62" i="66"/>
  <c r="BJ62" i="66"/>
  <c r="BI62" i="66"/>
  <c r="BH62" i="66"/>
  <c r="BG62" i="66"/>
  <c r="BF62" i="66"/>
  <c r="BE62" i="66"/>
  <c r="BD62" i="66"/>
  <c r="BC62" i="66"/>
  <c r="BB62" i="66"/>
  <c r="BA62" i="66"/>
  <c r="BN61" i="66"/>
  <c r="BM61" i="66"/>
  <c r="BL61" i="66"/>
  <c r="BK61" i="66"/>
  <c r="BJ61" i="66"/>
  <c r="BI61" i="66"/>
  <c r="BH61" i="66"/>
  <c r="BG61" i="66"/>
  <c r="BF61" i="66"/>
  <c r="BE61" i="66"/>
  <c r="BD61" i="66"/>
  <c r="BC61" i="66"/>
  <c r="BB61" i="66"/>
  <c r="BA61" i="66"/>
  <c r="BN60" i="66"/>
  <c r="BM60" i="66"/>
  <c r="BL60" i="66"/>
  <c r="BK60" i="66"/>
  <c r="BJ60" i="66"/>
  <c r="BI60" i="66"/>
  <c r="BH60" i="66"/>
  <c r="BG60" i="66"/>
  <c r="BF60" i="66"/>
  <c r="BE60" i="66"/>
  <c r="BD60" i="66"/>
  <c r="BC60" i="66"/>
  <c r="BB60" i="66"/>
  <c r="BA60" i="66"/>
  <c r="BN59" i="66"/>
  <c r="BM59" i="66"/>
  <c r="BL59" i="66"/>
  <c r="BK59" i="66"/>
  <c r="BJ59" i="66"/>
  <c r="BI59" i="66"/>
  <c r="BH59" i="66"/>
  <c r="BG59" i="66"/>
  <c r="BF59" i="66"/>
  <c r="BE59" i="66"/>
  <c r="BD59" i="66"/>
  <c r="BC59" i="66"/>
  <c r="BB59" i="66"/>
  <c r="BA59" i="66"/>
  <c r="BN58" i="66"/>
  <c r="BM58" i="66"/>
  <c r="BL58" i="66"/>
  <c r="BK58" i="66"/>
  <c r="BJ58" i="66"/>
  <c r="BI58" i="66"/>
  <c r="BH58" i="66"/>
  <c r="BG58" i="66"/>
  <c r="BF58" i="66"/>
  <c r="BE58" i="66"/>
  <c r="BD58" i="66"/>
  <c r="BC58" i="66"/>
  <c r="BB58" i="66"/>
  <c r="BA58" i="66"/>
  <c r="BN57" i="66"/>
  <c r="BM57" i="66"/>
  <c r="BL57" i="66"/>
  <c r="BK57" i="66"/>
  <c r="BJ57" i="66"/>
  <c r="BI57" i="66"/>
  <c r="BH57" i="66"/>
  <c r="BG57" i="66"/>
  <c r="BF57" i="66"/>
  <c r="BE57" i="66"/>
  <c r="BD57" i="66"/>
  <c r="BC57" i="66"/>
  <c r="BB57" i="66"/>
  <c r="BA57" i="66"/>
  <c r="BN56" i="66"/>
  <c r="BM56" i="66"/>
  <c r="BL56" i="66"/>
  <c r="BK56" i="66"/>
  <c r="BJ56" i="66"/>
  <c r="BI56" i="66"/>
  <c r="BH56" i="66"/>
  <c r="BG56" i="66"/>
  <c r="BF56" i="66"/>
  <c r="BE56" i="66"/>
  <c r="BD56" i="66"/>
  <c r="BC56" i="66"/>
  <c r="BB56" i="66"/>
  <c r="BA56" i="66"/>
  <c r="BN55" i="66"/>
  <c r="BM55" i="66"/>
  <c r="BL55" i="66"/>
  <c r="BK55" i="66"/>
  <c r="BJ55" i="66"/>
  <c r="BI55" i="66"/>
  <c r="BH55" i="66"/>
  <c r="BG55" i="66"/>
  <c r="BF55" i="66"/>
  <c r="BE55" i="66"/>
  <c r="BD55" i="66"/>
  <c r="BC55" i="66"/>
  <c r="BB55" i="66"/>
  <c r="BA55" i="66"/>
  <c r="BN54" i="66"/>
  <c r="BM54" i="66"/>
  <c r="BL54" i="66"/>
  <c r="BK54" i="66"/>
  <c r="BJ54" i="66"/>
  <c r="BI54" i="66"/>
  <c r="BH54" i="66"/>
  <c r="BG54" i="66"/>
  <c r="BF54" i="66"/>
  <c r="BE54" i="66"/>
  <c r="BD54" i="66"/>
  <c r="BC54" i="66"/>
  <c r="BB54" i="66"/>
  <c r="BA54" i="66"/>
  <c r="BN53" i="66"/>
  <c r="BM53" i="66"/>
  <c r="BL53" i="66"/>
  <c r="BK53" i="66"/>
  <c r="BJ53" i="66"/>
  <c r="BI53" i="66"/>
  <c r="BH53" i="66"/>
  <c r="BG53" i="66"/>
  <c r="BF53" i="66"/>
  <c r="BE53" i="66"/>
  <c r="BD53" i="66"/>
  <c r="BC53" i="66"/>
  <c r="BB53" i="66"/>
  <c r="BA53" i="66"/>
  <c r="BN52" i="66"/>
  <c r="BM52" i="66"/>
  <c r="BL52" i="66"/>
  <c r="BK52" i="66"/>
  <c r="BJ52" i="66"/>
  <c r="BI52" i="66"/>
  <c r="BH52" i="66"/>
  <c r="BG52" i="66"/>
  <c r="BF52" i="66"/>
  <c r="BE52" i="66"/>
  <c r="BD52" i="66"/>
  <c r="BC52" i="66"/>
  <c r="BB52" i="66"/>
  <c r="BA52" i="66"/>
  <c r="BN51" i="66"/>
  <c r="BM51" i="66"/>
  <c r="BL51" i="66"/>
  <c r="BK51" i="66"/>
  <c r="BJ51" i="66"/>
  <c r="BI51" i="66"/>
  <c r="BH51" i="66"/>
  <c r="BG51" i="66"/>
  <c r="BF51" i="66"/>
  <c r="BE51" i="66"/>
  <c r="BD51" i="66"/>
  <c r="BC51" i="66"/>
  <c r="BB51" i="66"/>
  <c r="BA51" i="66"/>
  <c r="BN50" i="66"/>
  <c r="BM50" i="66"/>
  <c r="BL50" i="66"/>
  <c r="BK50" i="66"/>
  <c r="BJ50" i="66"/>
  <c r="BI50" i="66"/>
  <c r="BH50" i="66"/>
  <c r="BG50" i="66"/>
  <c r="BF50" i="66"/>
  <c r="BE50" i="66"/>
  <c r="BD50" i="66"/>
  <c r="BC50" i="66"/>
  <c r="BB50" i="66"/>
  <c r="BA50" i="66"/>
  <c r="BN49" i="66"/>
  <c r="BM49" i="66"/>
  <c r="BL49" i="66"/>
  <c r="BK49" i="66"/>
  <c r="BJ49" i="66"/>
  <c r="BI49" i="66"/>
  <c r="BH49" i="66"/>
  <c r="BG49" i="66"/>
  <c r="BF49" i="66"/>
  <c r="BE49" i="66"/>
  <c r="BD49" i="66"/>
  <c r="BC49" i="66"/>
  <c r="BB49" i="66"/>
  <c r="BA49" i="66"/>
  <c r="BN48" i="66"/>
  <c r="BM48" i="66"/>
  <c r="BL48" i="66"/>
  <c r="BK48" i="66"/>
  <c r="BJ48" i="66"/>
  <c r="BI48" i="66"/>
  <c r="BH48" i="66"/>
  <c r="BG48" i="66"/>
  <c r="BF48" i="66"/>
  <c r="BE48" i="66"/>
  <c r="BD48" i="66"/>
  <c r="BC48" i="66"/>
  <c r="BB48" i="66"/>
  <c r="BA48" i="66"/>
  <c r="BN47" i="66"/>
  <c r="BM47" i="66"/>
  <c r="BL47" i="66"/>
  <c r="BK47" i="66"/>
  <c r="BJ47" i="66"/>
  <c r="BI47" i="66"/>
  <c r="BH47" i="66"/>
  <c r="BG47" i="66"/>
  <c r="BF47" i="66"/>
  <c r="BE47" i="66"/>
  <c r="BD47" i="66"/>
  <c r="BC47" i="66"/>
  <c r="BB47" i="66"/>
  <c r="BA47" i="66"/>
  <c r="BA41" i="64"/>
  <c r="AY41" i="64"/>
  <c r="AX41" i="64"/>
  <c r="AW41" i="64"/>
  <c r="AV41" i="64"/>
  <c r="AU41" i="64"/>
  <c r="AS41" i="64"/>
  <c r="AR41" i="64"/>
  <c r="AQ41" i="64"/>
  <c r="AO41" i="64"/>
  <c r="AN41" i="64"/>
  <c r="AM41" i="64"/>
  <c r="AK41" i="64"/>
  <c r="AJ41" i="64"/>
  <c r="AI41" i="64"/>
  <c r="AG41" i="64"/>
  <c r="AF41" i="64"/>
  <c r="AE41" i="64"/>
  <c r="AC41" i="64"/>
  <c r="AB41" i="64"/>
  <c r="AA41" i="64"/>
  <c r="Y41" i="64"/>
  <c r="X41" i="64"/>
  <c r="W41" i="64"/>
  <c r="U41" i="64"/>
  <c r="T41" i="64"/>
  <c r="S41" i="64"/>
  <c r="Q41" i="64"/>
  <c r="P41" i="64"/>
  <c r="O41" i="64"/>
  <c r="M41" i="64"/>
  <c r="L41" i="64"/>
  <c r="K41" i="64"/>
  <c r="I41" i="64"/>
  <c r="H41" i="64"/>
  <c r="G41" i="64"/>
  <c r="E41" i="64"/>
  <c r="D41" i="64"/>
  <c r="C41" i="64"/>
  <c r="BA40" i="64"/>
  <c r="AZ40" i="64"/>
  <c r="AY40" i="64"/>
  <c r="AX40" i="64"/>
  <c r="AW40" i="64"/>
  <c r="AV40" i="64"/>
  <c r="AU40" i="64"/>
  <c r="AT40" i="64"/>
  <c r="AS40" i="64"/>
  <c r="AR40" i="64"/>
  <c r="AQ40" i="64"/>
  <c r="AP40" i="64"/>
  <c r="AO40" i="64"/>
  <c r="AN40" i="64"/>
  <c r="AM40" i="64"/>
  <c r="AL40" i="64"/>
  <c r="AK40" i="64"/>
  <c r="AJ40" i="64"/>
  <c r="AI40" i="64"/>
  <c r="AH40" i="64"/>
  <c r="AG40" i="64"/>
  <c r="AF40" i="64"/>
  <c r="AE40" i="64"/>
  <c r="AD40" i="64"/>
  <c r="AC40" i="64"/>
  <c r="AB40" i="64"/>
  <c r="AA40" i="64"/>
  <c r="Z40" i="64"/>
  <c r="Y40" i="64"/>
  <c r="X40" i="64"/>
  <c r="W40" i="64"/>
  <c r="V40" i="64"/>
  <c r="U40" i="64"/>
  <c r="T40" i="64"/>
  <c r="S40" i="64"/>
  <c r="R40" i="64"/>
  <c r="Q40" i="64"/>
  <c r="P40" i="64"/>
  <c r="O40" i="64"/>
  <c r="N40" i="64"/>
  <c r="M40" i="64"/>
  <c r="L40" i="64"/>
  <c r="K40" i="64"/>
  <c r="J40" i="64"/>
  <c r="I40" i="64"/>
  <c r="H40" i="64"/>
  <c r="G40" i="64"/>
  <c r="F40" i="64"/>
  <c r="E40" i="64"/>
  <c r="D40" i="64"/>
  <c r="C40" i="64"/>
  <c r="BA39" i="64"/>
  <c r="AZ39" i="64"/>
  <c r="AX39" i="64"/>
  <c r="AW39" i="64"/>
  <c r="AV39" i="64"/>
  <c r="AT39" i="64"/>
  <c r="AR39" i="64"/>
  <c r="AQ39" i="64"/>
  <c r="AP39" i="64"/>
  <c r="AO39" i="64"/>
  <c r="AN39" i="64"/>
  <c r="AM39" i="64"/>
  <c r="AL39" i="64"/>
  <c r="AK39" i="64"/>
  <c r="AJ39" i="64"/>
  <c r="AI39" i="64"/>
  <c r="AH39" i="64"/>
  <c r="AG39" i="64"/>
  <c r="AF39" i="64"/>
  <c r="AE39" i="64"/>
  <c r="AD39" i="64"/>
  <c r="AC39" i="64"/>
  <c r="AB39" i="64"/>
  <c r="AA39" i="64"/>
  <c r="Z39" i="64"/>
  <c r="Y39" i="64"/>
  <c r="X39" i="64"/>
  <c r="W39" i="64"/>
  <c r="V39" i="64"/>
  <c r="U39" i="64"/>
  <c r="T39" i="64"/>
  <c r="S39" i="64"/>
  <c r="R39" i="64"/>
  <c r="Q39" i="64"/>
  <c r="P39" i="64"/>
  <c r="O39" i="64"/>
  <c r="N39" i="64"/>
  <c r="M39" i="64"/>
  <c r="L39" i="64"/>
  <c r="K39" i="64"/>
  <c r="J39" i="64"/>
  <c r="I39" i="64"/>
  <c r="H39" i="64"/>
  <c r="G39" i="64"/>
  <c r="F39" i="64"/>
  <c r="E39" i="64"/>
  <c r="D39" i="64"/>
  <c r="C39" i="64"/>
  <c r="BA38" i="64"/>
  <c r="AZ38" i="64"/>
  <c r="AY38" i="64"/>
  <c r="AX38" i="64"/>
  <c r="AW38" i="64"/>
  <c r="AV38" i="64"/>
  <c r="AU38" i="64"/>
  <c r="AT38" i="64"/>
  <c r="AS38" i="64"/>
  <c r="AR38" i="64"/>
  <c r="AQ38" i="64"/>
  <c r="AP38" i="64"/>
  <c r="AO38" i="64"/>
  <c r="AN38" i="64"/>
  <c r="AM38" i="64"/>
  <c r="AL38" i="64"/>
  <c r="AK38" i="64"/>
  <c r="AJ38" i="64"/>
  <c r="AI38" i="64"/>
  <c r="AH38" i="64"/>
  <c r="AG38" i="64"/>
  <c r="AF38" i="64"/>
  <c r="AE38" i="64"/>
  <c r="AD38" i="64"/>
  <c r="AC38" i="64"/>
  <c r="AB38" i="64"/>
  <c r="AA38" i="64"/>
  <c r="Z38" i="64"/>
  <c r="Y38" i="64"/>
  <c r="X38" i="64"/>
  <c r="W38" i="64"/>
  <c r="V38" i="64"/>
  <c r="U38" i="64"/>
  <c r="T38" i="64"/>
  <c r="S38" i="64"/>
  <c r="R38" i="64"/>
  <c r="Q38" i="64"/>
  <c r="P38" i="64"/>
  <c r="O38" i="64"/>
  <c r="N38" i="64"/>
  <c r="M38" i="64"/>
  <c r="L38" i="64"/>
  <c r="K38" i="64"/>
  <c r="J38" i="64"/>
  <c r="I38" i="64"/>
  <c r="H38" i="64"/>
  <c r="G38" i="64"/>
  <c r="F38" i="64"/>
  <c r="E38" i="64"/>
  <c r="D38" i="64"/>
  <c r="C38" i="64"/>
  <c r="BA37" i="64"/>
  <c r="AY37" i="64"/>
  <c r="AW37" i="64"/>
  <c r="AV37" i="64"/>
  <c r="AU37" i="64"/>
  <c r="AS37" i="64"/>
  <c r="AR37" i="64"/>
  <c r="AQ37" i="64"/>
  <c r="AO37" i="64"/>
  <c r="AN37" i="64"/>
  <c r="AM37" i="64"/>
  <c r="AK37" i="64"/>
  <c r="AJ37" i="64"/>
  <c r="AI37" i="64"/>
  <c r="AG37" i="64"/>
  <c r="AF37" i="64"/>
  <c r="AE37" i="64"/>
  <c r="AC37" i="64"/>
  <c r="AB37" i="64"/>
  <c r="AA37" i="64"/>
  <c r="Y37" i="64"/>
  <c r="X37" i="64"/>
  <c r="W37" i="64"/>
  <c r="U37" i="64"/>
  <c r="T37" i="64"/>
  <c r="S37" i="64"/>
  <c r="Q37" i="64"/>
  <c r="P37" i="64"/>
  <c r="O37" i="64"/>
  <c r="M37" i="64"/>
  <c r="L37" i="64"/>
  <c r="K37" i="64"/>
  <c r="I37" i="64"/>
  <c r="H37" i="64"/>
  <c r="G37" i="64"/>
  <c r="E37" i="64"/>
  <c r="D37" i="64"/>
  <c r="C37" i="64"/>
  <c r="BA36" i="64"/>
  <c r="AZ36" i="64"/>
  <c r="AY36" i="64"/>
  <c r="AX36" i="64"/>
  <c r="AW36" i="64"/>
  <c r="AV36" i="64"/>
  <c r="AU36" i="64"/>
  <c r="AT36" i="64"/>
  <c r="AS36" i="64"/>
  <c r="AR36" i="64"/>
  <c r="AQ36" i="64"/>
  <c r="AP36" i="64"/>
  <c r="AO36" i="64"/>
  <c r="AN36" i="64"/>
  <c r="AM36" i="64"/>
  <c r="AL36" i="64"/>
  <c r="AK36" i="64"/>
  <c r="AJ36" i="64"/>
  <c r="AI36" i="64"/>
  <c r="AH36" i="64"/>
  <c r="AG36" i="64"/>
  <c r="AF36" i="64"/>
  <c r="AE36" i="64"/>
  <c r="AD36" i="64"/>
  <c r="AC36" i="64"/>
  <c r="AB36" i="64"/>
  <c r="AA36" i="64"/>
  <c r="Z36" i="64"/>
  <c r="Y36" i="64"/>
  <c r="X36" i="64"/>
  <c r="W36" i="64"/>
  <c r="V36" i="64"/>
  <c r="U36" i="64"/>
  <c r="T36" i="64"/>
  <c r="S36" i="64"/>
  <c r="R36" i="64"/>
  <c r="Q36" i="64"/>
  <c r="P36" i="64"/>
  <c r="O36" i="64"/>
  <c r="N36" i="64"/>
  <c r="M36" i="64"/>
  <c r="L36" i="64"/>
  <c r="K36" i="64"/>
  <c r="J36" i="64"/>
  <c r="I36" i="64"/>
  <c r="H36" i="64"/>
  <c r="G36" i="64"/>
  <c r="F36" i="64"/>
  <c r="E36" i="64"/>
  <c r="D36" i="64"/>
  <c r="C36" i="64"/>
  <c r="AZ35" i="64"/>
  <c r="AX35" i="64"/>
  <c r="AV35" i="64"/>
  <c r="AT35" i="64"/>
  <c r="AS35" i="64"/>
  <c r="AR35" i="64"/>
  <c r="AQ35" i="64"/>
  <c r="AP35" i="64"/>
  <c r="AO35" i="64"/>
  <c r="AN35" i="64"/>
  <c r="AM35" i="64"/>
  <c r="AL35" i="64"/>
  <c r="AK35" i="64"/>
  <c r="AJ35" i="64"/>
  <c r="AI35" i="64"/>
  <c r="AH35" i="64"/>
  <c r="AG35" i="64"/>
  <c r="AF35" i="64"/>
  <c r="AE35" i="64"/>
  <c r="AD35" i="64"/>
  <c r="AC35" i="64"/>
  <c r="AB35" i="64"/>
  <c r="AA35" i="64"/>
  <c r="Z35" i="64"/>
  <c r="Y35" i="64"/>
  <c r="X35" i="64"/>
  <c r="W35" i="64"/>
  <c r="V35" i="64"/>
  <c r="U35" i="64"/>
  <c r="T35" i="64"/>
  <c r="S35" i="64"/>
  <c r="R35" i="64"/>
  <c r="Q35" i="64"/>
  <c r="P35" i="64"/>
  <c r="O35" i="64"/>
  <c r="N35" i="64"/>
  <c r="M35" i="64"/>
  <c r="L35" i="64"/>
  <c r="K35" i="64"/>
  <c r="J35" i="64"/>
  <c r="I35" i="64"/>
  <c r="H35" i="64"/>
  <c r="G35" i="64"/>
  <c r="F35" i="64"/>
  <c r="E35" i="64"/>
  <c r="D35" i="64"/>
  <c r="C35" i="64"/>
  <c r="BA34" i="64"/>
  <c r="AZ34" i="64"/>
  <c r="AY34" i="64"/>
  <c r="AX34" i="64"/>
  <c r="AW34" i="64"/>
  <c r="AV34" i="64"/>
  <c r="AU34" i="64"/>
  <c r="AT34" i="64"/>
  <c r="AS34" i="64"/>
  <c r="AR34" i="64"/>
  <c r="AQ34" i="64"/>
  <c r="AP34" i="64"/>
  <c r="AO34" i="64"/>
  <c r="AN34" i="64"/>
  <c r="AM34" i="64"/>
  <c r="AL34" i="64"/>
  <c r="AK34" i="64"/>
  <c r="AJ34" i="64"/>
  <c r="AI34" i="64"/>
  <c r="AH34" i="64"/>
  <c r="AG34" i="64"/>
  <c r="AF34" i="64"/>
  <c r="AE34" i="64"/>
  <c r="AD34" i="64"/>
  <c r="AC34" i="64"/>
  <c r="AB34" i="64"/>
  <c r="AA34" i="64"/>
  <c r="Z34" i="64"/>
  <c r="Y34" i="64"/>
  <c r="X34" i="64"/>
  <c r="W34" i="64"/>
  <c r="V34" i="64"/>
  <c r="U34" i="64"/>
  <c r="T34" i="64"/>
  <c r="S34" i="64"/>
  <c r="R34" i="64"/>
  <c r="Q34" i="64"/>
  <c r="P34" i="64"/>
  <c r="O34" i="64"/>
  <c r="N34" i="64"/>
  <c r="M34" i="64"/>
  <c r="L34" i="64"/>
  <c r="K34" i="64"/>
  <c r="J34" i="64"/>
  <c r="I34" i="64"/>
  <c r="H34" i="64"/>
  <c r="G34" i="64"/>
  <c r="F34" i="64"/>
  <c r="E34" i="64"/>
  <c r="D34" i="64"/>
  <c r="C34" i="64"/>
  <c r="BA33" i="64"/>
  <c r="AY33" i="64"/>
  <c r="AW33" i="64"/>
  <c r="AV33" i="64"/>
  <c r="AU33" i="64"/>
  <c r="AS33" i="64"/>
  <c r="AR33" i="64"/>
  <c r="AQ33" i="64"/>
  <c r="AO33" i="64"/>
  <c r="AN33" i="64"/>
  <c r="AM33" i="64"/>
  <c r="AK33" i="64"/>
  <c r="AJ33" i="64"/>
  <c r="AI33" i="64"/>
  <c r="AG33" i="64"/>
  <c r="AF33" i="64"/>
  <c r="AE33" i="64"/>
  <c r="AC33" i="64"/>
  <c r="AB33" i="64"/>
  <c r="AA33" i="64"/>
  <c r="Y33" i="64"/>
  <c r="X33" i="64"/>
  <c r="W33" i="64"/>
  <c r="U33" i="64"/>
  <c r="T33" i="64"/>
  <c r="S33" i="64"/>
  <c r="Q33" i="64"/>
  <c r="P33" i="64"/>
  <c r="O33" i="64"/>
  <c r="M33" i="64"/>
  <c r="L33" i="64"/>
  <c r="K33" i="64"/>
  <c r="I33" i="64"/>
  <c r="H33" i="64"/>
  <c r="G33" i="64"/>
  <c r="F33" i="64"/>
  <c r="E33" i="64"/>
  <c r="D33" i="64"/>
  <c r="C33" i="64"/>
  <c r="BA32" i="64"/>
  <c r="AZ32" i="64"/>
  <c r="AY32" i="64"/>
  <c r="AX32" i="64"/>
  <c r="AW32" i="64"/>
  <c r="AV32" i="64"/>
  <c r="AU32" i="64"/>
  <c r="AT32" i="64"/>
  <c r="AS32" i="64"/>
  <c r="AR32" i="64"/>
  <c r="AQ32" i="64"/>
  <c r="AP32" i="64"/>
  <c r="AO32" i="64"/>
  <c r="AN32" i="64"/>
  <c r="AM32" i="64"/>
  <c r="AL32" i="64"/>
  <c r="AK32" i="64"/>
  <c r="AJ32" i="64"/>
  <c r="AI32" i="64"/>
  <c r="AH32" i="64"/>
  <c r="AG32" i="64"/>
  <c r="AF32" i="64"/>
  <c r="AE32" i="64"/>
  <c r="AD32" i="64"/>
  <c r="AC32" i="64"/>
  <c r="AB32" i="64"/>
  <c r="AA32" i="64"/>
  <c r="Z32" i="64"/>
  <c r="Y32" i="64"/>
  <c r="X32" i="64"/>
  <c r="W32" i="64"/>
  <c r="V32" i="64"/>
  <c r="U32" i="64"/>
  <c r="T32" i="64"/>
  <c r="S32" i="64"/>
  <c r="R32" i="64"/>
  <c r="Q32" i="64"/>
  <c r="P32" i="64"/>
  <c r="O32" i="64"/>
  <c r="N32" i="64"/>
  <c r="M32" i="64"/>
  <c r="L32" i="64"/>
  <c r="K32" i="64"/>
  <c r="J32" i="64"/>
  <c r="I32" i="64"/>
  <c r="H32" i="64"/>
  <c r="G32" i="64"/>
  <c r="F32" i="64"/>
  <c r="E32" i="64"/>
  <c r="D32" i="64"/>
  <c r="C32" i="64"/>
  <c r="BA31" i="64"/>
  <c r="AZ31" i="64"/>
  <c r="AX31" i="64"/>
  <c r="AW31" i="64"/>
  <c r="AV31" i="64"/>
  <c r="AT31" i="64"/>
  <c r="AS31" i="64"/>
  <c r="AR31" i="64"/>
  <c r="AQ31" i="64"/>
  <c r="AP31" i="64"/>
  <c r="AO31" i="64"/>
  <c r="AN31" i="64"/>
  <c r="AM31" i="64"/>
  <c r="AL31" i="64"/>
  <c r="AK31" i="64"/>
  <c r="AJ31" i="64"/>
  <c r="AI31" i="64"/>
  <c r="AH31" i="64"/>
  <c r="AG31" i="64"/>
  <c r="AF31" i="64"/>
  <c r="AE31" i="64"/>
  <c r="AD31" i="64"/>
  <c r="AC31" i="64"/>
  <c r="AB31" i="64"/>
  <c r="AA31" i="64"/>
  <c r="Z31" i="64"/>
  <c r="Y31" i="64"/>
  <c r="X31" i="64"/>
  <c r="W31" i="64"/>
  <c r="V31" i="64"/>
  <c r="U31" i="64"/>
  <c r="T31" i="64"/>
  <c r="S31" i="64"/>
  <c r="R31" i="64"/>
  <c r="Q31" i="64"/>
  <c r="P31" i="64"/>
  <c r="O31" i="64"/>
  <c r="N31" i="64"/>
  <c r="M31" i="64"/>
  <c r="L31" i="64"/>
  <c r="K31" i="64"/>
  <c r="J31" i="64"/>
  <c r="I31" i="64"/>
  <c r="H31" i="64"/>
  <c r="G31" i="64"/>
  <c r="F31" i="64"/>
  <c r="E31" i="64"/>
  <c r="D31" i="64"/>
  <c r="C31" i="64"/>
  <c r="BA30" i="64"/>
  <c r="AZ30" i="64"/>
  <c r="AY30" i="64"/>
  <c r="AX30" i="64"/>
  <c r="AW30" i="64"/>
  <c r="AV30" i="64"/>
  <c r="AU30" i="64"/>
  <c r="AT30" i="64"/>
  <c r="AS30" i="64"/>
  <c r="AR30" i="64"/>
  <c r="AQ30" i="64"/>
  <c r="AP30" i="64"/>
  <c r="AO30" i="64"/>
  <c r="AN30" i="64"/>
  <c r="AM30" i="64"/>
  <c r="AL30" i="64"/>
  <c r="AK30" i="64"/>
  <c r="AJ30" i="64"/>
  <c r="AI30" i="64"/>
  <c r="AH30" i="64"/>
  <c r="AG30" i="64"/>
  <c r="AF30" i="64"/>
  <c r="AE30" i="64"/>
  <c r="AD30" i="64"/>
  <c r="AC30" i="64"/>
  <c r="AB30" i="64"/>
  <c r="AA30" i="64"/>
  <c r="Z30" i="64"/>
  <c r="Y30" i="64"/>
  <c r="X30" i="64"/>
  <c r="W30" i="64"/>
  <c r="V30" i="64"/>
  <c r="U30" i="64"/>
  <c r="T30" i="64"/>
  <c r="S30" i="64"/>
  <c r="R30" i="64"/>
  <c r="Q30" i="64"/>
  <c r="P30" i="64"/>
  <c r="O30" i="64"/>
  <c r="N30" i="64"/>
  <c r="M30" i="64"/>
  <c r="L30" i="64"/>
  <c r="K30" i="64"/>
  <c r="J30" i="64"/>
  <c r="I30" i="64"/>
  <c r="H30" i="64"/>
  <c r="G30" i="64"/>
  <c r="F30" i="64"/>
  <c r="E30" i="64"/>
  <c r="D30" i="64"/>
  <c r="C30" i="64"/>
  <c r="BA29" i="64"/>
  <c r="AY29" i="64"/>
  <c r="AX29" i="64"/>
  <c r="AW29" i="64"/>
  <c r="AV29" i="64"/>
  <c r="AU29" i="64"/>
  <c r="AS29" i="64"/>
  <c r="AR29" i="64"/>
  <c r="AQ29" i="64"/>
  <c r="AO29" i="64"/>
  <c r="AN29" i="64"/>
  <c r="AM29" i="64"/>
  <c r="AK29" i="64"/>
  <c r="AJ29" i="64"/>
  <c r="AI29" i="64"/>
  <c r="AG29" i="64"/>
  <c r="AF29" i="64"/>
  <c r="AE29" i="64"/>
  <c r="AC29" i="64"/>
  <c r="AB29" i="64"/>
  <c r="AA29" i="64"/>
  <c r="Y29" i="64"/>
  <c r="X29" i="64"/>
  <c r="W29" i="64"/>
  <c r="U29" i="64"/>
  <c r="T29" i="64"/>
  <c r="S29" i="64"/>
  <c r="Q29" i="64"/>
  <c r="P29" i="64"/>
  <c r="O29" i="64"/>
  <c r="N29" i="64"/>
  <c r="M29" i="64"/>
  <c r="L29" i="64"/>
  <c r="K29" i="64"/>
  <c r="J29" i="64"/>
  <c r="I29" i="64"/>
  <c r="H29" i="64"/>
  <c r="G29" i="64"/>
  <c r="F29" i="64"/>
  <c r="E29" i="64"/>
  <c r="D29" i="64"/>
  <c r="C29" i="64"/>
  <c r="BA28" i="64"/>
  <c r="AZ28" i="64"/>
  <c r="AY28" i="64"/>
  <c r="AX28" i="64"/>
  <c r="AW28" i="64"/>
  <c r="AV28" i="64"/>
  <c r="AU28" i="64"/>
  <c r="AT28" i="64"/>
  <c r="AS28" i="64"/>
  <c r="AR28" i="64"/>
  <c r="AQ28" i="64"/>
  <c r="AP28" i="64"/>
  <c r="AO28" i="64"/>
  <c r="AN28" i="64"/>
  <c r="AM28" i="64"/>
  <c r="AL28" i="64"/>
  <c r="AK28" i="64"/>
  <c r="AJ28" i="64"/>
  <c r="AI28" i="64"/>
  <c r="AH28" i="64"/>
  <c r="AG28" i="64"/>
  <c r="AF28" i="64"/>
  <c r="AE28" i="64"/>
  <c r="AD28" i="64"/>
  <c r="AC28" i="64"/>
  <c r="AB28" i="64"/>
  <c r="AA28" i="64"/>
  <c r="Z28" i="64"/>
  <c r="Y28" i="64"/>
  <c r="X28" i="64"/>
  <c r="W28" i="64"/>
  <c r="V28" i="64"/>
  <c r="U28" i="64"/>
  <c r="T28" i="64"/>
  <c r="S28" i="64"/>
  <c r="R28" i="64"/>
  <c r="Q28" i="64"/>
  <c r="P28" i="64"/>
  <c r="O28" i="64"/>
  <c r="N28" i="64"/>
  <c r="M28" i="64"/>
  <c r="L28" i="64"/>
  <c r="K28" i="64"/>
  <c r="J28" i="64"/>
  <c r="I28" i="64"/>
  <c r="H28" i="64"/>
  <c r="G28" i="64"/>
  <c r="F28" i="64"/>
  <c r="E28" i="64"/>
  <c r="D28" i="64"/>
  <c r="C28" i="64"/>
  <c r="BN98" i="64"/>
  <c r="BM98" i="64"/>
  <c r="BK98" i="64"/>
  <c r="BJ98" i="64"/>
  <c r="BI98" i="64"/>
  <c r="BG98" i="64"/>
  <c r="BF98" i="64"/>
  <c r="BE98" i="64"/>
  <c r="BC98" i="64"/>
  <c r="BB98" i="64"/>
  <c r="BA98" i="64"/>
  <c r="BM97" i="64"/>
  <c r="BL97" i="64"/>
  <c r="BK97" i="64"/>
  <c r="BI97" i="64"/>
  <c r="BH97" i="64"/>
  <c r="BG97" i="64"/>
  <c r="BE97" i="64"/>
  <c r="BD97" i="64"/>
  <c r="BC97" i="64"/>
  <c r="BA97" i="64"/>
  <c r="BN96" i="64"/>
  <c r="BM96" i="64"/>
  <c r="BK96" i="64"/>
  <c r="BJ96" i="64"/>
  <c r="BI96" i="64"/>
  <c r="BG96" i="64"/>
  <c r="BF96" i="64"/>
  <c r="BE96" i="64"/>
  <c r="BC96" i="64"/>
  <c r="BB96" i="64"/>
  <c r="BA96" i="64"/>
  <c r="BM95" i="64"/>
  <c r="BL95" i="64"/>
  <c r="BK95" i="64"/>
  <c r="BI95" i="64"/>
  <c r="BH95" i="64"/>
  <c r="BG95" i="64"/>
  <c r="BE95" i="64"/>
  <c r="BD95" i="64"/>
  <c r="BC95" i="64"/>
  <c r="BA95" i="64"/>
  <c r="BN94" i="64"/>
  <c r="BM94" i="64"/>
  <c r="BK94" i="64"/>
  <c r="BJ94" i="64"/>
  <c r="BI94" i="64"/>
  <c r="BG94" i="64"/>
  <c r="BF94" i="64"/>
  <c r="BE94" i="64"/>
  <c r="BC94" i="64"/>
  <c r="BB94" i="64"/>
  <c r="BA94" i="64"/>
  <c r="BM92" i="64"/>
  <c r="BL92" i="64"/>
  <c r="BK92" i="64"/>
  <c r="BI92" i="64"/>
  <c r="BH92" i="64"/>
  <c r="BG92" i="64"/>
  <c r="BE92" i="64"/>
  <c r="BD92" i="64"/>
  <c r="BC92" i="64"/>
  <c r="BA92" i="64"/>
  <c r="BN91" i="64"/>
  <c r="BM91" i="64"/>
  <c r="BK91" i="64"/>
  <c r="BJ91" i="64"/>
  <c r="BI91" i="64"/>
  <c r="BG91" i="64"/>
  <c r="BF91" i="64"/>
  <c r="BE91" i="64"/>
  <c r="BC91" i="64"/>
  <c r="BB91" i="64"/>
  <c r="BA91" i="64"/>
  <c r="BM90" i="64"/>
  <c r="BL90" i="64"/>
  <c r="BK90" i="64"/>
  <c r="BI90" i="64"/>
  <c r="BH90" i="64"/>
  <c r="BG90" i="64"/>
  <c r="BE90" i="64"/>
  <c r="BD90" i="64"/>
  <c r="BC90" i="64"/>
  <c r="BA90" i="64"/>
  <c r="BN89" i="64"/>
  <c r="BM89" i="64"/>
  <c r="BK89" i="64"/>
  <c r="BJ89" i="64"/>
  <c r="BI89" i="64"/>
  <c r="BG89" i="64"/>
  <c r="BF89" i="64"/>
  <c r="BE89" i="64"/>
  <c r="BC89" i="64"/>
  <c r="BB89" i="64"/>
  <c r="BA89" i="64"/>
  <c r="BM88" i="64"/>
  <c r="BL88" i="64"/>
  <c r="BK88" i="64"/>
  <c r="BI88" i="64"/>
  <c r="BH88" i="64"/>
  <c r="BG88" i="64"/>
  <c r="BE88" i="64"/>
  <c r="BD88" i="64"/>
  <c r="BC88" i="64"/>
  <c r="BB88" i="64"/>
  <c r="BA88" i="64"/>
  <c r="BN87" i="64"/>
  <c r="BM87" i="64"/>
  <c r="BL87" i="64"/>
  <c r="BK87" i="64"/>
  <c r="BJ87" i="64"/>
  <c r="BI87" i="64"/>
  <c r="BH87" i="64"/>
  <c r="BG87" i="64"/>
  <c r="BF87" i="64"/>
  <c r="BE87" i="64"/>
  <c r="BD87" i="64"/>
  <c r="BC87" i="64"/>
  <c r="BB87" i="64"/>
  <c r="BA87" i="64"/>
  <c r="BN86" i="64"/>
  <c r="BM86" i="64"/>
  <c r="BL86" i="64"/>
  <c r="BK86" i="64"/>
  <c r="BJ86" i="64"/>
  <c r="BI86" i="64"/>
  <c r="BH86" i="64"/>
  <c r="BG86" i="64"/>
  <c r="BF86" i="64"/>
  <c r="BE86" i="64"/>
  <c r="BD86" i="64"/>
  <c r="BC86" i="64"/>
  <c r="BB86" i="64"/>
  <c r="BA86" i="64"/>
  <c r="BN85" i="64"/>
  <c r="BM85" i="64"/>
  <c r="BL85" i="64"/>
  <c r="BK85" i="64"/>
  <c r="BJ85" i="64"/>
  <c r="BI85" i="64"/>
  <c r="BH85" i="64"/>
  <c r="BG85" i="64"/>
  <c r="BF85" i="64"/>
  <c r="BE85" i="64"/>
  <c r="BD85" i="64"/>
  <c r="BC85" i="64"/>
  <c r="BB85" i="64"/>
  <c r="BA85" i="64"/>
  <c r="BN84" i="64"/>
  <c r="BM84" i="64"/>
  <c r="BL84" i="64"/>
  <c r="BK84" i="64"/>
  <c r="BJ84" i="64"/>
  <c r="BI84" i="64"/>
  <c r="BH84" i="64"/>
  <c r="BG84" i="64"/>
  <c r="BF84" i="64"/>
  <c r="BE84" i="64"/>
  <c r="BD84" i="64"/>
  <c r="BC84" i="64"/>
  <c r="BB84" i="64"/>
  <c r="BA84" i="64"/>
  <c r="BN83" i="64"/>
  <c r="BM83" i="64"/>
  <c r="BL83" i="64"/>
  <c r="BK83" i="64"/>
  <c r="BJ83" i="64"/>
  <c r="BI83" i="64"/>
  <c r="BH83" i="64"/>
  <c r="BG83" i="64"/>
  <c r="BF83" i="64"/>
  <c r="BE83" i="64"/>
  <c r="BD83" i="64"/>
  <c r="BC83" i="64"/>
  <c r="BB83" i="64"/>
  <c r="BA83" i="64"/>
  <c r="BN82" i="64"/>
  <c r="BM82" i="64"/>
  <c r="BL82" i="64"/>
  <c r="BK82" i="64"/>
  <c r="BJ82" i="64"/>
  <c r="BI82" i="64"/>
  <c r="BH82" i="64"/>
  <c r="BG82" i="64"/>
  <c r="BF82" i="64"/>
  <c r="BE82" i="64"/>
  <c r="BD82" i="64"/>
  <c r="BC82" i="64"/>
  <c r="BB82" i="64"/>
  <c r="BA82" i="64"/>
  <c r="BN81" i="64"/>
  <c r="BM81" i="64"/>
  <c r="BL81" i="64"/>
  <c r="BK81" i="64"/>
  <c r="BJ81" i="64"/>
  <c r="BI81" i="64"/>
  <c r="BH81" i="64"/>
  <c r="BG81" i="64"/>
  <c r="BF81" i="64"/>
  <c r="BE81" i="64"/>
  <c r="BD81" i="64"/>
  <c r="BC81" i="64"/>
  <c r="BB81" i="64"/>
  <c r="BA81" i="64"/>
  <c r="BN80" i="64"/>
  <c r="BM80" i="64"/>
  <c r="BL80" i="64"/>
  <c r="BK80" i="64"/>
  <c r="BJ80" i="64"/>
  <c r="BI80" i="64"/>
  <c r="BH80" i="64"/>
  <c r="BG80" i="64"/>
  <c r="BF80" i="64"/>
  <c r="BE80" i="64"/>
  <c r="BD80" i="64"/>
  <c r="BC80" i="64"/>
  <c r="BB80" i="64"/>
  <c r="BA80" i="64"/>
  <c r="BN79" i="64"/>
  <c r="BM79" i="64"/>
  <c r="BL79" i="64"/>
  <c r="BK79" i="64"/>
  <c r="BJ79" i="64"/>
  <c r="BI79" i="64"/>
  <c r="BH79" i="64"/>
  <c r="BG79" i="64"/>
  <c r="BF79" i="64"/>
  <c r="BE79" i="64"/>
  <c r="BD79" i="64"/>
  <c r="BC79" i="64"/>
  <c r="BB79" i="64"/>
  <c r="BA79" i="64"/>
  <c r="BN78" i="64"/>
  <c r="BM78" i="64"/>
  <c r="BL78" i="64"/>
  <c r="BK78" i="64"/>
  <c r="BJ78" i="64"/>
  <c r="BI78" i="64"/>
  <c r="BH78" i="64"/>
  <c r="BG78" i="64"/>
  <c r="BF78" i="64"/>
  <c r="BE78" i="64"/>
  <c r="BD78" i="64"/>
  <c r="BC78" i="64"/>
  <c r="BB78" i="64"/>
  <c r="BA78" i="64"/>
  <c r="BN77" i="64"/>
  <c r="BM77" i="64"/>
  <c r="BL77" i="64"/>
  <c r="BK77" i="64"/>
  <c r="BJ77" i="64"/>
  <c r="BI77" i="64"/>
  <c r="BH77" i="64"/>
  <c r="BG77" i="64"/>
  <c r="BF77" i="64"/>
  <c r="BE77" i="64"/>
  <c r="BD77" i="64"/>
  <c r="BC77" i="64"/>
  <c r="BB77" i="64"/>
  <c r="BA77" i="64"/>
  <c r="BN76" i="64"/>
  <c r="BM76" i="64"/>
  <c r="BL76" i="64"/>
  <c r="BK76" i="64"/>
  <c r="BJ76" i="64"/>
  <c r="BI76" i="64"/>
  <c r="BH76" i="64"/>
  <c r="BG76" i="64"/>
  <c r="BF76" i="64"/>
  <c r="BE76" i="64"/>
  <c r="BD76" i="64"/>
  <c r="BC76" i="64"/>
  <c r="BB76" i="64"/>
  <c r="BA76" i="64"/>
  <c r="BN75" i="64"/>
  <c r="BM75" i="64"/>
  <c r="BL75" i="64"/>
  <c r="BK75" i="64"/>
  <c r="BJ75" i="64"/>
  <c r="BI75" i="64"/>
  <c r="BH75" i="64"/>
  <c r="BG75" i="64"/>
  <c r="BF75" i="64"/>
  <c r="BE75" i="64"/>
  <c r="BD75" i="64"/>
  <c r="BC75" i="64"/>
  <c r="BB75" i="64"/>
  <c r="BA75" i="64"/>
  <c r="BN74" i="64"/>
  <c r="BM74" i="64"/>
  <c r="BL74" i="64"/>
  <c r="BK74" i="64"/>
  <c r="BJ74" i="64"/>
  <c r="BI74" i="64"/>
  <c r="BH74" i="64"/>
  <c r="BG74" i="64"/>
  <c r="BF74" i="64"/>
  <c r="BE74" i="64"/>
  <c r="BD74" i="64"/>
  <c r="BC74" i="64"/>
  <c r="BB74" i="64"/>
  <c r="BA74" i="64"/>
  <c r="BN73" i="64"/>
  <c r="BM73" i="64"/>
  <c r="BL73" i="64"/>
  <c r="BK73" i="64"/>
  <c r="BJ73" i="64"/>
  <c r="BI73" i="64"/>
  <c r="BH73" i="64"/>
  <c r="BG73" i="64"/>
  <c r="BF73" i="64"/>
  <c r="BE73" i="64"/>
  <c r="BD73" i="64"/>
  <c r="BC73" i="64"/>
  <c r="BB73" i="64"/>
  <c r="BA73" i="64"/>
  <c r="BN72" i="64"/>
  <c r="BM72" i="64"/>
  <c r="BL72" i="64"/>
  <c r="BK72" i="64"/>
  <c r="BJ72" i="64"/>
  <c r="BI72" i="64"/>
  <c r="BH72" i="64"/>
  <c r="BG72" i="64"/>
  <c r="BF72" i="64"/>
  <c r="BE72" i="64"/>
  <c r="BD72" i="64"/>
  <c r="BC72" i="64"/>
  <c r="BB72" i="64"/>
  <c r="BA72" i="64"/>
  <c r="BN71" i="64"/>
  <c r="BM71" i="64"/>
  <c r="BL71" i="64"/>
  <c r="BK71" i="64"/>
  <c r="BJ71" i="64"/>
  <c r="BI71" i="64"/>
  <c r="BH71" i="64"/>
  <c r="BG71" i="64"/>
  <c r="BF71" i="64"/>
  <c r="BE71" i="64"/>
  <c r="BD71" i="64"/>
  <c r="BC71" i="64"/>
  <c r="BB71" i="64"/>
  <c r="BA71" i="64"/>
  <c r="BN70" i="64"/>
  <c r="BM70" i="64"/>
  <c r="BL70" i="64"/>
  <c r="BK70" i="64"/>
  <c r="BJ70" i="64"/>
  <c r="BI70" i="64"/>
  <c r="BH70" i="64"/>
  <c r="BG70" i="64"/>
  <c r="BF70" i="64"/>
  <c r="BE70" i="64"/>
  <c r="BD70" i="64"/>
  <c r="BC70" i="64"/>
  <c r="BB70" i="64"/>
  <c r="BA70" i="64"/>
  <c r="BN69" i="64"/>
  <c r="BM69" i="64"/>
  <c r="BL69" i="64"/>
  <c r="BK69" i="64"/>
  <c r="BJ69" i="64"/>
  <c r="BI69" i="64"/>
  <c r="BH69" i="64"/>
  <c r="BG69" i="64"/>
  <c r="BF69" i="64"/>
  <c r="BE69" i="64"/>
  <c r="BD69" i="64"/>
  <c r="BC69" i="64"/>
  <c r="BB69" i="64"/>
  <c r="BA69" i="64"/>
  <c r="BN68" i="64"/>
  <c r="BM68" i="64"/>
  <c r="BL68" i="64"/>
  <c r="BK68" i="64"/>
  <c r="BJ68" i="64"/>
  <c r="BI68" i="64"/>
  <c r="BH68" i="64"/>
  <c r="BG68" i="64"/>
  <c r="BF68" i="64"/>
  <c r="BE68" i="64"/>
  <c r="BD68" i="64"/>
  <c r="BC68" i="64"/>
  <c r="BB68" i="64"/>
  <c r="BA68" i="64"/>
  <c r="BN67" i="64"/>
  <c r="BM67" i="64"/>
  <c r="BL67" i="64"/>
  <c r="BK67" i="64"/>
  <c r="BJ67" i="64"/>
  <c r="BI67" i="64"/>
  <c r="BH67" i="64"/>
  <c r="BG67" i="64"/>
  <c r="BF67" i="64"/>
  <c r="BE67" i="64"/>
  <c r="BD67" i="64"/>
  <c r="BC67" i="64"/>
  <c r="BB67" i="64"/>
  <c r="BA67" i="64"/>
  <c r="BN66" i="64"/>
  <c r="BM66" i="64"/>
  <c r="BL66" i="64"/>
  <c r="BK66" i="64"/>
  <c r="BJ66" i="64"/>
  <c r="BI66" i="64"/>
  <c r="BH66" i="64"/>
  <c r="BG66" i="64"/>
  <c r="BF66" i="64"/>
  <c r="BE66" i="64"/>
  <c r="BD66" i="64"/>
  <c r="BC66" i="64"/>
  <c r="BB66" i="64"/>
  <c r="BA66" i="64"/>
  <c r="BN65" i="64"/>
  <c r="BM65" i="64"/>
  <c r="BL65" i="64"/>
  <c r="BK65" i="64"/>
  <c r="BJ65" i="64"/>
  <c r="BI65" i="64"/>
  <c r="BH65" i="64"/>
  <c r="BG65" i="64"/>
  <c r="BF65" i="64"/>
  <c r="BE65" i="64"/>
  <c r="BD65" i="64"/>
  <c r="BC65" i="64"/>
  <c r="BB65" i="64"/>
  <c r="BA65" i="64"/>
  <c r="BN64" i="64"/>
  <c r="BM64" i="64"/>
  <c r="BL64" i="64"/>
  <c r="BK64" i="64"/>
  <c r="BJ64" i="64"/>
  <c r="BI64" i="64"/>
  <c r="BH64" i="64"/>
  <c r="BG64" i="64"/>
  <c r="BF64" i="64"/>
  <c r="BE64" i="64"/>
  <c r="BD64" i="64"/>
  <c r="BC64" i="64"/>
  <c r="BB64" i="64"/>
  <c r="BA64" i="64"/>
  <c r="BN63" i="64"/>
  <c r="BM63" i="64"/>
  <c r="BL63" i="64"/>
  <c r="BK63" i="64"/>
  <c r="BJ63" i="64"/>
  <c r="BI63" i="64"/>
  <c r="BH63" i="64"/>
  <c r="BG63" i="64"/>
  <c r="BF63" i="64"/>
  <c r="BE63" i="64"/>
  <c r="BD63" i="64"/>
  <c r="BC63" i="64"/>
  <c r="BB63" i="64"/>
  <c r="BA63" i="64"/>
  <c r="BN62" i="64"/>
  <c r="BM62" i="64"/>
  <c r="BL62" i="64"/>
  <c r="BK62" i="64"/>
  <c r="BJ62" i="64"/>
  <c r="BI62" i="64"/>
  <c r="BH62" i="64"/>
  <c r="BG62" i="64"/>
  <c r="BF62" i="64"/>
  <c r="BE62" i="64"/>
  <c r="BD62" i="64"/>
  <c r="BC62" i="64"/>
  <c r="BB62" i="64"/>
  <c r="BA62" i="64"/>
  <c r="BN61" i="64"/>
  <c r="BM61" i="64"/>
  <c r="BL61" i="64"/>
  <c r="BK61" i="64"/>
  <c r="BJ61" i="64"/>
  <c r="BI61" i="64"/>
  <c r="BH61" i="64"/>
  <c r="BG61" i="64"/>
  <c r="BF61" i="64"/>
  <c r="BE61" i="64"/>
  <c r="BD61" i="64"/>
  <c r="BC61" i="64"/>
  <c r="BB61" i="64"/>
  <c r="BA61" i="64"/>
  <c r="BN60" i="64"/>
  <c r="BM60" i="64"/>
  <c r="BL60" i="64"/>
  <c r="BK60" i="64"/>
  <c r="BJ60" i="64"/>
  <c r="BI60" i="64"/>
  <c r="BH60" i="64"/>
  <c r="BG60" i="64"/>
  <c r="BF60" i="64"/>
  <c r="BE60" i="64"/>
  <c r="BD60" i="64"/>
  <c r="BC60" i="64"/>
  <c r="BB60" i="64"/>
  <c r="BA60" i="64"/>
  <c r="BN59" i="64"/>
  <c r="BM59" i="64"/>
  <c r="BL59" i="64"/>
  <c r="BK59" i="64"/>
  <c r="BJ59" i="64"/>
  <c r="BI59" i="64"/>
  <c r="BH59" i="64"/>
  <c r="BG59" i="64"/>
  <c r="BF59" i="64"/>
  <c r="BE59" i="64"/>
  <c r="BD59" i="64"/>
  <c r="BC59" i="64"/>
  <c r="BB59" i="64"/>
  <c r="BA59" i="64"/>
  <c r="BN58" i="64"/>
  <c r="BM58" i="64"/>
  <c r="BL58" i="64"/>
  <c r="BK58" i="64"/>
  <c r="BJ58" i="64"/>
  <c r="BI58" i="64"/>
  <c r="BH58" i="64"/>
  <c r="BG58" i="64"/>
  <c r="BF58" i="64"/>
  <c r="BE58" i="64"/>
  <c r="BD58" i="64"/>
  <c r="BC58" i="64"/>
  <c r="BB58" i="64"/>
  <c r="BA58" i="64"/>
  <c r="BN57" i="64"/>
  <c r="BM57" i="64"/>
  <c r="BL57" i="64"/>
  <c r="BK57" i="64"/>
  <c r="BJ57" i="64"/>
  <c r="BI57" i="64"/>
  <c r="BH57" i="64"/>
  <c r="BG57" i="64"/>
  <c r="BF57" i="64"/>
  <c r="BE57" i="64"/>
  <c r="BD57" i="64"/>
  <c r="BC57" i="64"/>
  <c r="BB57" i="64"/>
  <c r="BA57" i="64"/>
  <c r="BN56" i="64"/>
  <c r="BM56" i="64"/>
  <c r="BL56" i="64"/>
  <c r="BK56" i="64"/>
  <c r="BJ56" i="64"/>
  <c r="BI56" i="64"/>
  <c r="BH56" i="64"/>
  <c r="BG56" i="64"/>
  <c r="BF56" i="64"/>
  <c r="BE56" i="64"/>
  <c r="BD56" i="64"/>
  <c r="BC56" i="64"/>
  <c r="BB56" i="64"/>
  <c r="BA56" i="64"/>
  <c r="BN55" i="64"/>
  <c r="BM55" i="64"/>
  <c r="BL55" i="64"/>
  <c r="BK55" i="64"/>
  <c r="BJ55" i="64"/>
  <c r="BI55" i="64"/>
  <c r="BH55" i="64"/>
  <c r="BG55" i="64"/>
  <c r="BF55" i="64"/>
  <c r="BE55" i="64"/>
  <c r="BD55" i="64"/>
  <c r="BC55" i="64"/>
  <c r="BB55" i="64"/>
  <c r="BA55" i="64"/>
  <c r="BN54" i="64"/>
  <c r="BM54" i="64"/>
  <c r="BL54" i="64"/>
  <c r="BK54" i="64"/>
  <c r="BJ54" i="64"/>
  <c r="BI54" i="64"/>
  <c r="BH54" i="64"/>
  <c r="BG54" i="64"/>
  <c r="BF54" i="64"/>
  <c r="BE54" i="64"/>
  <c r="BD54" i="64"/>
  <c r="BC54" i="64"/>
  <c r="BB54" i="64"/>
  <c r="BA54" i="64"/>
  <c r="BN53" i="64"/>
  <c r="BM53" i="64"/>
  <c r="BL53" i="64"/>
  <c r="BK53" i="64"/>
  <c r="BJ53" i="64"/>
  <c r="BI53" i="64"/>
  <c r="BH53" i="64"/>
  <c r="BG53" i="64"/>
  <c r="BF53" i="64"/>
  <c r="BE53" i="64"/>
  <c r="BD53" i="64"/>
  <c r="BC53" i="64"/>
  <c r="BB53" i="64"/>
  <c r="BA53" i="64"/>
  <c r="BN52" i="64"/>
  <c r="BM52" i="64"/>
  <c r="BL52" i="64"/>
  <c r="BK52" i="64"/>
  <c r="BJ52" i="64"/>
  <c r="BI52" i="64"/>
  <c r="BH52" i="64"/>
  <c r="BG52" i="64"/>
  <c r="BF52" i="64"/>
  <c r="BE52" i="64"/>
  <c r="BD52" i="64"/>
  <c r="BC52" i="64"/>
  <c r="BB52" i="64"/>
  <c r="BA52" i="64"/>
  <c r="BN51" i="64"/>
  <c r="BM51" i="64"/>
  <c r="BL51" i="64"/>
  <c r="BK51" i="64"/>
  <c r="BJ51" i="64"/>
  <c r="BI51" i="64"/>
  <c r="BH51" i="64"/>
  <c r="BG51" i="64"/>
  <c r="BF51" i="64"/>
  <c r="BE51" i="64"/>
  <c r="BD51" i="64"/>
  <c r="BC51" i="64"/>
  <c r="BB51" i="64"/>
  <c r="BA51" i="64"/>
  <c r="BN50" i="64"/>
  <c r="BM50" i="64"/>
  <c r="BL50" i="64"/>
  <c r="BK50" i="64"/>
  <c r="BJ50" i="64"/>
  <c r="BI50" i="64"/>
  <c r="BH50" i="64"/>
  <c r="BG50" i="64"/>
  <c r="BF50" i="64"/>
  <c r="BE50" i="64"/>
  <c r="BD50" i="64"/>
  <c r="BC50" i="64"/>
  <c r="BB50" i="64"/>
  <c r="BA50" i="64"/>
  <c r="BN49" i="64"/>
  <c r="BM49" i="64"/>
  <c r="BL49" i="64"/>
  <c r="BK49" i="64"/>
  <c r="BJ49" i="64"/>
  <c r="BI49" i="64"/>
  <c r="BH49" i="64"/>
  <c r="BG49" i="64"/>
  <c r="BF49" i="64"/>
  <c r="BE49" i="64"/>
  <c r="BD49" i="64"/>
  <c r="BC49" i="64"/>
  <c r="BB49" i="64"/>
  <c r="BA49" i="64"/>
  <c r="BN48" i="64"/>
  <c r="BM48" i="64"/>
  <c r="BL48" i="64"/>
  <c r="BK48" i="64"/>
  <c r="BJ48" i="64"/>
  <c r="BI48" i="64"/>
  <c r="BH48" i="64"/>
  <c r="BG48" i="64"/>
  <c r="BF48" i="64"/>
  <c r="BE48" i="64"/>
  <c r="BD48" i="64"/>
  <c r="BC48" i="64"/>
  <c r="BB48" i="64"/>
  <c r="BA48" i="64"/>
  <c r="BN47" i="64"/>
  <c r="BM47" i="64"/>
  <c r="BL47" i="64"/>
  <c r="BK47" i="64"/>
  <c r="BJ47" i="64"/>
  <c r="BI47" i="64"/>
  <c r="BH47" i="64"/>
  <c r="BG47" i="64"/>
  <c r="BF47" i="64"/>
  <c r="BE47" i="64"/>
  <c r="BD47" i="64"/>
  <c r="BC47" i="64"/>
  <c r="BB47" i="64"/>
  <c r="BA47" i="64"/>
  <c r="C21" i="84"/>
  <c r="C21" i="29"/>
  <c r="C21" i="23"/>
  <c r="C21" i="21"/>
  <c r="C21" i="8"/>
  <c r="C21" i="71"/>
  <c r="AT29" i="70" l="1"/>
  <c r="AU35" i="70"/>
  <c r="AT37" i="70"/>
  <c r="AU39" i="70"/>
  <c r="AT41" i="70"/>
  <c r="AU31" i="70"/>
  <c r="AT33" i="70"/>
  <c r="BH90" i="70"/>
  <c r="BL90" i="70"/>
  <c r="BB93" i="70"/>
  <c r="BJ93" i="70"/>
  <c r="BN93" i="70"/>
  <c r="BH94" i="70"/>
  <c r="BL94" i="70"/>
  <c r="AJ37" i="70"/>
  <c r="AN37" i="70"/>
  <c r="AR37" i="70"/>
  <c r="AJ41" i="70"/>
  <c r="AN41" i="70"/>
  <c r="AR41" i="70"/>
  <c r="BN78" i="70"/>
  <c r="BD79" i="70"/>
  <c r="BH79" i="70"/>
  <c r="BL79" i="70"/>
  <c r="BB82" i="70"/>
  <c r="BF82" i="70"/>
  <c r="BJ82" i="70"/>
  <c r="BN82" i="70"/>
  <c r="BD83" i="70"/>
  <c r="BH83" i="70"/>
  <c r="BL83" i="70"/>
  <c r="BB86" i="70"/>
  <c r="BF86" i="70"/>
  <c r="BJ86" i="70"/>
  <c r="BN86" i="70"/>
  <c r="BD87" i="70"/>
  <c r="BH87" i="70"/>
  <c r="BL87" i="70"/>
  <c r="AX33" i="68"/>
  <c r="AY35" i="68"/>
  <c r="AZ29" i="68"/>
  <c r="AW31" i="68"/>
  <c r="BA31" i="68"/>
  <c r="AX37" i="68"/>
  <c r="AY39" i="68"/>
  <c r="AX41" i="68"/>
  <c r="BH94" i="68"/>
  <c r="BF97" i="68"/>
  <c r="BH98" i="68"/>
  <c r="AI31" i="68"/>
  <c r="BD79" i="68"/>
  <c r="BB64" i="68"/>
  <c r="BF64" i="68"/>
  <c r="BJ64" i="68"/>
  <c r="BN64" i="68"/>
  <c r="BD65" i="68"/>
  <c r="BH65" i="68"/>
  <c r="BL65" i="68"/>
  <c r="BF66" i="68"/>
  <c r="BJ66" i="68"/>
  <c r="BN66" i="68"/>
  <c r="BD67" i="68"/>
  <c r="BH67" i="68"/>
  <c r="BL67" i="68"/>
  <c r="BB68" i="68"/>
  <c r="BF68" i="68"/>
  <c r="BJ68" i="68"/>
  <c r="BN68" i="68"/>
  <c r="BD69" i="68"/>
  <c r="BH69" i="68"/>
  <c r="BL69" i="68"/>
  <c r="BB70" i="68"/>
  <c r="BJ70" i="68"/>
  <c r="BN70" i="68"/>
  <c r="BD71" i="68"/>
  <c r="BH71" i="68"/>
  <c r="BL71" i="68"/>
  <c r="BB72" i="68"/>
  <c r="BF72" i="68"/>
  <c r="BJ72" i="68"/>
  <c r="BN72" i="68"/>
  <c r="BD73" i="68"/>
  <c r="BH73" i="68"/>
  <c r="BL73" i="68"/>
  <c r="BB74" i="68"/>
  <c r="BF74" i="68"/>
  <c r="BN74" i="68"/>
  <c r="BD75" i="68"/>
  <c r="BH75" i="68"/>
  <c r="BL75" i="68"/>
  <c r="BB76" i="68"/>
  <c r="BF76" i="68"/>
  <c r="BJ76" i="68"/>
  <c r="BN76" i="68"/>
  <c r="BD77" i="68"/>
  <c r="BH77" i="68"/>
  <c r="BL77" i="68"/>
  <c r="BB78" i="68"/>
  <c r="BF78" i="68"/>
  <c r="BJ78" i="68"/>
  <c r="R29" i="68"/>
  <c r="AL33" i="68"/>
  <c r="AP37" i="68"/>
  <c r="N41" i="68"/>
  <c r="AT41" i="68"/>
  <c r="BN92" i="68"/>
  <c r="AV41" i="68"/>
  <c r="BF92" i="68"/>
  <c r="AV33" i="68"/>
  <c r="AU35" i="68"/>
  <c r="BH91" i="68"/>
  <c r="AU31" i="68"/>
  <c r="BD91" i="68"/>
  <c r="BL89" i="68"/>
  <c r="AS39" i="68"/>
  <c r="BH89" i="68"/>
  <c r="AS35" i="68"/>
  <c r="BD89" i="68"/>
  <c r="AS31" i="68"/>
  <c r="BJ88" i="68"/>
  <c r="AR37" i="68"/>
  <c r="BF88" i="68"/>
  <c r="AR33" i="68"/>
  <c r="BB88" i="68"/>
  <c r="AR29" i="68"/>
  <c r="AQ39" i="68"/>
  <c r="BL87" i="68"/>
  <c r="AQ35" i="68"/>
  <c r="BH87" i="68"/>
  <c r="AQ31" i="68"/>
  <c r="BD87" i="68"/>
  <c r="BL85" i="68"/>
  <c r="AO39" i="68"/>
  <c r="BH85" i="68"/>
  <c r="AO35" i="68"/>
  <c r="BD85" i="68"/>
  <c r="AO31" i="68"/>
  <c r="BN84" i="68"/>
  <c r="AN41" i="68"/>
  <c r="BJ84" i="68"/>
  <c r="AN37" i="68"/>
  <c r="BF84" i="68"/>
  <c r="AN33" i="68"/>
  <c r="BB84" i="68"/>
  <c r="AN29" i="68"/>
  <c r="AM39" i="68"/>
  <c r="BL83" i="68"/>
  <c r="AM35" i="68"/>
  <c r="BH83" i="68"/>
  <c r="AM31" i="68"/>
  <c r="BD83" i="68"/>
  <c r="BL81" i="68"/>
  <c r="AK39" i="68"/>
  <c r="BH81" i="68"/>
  <c r="AK35" i="68"/>
  <c r="BD81" i="68"/>
  <c r="AK31" i="68"/>
  <c r="BN80" i="68"/>
  <c r="AJ41" i="68"/>
  <c r="BJ80" i="68"/>
  <c r="AJ37" i="68"/>
  <c r="BF80" i="68"/>
  <c r="AJ33" i="68"/>
  <c r="BB80" i="68"/>
  <c r="AJ29" i="68"/>
  <c r="AI39" i="68"/>
  <c r="BL79" i="68"/>
  <c r="AI35" i="68"/>
  <c r="BH79" i="68"/>
  <c r="BJ56" i="68"/>
  <c r="BD57" i="68"/>
  <c r="BL57" i="68"/>
  <c r="BB58" i="68"/>
  <c r="BD59" i="68"/>
  <c r="BL59" i="68"/>
  <c r="BB60" i="68"/>
  <c r="BJ60" i="68"/>
  <c r="BD61" i="68"/>
  <c r="BH61" i="68"/>
  <c r="BL61" i="68"/>
  <c r="BF62" i="68"/>
  <c r="BJ62" i="68"/>
  <c r="BD63" i="68"/>
  <c r="BL63" i="68"/>
  <c r="AT29" i="68"/>
  <c r="AL37" i="68"/>
  <c r="AP41" i="68"/>
  <c r="BJ92" i="68"/>
  <c r="AV37" i="68"/>
  <c r="BB92" i="68"/>
  <c r="AV29" i="68"/>
  <c r="AU39" i="68"/>
  <c r="BL91" i="68"/>
  <c r="BN88" i="68"/>
  <c r="AR41" i="68"/>
  <c r="BN56" i="68"/>
  <c r="BH57" i="68"/>
  <c r="BF58" i="68"/>
  <c r="BH59" i="68"/>
  <c r="BF60" i="68"/>
  <c r="BN60" i="68"/>
  <c r="BH63" i="68"/>
  <c r="AP29" i="68"/>
  <c r="AT33" i="68"/>
  <c r="AL41" i="68"/>
  <c r="AT29" i="66"/>
  <c r="AT33" i="66"/>
  <c r="AS39" i="66"/>
  <c r="AW39" i="66"/>
  <c r="AV41" i="66"/>
  <c r="BJ91" i="66"/>
  <c r="BN91" i="66"/>
  <c r="BD92" i="66"/>
  <c r="BH92" i="66"/>
  <c r="BL92" i="66"/>
  <c r="BB93" i="66"/>
  <c r="BF93" i="66"/>
  <c r="AX33" i="64"/>
  <c r="AW35" i="64"/>
  <c r="BA35" i="64"/>
  <c r="AX37" i="64"/>
  <c r="AZ29" i="64"/>
  <c r="AY31" i="64"/>
  <c r="AY39" i="64"/>
  <c r="AZ41" i="64"/>
  <c r="BH96" i="64"/>
  <c r="BF97" i="64"/>
  <c r="BJ97" i="64"/>
  <c r="AU39" i="64"/>
  <c r="BL89" i="64"/>
  <c r="BB90" i="64"/>
  <c r="BF90" i="64"/>
  <c r="BJ90" i="64"/>
  <c r="BN90" i="64"/>
  <c r="BD91" i="64"/>
  <c r="BH91" i="64"/>
  <c r="H31" i="74"/>
  <c r="G31" i="74"/>
  <c r="F31" i="74"/>
  <c r="E31" i="74"/>
  <c r="D31" i="74"/>
  <c r="C31" i="74"/>
  <c r="H30" i="74"/>
  <c r="G30" i="74"/>
  <c r="F30" i="74"/>
  <c r="E30" i="74"/>
  <c r="D30" i="74"/>
  <c r="C30" i="74"/>
  <c r="H29" i="74"/>
  <c r="G29" i="74"/>
  <c r="F29" i="74"/>
  <c r="E29" i="74"/>
  <c r="D29" i="74"/>
  <c r="C29" i="74"/>
  <c r="H28" i="74"/>
  <c r="G28" i="74"/>
  <c r="F28" i="74"/>
  <c r="E28" i="74"/>
  <c r="D28" i="74"/>
  <c r="C28" i="74"/>
  <c r="H27" i="74"/>
  <c r="G27" i="74"/>
  <c r="F27" i="74"/>
  <c r="E27" i="74"/>
  <c r="D27" i="74"/>
  <c r="C27" i="74"/>
  <c r="H26" i="74"/>
  <c r="G26" i="74"/>
  <c r="F26" i="74"/>
  <c r="E26" i="74"/>
  <c r="D26" i="74"/>
  <c r="C26" i="74"/>
  <c r="H25" i="74"/>
  <c r="G25" i="74"/>
  <c r="F25" i="74"/>
  <c r="E25" i="74"/>
  <c r="D25" i="74"/>
  <c r="C25" i="74"/>
  <c r="H24" i="74"/>
  <c r="G24" i="74"/>
  <c r="F24" i="74"/>
  <c r="E24" i="74"/>
  <c r="D24" i="74"/>
  <c r="C24" i="74"/>
  <c r="H23" i="74"/>
  <c r="G23" i="74"/>
  <c r="F23" i="74"/>
  <c r="E23" i="74"/>
  <c r="D23" i="74"/>
  <c r="C23" i="74"/>
  <c r="H22" i="74"/>
  <c r="G22" i="74"/>
  <c r="F22" i="74"/>
  <c r="E22" i="74"/>
  <c r="D22" i="74"/>
  <c r="C22" i="74"/>
  <c r="H21" i="74"/>
  <c r="G21" i="74"/>
  <c r="F21" i="74"/>
  <c r="E21" i="74"/>
  <c r="D21" i="74"/>
  <c r="C21" i="74"/>
  <c r="H20" i="74"/>
  <c r="G20" i="74"/>
  <c r="F20" i="74"/>
  <c r="E20" i="74"/>
  <c r="D20" i="74"/>
  <c r="C20" i="74"/>
  <c r="H19" i="74"/>
  <c r="G19" i="74"/>
  <c r="F19" i="74"/>
  <c r="E19" i="74"/>
  <c r="D19" i="74"/>
  <c r="C19" i="74"/>
  <c r="H18" i="74"/>
  <c r="G18" i="74"/>
  <c r="F18" i="74"/>
  <c r="E18" i="74"/>
  <c r="D18" i="74"/>
  <c r="C18" i="74"/>
  <c r="H17" i="74"/>
  <c r="G17" i="74"/>
  <c r="F17" i="74"/>
  <c r="E17" i="74"/>
  <c r="D17" i="74"/>
  <c r="C17" i="74"/>
  <c r="H16" i="74"/>
  <c r="G16" i="74"/>
  <c r="F16" i="74"/>
  <c r="E16" i="74"/>
  <c r="D16" i="74"/>
  <c r="C16" i="74"/>
  <c r="H15" i="74"/>
  <c r="G15" i="74"/>
  <c r="F15" i="74"/>
  <c r="E15" i="74"/>
  <c r="D15" i="74"/>
  <c r="C15" i="74"/>
  <c r="H14" i="74"/>
  <c r="G14" i="74"/>
  <c r="F14" i="74"/>
  <c r="E14" i="74"/>
  <c r="D14" i="74"/>
  <c r="C14" i="74"/>
  <c r="C21" i="73"/>
  <c r="AZ94" i="70"/>
  <c r="AY94" i="70"/>
  <c r="AX94" i="70"/>
  <c r="AW94" i="70"/>
  <c r="AV94" i="70"/>
  <c r="AU94" i="70"/>
  <c r="AT94" i="70"/>
  <c r="AS94" i="70"/>
  <c r="AR94" i="70"/>
  <c r="AQ94" i="70"/>
  <c r="AP94" i="70"/>
  <c r="AO94" i="70"/>
  <c r="AN94" i="70"/>
  <c r="AM94" i="70"/>
  <c r="AL94" i="70"/>
  <c r="AK94" i="70"/>
  <c r="AZ93" i="70"/>
  <c r="AY93" i="70"/>
  <c r="AX93" i="70"/>
  <c r="AW93" i="70"/>
  <c r="AV93" i="70"/>
  <c r="AU93" i="70"/>
  <c r="AT93" i="70"/>
  <c r="AS93" i="70"/>
  <c r="AR93" i="70"/>
  <c r="AQ93" i="70"/>
  <c r="AP93" i="70"/>
  <c r="AO93" i="70"/>
  <c r="AN93" i="70"/>
  <c r="AM93" i="70"/>
  <c r="AL93" i="70"/>
  <c r="AK93" i="70"/>
  <c r="AZ92" i="70"/>
  <c r="AY92" i="70"/>
  <c r="AX92" i="70"/>
  <c r="AW92" i="70"/>
  <c r="AV92" i="70"/>
  <c r="AU92" i="70"/>
  <c r="AT92" i="70"/>
  <c r="AS92" i="70"/>
  <c r="AR92" i="70"/>
  <c r="AQ92" i="70"/>
  <c r="AP92" i="70"/>
  <c r="AO92" i="70"/>
  <c r="AN92" i="70"/>
  <c r="AM92" i="70"/>
  <c r="AL92" i="70"/>
  <c r="AK92" i="70"/>
  <c r="AZ91" i="70"/>
  <c r="AY91" i="70"/>
  <c r="AX91" i="70"/>
  <c r="AW91" i="70"/>
  <c r="AV91" i="70"/>
  <c r="AU91" i="70"/>
  <c r="AT91" i="70"/>
  <c r="AS91" i="70"/>
  <c r="AR91" i="70"/>
  <c r="AQ91" i="70"/>
  <c r="AP91" i="70"/>
  <c r="AO91" i="70"/>
  <c r="AN91" i="70"/>
  <c r="AM91" i="70"/>
  <c r="AL91" i="70"/>
  <c r="AK91" i="70"/>
  <c r="AZ90" i="70"/>
  <c r="AY90" i="70"/>
  <c r="AX90" i="70"/>
  <c r="AW90" i="70"/>
  <c r="AV90" i="70"/>
  <c r="AU90" i="70"/>
  <c r="AT90" i="70"/>
  <c r="AS90" i="70"/>
  <c r="AR90" i="70"/>
  <c r="AQ90" i="70"/>
  <c r="AP90" i="70"/>
  <c r="AO90" i="70"/>
  <c r="AN90" i="70"/>
  <c r="AM90" i="70"/>
  <c r="AL90" i="70"/>
  <c r="AK90" i="70"/>
  <c r="AZ88" i="70"/>
  <c r="AY88" i="70"/>
  <c r="AX88" i="70"/>
  <c r="AW88" i="70"/>
  <c r="AV88" i="70"/>
  <c r="AU88" i="70"/>
  <c r="AT88" i="70"/>
  <c r="AS88" i="70"/>
  <c r="AR88" i="70"/>
  <c r="AQ88" i="70"/>
  <c r="AP88" i="70"/>
  <c r="AO88" i="70"/>
  <c r="AN88" i="70"/>
  <c r="AM88" i="70"/>
  <c r="AL88" i="70"/>
  <c r="AK88" i="70"/>
  <c r="AZ87" i="70"/>
  <c r="AY87" i="70"/>
  <c r="AX87" i="70"/>
  <c r="AW87" i="70"/>
  <c r="AV87" i="70"/>
  <c r="AU87" i="70"/>
  <c r="AT87" i="70"/>
  <c r="AS87" i="70"/>
  <c r="AR87" i="70"/>
  <c r="AQ87" i="70"/>
  <c r="AP87" i="70"/>
  <c r="AO87" i="70"/>
  <c r="AN87" i="70"/>
  <c r="AM87" i="70"/>
  <c r="AL87" i="70"/>
  <c r="AK87" i="70"/>
  <c r="AZ86" i="70"/>
  <c r="AY86" i="70"/>
  <c r="AX86" i="70"/>
  <c r="AW86" i="70"/>
  <c r="AV86" i="70"/>
  <c r="AU86" i="70"/>
  <c r="AT86" i="70"/>
  <c r="AS86" i="70"/>
  <c r="AR86" i="70"/>
  <c r="AQ86" i="70"/>
  <c r="AP86" i="70"/>
  <c r="AO86" i="70"/>
  <c r="AN86" i="70"/>
  <c r="AM86" i="70"/>
  <c r="AL86" i="70"/>
  <c r="AK86" i="70"/>
  <c r="AZ85" i="70"/>
  <c r="AY85" i="70"/>
  <c r="AX85" i="70"/>
  <c r="AW85" i="70"/>
  <c r="AV85" i="70"/>
  <c r="AU85" i="70"/>
  <c r="AT85" i="70"/>
  <c r="AS85" i="70"/>
  <c r="AR85" i="70"/>
  <c r="AQ85" i="70"/>
  <c r="AP85" i="70"/>
  <c r="AO85" i="70"/>
  <c r="AN85" i="70"/>
  <c r="AM85" i="70"/>
  <c r="AL85" i="70"/>
  <c r="AK85" i="70"/>
  <c r="AZ84" i="70"/>
  <c r="AY84" i="70"/>
  <c r="AX84" i="70"/>
  <c r="AW84" i="70"/>
  <c r="AV84" i="70"/>
  <c r="AU84" i="70"/>
  <c r="AT84" i="70"/>
  <c r="AS84" i="70"/>
  <c r="AR84" i="70"/>
  <c r="AQ84" i="70"/>
  <c r="AP84" i="70"/>
  <c r="AO84" i="70"/>
  <c r="AN84" i="70"/>
  <c r="AM84" i="70"/>
  <c r="AL84" i="70"/>
  <c r="AK84" i="70"/>
  <c r="AZ83" i="70"/>
  <c r="AY83" i="70"/>
  <c r="AX83" i="70"/>
  <c r="AW83" i="70"/>
  <c r="AV83" i="70"/>
  <c r="AU83" i="70"/>
  <c r="AT83" i="70"/>
  <c r="AS83" i="70"/>
  <c r="AR83" i="70"/>
  <c r="AQ83" i="70"/>
  <c r="AP83" i="70"/>
  <c r="AO83" i="70"/>
  <c r="AN83" i="70"/>
  <c r="AM83" i="70"/>
  <c r="AL83" i="70"/>
  <c r="AK83" i="70"/>
  <c r="AZ82" i="70"/>
  <c r="AY82" i="70"/>
  <c r="AX82" i="70"/>
  <c r="AW82" i="70"/>
  <c r="AV82" i="70"/>
  <c r="AU82" i="70"/>
  <c r="AT82" i="70"/>
  <c r="AS82" i="70"/>
  <c r="AR82" i="70"/>
  <c r="AQ82" i="70"/>
  <c r="AP82" i="70"/>
  <c r="AO82" i="70"/>
  <c r="AN82" i="70"/>
  <c r="AM82" i="70"/>
  <c r="AL82" i="70"/>
  <c r="AK82" i="70"/>
  <c r="AZ81" i="70"/>
  <c r="AY81" i="70"/>
  <c r="AX81" i="70"/>
  <c r="AW81" i="70"/>
  <c r="AV81" i="70"/>
  <c r="AU81" i="70"/>
  <c r="AT81" i="70"/>
  <c r="AS81" i="70"/>
  <c r="AR81" i="70"/>
  <c r="AQ81" i="70"/>
  <c r="AP81" i="70"/>
  <c r="AO81" i="70"/>
  <c r="AN81" i="70"/>
  <c r="AM81" i="70"/>
  <c r="AL81" i="70"/>
  <c r="AK81" i="70"/>
  <c r="AZ80" i="70"/>
  <c r="AY80" i="70"/>
  <c r="AX80" i="70"/>
  <c r="AW80" i="70"/>
  <c r="AV80" i="70"/>
  <c r="AU80" i="70"/>
  <c r="AT80" i="70"/>
  <c r="AS80" i="70"/>
  <c r="AR80" i="70"/>
  <c r="AQ80" i="70"/>
  <c r="AP80" i="70"/>
  <c r="AO80" i="70"/>
  <c r="AN80" i="70"/>
  <c r="AM80" i="70"/>
  <c r="AL80" i="70"/>
  <c r="AK80" i="70"/>
  <c r="AZ79" i="70"/>
  <c r="AY79" i="70"/>
  <c r="AX79" i="70"/>
  <c r="AW79" i="70"/>
  <c r="AV79" i="70"/>
  <c r="AU79" i="70"/>
  <c r="AT79" i="70"/>
  <c r="AS79" i="70"/>
  <c r="AR79" i="70"/>
  <c r="AQ79" i="70"/>
  <c r="AP79" i="70"/>
  <c r="AO79" i="70"/>
  <c r="AN79" i="70"/>
  <c r="AM79" i="70"/>
  <c r="AL79" i="70"/>
  <c r="AK79" i="70"/>
  <c r="AZ78" i="70"/>
  <c r="AY78" i="70"/>
  <c r="AX78" i="70"/>
  <c r="AW78" i="70"/>
  <c r="AV78" i="70"/>
  <c r="AU78" i="70"/>
  <c r="AT78" i="70"/>
  <c r="AS78" i="70"/>
  <c r="AR78" i="70"/>
  <c r="AQ78" i="70"/>
  <c r="AP78" i="70"/>
  <c r="AO78" i="70"/>
  <c r="AN78" i="70"/>
  <c r="AM78" i="70"/>
  <c r="AL78" i="70"/>
  <c r="AK78" i="70"/>
  <c r="AZ77" i="70"/>
  <c r="AY77" i="70"/>
  <c r="AX77" i="70"/>
  <c r="AW77" i="70"/>
  <c r="AV77" i="70"/>
  <c r="AU77" i="70"/>
  <c r="AT77" i="70"/>
  <c r="AS77" i="70"/>
  <c r="AR77" i="70"/>
  <c r="AQ77" i="70"/>
  <c r="AP77" i="70"/>
  <c r="AO77" i="70"/>
  <c r="AN77" i="70"/>
  <c r="AM77" i="70"/>
  <c r="AL77" i="70"/>
  <c r="AK77" i="70"/>
  <c r="AZ76" i="70"/>
  <c r="AY76" i="70"/>
  <c r="AX76" i="70"/>
  <c r="AW76" i="70"/>
  <c r="AV76" i="70"/>
  <c r="AU76" i="70"/>
  <c r="AT76" i="70"/>
  <c r="AS76" i="70"/>
  <c r="AR76" i="70"/>
  <c r="AQ76" i="70"/>
  <c r="AP76" i="70"/>
  <c r="AO76" i="70"/>
  <c r="AN76" i="70"/>
  <c r="AM76" i="70"/>
  <c r="AL76" i="70"/>
  <c r="AK76" i="70"/>
  <c r="AZ75" i="70"/>
  <c r="AY75" i="70"/>
  <c r="AX75" i="70"/>
  <c r="AW75" i="70"/>
  <c r="AV75" i="70"/>
  <c r="AU75" i="70"/>
  <c r="AT75" i="70"/>
  <c r="AS75" i="70"/>
  <c r="AR75" i="70"/>
  <c r="AQ75" i="70"/>
  <c r="AP75" i="70"/>
  <c r="AO75" i="70"/>
  <c r="AN75" i="70"/>
  <c r="AM75" i="70"/>
  <c r="AL75" i="70"/>
  <c r="AK75" i="70"/>
  <c r="AZ74" i="70"/>
  <c r="AY74" i="70"/>
  <c r="AX74" i="70"/>
  <c r="AW74" i="70"/>
  <c r="AV74" i="70"/>
  <c r="AU74" i="70"/>
  <c r="AT74" i="70"/>
  <c r="AS74" i="70"/>
  <c r="AR74" i="70"/>
  <c r="AQ74" i="70"/>
  <c r="AP74" i="70"/>
  <c r="AO74" i="70"/>
  <c r="AN74" i="70"/>
  <c r="AM74" i="70"/>
  <c r="AL74" i="70"/>
  <c r="AK74" i="70"/>
  <c r="AZ73" i="70"/>
  <c r="AY73" i="70"/>
  <c r="AX73" i="70"/>
  <c r="AW73" i="70"/>
  <c r="AV73" i="70"/>
  <c r="AU73" i="70"/>
  <c r="AT73" i="70"/>
  <c r="AS73" i="70"/>
  <c r="AR73" i="70"/>
  <c r="AQ73" i="70"/>
  <c r="AP73" i="70"/>
  <c r="AO73" i="70"/>
  <c r="AN73" i="70"/>
  <c r="AM73" i="70"/>
  <c r="AL73" i="70"/>
  <c r="AK73" i="70"/>
  <c r="AZ72" i="70"/>
  <c r="AY72" i="70"/>
  <c r="AX72" i="70"/>
  <c r="AW72" i="70"/>
  <c r="AV72" i="70"/>
  <c r="AU72" i="70"/>
  <c r="AT72" i="70"/>
  <c r="AS72" i="70"/>
  <c r="AR72" i="70"/>
  <c r="AQ72" i="70"/>
  <c r="AP72" i="70"/>
  <c r="AO72" i="70"/>
  <c r="AN72" i="70"/>
  <c r="AM72" i="70"/>
  <c r="AL72" i="70"/>
  <c r="AK72" i="70"/>
  <c r="AZ71" i="70"/>
  <c r="AY71" i="70"/>
  <c r="AX71" i="70"/>
  <c r="AW71" i="70"/>
  <c r="AV71" i="70"/>
  <c r="AU71" i="70"/>
  <c r="AT71" i="70"/>
  <c r="AS71" i="70"/>
  <c r="AR71" i="70"/>
  <c r="AQ71" i="70"/>
  <c r="AP71" i="70"/>
  <c r="AO71" i="70"/>
  <c r="AN71" i="70"/>
  <c r="AM71" i="70"/>
  <c r="AL71" i="70"/>
  <c r="AK71" i="70"/>
  <c r="AZ70" i="70"/>
  <c r="AY70" i="70"/>
  <c r="AX70" i="70"/>
  <c r="AW70" i="70"/>
  <c r="AV70" i="70"/>
  <c r="AU70" i="70"/>
  <c r="AT70" i="70"/>
  <c r="AS70" i="70"/>
  <c r="AR70" i="70"/>
  <c r="AQ70" i="70"/>
  <c r="AP70" i="70"/>
  <c r="AO70" i="70"/>
  <c r="AN70" i="70"/>
  <c r="AM70" i="70"/>
  <c r="AL70" i="70"/>
  <c r="AK70" i="70"/>
  <c r="AZ69" i="70"/>
  <c r="AY69" i="70"/>
  <c r="AX69" i="70"/>
  <c r="AW69" i="70"/>
  <c r="AV69" i="70"/>
  <c r="AU69" i="70"/>
  <c r="AT69" i="70"/>
  <c r="AS69" i="70"/>
  <c r="AR69" i="70"/>
  <c r="AQ69" i="70"/>
  <c r="AP69" i="70"/>
  <c r="AO69" i="70"/>
  <c r="AN69" i="70"/>
  <c r="AM69" i="70"/>
  <c r="AL69" i="70"/>
  <c r="AK69" i="70"/>
  <c r="AZ68" i="70"/>
  <c r="AY68" i="70"/>
  <c r="AX68" i="70"/>
  <c r="AW68" i="70"/>
  <c r="AV68" i="70"/>
  <c r="AU68" i="70"/>
  <c r="AT68" i="70"/>
  <c r="AS68" i="70"/>
  <c r="AR68" i="70"/>
  <c r="AQ68" i="70"/>
  <c r="AP68" i="70"/>
  <c r="AO68" i="70"/>
  <c r="AN68" i="70"/>
  <c r="AM68" i="70"/>
  <c r="AL68" i="70"/>
  <c r="AK68" i="70"/>
  <c r="AZ67" i="70"/>
  <c r="AY67" i="70"/>
  <c r="AX67" i="70"/>
  <c r="AW67" i="70"/>
  <c r="AV67" i="70"/>
  <c r="AU67" i="70"/>
  <c r="AT67" i="70"/>
  <c r="AS67" i="70"/>
  <c r="AR67" i="70"/>
  <c r="AQ67" i="70"/>
  <c r="AP67" i="70"/>
  <c r="AO67" i="70"/>
  <c r="AN67" i="70"/>
  <c r="AM67" i="70"/>
  <c r="AL67" i="70"/>
  <c r="AK67" i="70"/>
  <c r="AZ66" i="70"/>
  <c r="AY66" i="70"/>
  <c r="AX66" i="70"/>
  <c r="AW66" i="70"/>
  <c r="AV66" i="70"/>
  <c r="AU66" i="70"/>
  <c r="AT66" i="70"/>
  <c r="AS66" i="70"/>
  <c r="AR66" i="70"/>
  <c r="AQ66" i="70"/>
  <c r="AP66" i="70"/>
  <c r="AO66" i="70"/>
  <c r="AN66" i="70"/>
  <c r="AM66" i="70"/>
  <c r="AL66" i="70"/>
  <c r="AK66" i="70"/>
  <c r="AZ65" i="70"/>
  <c r="AY65" i="70"/>
  <c r="AX65" i="70"/>
  <c r="AW65" i="70"/>
  <c r="AV65" i="70"/>
  <c r="AU65" i="70"/>
  <c r="AT65" i="70"/>
  <c r="AS65" i="70"/>
  <c r="AR65" i="70"/>
  <c r="AQ65" i="70"/>
  <c r="AP65" i="70"/>
  <c r="AO65" i="70"/>
  <c r="AN65" i="70"/>
  <c r="AM65" i="70"/>
  <c r="AL65" i="70"/>
  <c r="AK65" i="70"/>
  <c r="AZ64" i="70"/>
  <c r="AY64" i="70"/>
  <c r="AX64" i="70"/>
  <c r="AW64" i="70"/>
  <c r="AV64" i="70"/>
  <c r="AU64" i="70"/>
  <c r="AT64" i="70"/>
  <c r="AS64" i="70"/>
  <c r="AR64" i="70"/>
  <c r="AQ64" i="70"/>
  <c r="AP64" i="70"/>
  <c r="AO64" i="70"/>
  <c r="AN64" i="70"/>
  <c r="AM64" i="70"/>
  <c r="AL64" i="70"/>
  <c r="AK64" i="70"/>
  <c r="AZ63" i="70"/>
  <c r="AY63" i="70"/>
  <c r="AX63" i="70"/>
  <c r="AW63" i="70"/>
  <c r="AV63" i="70"/>
  <c r="AU63" i="70"/>
  <c r="AT63" i="70"/>
  <c r="AS63" i="70"/>
  <c r="AR63" i="70"/>
  <c r="AQ63" i="70"/>
  <c r="AP63" i="70"/>
  <c r="AO63" i="70"/>
  <c r="AN63" i="70"/>
  <c r="AM63" i="70"/>
  <c r="AL63" i="70"/>
  <c r="AK63" i="70"/>
  <c r="AZ62" i="70"/>
  <c r="AY62" i="70"/>
  <c r="AX62" i="70"/>
  <c r="AW62" i="70"/>
  <c r="AV62" i="70"/>
  <c r="AU62" i="70"/>
  <c r="AT62" i="70"/>
  <c r="AS62" i="70"/>
  <c r="AR62" i="70"/>
  <c r="AQ62" i="70"/>
  <c r="AP62" i="70"/>
  <c r="AO62" i="70"/>
  <c r="AN62" i="70"/>
  <c r="AM62" i="70"/>
  <c r="AL62" i="70"/>
  <c r="AK62" i="70"/>
  <c r="AZ61" i="70"/>
  <c r="AY61" i="70"/>
  <c r="AX61" i="70"/>
  <c r="AW61" i="70"/>
  <c r="AV61" i="70"/>
  <c r="AU61" i="70"/>
  <c r="AT61" i="70"/>
  <c r="AS61" i="70"/>
  <c r="AR61" i="70"/>
  <c r="AQ61" i="70"/>
  <c r="AP61" i="70"/>
  <c r="AO61" i="70"/>
  <c r="AN61" i="70"/>
  <c r="AM61" i="70"/>
  <c r="AL61" i="70"/>
  <c r="AK61" i="70"/>
  <c r="AZ60" i="70"/>
  <c r="AY60" i="70"/>
  <c r="AX60" i="70"/>
  <c r="AW60" i="70"/>
  <c r="AV60" i="70"/>
  <c r="AU60" i="70"/>
  <c r="AT60" i="70"/>
  <c r="AS60" i="70"/>
  <c r="AR60" i="70"/>
  <c r="AQ60" i="70"/>
  <c r="AP60" i="70"/>
  <c r="AO60" i="70"/>
  <c r="AN60" i="70"/>
  <c r="AM60" i="70"/>
  <c r="AL60" i="70"/>
  <c r="AK60" i="70"/>
  <c r="AZ59" i="70"/>
  <c r="AY59" i="70"/>
  <c r="AX59" i="70"/>
  <c r="AW59" i="70"/>
  <c r="AV59" i="70"/>
  <c r="AU59" i="70"/>
  <c r="AT59" i="70"/>
  <c r="AS59" i="70"/>
  <c r="AR59" i="70"/>
  <c r="AQ59" i="70"/>
  <c r="AP59" i="70"/>
  <c r="AO59" i="70"/>
  <c r="AN59" i="70"/>
  <c r="AM59" i="70"/>
  <c r="AL59" i="70"/>
  <c r="AK59" i="70"/>
  <c r="AZ58" i="70"/>
  <c r="AY58" i="70"/>
  <c r="AX58" i="70"/>
  <c r="AW58" i="70"/>
  <c r="AV58" i="70"/>
  <c r="AU58" i="70"/>
  <c r="AT58" i="70"/>
  <c r="AS58" i="70"/>
  <c r="AR58" i="70"/>
  <c r="AQ58" i="70"/>
  <c r="AP58" i="70"/>
  <c r="AO58" i="70"/>
  <c r="AN58" i="70"/>
  <c r="AM58" i="70"/>
  <c r="AL58" i="70"/>
  <c r="AK58" i="70"/>
  <c r="AZ57" i="70"/>
  <c r="AY57" i="70"/>
  <c r="AX57" i="70"/>
  <c r="AW57" i="70"/>
  <c r="AV57" i="70"/>
  <c r="AU57" i="70"/>
  <c r="AT57" i="70"/>
  <c r="AS57" i="70"/>
  <c r="AR57" i="70"/>
  <c r="AQ57" i="70"/>
  <c r="AP57" i="70"/>
  <c r="AO57" i="70"/>
  <c r="AN57" i="70"/>
  <c r="AM57" i="70"/>
  <c r="AL57" i="70"/>
  <c r="AK57" i="70"/>
  <c r="AZ56" i="70"/>
  <c r="AY56" i="70"/>
  <c r="AX56" i="70"/>
  <c r="AW56" i="70"/>
  <c r="AV56" i="70"/>
  <c r="AU56" i="70"/>
  <c r="AT56" i="70"/>
  <c r="AS56" i="70"/>
  <c r="AR56" i="70"/>
  <c r="AQ56" i="70"/>
  <c r="AP56" i="70"/>
  <c r="AO56" i="70"/>
  <c r="AN56" i="70"/>
  <c r="AM56" i="70"/>
  <c r="AL56" i="70"/>
  <c r="AK56" i="70"/>
  <c r="AZ55" i="70"/>
  <c r="AY55" i="70"/>
  <c r="AX55" i="70"/>
  <c r="AW55" i="70"/>
  <c r="AV55" i="70"/>
  <c r="AU55" i="70"/>
  <c r="AT55" i="70"/>
  <c r="AS55" i="70"/>
  <c r="AR55" i="70"/>
  <c r="AQ55" i="70"/>
  <c r="AP55" i="70"/>
  <c r="AO55" i="70"/>
  <c r="AN55" i="70"/>
  <c r="AM55" i="70"/>
  <c r="AL55" i="70"/>
  <c r="AK55" i="70"/>
  <c r="AZ54" i="70"/>
  <c r="AY54" i="70"/>
  <c r="AX54" i="70"/>
  <c r="AW54" i="70"/>
  <c r="AV54" i="70"/>
  <c r="AU54" i="70"/>
  <c r="AT54" i="70"/>
  <c r="AS54" i="70"/>
  <c r="AR54" i="70"/>
  <c r="AQ54" i="70"/>
  <c r="AP54" i="70"/>
  <c r="AO54" i="70"/>
  <c r="AN54" i="70"/>
  <c r="AM54" i="70"/>
  <c r="AL54" i="70"/>
  <c r="AK54" i="70"/>
  <c r="AZ53" i="70"/>
  <c r="AY53" i="70"/>
  <c r="AX53" i="70"/>
  <c r="AW53" i="70"/>
  <c r="AV53" i="70"/>
  <c r="AU53" i="70"/>
  <c r="AT53" i="70"/>
  <c r="AS53" i="70"/>
  <c r="AR53" i="70"/>
  <c r="AQ53" i="70"/>
  <c r="AP53" i="70"/>
  <c r="AO53" i="70"/>
  <c r="AN53" i="70"/>
  <c r="AM53" i="70"/>
  <c r="AL53" i="70"/>
  <c r="AK53" i="70"/>
  <c r="AZ52" i="70"/>
  <c r="AY52" i="70"/>
  <c r="AX52" i="70"/>
  <c r="AW52" i="70"/>
  <c r="AV52" i="70"/>
  <c r="AU52" i="70"/>
  <c r="AT52" i="70"/>
  <c r="AS52" i="70"/>
  <c r="AR52" i="70"/>
  <c r="AQ52" i="70"/>
  <c r="AP52" i="70"/>
  <c r="AO52" i="70"/>
  <c r="AN52" i="70"/>
  <c r="AM52" i="70"/>
  <c r="AL52" i="70"/>
  <c r="AK52" i="70"/>
  <c r="AZ51" i="70"/>
  <c r="AY51" i="70"/>
  <c r="AX51" i="70"/>
  <c r="AW51" i="70"/>
  <c r="AV51" i="70"/>
  <c r="AU51" i="70"/>
  <c r="AT51" i="70"/>
  <c r="AS51" i="70"/>
  <c r="AR51" i="70"/>
  <c r="AQ51" i="70"/>
  <c r="AP51" i="70"/>
  <c r="AO51" i="70"/>
  <c r="AN51" i="70"/>
  <c r="AM51" i="70"/>
  <c r="AL51" i="70"/>
  <c r="AK51" i="70"/>
  <c r="AZ50" i="70"/>
  <c r="AY50" i="70"/>
  <c r="AX50" i="70"/>
  <c r="AW50" i="70"/>
  <c r="AV50" i="70"/>
  <c r="AU50" i="70"/>
  <c r="AT50" i="70"/>
  <c r="AS50" i="70"/>
  <c r="AR50" i="70"/>
  <c r="AQ50" i="70"/>
  <c r="AP50" i="70"/>
  <c r="AO50" i="70"/>
  <c r="AN50" i="70"/>
  <c r="AM50" i="70"/>
  <c r="AL50" i="70"/>
  <c r="AK50" i="70"/>
  <c r="AZ49" i="70"/>
  <c r="AY49" i="70"/>
  <c r="AX49" i="70"/>
  <c r="AW49" i="70"/>
  <c r="AV49" i="70"/>
  <c r="AU49" i="70"/>
  <c r="AT49" i="70"/>
  <c r="AS49" i="70"/>
  <c r="AR49" i="70"/>
  <c r="AQ49" i="70"/>
  <c r="AP49" i="70"/>
  <c r="AO49" i="70"/>
  <c r="AN49" i="70"/>
  <c r="AM49" i="70"/>
  <c r="AL49" i="70"/>
  <c r="AK49" i="70"/>
  <c r="AZ48" i="70"/>
  <c r="AY48" i="70"/>
  <c r="AX48" i="70"/>
  <c r="AW48" i="70"/>
  <c r="AV48" i="70"/>
  <c r="AU48" i="70"/>
  <c r="AT48" i="70"/>
  <c r="AS48" i="70"/>
  <c r="AR48" i="70"/>
  <c r="AQ48" i="70"/>
  <c r="AP48" i="70"/>
  <c r="AO48" i="70"/>
  <c r="AN48" i="70"/>
  <c r="AM48" i="70"/>
  <c r="AL48" i="70"/>
  <c r="AK48" i="70"/>
  <c r="AZ47" i="70"/>
  <c r="AY47" i="70"/>
  <c r="AX47" i="70"/>
  <c r="AW47" i="70"/>
  <c r="AV47" i="70"/>
  <c r="AU47" i="70"/>
  <c r="AT47" i="70"/>
  <c r="AS47" i="70"/>
  <c r="AR47" i="70"/>
  <c r="AQ47" i="70"/>
  <c r="AP47" i="70"/>
  <c r="AO47" i="70"/>
  <c r="AN47" i="70"/>
  <c r="AM47" i="70"/>
  <c r="AL47" i="70"/>
  <c r="AK47" i="70"/>
  <c r="AW27" i="70"/>
  <c r="AV27" i="70"/>
  <c r="AU27" i="70"/>
  <c r="AT27" i="70"/>
  <c r="AS27" i="70"/>
  <c r="AR27" i="70"/>
  <c r="AQ27" i="70"/>
  <c r="AP27" i="70"/>
  <c r="AO27" i="70"/>
  <c r="AN27" i="70"/>
  <c r="AM27" i="70"/>
  <c r="AL27" i="70"/>
  <c r="AK27" i="70"/>
  <c r="AJ27" i="70"/>
  <c r="AI27" i="70"/>
  <c r="AH27" i="70"/>
  <c r="AG27" i="70"/>
  <c r="AF27" i="70"/>
  <c r="AE27" i="70"/>
  <c r="AD27" i="70"/>
  <c r="AC27" i="70"/>
  <c r="AB27" i="70"/>
  <c r="AA27" i="70"/>
  <c r="Z27" i="70"/>
  <c r="Y27" i="70"/>
  <c r="X27" i="70"/>
  <c r="W27" i="70"/>
  <c r="V27" i="70"/>
  <c r="U27" i="70"/>
  <c r="T27" i="70"/>
  <c r="S27" i="70"/>
  <c r="R27" i="70"/>
  <c r="Q27" i="70"/>
  <c r="P27" i="70"/>
  <c r="O27" i="70"/>
  <c r="N27" i="70"/>
  <c r="M27" i="70"/>
  <c r="L27" i="70"/>
  <c r="K27" i="70"/>
  <c r="J27" i="70"/>
  <c r="I27" i="70"/>
  <c r="H27" i="70"/>
  <c r="G27" i="70"/>
  <c r="F27" i="70"/>
  <c r="E27" i="70"/>
  <c r="D27" i="70"/>
  <c r="C27" i="70"/>
  <c r="AW26" i="70"/>
  <c r="AV26" i="70"/>
  <c r="AU26" i="70"/>
  <c r="AT26" i="70"/>
  <c r="AS26" i="70"/>
  <c r="AR26" i="70"/>
  <c r="AQ26" i="70"/>
  <c r="AP26" i="70"/>
  <c r="AO26" i="70"/>
  <c r="AN26" i="70"/>
  <c r="AM26" i="70"/>
  <c r="AL26" i="70"/>
  <c r="AK26" i="70"/>
  <c r="AJ26" i="70"/>
  <c r="AI26" i="70"/>
  <c r="AH26" i="70"/>
  <c r="AG26" i="70"/>
  <c r="AF26" i="70"/>
  <c r="AE26" i="70"/>
  <c r="AD26" i="70"/>
  <c r="AC26" i="70"/>
  <c r="AB26" i="70"/>
  <c r="AA26" i="70"/>
  <c r="Z26" i="70"/>
  <c r="Y26" i="70"/>
  <c r="X26" i="70"/>
  <c r="W26" i="70"/>
  <c r="V26" i="70"/>
  <c r="U26" i="70"/>
  <c r="T26" i="70"/>
  <c r="S26" i="70"/>
  <c r="R26" i="70"/>
  <c r="Q26" i="70"/>
  <c r="P26" i="70"/>
  <c r="O26" i="70"/>
  <c r="N26" i="70"/>
  <c r="M26" i="70"/>
  <c r="L26" i="70"/>
  <c r="K26" i="70"/>
  <c r="J26" i="70"/>
  <c r="I26" i="70"/>
  <c r="H26" i="70"/>
  <c r="G26" i="70"/>
  <c r="F26" i="70"/>
  <c r="E26" i="70"/>
  <c r="D26" i="70"/>
  <c r="C26" i="70"/>
  <c r="AW25" i="70"/>
  <c r="AV25" i="70"/>
  <c r="AU25" i="70"/>
  <c r="AT25" i="70"/>
  <c r="AS25" i="70"/>
  <c r="AR25" i="70"/>
  <c r="AQ25" i="70"/>
  <c r="AP25" i="70"/>
  <c r="AO25" i="70"/>
  <c r="AN25" i="70"/>
  <c r="AM25" i="70"/>
  <c r="AL25" i="70"/>
  <c r="AK25" i="70"/>
  <c r="AJ25" i="70"/>
  <c r="AI25" i="70"/>
  <c r="AH25" i="70"/>
  <c r="AG25" i="70"/>
  <c r="AF25" i="70"/>
  <c r="AE25" i="70"/>
  <c r="AD25" i="70"/>
  <c r="AC25" i="70"/>
  <c r="AB25" i="70"/>
  <c r="AA25" i="70"/>
  <c r="Z25" i="70"/>
  <c r="Y25" i="70"/>
  <c r="X25" i="70"/>
  <c r="W25" i="70"/>
  <c r="V25" i="70"/>
  <c r="U25" i="70"/>
  <c r="T25" i="70"/>
  <c r="S25" i="70"/>
  <c r="R25" i="70"/>
  <c r="Q25" i="70"/>
  <c r="P25" i="70"/>
  <c r="O25" i="70"/>
  <c r="N25" i="70"/>
  <c r="M25" i="70"/>
  <c r="L25" i="70"/>
  <c r="K25" i="70"/>
  <c r="J25" i="70"/>
  <c r="I25" i="70"/>
  <c r="H25" i="70"/>
  <c r="G25" i="70"/>
  <c r="F25" i="70"/>
  <c r="E25" i="70"/>
  <c r="D25" i="70"/>
  <c r="C25" i="70"/>
  <c r="AW24" i="70"/>
  <c r="AV24" i="70"/>
  <c r="AU24" i="70"/>
  <c r="AT24" i="70"/>
  <c r="AS24" i="70"/>
  <c r="AR24" i="70"/>
  <c r="AQ24" i="70"/>
  <c r="AP24" i="70"/>
  <c r="AO24" i="70"/>
  <c r="AN24" i="70"/>
  <c r="AM24" i="70"/>
  <c r="AL24" i="70"/>
  <c r="AK24" i="70"/>
  <c r="AJ24" i="70"/>
  <c r="AI24" i="70"/>
  <c r="AH24" i="70"/>
  <c r="AG24" i="70"/>
  <c r="AF24" i="70"/>
  <c r="AE24" i="70"/>
  <c r="AD24" i="70"/>
  <c r="AC24" i="70"/>
  <c r="AB24" i="70"/>
  <c r="AA24" i="70"/>
  <c r="Z24" i="70"/>
  <c r="Y24" i="70"/>
  <c r="X24" i="70"/>
  <c r="W24" i="70"/>
  <c r="V24" i="70"/>
  <c r="U24" i="70"/>
  <c r="T24" i="70"/>
  <c r="S24" i="70"/>
  <c r="R24" i="70"/>
  <c r="Q24" i="70"/>
  <c r="P24" i="70"/>
  <c r="O24" i="70"/>
  <c r="N24" i="70"/>
  <c r="M24" i="70"/>
  <c r="L24" i="70"/>
  <c r="K24" i="70"/>
  <c r="J24" i="70"/>
  <c r="I24" i="70"/>
  <c r="H24" i="70"/>
  <c r="G24" i="70"/>
  <c r="F24" i="70"/>
  <c r="E24" i="70"/>
  <c r="D24" i="70"/>
  <c r="C24" i="70"/>
  <c r="AW23" i="70"/>
  <c r="AV23" i="70"/>
  <c r="AU23" i="70"/>
  <c r="AT23" i="70"/>
  <c r="AS23" i="70"/>
  <c r="AR23" i="70"/>
  <c r="AQ23" i="70"/>
  <c r="AP23" i="70"/>
  <c r="AO23" i="70"/>
  <c r="AN23" i="70"/>
  <c r="AM23" i="70"/>
  <c r="AL23" i="70"/>
  <c r="AK23" i="70"/>
  <c r="AJ23" i="70"/>
  <c r="AI23" i="70"/>
  <c r="AH23" i="70"/>
  <c r="AG23" i="70"/>
  <c r="AF23" i="70"/>
  <c r="AE23" i="70"/>
  <c r="AD23" i="70"/>
  <c r="AC23" i="70"/>
  <c r="AB23" i="70"/>
  <c r="AA23" i="70"/>
  <c r="Z23" i="70"/>
  <c r="Y23" i="70"/>
  <c r="X23" i="70"/>
  <c r="W23" i="70"/>
  <c r="V23" i="70"/>
  <c r="U23" i="70"/>
  <c r="T23" i="70"/>
  <c r="S23" i="70"/>
  <c r="R23" i="70"/>
  <c r="Q23" i="70"/>
  <c r="P23" i="70"/>
  <c r="O23" i="70"/>
  <c r="N23" i="70"/>
  <c r="M23" i="70"/>
  <c r="L23" i="70"/>
  <c r="K23" i="70"/>
  <c r="J23" i="70"/>
  <c r="I23" i="70"/>
  <c r="H23" i="70"/>
  <c r="G23" i="70"/>
  <c r="F23" i="70"/>
  <c r="E23" i="70"/>
  <c r="D23" i="70"/>
  <c r="C23" i="70"/>
  <c r="AW22" i="70"/>
  <c r="AV22" i="70"/>
  <c r="AU22" i="70"/>
  <c r="AT22" i="70"/>
  <c r="AS22" i="70"/>
  <c r="AR22" i="70"/>
  <c r="AQ22" i="70"/>
  <c r="AP22" i="70"/>
  <c r="AO22" i="70"/>
  <c r="AN22" i="70"/>
  <c r="AM22" i="70"/>
  <c r="AL22" i="70"/>
  <c r="AK22" i="70"/>
  <c r="AJ22" i="70"/>
  <c r="AI22" i="70"/>
  <c r="AH22" i="70"/>
  <c r="AG22" i="70"/>
  <c r="AF22" i="70"/>
  <c r="AE22" i="70"/>
  <c r="AD22" i="70"/>
  <c r="AC22" i="70"/>
  <c r="AB22" i="70"/>
  <c r="AA22" i="70"/>
  <c r="Z22" i="70"/>
  <c r="Y22" i="70"/>
  <c r="X22" i="70"/>
  <c r="W22" i="70"/>
  <c r="V22" i="70"/>
  <c r="U22" i="70"/>
  <c r="T22" i="70"/>
  <c r="S22" i="70"/>
  <c r="R22" i="70"/>
  <c r="Q22" i="70"/>
  <c r="P22" i="70"/>
  <c r="O22" i="70"/>
  <c r="N22" i="70"/>
  <c r="M22" i="70"/>
  <c r="L22" i="70"/>
  <c r="K22" i="70"/>
  <c r="J22" i="70"/>
  <c r="I22" i="70"/>
  <c r="H22" i="70"/>
  <c r="G22" i="70"/>
  <c r="F22" i="70"/>
  <c r="E22" i="70"/>
  <c r="D22" i="70"/>
  <c r="C22" i="70"/>
  <c r="AW21" i="70"/>
  <c r="AV21" i="70"/>
  <c r="AU21" i="70"/>
  <c r="AT21" i="70"/>
  <c r="AS21" i="70"/>
  <c r="AR21" i="70"/>
  <c r="AQ21" i="70"/>
  <c r="AP21" i="70"/>
  <c r="AO21" i="70"/>
  <c r="AN21" i="70"/>
  <c r="AM21" i="70"/>
  <c r="AL21" i="70"/>
  <c r="AK21" i="70"/>
  <c r="AJ21" i="70"/>
  <c r="AI21" i="70"/>
  <c r="AH21" i="70"/>
  <c r="AG21" i="70"/>
  <c r="AF21" i="70"/>
  <c r="AE21" i="70"/>
  <c r="AD21" i="70"/>
  <c r="AC21" i="70"/>
  <c r="AB21" i="70"/>
  <c r="AA21" i="70"/>
  <c r="Z21" i="70"/>
  <c r="Y21" i="70"/>
  <c r="X21" i="70"/>
  <c r="W21" i="70"/>
  <c r="V21" i="70"/>
  <c r="U21" i="70"/>
  <c r="T21" i="70"/>
  <c r="S21" i="70"/>
  <c r="R21" i="70"/>
  <c r="Q21" i="70"/>
  <c r="P21" i="70"/>
  <c r="O21" i="70"/>
  <c r="N21" i="70"/>
  <c r="M21" i="70"/>
  <c r="L21" i="70"/>
  <c r="K21" i="70"/>
  <c r="J21" i="70"/>
  <c r="I21" i="70"/>
  <c r="H21" i="70"/>
  <c r="G21" i="70"/>
  <c r="F21" i="70"/>
  <c r="E21" i="70"/>
  <c r="D21" i="70"/>
  <c r="C21" i="70"/>
  <c r="AW20" i="70"/>
  <c r="AV20" i="70"/>
  <c r="AU20" i="70"/>
  <c r="AT20" i="70"/>
  <c r="AS20" i="70"/>
  <c r="AR20" i="70"/>
  <c r="AQ20" i="70"/>
  <c r="AP20" i="70"/>
  <c r="AO20" i="70"/>
  <c r="AN20" i="70"/>
  <c r="AM20" i="70"/>
  <c r="AL20" i="70"/>
  <c r="AK20" i="70"/>
  <c r="AJ20" i="70"/>
  <c r="AI20" i="70"/>
  <c r="AH20" i="70"/>
  <c r="AG20" i="70"/>
  <c r="AF20" i="70"/>
  <c r="AE20" i="70"/>
  <c r="AD20" i="70"/>
  <c r="AC20" i="70"/>
  <c r="AB20" i="70"/>
  <c r="AA20" i="70"/>
  <c r="Z20" i="70"/>
  <c r="Y20" i="70"/>
  <c r="X20" i="70"/>
  <c r="W20" i="70"/>
  <c r="V20" i="70"/>
  <c r="U20" i="70"/>
  <c r="T20" i="70"/>
  <c r="S20" i="70"/>
  <c r="R20" i="70"/>
  <c r="Q20" i="70"/>
  <c r="P20" i="70"/>
  <c r="O20" i="70"/>
  <c r="N20" i="70"/>
  <c r="M20" i="70"/>
  <c r="L20" i="70"/>
  <c r="K20" i="70"/>
  <c r="J20" i="70"/>
  <c r="I20" i="70"/>
  <c r="H20" i="70"/>
  <c r="G20" i="70"/>
  <c r="F20" i="70"/>
  <c r="E20" i="70"/>
  <c r="D20" i="70"/>
  <c r="C20" i="70"/>
  <c r="AW19" i="70"/>
  <c r="AV19" i="70"/>
  <c r="AU19" i="70"/>
  <c r="AT19" i="70"/>
  <c r="AS19" i="70"/>
  <c r="AR19" i="70"/>
  <c r="AQ19" i="70"/>
  <c r="AP19" i="70"/>
  <c r="AO19" i="70"/>
  <c r="AN19" i="70"/>
  <c r="AM19" i="70"/>
  <c r="AL19" i="70"/>
  <c r="AK19" i="70"/>
  <c r="AJ19" i="70"/>
  <c r="AI19" i="70"/>
  <c r="AH19" i="70"/>
  <c r="AG19" i="70"/>
  <c r="AF19" i="70"/>
  <c r="AE19" i="70"/>
  <c r="AD19" i="70"/>
  <c r="AC19" i="70"/>
  <c r="AB19" i="70"/>
  <c r="AA19" i="70"/>
  <c r="Z19" i="70"/>
  <c r="Y19" i="70"/>
  <c r="X19" i="70"/>
  <c r="W19" i="70"/>
  <c r="V19" i="70"/>
  <c r="U19" i="70"/>
  <c r="T19" i="70"/>
  <c r="S19" i="70"/>
  <c r="R19" i="70"/>
  <c r="Q19" i="70"/>
  <c r="P19" i="70"/>
  <c r="O19" i="70"/>
  <c r="N19" i="70"/>
  <c r="M19" i="70"/>
  <c r="L19" i="70"/>
  <c r="K19" i="70"/>
  <c r="J19" i="70"/>
  <c r="I19" i="70"/>
  <c r="H19" i="70"/>
  <c r="G19" i="70"/>
  <c r="F19" i="70"/>
  <c r="E19" i="70"/>
  <c r="D19" i="70"/>
  <c r="C19" i="70"/>
  <c r="AW18" i="70"/>
  <c r="AV18" i="70"/>
  <c r="AU18" i="70"/>
  <c r="AT18" i="70"/>
  <c r="AS18" i="70"/>
  <c r="AR18" i="70"/>
  <c r="AQ18" i="70"/>
  <c r="AP18" i="70"/>
  <c r="AO18" i="70"/>
  <c r="AN18" i="70"/>
  <c r="AM18" i="70"/>
  <c r="AL18" i="70"/>
  <c r="AK18" i="70"/>
  <c r="AJ18" i="70"/>
  <c r="AI18" i="70"/>
  <c r="AH18" i="70"/>
  <c r="AG18" i="70"/>
  <c r="AF18" i="70"/>
  <c r="AE18" i="70"/>
  <c r="AD18" i="70"/>
  <c r="AC18" i="70"/>
  <c r="AB18" i="70"/>
  <c r="AA18" i="70"/>
  <c r="Z18" i="70"/>
  <c r="Y18" i="70"/>
  <c r="X18" i="70"/>
  <c r="W18" i="70"/>
  <c r="V18" i="70"/>
  <c r="U18" i="70"/>
  <c r="T18" i="70"/>
  <c r="S18" i="70"/>
  <c r="R18" i="70"/>
  <c r="Q18" i="70"/>
  <c r="P18" i="70"/>
  <c r="O18" i="70"/>
  <c r="N18" i="70"/>
  <c r="M18" i="70"/>
  <c r="L18" i="70"/>
  <c r="K18" i="70"/>
  <c r="J18" i="70"/>
  <c r="I18" i="70"/>
  <c r="H18" i="70"/>
  <c r="G18" i="70"/>
  <c r="F18" i="70"/>
  <c r="E18" i="70"/>
  <c r="D18" i="70"/>
  <c r="C18" i="70"/>
  <c r="AW17" i="70"/>
  <c r="AV17" i="70"/>
  <c r="AU17" i="70"/>
  <c r="AT17" i="70"/>
  <c r="AS17" i="70"/>
  <c r="AR17" i="70"/>
  <c r="AQ17" i="70"/>
  <c r="AP17" i="70"/>
  <c r="AO17" i="70"/>
  <c r="AN17" i="70"/>
  <c r="AM17" i="70"/>
  <c r="AL17" i="70"/>
  <c r="AK17" i="70"/>
  <c r="AJ17" i="70"/>
  <c r="AI17" i="70"/>
  <c r="AH17" i="70"/>
  <c r="AG17" i="70"/>
  <c r="AF17" i="70"/>
  <c r="AE17" i="70"/>
  <c r="AD17" i="70"/>
  <c r="AC17" i="70"/>
  <c r="AB17" i="70"/>
  <c r="AA17" i="70"/>
  <c r="Z17" i="70"/>
  <c r="Y17" i="70"/>
  <c r="X17" i="70"/>
  <c r="W17" i="70"/>
  <c r="V17" i="70"/>
  <c r="U17" i="70"/>
  <c r="T17" i="70"/>
  <c r="S17" i="70"/>
  <c r="R17" i="70"/>
  <c r="Q17" i="70"/>
  <c r="P17" i="70"/>
  <c r="O17" i="70"/>
  <c r="N17" i="70"/>
  <c r="M17" i="70"/>
  <c r="L17" i="70"/>
  <c r="K17" i="70"/>
  <c r="J17" i="70"/>
  <c r="I17" i="70"/>
  <c r="H17" i="70"/>
  <c r="G17" i="70"/>
  <c r="F17" i="70"/>
  <c r="E17" i="70"/>
  <c r="D17" i="70"/>
  <c r="C17" i="70"/>
  <c r="AW16" i="70"/>
  <c r="AV16" i="70"/>
  <c r="AU16" i="70"/>
  <c r="AT16" i="70"/>
  <c r="AS16" i="70"/>
  <c r="AR16" i="70"/>
  <c r="AQ16" i="70"/>
  <c r="AP16" i="70"/>
  <c r="AO16" i="70"/>
  <c r="AN16" i="70"/>
  <c r="AM16" i="70"/>
  <c r="AL16" i="70"/>
  <c r="AK16" i="70"/>
  <c r="AJ16" i="70"/>
  <c r="AI16" i="70"/>
  <c r="AH16" i="70"/>
  <c r="AG16" i="70"/>
  <c r="AF16" i="70"/>
  <c r="AE16" i="70"/>
  <c r="AD16" i="70"/>
  <c r="AC16" i="70"/>
  <c r="AB16" i="70"/>
  <c r="AA16" i="70"/>
  <c r="Z16" i="70"/>
  <c r="Y16" i="70"/>
  <c r="X16" i="70"/>
  <c r="W16" i="70"/>
  <c r="V16" i="70"/>
  <c r="U16" i="70"/>
  <c r="T16" i="70"/>
  <c r="S16" i="70"/>
  <c r="R16" i="70"/>
  <c r="Q16" i="70"/>
  <c r="P16" i="70"/>
  <c r="O16" i="70"/>
  <c r="N16" i="70"/>
  <c r="M16" i="70"/>
  <c r="L16" i="70"/>
  <c r="K16" i="70"/>
  <c r="J16" i="70"/>
  <c r="I16" i="70"/>
  <c r="H16" i="70"/>
  <c r="G16" i="70"/>
  <c r="F16" i="70"/>
  <c r="E16" i="70"/>
  <c r="D16" i="70"/>
  <c r="C16" i="70"/>
  <c r="AW15" i="70"/>
  <c r="AV15" i="70"/>
  <c r="AU15" i="70"/>
  <c r="AT15" i="70"/>
  <c r="AS15" i="70"/>
  <c r="AR15" i="70"/>
  <c r="AQ15" i="70"/>
  <c r="AP15" i="70"/>
  <c r="AO15" i="70"/>
  <c r="AN15" i="70"/>
  <c r="AM15" i="70"/>
  <c r="AL15" i="70"/>
  <c r="AK15" i="70"/>
  <c r="AJ15" i="70"/>
  <c r="AI15" i="70"/>
  <c r="AH15" i="70"/>
  <c r="AG15" i="70"/>
  <c r="AF15" i="70"/>
  <c r="AE15" i="70"/>
  <c r="AD15" i="70"/>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W14" i="70"/>
  <c r="AV14" i="70"/>
  <c r="AU14" i="70"/>
  <c r="AT14" i="70"/>
  <c r="AS14" i="70"/>
  <c r="AR14" i="70"/>
  <c r="AQ14" i="70"/>
  <c r="AP14" i="70"/>
  <c r="AO14" i="70"/>
  <c r="AN14" i="70"/>
  <c r="AM14" i="70"/>
  <c r="AL14" i="70"/>
  <c r="AK14" i="70"/>
  <c r="AJ14" i="70"/>
  <c r="AI14" i="70"/>
  <c r="AH14" i="70"/>
  <c r="AG14" i="70"/>
  <c r="AF14" i="70"/>
  <c r="AE14" i="70"/>
  <c r="AD14" i="70"/>
  <c r="AC14" i="70"/>
  <c r="AB14" i="70"/>
  <c r="AA14" i="70"/>
  <c r="Z14" i="70"/>
  <c r="Y14" i="70"/>
  <c r="X14" i="70"/>
  <c r="W14" i="70"/>
  <c r="V14" i="70"/>
  <c r="U14" i="70"/>
  <c r="T14" i="70"/>
  <c r="S14" i="70"/>
  <c r="R14" i="70"/>
  <c r="Q14" i="70"/>
  <c r="P14" i="70"/>
  <c r="O14" i="70"/>
  <c r="N14" i="70"/>
  <c r="M14" i="70"/>
  <c r="L14" i="70"/>
  <c r="K14" i="70"/>
  <c r="J14" i="70"/>
  <c r="I14" i="70"/>
  <c r="H14" i="70"/>
  <c r="G14" i="70"/>
  <c r="F14" i="70"/>
  <c r="E14" i="70"/>
  <c r="D14" i="70"/>
  <c r="C14" i="70"/>
  <c r="AW13" i="70"/>
  <c r="AV13" i="70"/>
  <c r="AU13" i="70"/>
  <c r="AT13" i="70"/>
  <c r="AS13" i="70"/>
  <c r="AR13" i="70"/>
  <c r="AQ13" i="70"/>
  <c r="AP13" i="70"/>
  <c r="AO13" i="70"/>
  <c r="AN13" i="70"/>
  <c r="AM13" i="70"/>
  <c r="AL13" i="70"/>
  <c r="AK13" i="70"/>
  <c r="AJ13" i="70"/>
  <c r="AI13" i="70"/>
  <c r="AH13" i="70"/>
  <c r="AG13" i="70"/>
  <c r="AF13" i="70"/>
  <c r="AE13" i="70"/>
  <c r="AD13" i="70"/>
  <c r="AC13" i="70"/>
  <c r="AB13" i="70"/>
  <c r="AA13" i="70"/>
  <c r="Z13" i="70"/>
  <c r="Y13" i="70"/>
  <c r="X13" i="70"/>
  <c r="W13" i="70"/>
  <c r="V13" i="70"/>
  <c r="U13" i="70"/>
  <c r="T13" i="70"/>
  <c r="S13" i="70"/>
  <c r="R13" i="70"/>
  <c r="Q13" i="70"/>
  <c r="P13" i="70"/>
  <c r="O13" i="70"/>
  <c r="N13" i="70"/>
  <c r="M13" i="70"/>
  <c r="L13" i="70"/>
  <c r="K13" i="70"/>
  <c r="J13" i="70"/>
  <c r="I13" i="70"/>
  <c r="H13" i="70"/>
  <c r="G13" i="70"/>
  <c r="F13" i="70"/>
  <c r="E13" i="70"/>
  <c r="D13" i="70"/>
  <c r="C13" i="70"/>
  <c r="AW12" i="70"/>
  <c r="AV12" i="70"/>
  <c r="AU12" i="70"/>
  <c r="AT12" i="70"/>
  <c r="AS12" i="70"/>
  <c r="AR12" i="70"/>
  <c r="AQ12" i="70"/>
  <c r="AP12" i="70"/>
  <c r="AO12" i="70"/>
  <c r="AN12" i="70"/>
  <c r="AM12" i="70"/>
  <c r="AL12" i="70"/>
  <c r="AK12" i="70"/>
  <c r="AJ12" i="70"/>
  <c r="AI12" i="70"/>
  <c r="AH12" i="70"/>
  <c r="AG12" i="70"/>
  <c r="AF12" i="70"/>
  <c r="AE12" i="70"/>
  <c r="AD12" i="70"/>
  <c r="AC12" i="70"/>
  <c r="AB12" i="70"/>
  <c r="AA12" i="70"/>
  <c r="Z12" i="70"/>
  <c r="Y12" i="70"/>
  <c r="X12" i="70"/>
  <c r="W12" i="70"/>
  <c r="V12" i="70"/>
  <c r="U12" i="70"/>
  <c r="T12" i="70"/>
  <c r="S12" i="70"/>
  <c r="R12" i="70"/>
  <c r="Q12" i="70"/>
  <c r="P12" i="70"/>
  <c r="O12" i="70"/>
  <c r="N12" i="70"/>
  <c r="M12" i="70"/>
  <c r="L12" i="70"/>
  <c r="K12" i="70"/>
  <c r="J12" i="70"/>
  <c r="I12" i="70"/>
  <c r="H12" i="70"/>
  <c r="G12" i="70"/>
  <c r="F12" i="70"/>
  <c r="E12" i="70"/>
  <c r="D12" i="70"/>
  <c r="C12" i="70"/>
  <c r="AZ98" i="68"/>
  <c r="AY98" i="68"/>
  <c r="AX98" i="68"/>
  <c r="AW98" i="68"/>
  <c r="AV98" i="68"/>
  <c r="AU98" i="68"/>
  <c r="AT98" i="68"/>
  <c r="AS98" i="68"/>
  <c r="AR98" i="68"/>
  <c r="AQ98" i="68"/>
  <c r="AP98" i="68"/>
  <c r="AO98" i="68"/>
  <c r="AN98" i="68"/>
  <c r="AM98" i="68"/>
  <c r="AL98" i="68"/>
  <c r="AK98" i="68"/>
  <c r="AZ97" i="68"/>
  <c r="AY97" i="68"/>
  <c r="AX97" i="68"/>
  <c r="AW97" i="68"/>
  <c r="AV97" i="68"/>
  <c r="AU97" i="68"/>
  <c r="AT97" i="68"/>
  <c r="AS97" i="68"/>
  <c r="AR97" i="68"/>
  <c r="AQ97" i="68"/>
  <c r="AP97" i="68"/>
  <c r="AO97" i="68"/>
  <c r="AN97" i="68"/>
  <c r="AM97" i="68"/>
  <c r="AL97" i="68"/>
  <c r="AK97" i="68"/>
  <c r="AZ96" i="68"/>
  <c r="AY96" i="68"/>
  <c r="AX96" i="68"/>
  <c r="AW96" i="68"/>
  <c r="AV96" i="68"/>
  <c r="AU96" i="68"/>
  <c r="AT96" i="68"/>
  <c r="AS96" i="68"/>
  <c r="AR96" i="68"/>
  <c r="AQ96" i="68"/>
  <c r="AP96" i="68"/>
  <c r="AO96" i="68"/>
  <c r="AN96" i="68"/>
  <c r="AM96" i="68"/>
  <c r="AL96" i="68"/>
  <c r="AK96" i="68"/>
  <c r="AZ95" i="68"/>
  <c r="AY95" i="68"/>
  <c r="AX95" i="68"/>
  <c r="AW95" i="68"/>
  <c r="AV95" i="68"/>
  <c r="AU95" i="68"/>
  <c r="AT95" i="68"/>
  <c r="AS95" i="68"/>
  <c r="AR95" i="68"/>
  <c r="AQ95" i="68"/>
  <c r="AP95" i="68"/>
  <c r="AO95" i="68"/>
  <c r="AN95" i="68"/>
  <c r="AM95" i="68"/>
  <c r="AL95" i="68"/>
  <c r="AK95" i="68"/>
  <c r="AZ94" i="68"/>
  <c r="AY94" i="68"/>
  <c r="AX94" i="68"/>
  <c r="AW94" i="68"/>
  <c r="AV94" i="68"/>
  <c r="AU94" i="68"/>
  <c r="AT94" i="68"/>
  <c r="AS94" i="68"/>
  <c r="AR94" i="68"/>
  <c r="AQ94" i="68"/>
  <c r="AP94" i="68"/>
  <c r="AO94" i="68"/>
  <c r="AN94" i="68"/>
  <c r="AM94" i="68"/>
  <c r="AL94" i="68"/>
  <c r="AK94" i="68"/>
  <c r="AZ92" i="68"/>
  <c r="AY92" i="68"/>
  <c r="AX92" i="68"/>
  <c r="AW92" i="68"/>
  <c r="AV92" i="68"/>
  <c r="AU92" i="68"/>
  <c r="AT92" i="68"/>
  <c r="AS92" i="68"/>
  <c r="AR92" i="68"/>
  <c r="AQ92" i="68"/>
  <c r="AP92" i="68"/>
  <c r="AO92" i="68"/>
  <c r="AN92" i="68"/>
  <c r="AM92" i="68"/>
  <c r="AL92" i="68"/>
  <c r="AK92" i="68"/>
  <c r="AZ91" i="68"/>
  <c r="AY91" i="68"/>
  <c r="AX91" i="68"/>
  <c r="AW91" i="68"/>
  <c r="AV91" i="68"/>
  <c r="AU91" i="68"/>
  <c r="AT91" i="68"/>
  <c r="AS91" i="68"/>
  <c r="AR91" i="68"/>
  <c r="AQ91" i="68"/>
  <c r="AP91" i="68"/>
  <c r="AO91" i="68"/>
  <c r="AN91" i="68"/>
  <c r="AM91" i="68"/>
  <c r="AL91" i="68"/>
  <c r="AK91" i="68"/>
  <c r="AZ90" i="68"/>
  <c r="AY90" i="68"/>
  <c r="AX90" i="68"/>
  <c r="AW90" i="68"/>
  <c r="AV90" i="68"/>
  <c r="AU90" i="68"/>
  <c r="AT90" i="68"/>
  <c r="AS90" i="68"/>
  <c r="AR90" i="68"/>
  <c r="AQ90" i="68"/>
  <c r="AP90" i="68"/>
  <c r="AO90" i="68"/>
  <c r="AN90" i="68"/>
  <c r="AM90" i="68"/>
  <c r="AL90" i="68"/>
  <c r="AK90" i="68"/>
  <c r="AZ89" i="68"/>
  <c r="AY89" i="68"/>
  <c r="AX89" i="68"/>
  <c r="AW89" i="68"/>
  <c r="AV89" i="68"/>
  <c r="AU89" i="68"/>
  <c r="AT89" i="68"/>
  <c r="AS89" i="68"/>
  <c r="AR89" i="68"/>
  <c r="AQ89" i="68"/>
  <c r="AP89" i="68"/>
  <c r="AO89" i="68"/>
  <c r="AN89" i="68"/>
  <c r="AM89" i="68"/>
  <c r="AL89" i="68"/>
  <c r="AK89" i="68"/>
  <c r="AZ88" i="68"/>
  <c r="AY88" i="68"/>
  <c r="AX88" i="68"/>
  <c r="AW88" i="68"/>
  <c r="AV88" i="68"/>
  <c r="AU88" i="68"/>
  <c r="AT88" i="68"/>
  <c r="AS88" i="68"/>
  <c r="AR88" i="68"/>
  <c r="AQ88" i="68"/>
  <c r="AP88" i="68"/>
  <c r="AO88" i="68"/>
  <c r="AN88" i="68"/>
  <c r="AM88" i="68"/>
  <c r="AL88" i="68"/>
  <c r="AK88" i="68"/>
  <c r="AZ87" i="68"/>
  <c r="AY87" i="68"/>
  <c r="AX87" i="68"/>
  <c r="AW87" i="68"/>
  <c r="AV87" i="68"/>
  <c r="AU87" i="68"/>
  <c r="AT87" i="68"/>
  <c r="AS87" i="68"/>
  <c r="AR87" i="68"/>
  <c r="AQ87" i="68"/>
  <c r="AP87" i="68"/>
  <c r="AO87" i="68"/>
  <c r="AN87" i="68"/>
  <c r="AM87" i="68"/>
  <c r="AL87" i="68"/>
  <c r="AK87" i="68"/>
  <c r="AZ86" i="68"/>
  <c r="AY86" i="68"/>
  <c r="AX86" i="68"/>
  <c r="AW86" i="68"/>
  <c r="AV86" i="68"/>
  <c r="AU86" i="68"/>
  <c r="AT86" i="68"/>
  <c r="AS86" i="68"/>
  <c r="AR86" i="68"/>
  <c r="AQ86" i="68"/>
  <c r="AP86" i="68"/>
  <c r="AO86" i="68"/>
  <c r="AN86" i="68"/>
  <c r="AM86" i="68"/>
  <c r="AL86" i="68"/>
  <c r="AK86" i="68"/>
  <c r="AZ85" i="68"/>
  <c r="AY85" i="68"/>
  <c r="AX85" i="68"/>
  <c r="AW85" i="68"/>
  <c r="AV85" i="68"/>
  <c r="AU85" i="68"/>
  <c r="AT85" i="68"/>
  <c r="AS85" i="68"/>
  <c r="AR85" i="68"/>
  <c r="AQ85" i="68"/>
  <c r="AP85" i="68"/>
  <c r="AO85" i="68"/>
  <c r="AN85" i="68"/>
  <c r="AM85" i="68"/>
  <c r="AL85" i="68"/>
  <c r="AK85" i="68"/>
  <c r="AZ84" i="68"/>
  <c r="AY84" i="68"/>
  <c r="AX84" i="68"/>
  <c r="AW84" i="68"/>
  <c r="AV84" i="68"/>
  <c r="AU84" i="68"/>
  <c r="AT84" i="68"/>
  <c r="AS84" i="68"/>
  <c r="AR84" i="68"/>
  <c r="AQ84" i="68"/>
  <c r="AP84" i="68"/>
  <c r="AO84" i="68"/>
  <c r="AN84" i="68"/>
  <c r="AM84" i="68"/>
  <c r="AL84" i="68"/>
  <c r="AK84" i="68"/>
  <c r="AZ83" i="68"/>
  <c r="AY83" i="68"/>
  <c r="AX83" i="68"/>
  <c r="AW83" i="68"/>
  <c r="AV83" i="68"/>
  <c r="AU83" i="68"/>
  <c r="AT83" i="68"/>
  <c r="AS83" i="68"/>
  <c r="AR83" i="68"/>
  <c r="AQ83" i="68"/>
  <c r="AP83" i="68"/>
  <c r="AO83" i="68"/>
  <c r="AN83" i="68"/>
  <c r="AM83" i="68"/>
  <c r="AL83" i="68"/>
  <c r="AK83" i="68"/>
  <c r="AZ82" i="68"/>
  <c r="AY82" i="68"/>
  <c r="AX82" i="68"/>
  <c r="AW82" i="68"/>
  <c r="AV82" i="68"/>
  <c r="AU82" i="68"/>
  <c r="AT82" i="68"/>
  <c r="AS82" i="68"/>
  <c r="AR82" i="68"/>
  <c r="AQ82" i="68"/>
  <c r="AP82" i="68"/>
  <c r="AO82" i="68"/>
  <c r="AN82" i="68"/>
  <c r="AM82" i="68"/>
  <c r="AL82" i="68"/>
  <c r="AK82" i="68"/>
  <c r="AZ81" i="68"/>
  <c r="AY81" i="68"/>
  <c r="AX81" i="68"/>
  <c r="AW81" i="68"/>
  <c r="AV81" i="68"/>
  <c r="AU81" i="68"/>
  <c r="AT81" i="68"/>
  <c r="AS81" i="68"/>
  <c r="AR81" i="68"/>
  <c r="AQ81" i="68"/>
  <c r="AP81" i="68"/>
  <c r="AO81" i="68"/>
  <c r="AN81" i="68"/>
  <c r="AM81" i="68"/>
  <c r="AL81" i="68"/>
  <c r="AK81" i="68"/>
  <c r="AZ80" i="68"/>
  <c r="AY80" i="68"/>
  <c r="AX80" i="68"/>
  <c r="AW80" i="68"/>
  <c r="AV80" i="68"/>
  <c r="AU80" i="68"/>
  <c r="AT80" i="68"/>
  <c r="AS80" i="68"/>
  <c r="AR80" i="68"/>
  <c r="AQ80" i="68"/>
  <c r="AP80" i="68"/>
  <c r="AO80" i="68"/>
  <c r="AN80" i="68"/>
  <c r="AM80" i="68"/>
  <c r="AL80" i="68"/>
  <c r="AK80" i="68"/>
  <c r="AZ79" i="68"/>
  <c r="AY79" i="68"/>
  <c r="AX79" i="68"/>
  <c r="AW79" i="68"/>
  <c r="AV79" i="68"/>
  <c r="AU79" i="68"/>
  <c r="AT79" i="68"/>
  <c r="AS79" i="68"/>
  <c r="AR79" i="68"/>
  <c r="AQ79" i="68"/>
  <c r="AP79" i="68"/>
  <c r="AO79" i="68"/>
  <c r="AN79" i="68"/>
  <c r="AM79" i="68"/>
  <c r="AL79" i="68"/>
  <c r="AK79" i="68"/>
  <c r="AZ78" i="68"/>
  <c r="AY78" i="68"/>
  <c r="AX78" i="68"/>
  <c r="AW78" i="68"/>
  <c r="AV78" i="68"/>
  <c r="AU78" i="68"/>
  <c r="AT78" i="68"/>
  <c r="AS78" i="68"/>
  <c r="AR78" i="68"/>
  <c r="AQ78" i="68"/>
  <c r="AP78" i="68"/>
  <c r="AO78" i="68"/>
  <c r="AN78" i="68"/>
  <c r="AM78" i="68"/>
  <c r="AL78" i="68"/>
  <c r="AK78" i="68"/>
  <c r="AZ77" i="68"/>
  <c r="AY77" i="68"/>
  <c r="AX77" i="68"/>
  <c r="AW77" i="68"/>
  <c r="AV77" i="68"/>
  <c r="AU77" i="68"/>
  <c r="AT77" i="68"/>
  <c r="AS77" i="68"/>
  <c r="AR77" i="68"/>
  <c r="AQ77" i="68"/>
  <c r="AP77" i="68"/>
  <c r="AO77" i="68"/>
  <c r="AN77" i="68"/>
  <c r="AM77" i="68"/>
  <c r="AL77" i="68"/>
  <c r="AK77" i="68"/>
  <c r="AZ76" i="68"/>
  <c r="AY76" i="68"/>
  <c r="AX76" i="68"/>
  <c r="AW76" i="68"/>
  <c r="AV76" i="68"/>
  <c r="AU76" i="68"/>
  <c r="AT76" i="68"/>
  <c r="AS76" i="68"/>
  <c r="AR76" i="68"/>
  <c r="AQ76" i="68"/>
  <c r="AP76" i="68"/>
  <c r="AO76" i="68"/>
  <c r="AN76" i="68"/>
  <c r="AM76" i="68"/>
  <c r="AL76" i="68"/>
  <c r="AK76" i="68"/>
  <c r="AZ75" i="68"/>
  <c r="AY75" i="68"/>
  <c r="AX75" i="68"/>
  <c r="AW75" i="68"/>
  <c r="AV75" i="68"/>
  <c r="AU75" i="68"/>
  <c r="AT75" i="68"/>
  <c r="AS75" i="68"/>
  <c r="AR75" i="68"/>
  <c r="AQ75" i="68"/>
  <c r="AP75" i="68"/>
  <c r="AO75" i="68"/>
  <c r="AN75" i="68"/>
  <c r="AM75" i="68"/>
  <c r="AL75" i="68"/>
  <c r="AK75" i="68"/>
  <c r="AZ74" i="68"/>
  <c r="AY74" i="68"/>
  <c r="AX74" i="68"/>
  <c r="AW74" i="68"/>
  <c r="AV74" i="68"/>
  <c r="AU74" i="68"/>
  <c r="AT74" i="68"/>
  <c r="AS74" i="68"/>
  <c r="AR74" i="68"/>
  <c r="AQ74" i="68"/>
  <c r="AP74" i="68"/>
  <c r="AO74" i="68"/>
  <c r="AN74" i="68"/>
  <c r="AM74" i="68"/>
  <c r="AL74" i="68"/>
  <c r="AK74" i="68"/>
  <c r="AZ73" i="68"/>
  <c r="AY73" i="68"/>
  <c r="AX73" i="68"/>
  <c r="AW73" i="68"/>
  <c r="AV73" i="68"/>
  <c r="AU73" i="68"/>
  <c r="AT73" i="68"/>
  <c r="AS73" i="68"/>
  <c r="AR73" i="68"/>
  <c r="AQ73" i="68"/>
  <c r="AP73" i="68"/>
  <c r="AO73" i="68"/>
  <c r="AN73" i="68"/>
  <c r="AM73" i="68"/>
  <c r="AL73" i="68"/>
  <c r="AK73" i="68"/>
  <c r="AZ72" i="68"/>
  <c r="AY72" i="68"/>
  <c r="AX72" i="68"/>
  <c r="AW72" i="68"/>
  <c r="AV72" i="68"/>
  <c r="AU72" i="68"/>
  <c r="AT72" i="68"/>
  <c r="AS72" i="68"/>
  <c r="AR72" i="68"/>
  <c r="AQ72" i="68"/>
  <c r="AP72" i="68"/>
  <c r="AO72" i="68"/>
  <c r="AN72" i="68"/>
  <c r="AM72" i="68"/>
  <c r="AL72" i="68"/>
  <c r="AK72" i="68"/>
  <c r="AZ71" i="68"/>
  <c r="AY71" i="68"/>
  <c r="AX71" i="68"/>
  <c r="AW71" i="68"/>
  <c r="AV71" i="68"/>
  <c r="AU71" i="68"/>
  <c r="AT71" i="68"/>
  <c r="AS71" i="68"/>
  <c r="AR71" i="68"/>
  <c r="AQ71" i="68"/>
  <c r="AP71" i="68"/>
  <c r="AO71" i="68"/>
  <c r="AN71" i="68"/>
  <c r="AM71" i="68"/>
  <c r="AL71" i="68"/>
  <c r="AK71" i="68"/>
  <c r="AZ70" i="68"/>
  <c r="AY70" i="68"/>
  <c r="AX70" i="68"/>
  <c r="AW70" i="68"/>
  <c r="AV70" i="68"/>
  <c r="AU70" i="68"/>
  <c r="AT70" i="68"/>
  <c r="AS70" i="68"/>
  <c r="AR70" i="68"/>
  <c r="AQ70" i="68"/>
  <c r="AP70" i="68"/>
  <c r="AO70" i="68"/>
  <c r="AN70" i="68"/>
  <c r="AM70" i="68"/>
  <c r="AL70" i="68"/>
  <c r="AK70" i="68"/>
  <c r="AZ69" i="68"/>
  <c r="AY69" i="68"/>
  <c r="AX69" i="68"/>
  <c r="AW69" i="68"/>
  <c r="AV69" i="68"/>
  <c r="AU69" i="68"/>
  <c r="AT69" i="68"/>
  <c r="AS69" i="68"/>
  <c r="AR69" i="68"/>
  <c r="AQ69" i="68"/>
  <c r="AP69" i="68"/>
  <c r="AO69" i="68"/>
  <c r="AN69" i="68"/>
  <c r="AM69" i="68"/>
  <c r="AL69" i="68"/>
  <c r="AK69" i="68"/>
  <c r="AZ68" i="68"/>
  <c r="AY68" i="68"/>
  <c r="AX68" i="68"/>
  <c r="AW68" i="68"/>
  <c r="AV68" i="68"/>
  <c r="AU68" i="68"/>
  <c r="AT68" i="68"/>
  <c r="AS68" i="68"/>
  <c r="AR68" i="68"/>
  <c r="AQ68" i="68"/>
  <c r="AP68" i="68"/>
  <c r="AO68" i="68"/>
  <c r="AN68" i="68"/>
  <c r="AM68" i="68"/>
  <c r="AL68" i="68"/>
  <c r="AK68" i="68"/>
  <c r="AZ67" i="68"/>
  <c r="AY67" i="68"/>
  <c r="AX67" i="68"/>
  <c r="AW67" i="68"/>
  <c r="AV67" i="68"/>
  <c r="AU67" i="68"/>
  <c r="AT67" i="68"/>
  <c r="AS67" i="68"/>
  <c r="AR67" i="68"/>
  <c r="AQ67" i="68"/>
  <c r="AP67" i="68"/>
  <c r="AO67" i="68"/>
  <c r="AN67" i="68"/>
  <c r="AM67" i="68"/>
  <c r="AL67" i="68"/>
  <c r="AK67" i="68"/>
  <c r="AZ66" i="68"/>
  <c r="AY66" i="68"/>
  <c r="AX66" i="68"/>
  <c r="AW66" i="68"/>
  <c r="AV66" i="68"/>
  <c r="AU66" i="68"/>
  <c r="AT66" i="68"/>
  <c r="AS66" i="68"/>
  <c r="AR66" i="68"/>
  <c r="AQ66" i="68"/>
  <c r="AP66" i="68"/>
  <c r="AO66" i="68"/>
  <c r="AN66" i="68"/>
  <c r="AM66" i="68"/>
  <c r="AL66" i="68"/>
  <c r="AK66" i="68"/>
  <c r="AZ65" i="68"/>
  <c r="AY65" i="68"/>
  <c r="AX65" i="68"/>
  <c r="AW65" i="68"/>
  <c r="AV65" i="68"/>
  <c r="AU65" i="68"/>
  <c r="AT65" i="68"/>
  <c r="AS65" i="68"/>
  <c r="AR65" i="68"/>
  <c r="AQ65" i="68"/>
  <c r="AP65" i="68"/>
  <c r="AO65" i="68"/>
  <c r="AN65" i="68"/>
  <c r="AM65" i="68"/>
  <c r="AL65" i="68"/>
  <c r="AK65" i="68"/>
  <c r="AZ64" i="68"/>
  <c r="AY64" i="68"/>
  <c r="AX64" i="68"/>
  <c r="AW64" i="68"/>
  <c r="AV64" i="68"/>
  <c r="AU64" i="68"/>
  <c r="AT64" i="68"/>
  <c r="AS64" i="68"/>
  <c r="AR64" i="68"/>
  <c r="AQ64" i="68"/>
  <c r="AP64" i="68"/>
  <c r="AO64" i="68"/>
  <c r="AN64" i="68"/>
  <c r="AM64" i="68"/>
  <c r="AL64" i="68"/>
  <c r="AK64" i="68"/>
  <c r="AZ63" i="68"/>
  <c r="AY63" i="68"/>
  <c r="AX63" i="68"/>
  <c r="AW63" i="68"/>
  <c r="AV63" i="68"/>
  <c r="AU63" i="68"/>
  <c r="AT63" i="68"/>
  <c r="AS63" i="68"/>
  <c r="AR63" i="68"/>
  <c r="AQ63" i="68"/>
  <c r="AP63" i="68"/>
  <c r="AO63" i="68"/>
  <c r="AN63" i="68"/>
  <c r="AM63" i="68"/>
  <c r="AL63" i="68"/>
  <c r="AK63" i="68"/>
  <c r="AZ62" i="68"/>
  <c r="AY62" i="68"/>
  <c r="AX62" i="68"/>
  <c r="AW62" i="68"/>
  <c r="AV62" i="68"/>
  <c r="AU62" i="68"/>
  <c r="AT62" i="68"/>
  <c r="AS62" i="68"/>
  <c r="AR62" i="68"/>
  <c r="AQ62" i="68"/>
  <c r="AP62" i="68"/>
  <c r="AO62" i="68"/>
  <c r="AN62" i="68"/>
  <c r="AM62" i="68"/>
  <c r="AL62" i="68"/>
  <c r="AK62" i="68"/>
  <c r="AZ61" i="68"/>
  <c r="AY61" i="68"/>
  <c r="AX61" i="68"/>
  <c r="AW61" i="68"/>
  <c r="AV61" i="68"/>
  <c r="AU61" i="68"/>
  <c r="AT61" i="68"/>
  <c r="AS61" i="68"/>
  <c r="AR61" i="68"/>
  <c r="AQ61" i="68"/>
  <c r="AP61" i="68"/>
  <c r="AO61" i="68"/>
  <c r="AN61" i="68"/>
  <c r="AM61" i="68"/>
  <c r="AL61" i="68"/>
  <c r="AK61" i="68"/>
  <c r="AZ60" i="68"/>
  <c r="AY60" i="68"/>
  <c r="AX60" i="68"/>
  <c r="AW60" i="68"/>
  <c r="AV60" i="68"/>
  <c r="AU60" i="68"/>
  <c r="AT60" i="68"/>
  <c r="AS60" i="68"/>
  <c r="AR60" i="68"/>
  <c r="AQ60" i="68"/>
  <c r="AP60" i="68"/>
  <c r="AO60" i="68"/>
  <c r="AN60" i="68"/>
  <c r="AM60" i="68"/>
  <c r="AL60" i="68"/>
  <c r="AK60" i="68"/>
  <c r="AZ59" i="68"/>
  <c r="AY59" i="68"/>
  <c r="AX59" i="68"/>
  <c r="AW59" i="68"/>
  <c r="AV59" i="68"/>
  <c r="AU59" i="68"/>
  <c r="AT59" i="68"/>
  <c r="AS59" i="68"/>
  <c r="AR59" i="68"/>
  <c r="AQ59" i="68"/>
  <c r="AP59" i="68"/>
  <c r="AO59" i="68"/>
  <c r="AN59" i="68"/>
  <c r="AM59" i="68"/>
  <c r="AL59" i="68"/>
  <c r="AK59" i="68"/>
  <c r="AZ58" i="68"/>
  <c r="AY58" i="68"/>
  <c r="AX58" i="68"/>
  <c r="AW58" i="68"/>
  <c r="AV58" i="68"/>
  <c r="AU58" i="68"/>
  <c r="AT58" i="68"/>
  <c r="AS58" i="68"/>
  <c r="AR58" i="68"/>
  <c r="AQ58" i="68"/>
  <c r="AP58" i="68"/>
  <c r="AO58" i="68"/>
  <c r="AN58" i="68"/>
  <c r="AM58" i="68"/>
  <c r="AL58" i="68"/>
  <c r="AK58" i="68"/>
  <c r="AZ57" i="68"/>
  <c r="AY57" i="68"/>
  <c r="AX57" i="68"/>
  <c r="AW57" i="68"/>
  <c r="AV57" i="68"/>
  <c r="AU57" i="68"/>
  <c r="AT57" i="68"/>
  <c r="AS57" i="68"/>
  <c r="AR57" i="68"/>
  <c r="AQ57" i="68"/>
  <c r="AP57" i="68"/>
  <c r="AO57" i="68"/>
  <c r="AN57" i="68"/>
  <c r="AM57" i="68"/>
  <c r="AL57" i="68"/>
  <c r="AK57" i="68"/>
  <c r="AZ56" i="68"/>
  <c r="AY56" i="68"/>
  <c r="AX56" i="68"/>
  <c r="AW56" i="68"/>
  <c r="AV56" i="68"/>
  <c r="AU56" i="68"/>
  <c r="AT56" i="68"/>
  <c r="AS56" i="68"/>
  <c r="AR56" i="68"/>
  <c r="AQ56" i="68"/>
  <c r="AP56" i="68"/>
  <c r="AO56" i="68"/>
  <c r="AN56" i="68"/>
  <c r="AM56" i="68"/>
  <c r="AL56" i="68"/>
  <c r="AK56" i="68"/>
  <c r="AZ55" i="68"/>
  <c r="AY55" i="68"/>
  <c r="AX55" i="68"/>
  <c r="AW55" i="68"/>
  <c r="AV55" i="68"/>
  <c r="AU55" i="68"/>
  <c r="AT55" i="68"/>
  <c r="AS55" i="68"/>
  <c r="AR55" i="68"/>
  <c r="AQ55" i="68"/>
  <c r="AP55" i="68"/>
  <c r="AO55" i="68"/>
  <c r="AN55" i="68"/>
  <c r="AM55" i="68"/>
  <c r="AL55" i="68"/>
  <c r="AK55" i="68"/>
  <c r="AZ54" i="68"/>
  <c r="AY54" i="68"/>
  <c r="AX54" i="68"/>
  <c r="AW54" i="68"/>
  <c r="AV54" i="68"/>
  <c r="AU54" i="68"/>
  <c r="AT54" i="68"/>
  <c r="AS54" i="68"/>
  <c r="AR54" i="68"/>
  <c r="AQ54" i="68"/>
  <c r="AP54" i="68"/>
  <c r="AO54" i="68"/>
  <c r="AN54" i="68"/>
  <c r="AM54" i="68"/>
  <c r="AL54" i="68"/>
  <c r="AK54" i="68"/>
  <c r="AZ53" i="68"/>
  <c r="AY53" i="68"/>
  <c r="AX53" i="68"/>
  <c r="AW53" i="68"/>
  <c r="AV53" i="68"/>
  <c r="AU53" i="68"/>
  <c r="AT53" i="68"/>
  <c r="AS53" i="68"/>
  <c r="AR53" i="68"/>
  <c r="AQ53" i="68"/>
  <c r="AP53" i="68"/>
  <c r="AO53" i="68"/>
  <c r="AN53" i="68"/>
  <c r="AM53" i="68"/>
  <c r="AL53" i="68"/>
  <c r="AK53" i="68"/>
  <c r="AZ52" i="68"/>
  <c r="AY52" i="68"/>
  <c r="AX52" i="68"/>
  <c r="AW52" i="68"/>
  <c r="AV52" i="68"/>
  <c r="AU52" i="68"/>
  <c r="AT52" i="68"/>
  <c r="AS52" i="68"/>
  <c r="AR52" i="68"/>
  <c r="AQ52" i="68"/>
  <c r="AP52" i="68"/>
  <c r="AO52" i="68"/>
  <c r="AN52" i="68"/>
  <c r="AM52" i="68"/>
  <c r="AL52" i="68"/>
  <c r="AK52" i="68"/>
  <c r="AZ51" i="68"/>
  <c r="AY51" i="68"/>
  <c r="AX51" i="68"/>
  <c r="AW51" i="68"/>
  <c r="AV51" i="68"/>
  <c r="AU51" i="68"/>
  <c r="AT51" i="68"/>
  <c r="AS51" i="68"/>
  <c r="AR51" i="68"/>
  <c r="AQ51" i="68"/>
  <c r="AP51" i="68"/>
  <c r="AO51" i="68"/>
  <c r="AN51" i="68"/>
  <c r="AM51" i="68"/>
  <c r="AL51" i="68"/>
  <c r="AK51" i="68"/>
  <c r="AZ50" i="68"/>
  <c r="AY50" i="68"/>
  <c r="AX50" i="68"/>
  <c r="AW50" i="68"/>
  <c r="AV50" i="68"/>
  <c r="AU50" i="68"/>
  <c r="AT50" i="68"/>
  <c r="AS50" i="68"/>
  <c r="AR50" i="68"/>
  <c r="AQ50" i="68"/>
  <c r="AP50" i="68"/>
  <c r="AO50" i="68"/>
  <c r="AN50" i="68"/>
  <c r="AM50" i="68"/>
  <c r="AL50" i="68"/>
  <c r="AK50" i="68"/>
  <c r="AZ49" i="68"/>
  <c r="AY49" i="68"/>
  <c r="AX49" i="68"/>
  <c r="AW49" i="68"/>
  <c r="AV49" i="68"/>
  <c r="AU49" i="68"/>
  <c r="AT49" i="68"/>
  <c r="AS49" i="68"/>
  <c r="AR49" i="68"/>
  <c r="AQ49" i="68"/>
  <c r="AP49" i="68"/>
  <c r="AO49" i="68"/>
  <c r="AN49" i="68"/>
  <c r="AM49" i="68"/>
  <c r="AL49" i="68"/>
  <c r="AK49" i="68"/>
  <c r="AZ48" i="68"/>
  <c r="AY48" i="68"/>
  <c r="AX48" i="68"/>
  <c r="AW48" i="68"/>
  <c r="AV48" i="68"/>
  <c r="AU48" i="68"/>
  <c r="AT48" i="68"/>
  <c r="AS48" i="68"/>
  <c r="AR48" i="68"/>
  <c r="AQ48" i="68"/>
  <c r="AP48" i="68"/>
  <c r="AO48" i="68"/>
  <c r="AN48" i="68"/>
  <c r="AM48" i="68"/>
  <c r="AL48" i="68"/>
  <c r="AK48" i="68"/>
  <c r="AZ47" i="68"/>
  <c r="AY47" i="68"/>
  <c r="AX47" i="68"/>
  <c r="AW47" i="68"/>
  <c r="AV47" i="68"/>
  <c r="AU47" i="68"/>
  <c r="AT47" i="68"/>
  <c r="AS47" i="68"/>
  <c r="AR47" i="68"/>
  <c r="AQ47" i="68"/>
  <c r="AP47" i="68"/>
  <c r="AO47" i="68"/>
  <c r="AN47" i="68"/>
  <c r="AM47" i="68"/>
  <c r="AL47" i="68"/>
  <c r="AK47" i="68"/>
  <c r="BA27" i="68"/>
  <c r="AZ27" i="68"/>
  <c r="AY27" i="68"/>
  <c r="AX27" i="68"/>
  <c r="AW27" i="68"/>
  <c r="AV27" i="68"/>
  <c r="AU27" i="68"/>
  <c r="AT27" i="68"/>
  <c r="AS27" i="68"/>
  <c r="AR27" i="68"/>
  <c r="AQ27" i="68"/>
  <c r="AP27" i="68"/>
  <c r="AO27" i="68"/>
  <c r="AN27" i="68"/>
  <c r="AM27" i="68"/>
  <c r="AL27" i="68"/>
  <c r="AK27" i="68"/>
  <c r="AJ27" i="68"/>
  <c r="AI27" i="68"/>
  <c r="AH27" i="68"/>
  <c r="AG27" i="68"/>
  <c r="AF27" i="68"/>
  <c r="AE27" i="68"/>
  <c r="AD27" i="68"/>
  <c r="AC27" i="68"/>
  <c r="AB27" i="68"/>
  <c r="AA27" i="68"/>
  <c r="Z27" i="68"/>
  <c r="Y27" i="68"/>
  <c r="X27" i="68"/>
  <c r="W27" i="68"/>
  <c r="V27" i="68"/>
  <c r="U27" i="68"/>
  <c r="T27" i="68"/>
  <c r="S27" i="68"/>
  <c r="R27" i="68"/>
  <c r="Q27" i="68"/>
  <c r="P27" i="68"/>
  <c r="O27" i="68"/>
  <c r="N27" i="68"/>
  <c r="M27" i="68"/>
  <c r="L27" i="68"/>
  <c r="K27" i="68"/>
  <c r="J27" i="68"/>
  <c r="I27" i="68"/>
  <c r="H27" i="68"/>
  <c r="G27" i="68"/>
  <c r="F27" i="68"/>
  <c r="E27" i="68"/>
  <c r="D27" i="68"/>
  <c r="C27" i="68"/>
  <c r="BA26" i="68"/>
  <c r="AZ26" i="68"/>
  <c r="AY26" i="68"/>
  <c r="AX26" i="68"/>
  <c r="AW26" i="68"/>
  <c r="AV26" i="68"/>
  <c r="AU26" i="68"/>
  <c r="AT26" i="68"/>
  <c r="AS26" i="68"/>
  <c r="AR26" i="68"/>
  <c r="AQ26" i="68"/>
  <c r="AP26" i="68"/>
  <c r="AO26" i="68"/>
  <c r="AN26" i="68"/>
  <c r="AM26" i="68"/>
  <c r="AL26" i="68"/>
  <c r="AK26" i="68"/>
  <c r="AJ26" i="68"/>
  <c r="AI26" i="68"/>
  <c r="AH26" i="68"/>
  <c r="AG26" i="68"/>
  <c r="AF26" i="68"/>
  <c r="AE26" i="68"/>
  <c r="AD26" i="68"/>
  <c r="AC26" i="68"/>
  <c r="AB26" i="68"/>
  <c r="AA26" i="68"/>
  <c r="Z26" i="68"/>
  <c r="Y26" i="68"/>
  <c r="X26" i="68"/>
  <c r="W26" i="68"/>
  <c r="V26" i="68"/>
  <c r="U26" i="68"/>
  <c r="T26" i="68"/>
  <c r="S26" i="68"/>
  <c r="R26" i="68"/>
  <c r="Q26" i="68"/>
  <c r="P26" i="68"/>
  <c r="O26" i="68"/>
  <c r="N26" i="68"/>
  <c r="M26" i="68"/>
  <c r="L26" i="68"/>
  <c r="K26" i="68"/>
  <c r="J26" i="68"/>
  <c r="I26" i="68"/>
  <c r="H26" i="68"/>
  <c r="G26" i="68"/>
  <c r="F26" i="68"/>
  <c r="E26" i="68"/>
  <c r="D26" i="68"/>
  <c r="C26" i="68"/>
  <c r="BA25" i="68"/>
  <c r="AZ25" i="68"/>
  <c r="AY25" i="68"/>
  <c r="AX25" i="68"/>
  <c r="AW25" i="68"/>
  <c r="AV25" i="68"/>
  <c r="AU25" i="68"/>
  <c r="AT25" i="68"/>
  <c r="AS25" i="68"/>
  <c r="AR25" i="68"/>
  <c r="AQ25" i="68"/>
  <c r="AP25" i="68"/>
  <c r="AO25" i="68"/>
  <c r="AN25" i="68"/>
  <c r="AM25" i="68"/>
  <c r="AL25" i="68"/>
  <c r="AK25" i="68"/>
  <c r="AJ25" i="68"/>
  <c r="AI25" i="68"/>
  <c r="AH25" i="68"/>
  <c r="AG25" i="68"/>
  <c r="AF25" i="68"/>
  <c r="AE25" i="68"/>
  <c r="AD25" i="68"/>
  <c r="AC25" i="68"/>
  <c r="AB25" i="68"/>
  <c r="AA25" i="68"/>
  <c r="Z25" i="68"/>
  <c r="Y25" i="68"/>
  <c r="X25" i="68"/>
  <c r="W25" i="68"/>
  <c r="V25" i="68"/>
  <c r="U25" i="68"/>
  <c r="T25" i="68"/>
  <c r="S25" i="68"/>
  <c r="R25" i="68"/>
  <c r="Q25" i="68"/>
  <c r="P25" i="68"/>
  <c r="O25" i="68"/>
  <c r="N25" i="68"/>
  <c r="M25" i="68"/>
  <c r="L25" i="68"/>
  <c r="K25" i="68"/>
  <c r="J25" i="68"/>
  <c r="I25" i="68"/>
  <c r="H25" i="68"/>
  <c r="G25" i="68"/>
  <c r="F25" i="68"/>
  <c r="E25" i="68"/>
  <c r="D25" i="68"/>
  <c r="C25" i="68"/>
  <c r="BA24" i="68"/>
  <c r="AZ24" i="68"/>
  <c r="AY24" i="68"/>
  <c r="AX24" i="68"/>
  <c r="AW24" i="68"/>
  <c r="AV24" i="68"/>
  <c r="AU24" i="68"/>
  <c r="AT24" i="68"/>
  <c r="AS24" i="68"/>
  <c r="AR24" i="68"/>
  <c r="AQ24" i="68"/>
  <c r="AP24" i="68"/>
  <c r="AO24" i="68"/>
  <c r="AN24" i="68"/>
  <c r="AM24" i="68"/>
  <c r="AL24" i="68"/>
  <c r="AK24" i="68"/>
  <c r="AJ24" i="68"/>
  <c r="AI24" i="68"/>
  <c r="AH24" i="68"/>
  <c r="AG24" i="68"/>
  <c r="AF24" i="68"/>
  <c r="AE24" i="68"/>
  <c r="AD24" i="68"/>
  <c r="AC24" i="68"/>
  <c r="AB24" i="68"/>
  <c r="AA24" i="68"/>
  <c r="Z24" i="68"/>
  <c r="Y24" i="68"/>
  <c r="X24" i="68"/>
  <c r="W24" i="68"/>
  <c r="V24" i="68"/>
  <c r="U24" i="68"/>
  <c r="T24" i="68"/>
  <c r="S24" i="68"/>
  <c r="R24" i="68"/>
  <c r="Q24" i="68"/>
  <c r="P24" i="68"/>
  <c r="O24" i="68"/>
  <c r="N24" i="68"/>
  <c r="M24" i="68"/>
  <c r="L24" i="68"/>
  <c r="K24" i="68"/>
  <c r="J24" i="68"/>
  <c r="I24" i="68"/>
  <c r="H24" i="68"/>
  <c r="G24" i="68"/>
  <c r="F24" i="68"/>
  <c r="E24" i="68"/>
  <c r="D24" i="68"/>
  <c r="C24" i="68"/>
  <c r="BA23" i="68"/>
  <c r="AZ23" i="68"/>
  <c r="AY23" i="68"/>
  <c r="AX23" i="68"/>
  <c r="AW23" i="68"/>
  <c r="AV23" i="68"/>
  <c r="AU23" i="68"/>
  <c r="AT23" i="68"/>
  <c r="AS23" i="68"/>
  <c r="AR23" i="68"/>
  <c r="AQ23" i="68"/>
  <c r="AP23" i="68"/>
  <c r="AO23" i="68"/>
  <c r="AN23" i="68"/>
  <c r="AM23" i="68"/>
  <c r="AL23" i="68"/>
  <c r="AK23" i="68"/>
  <c r="AJ23" i="68"/>
  <c r="AI23" i="68"/>
  <c r="AH23" i="68"/>
  <c r="AG23" i="68"/>
  <c r="AF23" i="68"/>
  <c r="AE23" i="68"/>
  <c r="AD23" i="68"/>
  <c r="AC23" i="68"/>
  <c r="AB23" i="68"/>
  <c r="AA23" i="68"/>
  <c r="Z23" i="68"/>
  <c r="Y23" i="68"/>
  <c r="X23" i="68"/>
  <c r="W23" i="68"/>
  <c r="V23" i="68"/>
  <c r="U23" i="68"/>
  <c r="T23" i="68"/>
  <c r="S23" i="68"/>
  <c r="R23" i="68"/>
  <c r="Q23" i="68"/>
  <c r="P23" i="68"/>
  <c r="O23" i="68"/>
  <c r="N23" i="68"/>
  <c r="M23" i="68"/>
  <c r="L23" i="68"/>
  <c r="K23" i="68"/>
  <c r="J23" i="68"/>
  <c r="I23" i="68"/>
  <c r="H23" i="68"/>
  <c r="G23" i="68"/>
  <c r="F23" i="68"/>
  <c r="E23" i="68"/>
  <c r="D23" i="68"/>
  <c r="C23" i="68"/>
  <c r="BA22" i="68"/>
  <c r="AZ22" i="68"/>
  <c r="AY22" i="68"/>
  <c r="AX22" i="68"/>
  <c r="AW22" i="68"/>
  <c r="AV22" i="68"/>
  <c r="AU22" i="68"/>
  <c r="AT22" i="68"/>
  <c r="AS22" i="68"/>
  <c r="AR22" i="68"/>
  <c r="AQ22" i="68"/>
  <c r="AP22" i="68"/>
  <c r="AO22" i="68"/>
  <c r="AN22" i="68"/>
  <c r="AM22" i="68"/>
  <c r="AL22" i="68"/>
  <c r="AK22" i="68"/>
  <c r="AJ22" i="68"/>
  <c r="AI22" i="68"/>
  <c r="AH22" i="68"/>
  <c r="AG22" i="68"/>
  <c r="AF22" i="68"/>
  <c r="AE22" i="68"/>
  <c r="AD22" i="68"/>
  <c r="AC22" i="68"/>
  <c r="AB22" i="68"/>
  <c r="AA22" i="68"/>
  <c r="Z22" i="68"/>
  <c r="Y22" i="68"/>
  <c r="X22" i="68"/>
  <c r="W22" i="68"/>
  <c r="V22" i="68"/>
  <c r="U22" i="68"/>
  <c r="T22" i="68"/>
  <c r="S22" i="68"/>
  <c r="R22" i="68"/>
  <c r="Q22" i="68"/>
  <c r="P22" i="68"/>
  <c r="O22" i="68"/>
  <c r="N22" i="68"/>
  <c r="M22" i="68"/>
  <c r="L22" i="68"/>
  <c r="K22" i="68"/>
  <c r="J22" i="68"/>
  <c r="I22" i="68"/>
  <c r="H22" i="68"/>
  <c r="G22" i="68"/>
  <c r="F22" i="68"/>
  <c r="E22" i="68"/>
  <c r="D22" i="68"/>
  <c r="C22"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F21" i="68"/>
  <c r="E21" i="68"/>
  <c r="D21" i="68"/>
  <c r="C21" i="68"/>
  <c r="BA20" i="68"/>
  <c r="AZ20" i="68"/>
  <c r="AY20" i="68"/>
  <c r="AX20" i="68"/>
  <c r="AW20" i="68"/>
  <c r="AV20" i="68"/>
  <c r="AU20" i="68"/>
  <c r="AT20" i="68"/>
  <c r="AS20" i="68"/>
  <c r="AR20"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G20" i="68"/>
  <c r="F20" i="68"/>
  <c r="E20" i="68"/>
  <c r="D20" i="68"/>
  <c r="C20" i="68"/>
  <c r="BA19" i="68"/>
  <c r="AZ19" i="68"/>
  <c r="AY19" i="68"/>
  <c r="AX19" i="68"/>
  <c r="AW19" i="68"/>
  <c r="AV19" i="68"/>
  <c r="AU19" i="68"/>
  <c r="AT19" i="68"/>
  <c r="AS19" i="68"/>
  <c r="AR19" i="68"/>
  <c r="AQ19" i="68"/>
  <c r="AP19" i="68"/>
  <c r="AO19" i="68"/>
  <c r="AN19" i="68"/>
  <c r="AM19" i="68"/>
  <c r="AL19" i="68"/>
  <c r="AK19" i="68"/>
  <c r="AJ19" i="68"/>
  <c r="AI19" i="68"/>
  <c r="AH19" i="68"/>
  <c r="AG19" i="68"/>
  <c r="AF19" i="68"/>
  <c r="AE19" i="68"/>
  <c r="AD19" i="68"/>
  <c r="AC19" i="68"/>
  <c r="AB19" i="68"/>
  <c r="AA19" i="68"/>
  <c r="Z19" i="68"/>
  <c r="Y19" i="68"/>
  <c r="X19" i="68"/>
  <c r="W19" i="68"/>
  <c r="V19" i="68"/>
  <c r="U19" i="68"/>
  <c r="T19" i="68"/>
  <c r="S19" i="68"/>
  <c r="R19" i="68"/>
  <c r="Q19" i="68"/>
  <c r="P19" i="68"/>
  <c r="O19" i="68"/>
  <c r="N19" i="68"/>
  <c r="M19" i="68"/>
  <c r="L19" i="68"/>
  <c r="K19" i="68"/>
  <c r="J19" i="68"/>
  <c r="I19" i="68"/>
  <c r="H19" i="68"/>
  <c r="G19" i="68"/>
  <c r="F19" i="68"/>
  <c r="E19" i="68"/>
  <c r="D19" i="68"/>
  <c r="C19" i="68"/>
  <c r="BA18" i="68"/>
  <c r="AZ18" i="68"/>
  <c r="AY18" i="68"/>
  <c r="AX18" i="68"/>
  <c r="AW18" i="68"/>
  <c r="AV18" i="68"/>
  <c r="AU18" i="68"/>
  <c r="AT18" i="68"/>
  <c r="AS18" i="68"/>
  <c r="AR18" i="68"/>
  <c r="AQ18" i="68"/>
  <c r="AP18" i="68"/>
  <c r="AO18" i="68"/>
  <c r="AN18" i="68"/>
  <c r="AM18" i="68"/>
  <c r="AL18" i="68"/>
  <c r="AK18" i="68"/>
  <c r="AJ18" i="68"/>
  <c r="AI18" i="68"/>
  <c r="AH18" i="68"/>
  <c r="AG18" i="68"/>
  <c r="AF18" i="68"/>
  <c r="AE18" i="68"/>
  <c r="AD18" i="68"/>
  <c r="AC18" i="68"/>
  <c r="AB18" i="68"/>
  <c r="AA18" i="68"/>
  <c r="Z18" i="68"/>
  <c r="Y18" i="68"/>
  <c r="X18" i="68"/>
  <c r="W18" i="68"/>
  <c r="V18" i="68"/>
  <c r="U18" i="68"/>
  <c r="T18" i="68"/>
  <c r="S18" i="68"/>
  <c r="R18" i="68"/>
  <c r="Q18" i="68"/>
  <c r="P18" i="68"/>
  <c r="O18" i="68"/>
  <c r="N18" i="68"/>
  <c r="M18" i="68"/>
  <c r="L18" i="68"/>
  <c r="K18" i="68"/>
  <c r="J18" i="68"/>
  <c r="I18" i="68"/>
  <c r="H18" i="68"/>
  <c r="G18" i="68"/>
  <c r="F18" i="68"/>
  <c r="E18" i="68"/>
  <c r="D18" i="68"/>
  <c r="C18" i="68"/>
  <c r="BA17" i="68"/>
  <c r="AZ17" i="68"/>
  <c r="AY17" i="68"/>
  <c r="AX17" i="68"/>
  <c r="AW17" i="68"/>
  <c r="AV17" i="68"/>
  <c r="AU17" i="68"/>
  <c r="AT17" i="68"/>
  <c r="AS17" i="68"/>
  <c r="AR17" i="68"/>
  <c r="AQ17" i="68"/>
  <c r="AP17" i="68"/>
  <c r="AO17" i="68"/>
  <c r="AN17" i="68"/>
  <c r="AM17" i="68"/>
  <c r="AL17" i="68"/>
  <c r="AK17" i="68"/>
  <c r="AJ17" i="68"/>
  <c r="AI17" i="68"/>
  <c r="AH17" i="68"/>
  <c r="AG17" i="68"/>
  <c r="AF17" i="68"/>
  <c r="AE17" i="68"/>
  <c r="AD17" i="68"/>
  <c r="AC17" i="68"/>
  <c r="AB17" i="68"/>
  <c r="AA17" i="68"/>
  <c r="Z17" i="68"/>
  <c r="Y17" i="68"/>
  <c r="X17" i="68"/>
  <c r="W17" i="68"/>
  <c r="V17" i="68"/>
  <c r="U17" i="68"/>
  <c r="T17" i="68"/>
  <c r="S17" i="68"/>
  <c r="R17" i="68"/>
  <c r="Q17" i="68"/>
  <c r="P17" i="68"/>
  <c r="O17" i="68"/>
  <c r="N17" i="68"/>
  <c r="M17" i="68"/>
  <c r="L17" i="68"/>
  <c r="K17" i="68"/>
  <c r="J17" i="68"/>
  <c r="I17" i="68"/>
  <c r="H17" i="68"/>
  <c r="G17" i="68"/>
  <c r="F17" i="68"/>
  <c r="E17" i="68"/>
  <c r="D17" i="68"/>
  <c r="C17" i="68"/>
  <c r="BA16" i="68"/>
  <c r="AZ16" i="68"/>
  <c r="AY16" i="68"/>
  <c r="AX16" i="68"/>
  <c r="AW16" i="68"/>
  <c r="AV16" i="68"/>
  <c r="AU16" i="68"/>
  <c r="AT16" i="68"/>
  <c r="AS16" i="68"/>
  <c r="AR16" i="68"/>
  <c r="AQ16" i="68"/>
  <c r="AP16" i="68"/>
  <c r="AO16" i="68"/>
  <c r="AN16" i="68"/>
  <c r="AM16" i="68"/>
  <c r="AL16" i="68"/>
  <c r="AK16" i="68"/>
  <c r="AJ16"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F16" i="68"/>
  <c r="E16" i="68"/>
  <c r="D16" i="68"/>
  <c r="C16" i="68"/>
  <c r="BA15" i="68"/>
  <c r="AZ15" i="68"/>
  <c r="AY15" i="68"/>
  <c r="AX15" i="68"/>
  <c r="AW15" i="68"/>
  <c r="AV15" i="68"/>
  <c r="AU15" i="68"/>
  <c r="AT15" i="68"/>
  <c r="AS15" i="68"/>
  <c r="AR15" i="68"/>
  <c r="AQ15" i="68"/>
  <c r="AP15" i="68"/>
  <c r="AO15" i="68"/>
  <c r="AN15" i="68"/>
  <c r="AM15" i="68"/>
  <c r="AL15" i="68"/>
  <c r="AK15" i="68"/>
  <c r="AJ15" i="68"/>
  <c r="AI15" i="68"/>
  <c r="AH15" i="68"/>
  <c r="AG15" i="68"/>
  <c r="AF15" i="68"/>
  <c r="AE15" i="68"/>
  <c r="AD15" i="68"/>
  <c r="AC15" i="68"/>
  <c r="AB15" i="68"/>
  <c r="AA15" i="68"/>
  <c r="Z15" i="68"/>
  <c r="Y15" i="68"/>
  <c r="X15" i="68"/>
  <c r="W15" i="68"/>
  <c r="V15" i="68"/>
  <c r="U15" i="68"/>
  <c r="T15" i="68"/>
  <c r="S15" i="68"/>
  <c r="R15" i="68"/>
  <c r="Q15" i="68"/>
  <c r="P15" i="68"/>
  <c r="O15" i="68"/>
  <c r="N15" i="68"/>
  <c r="M15" i="68"/>
  <c r="L15" i="68"/>
  <c r="K15" i="68"/>
  <c r="J15" i="68"/>
  <c r="I15" i="68"/>
  <c r="H15" i="68"/>
  <c r="G15" i="68"/>
  <c r="F15" i="68"/>
  <c r="E15" i="68"/>
  <c r="D15" i="68"/>
  <c r="C15" i="68"/>
  <c r="BA14" i="68"/>
  <c r="AZ14" i="68"/>
  <c r="AY14" i="68"/>
  <c r="AX14" i="68"/>
  <c r="AW14" i="68"/>
  <c r="AV14" i="68"/>
  <c r="AU14" i="68"/>
  <c r="AT14" i="68"/>
  <c r="AS14" i="68"/>
  <c r="AR14" i="68"/>
  <c r="AQ14" i="68"/>
  <c r="AP14" i="68"/>
  <c r="AO14" i="68"/>
  <c r="AN14" i="68"/>
  <c r="AM14" i="68"/>
  <c r="AL14" i="68"/>
  <c r="AK14" i="68"/>
  <c r="AJ14" i="68"/>
  <c r="AI14" i="68"/>
  <c r="AH14" i="68"/>
  <c r="AG14" i="68"/>
  <c r="AF14" i="68"/>
  <c r="AE14" i="68"/>
  <c r="AD14" i="68"/>
  <c r="AC14" i="68"/>
  <c r="AB14" i="68"/>
  <c r="AA14" i="68"/>
  <c r="Z14" i="68"/>
  <c r="Y14" i="68"/>
  <c r="X14" i="68"/>
  <c r="W14" i="68"/>
  <c r="V14" i="68"/>
  <c r="U14" i="68"/>
  <c r="T14" i="68"/>
  <c r="S14" i="68"/>
  <c r="R14" i="68"/>
  <c r="Q14" i="68"/>
  <c r="P14" i="68"/>
  <c r="O14" i="68"/>
  <c r="N14" i="68"/>
  <c r="M14" i="68"/>
  <c r="L14" i="68"/>
  <c r="K14" i="68"/>
  <c r="J14" i="68"/>
  <c r="I14" i="68"/>
  <c r="H14" i="68"/>
  <c r="G14" i="68"/>
  <c r="F14" i="68"/>
  <c r="E14" i="68"/>
  <c r="D14" i="68"/>
  <c r="C14" i="68"/>
  <c r="BA13" i="68"/>
  <c r="AZ13" i="68"/>
  <c r="AY13" i="68"/>
  <c r="AX13" i="68"/>
  <c r="AW13" i="68"/>
  <c r="AV13" i="68"/>
  <c r="AU13" i="68"/>
  <c r="AT13" i="68"/>
  <c r="AS13" i="68"/>
  <c r="AR13" i="68"/>
  <c r="AQ13" i="68"/>
  <c r="AP13" i="68"/>
  <c r="AO13" i="68"/>
  <c r="AN13" i="68"/>
  <c r="AM13" i="68"/>
  <c r="AL13" i="68"/>
  <c r="AK13" i="68"/>
  <c r="AJ13" i="68"/>
  <c r="AI13" i="68"/>
  <c r="AH13" i="68"/>
  <c r="AG13" i="68"/>
  <c r="AF13" i="68"/>
  <c r="AE13" i="68"/>
  <c r="AD13" i="68"/>
  <c r="AC13" i="68"/>
  <c r="AB13" i="68"/>
  <c r="AA13" i="68"/>
  <c r="Z13" i="68"/>
  <c r="Y13" i="68"/>
  <c r="X13" i="68"/>
  <c r="W13" i="68"/>
  <c r="V13" i="68"/>
  <c r="U13" i="68"/>
  <c r="T13" i="68"/>
  <c r="S13" i="68"/>
  <c r="R13" i="68"/>
  <c r="Q13" i="68"/>
  <c r="P13" i="68"/>
  <c r="O13" i="68"/>
  <c r="N13" i="68"/>
  <c r="M13" i="68"/>
  <c r="L13" i="68"/>
  <c r="K13" i="68"/>
  <c r="J13" i="68"/>
  <c r="I13" i="68"/>
  <c r="H13" i="68"/>
  <c r="G13" i="68"/>
  <c r="F13" i="68"/>
  <c r="E13" i="68"/>
  <c r="D13" i="68"/>
  <c r="C13" i="68"/>
  <c r="BA12" i="68"/>
  <c r="AZ12" i="68"/>
  <c r="AY12" i="68"/>
  <c r="AX12" i="68"/>
  <c r="AW12" i="68"/>
  <c r="AV12" i="68"/>
  <c r="AU12" i="68"/>
  <c r="AT12" i="68"/>
  <c r="AS12" i="68"/>
  <c r="AR12" i="68"/>
  <c r="AQ12" i="68"/>
  <c r="AP12" i="68"/>
  <c r="AO12" i="68"/>
  <c r="AN12" i="68"/>
  <c r="AM12" i="68"/>
  <c r="AL12" i="68"/>
  <c r="AK12" i="68"/>
  <c r="AJ12" i="68"/>
  <c r="AI12" i="68"/>
  <c r="AH12" i="68"/>
  <c r="AG12" i="68"/>
  <c r="AF12" i="68"/>
  <c r="AE12" i="68"/>
  <c r="AD12" i="68"/>
  <c r="AC12" i="68"/>
  <c r="AB12" i="68"/>
  <c r="AA12" i="68"/>
  <c r="Z12" i="68"/>
  <c r="Y12" i="68"/>
  <c r="X12" i="68"/>
  <c r="W12" i="68"/>
  <c r="V12" i="68"/>
  <c r="U12" i="68"/>
  <c r="T12" i="68"/>
  <c r="S12" i="68"/>
  <c r="R12" i="68"/>
  <c r="Q12" i="68"/>
  <c r="P12" i="68"/>
  <c r="O12" i="68"/>
  <c r="N12" i="68"/>
  <c r="M12" i="68"/>
  <c r="L12" i="68"/>
  <c r="K12" i="68"/>
  <c r="J12" i="68"/>
  <c r="I12" i="68"/>
  <c r="H12" i="68"/>
  <c r="G12" i="68"/>
  <c r="F12" i="68"/>
  <c r="E12" i="68"/>
  <c r="D12" i="68"/>
  <c r="C12" i="68"/>
  <c r="AZ94" i="66"/>
  <c r="AY94" i="66"/>
  <c r="AX94" i="66"/>
  <c r="AW94" i="66"/>
  <c r="AV94" i="66"/>
  <c r="AU94" i="66"/>
  <c r="AT94" i="66"/>
  <c r="AS94" i="66"/>
  <c r="AR94" i="66"/>
  <c r="AQ94" i="66"/>
  <c r="AP94" i="66"/>
  <c r="AO94" i="66"/>
  <c r="AN94" i="66"/>
  <c r="AM94" i="66"/>
  <c r="AL94" i="66"/>
  <c r="AK94" i="66"/>
  <c r="AZ93" i="66"/>
  <c r="AY93" i="66"/>
  <c r="AX93" i="66"/>
  <c r="AW93" i="66"/>
  <c r="AV93" i="66"/>
  <c r="AU93" i="66"/>
  <c r="AT93" i="66"/>
  <c r="AS93" i="66"/>
  <c r="AR93" i="66"/>
  <c r="AQ93" i="66"/>
  <c r="AP93" i="66"/>
  <c r="AO93" i="66"/>
  <c r="AN93" i="66"/>
  <c r="AM93" i="66"/>
  <c r="AL93" i="66"/>
  <c r="AK93" i="66"/>
  <c r="AZ92" i="66"/>
  <c r="AY92" i="66"/>
  <c r="AX92" i="66"/>
  <c r="AW92" i="66"/>
  <c r="AV92" i="66"/>
  <c r="AU92" i="66"/>
  <c r="AT92" i="66"/>
  <c r="AS92" i="66"/>
  <c r="AR92" i="66"/>
  <c r="AQ92" i="66"/>
  <c r="AP92" i="66"/>
  <c r="AO92" i="66"/>
  <c r="AN92" i="66"/>
  <c r="AM92" i="66"/>
  <c r="AL92" i="66"/>
  <c r="AK92" i="66"/>
  <c r="AZ91" i="66"/>
  <c r="AY91" i="66"/>
  <c r="AX91" i="66"/>
  <c r="AW91" i="66"/>
  <c r="AV91" i="66"/>
  <c r="AU91" i="66"/>
  <c r="AT91" i="66"/>
  <c r="AS91" i="66"/>
  <c r="AR91" i="66"/>
  <c r="AQ91" i="66"/>
  <c r="AP91" i="66"/>
  <c r="AO91" i="66"/>
  <c r="AN91" i="66"/>
  <c r="AM91" i="66"/>
  <c r="AL91" i="66"/>
  <c r="AK91" i="66"/>
  <c r="AZ90" i="66"/>
  <c r="AY90" i="66"/>
  <c r="AX90" i="66"/>
  <c r="AW90" i="66"/>
  <c r="AV90" i="66"/>
  <c r="AU90" i="66"/>
  <c r="AT90" i="66"/>
  <c r="AS90" i="66"/>
  <c r="AR90" i="66"/>
  <c r="AQ90" i="66"/>
  <c r="AP90" i="66"/>
  <c r="AO90" i="66"/>
  <c r="AN90" i="66"/>
  <c r="AM90" i="66"/>
  <c r="AL90" i="66"/>
  <c r="AK90" i="66"/>
  <c r="AZ88" i="66"/>
  <c r="AY88" i="66"/>
  <c r="AX88" i="66"/>
  <c r="AW88" i="66"/>
  <c r="AV88" i="66"/>
  <c r="AU88" i="66"/>
  <c r="AT88" i="66"/>
  <c r="AS88" i="66"/>
  <c r="AR88" i="66"/>
  <c r="AQ88" i="66"/>
  <c r="AP88" i="66"/>
  <c r="AO88" i="66"/>
  <c r="AN88" i="66"/>
  <c r="AM88" i="66"/>
  <c r="AL88" i="66"/>
  <c r="AK88" i="66"/>
  <c r="AZ87" i="66"/>
  <c r="AY87" i="66"/>
  <c r="AX87" i="66"/>
  <c r="AW87" i="66"/>
  <c r="AV87" i="66"/>
  <c r="AU87" i="66"/>
  <c r="AT87" i="66"/>
  <c r="AS87" i="66"/>
  <c r="AR87" i="66"/>
  <c r="AQ87" i="66"/>
  <c r="AP87" i="66"/>
  <c r="AO87" i="66"/>
  <c r="AN87" i="66"/>
  <c r="AM87" i="66"/>
  <c r="AL87" i="66"/>
  <c r="AK87" i="66"/>
  <c r="AZ86" i="66"/>
  <c r="AY86" i="66"/>
  <c r="AX86" i="66"/>
  <c r="AW86" i="66"/>
  <c r="AV86" i="66"/>
  <c r="AU86" i="66"/>
  <c r="AT86" i="66"/>
  <c r="AS86" i="66"/>
  <c r="AR86" i="66"/>
  <c r="AQ86" i="66"/>
  <c r="AP86" i="66"/>
  <c r="AO86" i="66"/>
  <c r="AN86" i="66"/>
  <c r="AM86" i="66"/>
  <c r="AL86" i="66"/>
  <c r="AK86" i="66"/>
  <c r="AZ85" i="66"/>
  <c r="AY85" i="66"/>
  <c r="AX85" i="66"/>
  <c r="AW85" i="66"/>
  <c r="AV85" i="66"/>
  <c r="AU85" i="66"/>
  <c r="AT85" i="66"/>
  <c r="AS85" i="66"/>
  <c r="AR85" i="66"/>
  <c r="AQ85" i="66"/>
  <c r="AP85" i="66"/>
  <c r="AO85" i="66"/>
  <c r="AN85" i="66"/>
  <c r="AM85" i="66"/>
  <c r="AL85" i="66"/>
  <c r="AK85" i="66"/>
  <c r="AZ84" i="66"/>
  <c r="AY84" i="66"/>
  <c r="AX84" i="66"/>
  <c r="AW84" i="66"/>
  <c r="AV84" i="66"/>
  <c r="AU84" i="66"/>
  <c r="AT84" i="66"/>
  <c r="AS84" i="66"/>
  <c r="AR84" i="66"/>
  <c r="AQ84" i="66"/>
  <c r="AP84" i="66"/>
  <c r="AO84" i="66"/>
  <c r="AN84" i="66"/>
  <c r="AM84" i="66"/>
  <c r="AL84" i="66"/>
  <c r="AK84" i="66"/>
  <c r="AZ83" i="66"/>
  <c r="AY83" i="66"/>
  <c r="AX83" i="66"/>
  <c r="AW83" i="66"/>
  <c r="AV83" i="66"/>
  <c r="AU83" i="66"/>
  <c r="AT83" i="66"/>
  <c r="AS83" i="66"/>
  <c r="AR83" i="66"/>
  <c r="AQ83" i="66"/>
  <c r="AP83" i="66"/>
  <c r="AO83" i="66"/>
  <c r="AN83" i="66"/>
  <c r="AM83" i="66"/>
  <c r="AL83" i="66"/>
  <c r="AK83" i="66"/>
  <c r="AZ82" i="66"/>
  <c r="AY82" i="66"/>
  <c r="AX82" i="66"/>
  <c r="AW82" i="66"/>
  <c r="AV82" i="66"/>
  <c r="AU82" i="66"/>
  <c r="AT82" i="66"/>
  <c r="AS82" i="66"/>
  <c r="AR82" i="66"/>
  <c r="AQ82" i="66"/>
  <c r="AP82" i="66"/>
  <c r="AO82" i="66"/>
  <c r="AN82" i="66"/>
  <c r="AM82" i="66"/>
  <c r="AL82" i="66"/>
  <c r="AK82" i="66"/>
  <c r="AZ81" i="66"/>
  <c r="AY81" i="66"/>
  <c r="AX81" i="66"/>
  <c r="AW81" i="66"/>
  <c r="AV81" i="66"/>
  <c r="AU81" i="66"/>
  <c r="AT81" i="66"/>
  <c r="AS81" i="66"/>
  <c r="AR81" i="66"/>
  <c r="AQ81" i="66"/>
  <c r="AP81" i="66"/>
  <c r="AO81" i="66"/>
  <c r="AN81" i="66"/>
  <c r="AM81" i="66"/>
  <c r="AL81" i="66"/>
  <c r="AK81" i="66"/>
  <c r="AZ80" i="66"/>
  <c r="AY80" i="66"/>
  <c r="AX80" i="66"/>
  <c r="AW80" i="66"/>
  <c r="AV80" i="66"/>
  <c r="AU80" i="66"/>
  <c r="AT80" i="66"/>
  <c r="AS80" i="66"/>
  <c r="AR80" i="66"/>
  <c r="AQ80" i="66"/>
  <c r="AP80" i="66"/>
  <c r="AO80" i="66"/>
  <c r="AN80" i="66"/>
  <c r="AM80" i="66"/>
  <c r="AL80" i="66"/>
  <c r="AK80" i="66"/>
  <c r="AZ79" i="66"/>
  <c r="AY79" i="66"/>
  <c r="AX79" i="66"/>
  <c r="AW79" i="66"/>
  <c r="AV79" i="66"/>
  <c r="AU79" i="66"/>
  <c r="AT79" i="66"/>
  <c r="AS79" i="66"/>
  <c r="AR79" i="66"/>
  <c r="AQ79" i="66"/>
  <c r="AP79" i="66"/>
  <c r="AO79" i="66"/>
  <c r="AN79" i="66"/>
  <c r="AM79" i="66"/>
  <c r="AL79" i="66"/>
  <c r="AK79" i="66"/>
  <c r="AZ78" i="66"/>
  <c r="AY78" i="66"/>
  <c r="AX78" i="66"/>
  <c r="AW78" i="66"/>
  <c r="AV78" i="66"/>
  <c r="AU78" i="66"/>
  <c r="AT78" i="66"/>
  <c r="AS78" i="66"/>
  <c r="AR78" i="66"/>
  <c r="AQ78" i="66"/>
  <c r="AP78" i="66"/>
  <c r="AO78" i="66"/>
  <c r="AN78" i="66"/>
  <c r="AM78" i="66"/>
  <c r="AL78" i="66"/>
  <c r="AK78" i="66"/>
  <c r="AZ77" i="66"/>
  <c r="AY77" i="66"/>
  <c r="AX77" i="66"/>
  <c r="AW77" i="66"/>
  <c r="AV77" i="66"/>
  <c r="AU77" i="66"/>
  <c r="AT77" i="66"/>
  <c r="AS77" i="66"/>
  <c r="AR77" i="66"/>
  <c r="AQ77" i="66"/>
  <c r="AP77" i="66"/>
  <c r="AO77" i="66"/>
  <c r="AN77" i="66"/>
  <c r="AM77" i="66"/>
  <c r="AL77" i="66"/>
  <c r="AK77" i="66"/>
  <c r="AZ76" i="66"/>
  <c r="AY76" i="66"/>
  <c r="AX76" i="66"/>
  <c r="AW76" i="66"/>
  <c r="AV76" i="66"/>
  <c r="AU76" i="66"/>
  <c r="AT76" i="66"/>
  <c r="AS76" i="66"/>
  <c r="AR76" i="66"/>
  <c r="AQ76" i="66"/>
  <c r="AP76" i="66"/>
  <c r="AO76" i="66"/>
  <c r="AN76" i="66"/>
  <c r="AM76" i="66"/>
  <c r="AL76" i="66"/>
  <c r="AK76" i="66"/>
  <c r="AZ75" i="66"/>
  <c r="AY75" i="66"/>
  <c r="AX75" i="66"/>
  <c r="AW75" i="66"/>
  <c r="AV75" i="66"/>
  <c r="AU75" i="66"/>
  <c r="AT75" i="66"/>
  <c r="AS75" i="66"/>
  <c r="AR75" i="66"/>
  <c r="AQ75" i="66"/>
  <c r="AP75" i="66"/>
  <c r="AO75" i="66"/>
  <c r="AN75" i="66"/>
  <c r="AM75" i="66"/>
  <c r="AL75" i="66"/>
  <c r="AK75" i="66"/>
  <c r="AZ74" i="66"/>
  <c r="AY74" i="66"/>
  <c r="AX74" i="66"/>
  <c r="AW74" i="66"/>
  <c r="AV74" i="66"/>
  <c r="AU74" i="66"/>
  <c r="AT74" i="66"/>
  <c r="AS74" i="66"/>
  <c r="AR74" i="66"/>
  <c r="AQ74" i="66"/>
  <c r="AP74" i="66"/>
  <c r="AO74" i="66"/>
  <c r="AN74" i="66"/>
  <c r="AM74" i="66"/>
  <c r="AL74" i="66"/>
  <c r="AK74" i="66"/>
  <c r="AZ73" i="66"/>
  <c r="AY73" i="66"/>
  <c r="AX73" i="66"/>
  <c r="AW73" i="66"/>
  <c r="AV73" i="66"/>
  <c r="AU73" i="66"/>
  <c r="AT73" i="66"/>
  <c r="AS73" i="66"/>
  <c r="AR73" i="66"/>
  <c r="AQ73" i="66"/>
  <c r="AP73" i="66"/>
  <c r="AO73" i="66"/>
  <c r="AN73" i="66"/>
  <c r="AM73" i="66"/>
  <c r="AL73" i="66"/>
  <c r="AK73" i="66"/>
  <c r="AZ72" i="66"/>
  <c r="AY72" i="66"/>
  <c r="AX72" i="66"/>
  <c r="AW72" i="66"/>
  <c r="AV72" i="66"/>
  <c r="AU72" i="66"/>
  <c r="AT72" i="66"/>
  <c r="AS72" i="66"/>
  <c r="AR72" i="66"/>
  <c r="AQ72" i="66"/>
  <c r="AP72" i="66"/>
  <c r="AO72" i="66"/>
  <c r="AN72" i="66"/>
  <c r="AM72" i="66"/>
  <c r="AL72" i="66"/>
  <c r="AK72" i="66"/>
  <c r="AZ71" i="66"/>
  <c r="AY71" i="66"/>
  <c r="AX71" i="66"/>
  <c r="AW71" i="66"/>
  <c r="AV71" i="66"/>
  <c r="AU71" i="66"/>
  <c r="AT71" i="66"/>
  <c r="AS71" i="66"/>
  <c r="AR71" i="66"/>
  <c r="AQ71" i="66"/>
  <c r="AP71" i="66"/>
  <c r="AO71" i="66"/>
  <c r="AN71" i="66"/>
  <c r="AM71" i="66"/>
  <c r="AL71" i="66"/>
  <c r="AK71" i="66"/>
  <c r="AZ70" i="66"/>
  <c r="AY70" i="66"/>
  <c r="AX70" i="66"/>
  <c r="AW70" i="66"/>
  <c r="AV70" i="66"/>
  <c r="AU70" i="66"/>
  <c r="AT70" i="66"/>
  <c r="AS70" i="66"/>
  <c r="AR70" i="66"/>
  <c r="AQ70" i="66"/>
  <c r="AP70" i="66"/>
  <c r="AO70" i="66"/>
  <c r="AN70" i="66"/>
  <c r="AM70" i="66"/>
  <c r="AL70" i="66"/>
  <c r="AK70" i="66"/>
  <c r="AZ69" i="66"/>
  <c r="AY69" i="66"/>
  <c r="AX69" i="66"/>
  <c r="AW69" i="66"/>
  <c r="AV69" i="66"/>
  <c r="AU69" i="66"/>
  <c r="AT69" i="66"/>
  <c r="AS69" i="66"/>
  <c r="AR69" i="66"/>
  <c r="AQ69" i="66"/>
  <c r="AP69" i="66"/>
  <c r="AO69" i="66"/>
  <c r="AN69" i="66"/>
  <c r="AM69" i="66"/>
  <c r="AL69" i="66"/>
  <c r="AK69" i="66"/>
  <c r="AZ68" i="66"/>
  <c r="AY68" i="66"/>
  <c r="AX68" i="66"/>
  <c r="AW68" i="66"/>
  <c r="AV68" i="66"/>
  <c r="AU68" i="66"/>
  <c r="AT68" i="66"/>
  <c r="AS68" i="66"/>
  <c r="AR68" i="66"/>
  <c r="AQ68" i="66"/>
  <c r="AP68" i="66"/>
  <c r="AO68" i="66"/>
  <c r="AN68" i="66"/>
  <c r="AM68" i="66"/>
  <c r="AL68" i="66"/>
  <c r="AK68" i="66"/>
  <c r="AZ67" i="66"/>
  <c r="AY67" i="66"/>
  <c r="AX67" i="66"/>
  <c r="AW67" i="66"/>
  <c r="AV67" i="66"/>
  <c r="AU67" i="66"/>
  <c r="AT67" i="66"/>
  <c r="AS67" i="66"/>
  <c r="AR67" i="66"/>
  <c r="AQ67" i="66"/>
  <c r="AP67" i="66"/>
  <c r="AO67" i="66"/>
  <c r="AN67" i="66"/>
  <c r="AM67" i="66"/>
  <c r="AL67" i="66"/>
  <c r="AK67" i="66"/>
  <c r="AZ66" i="66"/>
  <c r="AY66" i="66"/>
  <c r="AX66" i="66"/>
  <c r="AW66" i="66"/>
  <c r="AV66" i="66"/>
  <c r="AU66" i="66"/>
  <c r="AT66" i="66"/>
  <c r="AS66" i="66"/>
  <c r="AR66" i="66"/>
  <c r="AQ66" i="66"/>
  <c r="AP66" i="66"/>
  <c r="AO66" i="66"/>
  <c r="AN66" i="66"/>
  <c r="AM66" i="66"/>
  <c r="AL66" i="66"/>
  <c r="AK66" i="66"/>
  <c r="AZ65" i="66"/>
  <c r="AY65" i="66"/>
  <c r="AX65" i="66"/>
  <c r="AW65" i="66"/>
  <c r="AV65" i="66"/>
  <c r="AU65" i="66"/>
  <c r="AT65" i="66"/>
  <c r="AS65" i="66"/>
  <c r="AR65" i="66"/>
  <c r="AQ65" i="66"/>
  <c r="AP65" i="66"/>
  <c r="AO65" i="66"/>
  <c r="AN65" i="66"/>
  <c r="AM65" i="66"/>
  <c r="AL65" i="66"/>
  <c r="AK65" i="66"/>
  <c r="AZ64" i="66"/>
  <c r="AY64" i="66"/>
  <c r="AX64" i="66"/>
  <c r="AW64" i="66"/>
  <c r="AV64" i="66"/>
  <c r="AU64" i="66"/>
  <c r="AT64" i="66"/>
  <c r="AS64" i="66"/>
  <c r="AR64" i="66"/>
  <c r="AQ64" i="66"/>
  <c r="AP64" i="66"/>
  <c r="AO64" i="66"/>
  <c r="AN64" i="66"/>
  <c r="AM64" i="66"/>
  <c r="AL64" i="66"/>
  <c r="AK64" i="66"/>
  <c r="AZ63" i="66"/>
  <c r="AY63" i="66"/>
  <c r="AX63" i="66"/>
  <c r="AW63" i="66"/>
  <c r="AV63" i="66"/>
  <c r="AU63" i="66"/>
  <c r="AT63" i="66"/>
  <c r="AS63" i="66"/>
  <c r="AR63" i="66"/>
  <c r="AQ63" i="66"/>
  <c r="AP63" i="66"/>
  <c r="AO63" i="66"/>
  <c r="AN63" i="66"/>
  <c r="AM63" i="66"/>
  <c r="AL63" i="66"/>
  <c r="AK63" i="66"/>
  <c r="AZ62" i="66"/>
  <c r="AY62" i="66"/>
  <c r="AX62" i="66"/>
  <c r="AW62" i="66"/>
  <c r="AV62" i="66"/>
  <c r="AU62" i="66"/>
  <c r="AT62" i="66"/>
  <c r="AS62" i="66"/>
  <c r="AR62" i="66"/>
  <c r="AQ62" i="66"/>
  <c r="AP62" i="66"/>
  <c r="AO62" i="66"/>
  <c r="AN62" i="66"/>
  <c r="AM62" i="66"/>
  <c r="AL62" i="66"/>
  <c r="AK62" i="66"/>
  <c r="AZ61" i="66"/>
  <c r="AY61" i="66"/>
  <c r="AX61" i="66"/>
  <c r="AW61" i="66"/>
  <c r="AV61" i="66"/>
  <c r="AU61" i="66"/>
  <c r="AT61" i="66"/>
  <c r="AS61" i="66"/>
  <c r="AR61" i="66"/>
  <c r="AQ61" i="66"/>
  <c r="AP61" i="66"/>
  <c r="AO61" i="66"/>
  <c r="AN61" i="66"/>
  <c r="AM61" i="66"/>
  <c r="AL61" i="66"/>
  <c r="AK61" i="66"/>
  <c r="AZ60" i="66"/>
  <c r="AY60" i="66"/>
  <c r="AX60" i="66"/>
  <c r="AW60" i="66"/>
  <c r="AV60" i="66"/>
  <c r="AU60" i="66"/>
  <c r="AT60" i="66"/>
  <c r="AS60" i="66"/>
  <c r="AR60" i="66"/>
  <c r="AQ60" i="66"/>
  <c r="AP60" i="66"/>
  <c r="AO60" i="66"/>
  <c r="AN60" i="66"/>
  <c r="AM60" i="66"/>
  <c r="AL60" i="66"/>
  <c r="AK60" i="66"/>
  <c r="AZ59" i="66"/>
  <c r="AY59" i="66"/>
  <c r="AX59" i="66"/>
  <c r="AW59" i="66"/>
  <c r="AV59" i="66"/>
  <c r="AU59" i="66"/>
  <c r="AT59" i="66"/>
  <c r="AS59" i="66"/>
  <c r="AR59" i="66"/>
  <c r="AQ59" i="66"/>
  <c r="AP59" i="66"/>
  <c r="AO59" i="66"/>
  <c r="AN59" i="66"/>
  <c r="AM59" i="66"/>
  <c r="AL59" i="66"/>
  <c r="AK59" i="66"/>
  <c r="AZ58" i="66"/>
  <c r="AY58" i="66"/>
  <c r="AX58" i="66"/>
  <c r="AW58" i="66"/>
  <c r="AV58" i="66"/>
  <c r="AU58" i="66"/>
  <c r="AT58" i="66"/>
  <c r="AS58" i="66"/>
  <c r="AR58" i="66"/>
  <c r="AQ58" i="66"/>
  <c r="AP58" i="66"/>
  <c r="AO58" i="66"/>
  <c r="AN58" i="66"/>
  <c r="AM58" i="66"/>
  <c r="AL58" i="66"/>
  <c r="AK58" i="66"/>
  <c r="AZ57" i="66"/>
  <c r="AY57" i="66"/>
  <c r="AX57" i="66"/>
  <c r="AW57" i="66"/>
  <c r="AV57" i="66"/>
  <c r="AU57" i="66"/>
  <c r="AT57" i="66"/>
  <c r="AS57" i="66"/>
  <c r="AR57" i="66"/>
  <c r="AQ57" i="66"/>
  <c r="AP57" i="66"/>
  <c r="AO57" i="66"/>
  <c r="AN57" i="66"/>
  <c r="AM57" i="66"/>
  <c r="AL57" i="66"/>
  <c r="AK57" i="66"/>
  <c r="AZ56" i="66"/>
  <c r="AY56" i="66"/>
  <c r="AX56" i="66"/>
  <c r="AW56" i="66"/>
  <c r="AV56" i="66"/>
  <c r="AU56" i="66"/>
  <c r="AT56" i="66"/>
  <c r="AS56" i="66"/>
  <c r="AR56" i="66"/>
  <c r="AQ56" i="66"/>
  <c r="AP56" i="66"/>
  <c r="AO56" i="66"/>
  <c r="AN56" i="66"/>
  <c r="AM56" i="66"/>
  <c r="AL56" i="66"/>
  <c r="AK56" i="66"/>
  <c r="AZ55" i="66"/>
  <c r="AY55" i="66"/>
  <c r="AX55" i="66"/>
  <c r="AW55" i="66"/>
  <c r="AV55" i="66"/>
  <c r="AU55" i="66"/>
  <c r="AT55" i="66"/>
  <c r="AS55" i="66"/>
  <c r="AR55" i="66"/>
  <c r="AQ55" i="66"/>
  <c r="AP55" i="66"/>
  <c r="AO55" i="66"/>
  <c r="AN55" i="66"/>
  <c r="AM55" i="66"/>
  <c r="AL55" i="66"/>
  <c r="AK55" i="66"/>
  <c r="AZ54" i="66"/>
  <c r="AY54" i="66"/>
  <c r="AX54" i="66"/>
  <c r="AW54" i="66"/>
  <c r="AV54" i="66"/>
  <c r="AU54" i="66"/>
  <c r="AT54" i="66"/>
  <c r="AS54" i="66"/>
  <c r="AR54" i="66"/>
  <c r="AQ54" i="66"/>
  <c r="AP54" i="66"/>
  <c r="AO54" i="66"/>
  <c r="AN54" i="66"/>
  <c r="AM54" i="66"/>
  <c r="AL54" i="66"/>
  <c r="AK54" i="66"/>
  <c r="AZ53" i="66"/>
  <c r="AY53" i="66"/>
  <c r="AX53" i="66"/>
  <c r="AW53" i="66"/>
  <c r="AV53" i="66"/>
  <c r="AU53" i="66"/>
  <c r="AT53" i="66"/>
  <c r="AS53" i="66"/>
  <c r="AR53" i="66"/>
  <c r="AQ53" i="66"/>
  <c r="AP53" i="66"/>
  <c r="AO53" i="66"/>
  <c r="AN53" i="66"/>
  <c r="AM53" i="66"/>
  <c r="AL53" i="66"/>
  <c r="AK53" i="66"/>
  <c r="AZ52" i="66"/>
  <c r="AY52" i="66"/>
  <c r="AX52" i="66"/>
  <c r="AW52" i="66"/>
  <c r="AV52" i="66"/>
  <c r="AU52" i="66"/>
  <c r="AT52" i="66"/>
  <c r="AS52" i="66"/>
  <c r="AR52" i="66"/>
  <c r="AQ52" i="66"/>
  <c r="AP52" i="66"/>
  <c r="AO52" i="66"/>
  <c r="AN52" i="66"/>
  <c r="AM52" i="66"/>
  <c r="AL52" i="66"/>
  <c r="AK52" i="66"/>
  <c r="AZ51" i="66"/>
  <c r="AY51" i="66"/>
  <c r="AX51" i="66"/>
  <c r="AW51" i="66"/>
  <c r="AV51" i="66"/>
  <c r="AU51" i="66"/>
  <c r="AT51" i="66"/>
  <c r="AS51" i="66"/>
  <c r="AR51" i="66"/>
  <c r="AQ51" i="66"/>
  <c r="AP51" i="66"/>
  <c r="AO51" i="66"/>
  <c r="AN51" i="66"/>
  <c r="AM51" i="66"/>
  <c r="AL51" i="66"/>
  <c r="AK51" i="66"/>
  <c r="AZ50" i="66"/>
  <c r="AY50" i="66"/>
  <c r="AX50" i="66"/>
  <c r="AW50" i="66"/>
  <c r="AV50" i="66"/>
  <c r="AU50" i="66"/>
  <c r="AT50" i="66"/>
  <c r="AS50" i="66"/>
  <c r="AR50" i="66"/>
  <c r="AQ50" i="66"/>
  <c r="AP50" i="66"/>
  <c r="AO50" i="66"/>
  <c r="AN50" i="66"/>
  <c r="AM50" i="66"/>
  <c r="AL50" i="66"/>
  <c r="AK50" i="66"/>
  <c r="AZ49" i="66"/>
  <c r="AY49" i="66"/>
  <c r="AX49" i="66"/>
  <c r="AW49" i="66"/>
  <c r="AV49" i="66"/>
  <c r="AU49" i="66"/>
  <c r="AT49" i="66"/>
  <c r="AS49" i="66"/>
  <c r="AR49" i="66"/>
  <c r="AQ49" i="66"/>
  <c r="AP49" i="66"/>
  <c r="AO49" i="66"/>
  <c r="AN49" i="66"/>
  <c r="AM49" i="66"/>
  <c r="AL49" i="66"/>
  <c r="AK49" i="66"/>
  <c r="AZ48" i="66"/>
  <c r="AY48" i="66"/>
  <c r="AX48" i="66"/>
  <c r="AW48" i="66"/>
  <c r="AV48" i="66"/>
  <c r="AU48" i="66"/>
  <c r="AT48" i="66"/>
  <c r="AS48" i="66"/>
  <c r="AR48" i="66"/>
  <c r="AQ48" i="66"/>
  <c r="AP48" i="66"/>
  <c r="AO48" i="66"/>
  <c r="AN48" i="66"/>
  <c r="AM48" i="66"/>
  <c r="AL48" i="66"/>
  <c r="AK48" i="66"/>
  <c r="AZ47" i="66"/>
  <c r="AY47" i="66"/>
  <c r="AX47" i="66"/>
  <c r="AW47" i="66"/>
  <c r="AV47" i="66"/>
  <c r="AU47" i="66"/>
  <c r="AT47" i="66"/>
  <c r="AS47" i="66"/>
  <c r="AR47" i="66"/>
  <c r="AQ47" i="66"/>
  <c r="AP47" i="66"/>
  <c r="AO47" i="66"/>
  <c r="AN47" i="66"/>
  <c r="AM47" i="66"/>
  <c r="AL47" i="66"/>
  <c r="AK47" i="66"/>
  <c r="AW27" i="66"/>
  <c r="AV27" i="66"/>
  <c r="AU27" i="66"/>
  <c r="AT27" i="66"/>
  <c r="AS27" i="66"/>
  <c r="AR27" i="66"/>
  <c r="AQ27" i="66"/>
  <c r="AP27" i="66"/>
  <c r="AO27" i="66"/>
  <c r="AN27" i="66"/>
  <c r="AM27" i="66"/>
  <c r="AL27" i="66"/>
  <c r="AK27" i="66"/>
  <c r="AJ27" i="66"/>
  <c r="AI27" i="66"/>
  <c r="AH27" i="66"/>
  <c r="AG27" i="66"/>
  <c r="AF27" i="66"/>
  <c r="AE27" i="66"/>
  <c r="AD27" i="66"/>
  <c r="AC27" i="66"/>
  <c r="AB27" i="66"/>
  <c r="AA27" i="66"/>
  <c r="Z27" i="66"/>
  <c r="Y27" i="66"/>
  <c r="X27" i="66"/>
  <c r="W27" i="66"/>
  <c r="V27" i="66"/>
  <c r="U27" i="66"/>
  <c r="T27" i="66"/>
  <c r="S27" i="66"/>
  <c r="R27" i="66"/>
  <c r="Q27" i="66"/>
  <c r="P27" i="66"/>
  <c r="O27" i="66"/>
  <c r="N27" i="66"/>
  <c r="M27" i="66"/>
  <c r="L27" i="66"/>
  <c r="K27" i="66"/>
  <c r="J27" i="66"/>
  <c r="I27" i="66"/>
  <c r="H27" i="66"/>
  <c r="G27" i="66"/>
  <c r="F27" i="66"/>
  <c r="E27" i="66"/>
  <c r="D27" i="66"/>
  <c r="C27" i="66"/>
  <c r="AW26" i="66"/>
  <c r="AV26" i="66"/>
  <c r="AU26" i="66"/>
  <c r="AT26" i="66"/>
  <c r="AS26" i="66"/>
  <c r="AR26" i="66"/>
  <c r="AQ26" i="66"/>
  <c r="AP26" i="66"/>
  <c r="AO26" i="66"/>
  <c r="AN26" i="66"/>
  <c r="AM26" i="66"/>
  <c r="AL26" i="66"/>
  <c r="AK26" i="66"/>
  <c r="AJ26" i="66"/>
  <c r="AI26" i="66"/>
  <c r="AH26" i="66"/>
  <c r="AG26" i="66"/>
  <c r="AF26" i="66"/>
  <c r="AE26" i="66"/>
  <c r="AD26" i="66"/>
  <c r="AC26" i="66"/>
  <c r="AB26" i="66"/>
  <c r="AA26" i="66"/>
  <c r="Z26" i="66"/>
  <c r="Y26" i="66"/>
  <c r="X26" i="66"/>
  <c r="W26" i="66"/>
  <c r="V26" i="66"/>
  <c r="U26" i="66"/>
  <c r="T26" i="66"/>
  <c r="S26" i="66"/>
  <c r="R26" i="66"/>
  <c r="Q26" i="66"/>
  <c r="P26" i="66"/>
  <c r="O26" i="66"/>
  <c r="N26" i="66"/>
  <c r="M26" i="66"/>
  <c r="L26" i="66"/>
  <c r="K26" i="66"/>
  <c r="J26" i="66"/>
  <c r="I26" i="66"/>
  <c r="H26" i="66"/>
  <c r="G26" i="66"/>
  <c r="F26" i="66"/>
  <c r="E26" i="66"/>
  <c r="D26" i="66"/>
  <c r="C26" i="66"/>
  <c r="AW25" i="66"/>
  <c r="AV25" i="66"/>
  <c r="AU25" i="66"/>
  <c r="AT25" i="66"/>
  <c r="AS25" i="66"/>
  <c r="AR25" i="66"/>
  <c r="AQ25" i="66"/>
  <c r="AP25" i="66"/>
  <c r="AO25" i="66"/>
  <c r="AN25" i="66"/>
  <c r="AM25" i="66"/>
  <c r="AL25" i="66"/>
  <c r="AK25" i="66"/>
  <c r="AJ25" i="66"/>
  <c r="AI25" i="66"/>
  <c r="AH25" i="66"/>
  <c r="AG25" i="66"/>
  <c r="AF25" i="66"/>
  <c r="AE25" i="66"/>
  <c r="AD25" i="66"/>
  <c r="AC25" i="66"/>
  <c r="AB25" i="66"/>
  <c r="AA25" i="66"/>
  <c r="Z25" i="66"/>
  <c r="Y25" i="66"/>
  <c r="X25" i="66"/>
  <c r="W25" i="66"/>
  <c r="V25" i="66"/>
  <c r="U25" i="66"/>
  <c r="T25" i="66"/>
  <c r="S25" i="66"/>
  <c r="R25" i="66"/>
  <c r="Q25" i="66"/>
  <c r="P25" i="66"/>
  <c r="O25" i="66"/>
  <c r="N25" i="66"/>
  <c r="M25" i="66"/>
  <c r="L25" i="66"/>
  <c r="K25" i="66"/>
  <c r="J25" i="66"/>
  <c r="I25" i="66"/>
  <c r="H25" i="66"/>
  <c r="G25" i="66"/>
  <c r="F25" i="66"/>
  <c r="E25" i="66"/>
  <c r="D25" i="66"/>
  <c r="C25" i="66"/>
  <c r="AW24" i="66"/>
  <c r="AV24" i="66"/>
  <c r="AU24" i="66"/>
  <c r="AT24" i="66"/>
  <c r="AS24" i="66"/>
  <c r="AR24" i="66"/>
  <c r="AQ24" i="66"/>
  <c r="AP24" i="66"/>
  <c r="AO24" i="66"/>
  <c r="AN24" i="66"/>
  <c r="AM24" i="66"/>
  <c r="AL24" i="66"/>
  <c r="AK24" i="66"/>
  <c r="AJ24" i="66"/>
  <c r="AI24" i="66"/>
  <c r="AH24" i="66"/>
  <c r="AG24" i="66"/>
  <c r="AF24" i="66"/>
  <c r="AE24" i="66"/>
  <c r="AD24" i="66"/>
  <c r="AC24" i="66"/>
  <c r="AB24" i="66"/>
  <c r="AA24" i="66"/>
  <c r="Z24" i="66"/>
  <c r="Y24" i="66"/>
  <c r="X24" i="66"/>
  <c r="W24" i="66"/>
  <c r="V24" i="66"/>
  <c r="U24" i="66"/>
  <c r="T24" i="66"/>
  <c r="S24" i="66"/>
  <c r="R24" i="66"/>
  <c r="Q24" i="66"/>
  <c r="P24" i="66"/>
  <c r="O24" i="66"/>
  <c r="N24" i="66"/>
  <c r="M24" i="66"/>
  <c r="L24" i="66"/>
  <c r="K24" i="66"/>
  <c r="J24" i="66"/>
  <c r="I24" i="66"/>
  <c r="H24" i="66"/>
  <c r="G24" i="66"/>
  <c r="F24" i="66"/>
  <c r="E24" i="66"/>
  <c r="D24" i="66"/>
  <c r="C24" i="66"/>
  <c r="AW23" i="66"/>
  <c r="AV23" i="66"/>
  <c r="AU23" i="66"/>
  <c r="AT23" i="66"/>
  <c r="AS23" i="66"/>
  <c r="AR23" i="66"/>
  <c r="AQ23" i="66"/>
  <c r="AP23" i="66"/>
  <c r="AO23" i="66"/>
  <c r="AN23" i="66"/>
  <c r="AM23" i="66"/>
  <c r="AL23" i="66"/>
  <c r="AK23" i="66"/>
  <c r="AJ23" i="66"/>
  <c r="AI23" i="66"/>
  <c r="AH23" i="66"/>
  <c r="AG23" i="66"/>
  <c r="AF23" i="66"/>
  <c r="AE23" i="66"/>
  <c r="AD23" i="66"/>
  <c r="AC23" i="66"/>
  <c r="AB23" i="66"/>
  <c r="AA23" i="66"/>
  <c r="Z23" i="66"/>
  <c r="Y23" i="66"/>
  <c r="X23" i="66"/>
  <c r="W23" i="66"/>
  <c r="V23" i="66"/>
  <c r="U23" i="66"/>
  <c r="T23" i="66"/>
  <c r="S23" i="66"/>
  <c r="R23" i="66"/>
  <c r="Q23" i="66"/>
  <c r="P23" i="66"/>
  <c r="O23" i="66"/>
  <c r="N23" i="66"/>
  <c r="M23" i="66"/>
  <c r="L23" i="66"/>
  <c r="K23" i="66"/>
  <c r="J23" i="66"/>
  <c r="I23" i="66"/>
  <c r="H23" i="66"/>
  <c r="G23" i="66"/>
  <c r="F23" i="66"/>
  <c r="E23" i="66"/>
  <c r="D23" i="66"/>
  <c r="C23" i="66"/>
  <c r="AW22" i="66"/>
  <c r="AV22" i="66"/>
  <c r="AU22" i="66"/>
  <c r="AT22" i="66"/>
  <c r="AS22" i="66"/>
  <c r="AR22" i="66"/>
  <c r="AQ22" i="66"/>
  <c r="AP22" i="66"/>
  <c r="AO22" i="66"/>
  <c r="AN22" i="66"/>
  <c r="AM22" i="66"/>
  <c r="AL22" i="66"/>
  <c r="AK22" i="66"/>
  <c r="AJ22" i="66"/>
  <c r="AI22" i="66"/>
  <c r="AH22" i="66"/>
  <c r="AG22" i="66"/>
  <c r="AF22" i="66"/>
  <c r="AE22" i="66"/>
  <c r="AD22" i="66"/>
  <c r="AC22" i="66"/>
  <c r="AB22" i="66"/>
  <c r="AA22" i="66"/>
  <c r="Z22" i="66"/>
  <c r="Y22" i="66"/>
  <c r="X22" i="66"/>
  <c r="W22" i="66"/>
  <c r="V22" i="66"/>
  <c r="U22" i="66"/>
  <c r="T22" i="66"/>
  <c r="S22" i="66"/>
  <c r="R22" i="66"/>
  <c r="Q22" i="66"/>
  <c r="P22" i="66"/>
  <c r="O22" i="66"/>
  <c r="N22" i="66"/>
  <c r="M22" i="66"/>
  <c r="L22" i="66"/>
  <c r="K22" i="66"/>
  <c r="J22" i="66"/>
  <c r="I22" i="66"/>
  <c r="H22" i="66"/>
  <c r="G22" i="66"/>
  <c r="F22" i="66"/>
  <c r="E22" i="66"/>
  <c r="D22" i="66"/>
  <c r="C22" i="66"/>
  <c r="AW21" i="66"/>
  <c r="AV21" i="66"/>
  <c r="AU21" i="66"/>
  <c r="AT21" i="66"/>
  <c r="AS21" i="66"/>
  <c r="AR21" i="66"/>
  <c r="AQ21" i="66"/>
  <c r="AP21" i="66"/>
  <c r="AO21" i="66"/>
  <c r="AN21" i="66"/>
  <c r="AM21" i="66"/>
  <c r="AL21" i="66"/>
  <c r="AK21" i="66"/>
  <c r="AJ21" i="66"/>
  <c r="AI21" i="66"/>
  <c r="AH21" i="66"/>
  <c r="AG21" i="66"/>
  <c r="AF21" i="66"/>
  <c r="AE21" i="66"/>
  <c r="AD21" i="66"/>
  <c r="AC21" i="66"/>
  <c r="AB21" i="66"/>
  <c r="AA21" i="66"/>
  <c r="Z21" i="66"/>
  <c r="Y21" i="66"/>
  <c r="X21" i="66"/>
  <c r="W21" i="66"/>
  <c r="V21" i="66"/>
  <c r="U21" i="66"/>
  <c r="T21" i="66"/>
  <c r="S21" i="66"/>
  <c r="R21" i="66"/>
  <c r="Q21" i="66"/>
  <c r="P21" i="66"/>
  <c r="O21" i="66"/>
  <c r="N21" i="66"/>
  <c r="M21" i="66"/>
  <c r="L21" i="66"/>
  <c r="K21" i="66"/>
  <c r="J21" i="66"/>
  <c r="I21" i="66"/>
  <c r="H21" i="66"/>
  <c r="G21" i="66"/>
  <c r="F21" i="66"/>
  <c r="E21" i="66"/>
  <c r="D21" i="66"/>
  <c r="C21" i="66"/>
  <c r="AW20" i="66"/>
  <c r="AV20" i="66"/>
  <c r="AU20" i="66"/>
  <c r="AT20" i="66"/>
  <c r="AS20" i="66"/>
  <c r="AR20" i="66"/>
  <c r="AQ20" i="66"/>
  <c r="AP20" i="66"/>
  <c r="AO20" i="66"/>
  <c r="AN20" i="66"/>
  <c r="AM20" i="66"/>
  <c r="AL20" i="66"/>
  <c r="AK20" i="66"/>
  <c r="AJ20" i="66"/>
  <c r="AI20" i="66"/>
  <c r="AH20" i="66"/>
  <c r="AG20" i="66"/>
  <c r="AF20" i="66"/>
  <c r="AE20" i="66"/>
  <c r="AD20" i="66"/>
  <c r="AC20" i="66"/>
  <c r="AB20" i="66"/>
  <c r="AA20" i="66"/>
  <c r="Z20" i="66"/>
  <c r="Y20" i="66"/>
  <c r="X20" i="66"/>
  <c r="W20" i="66"/>
  <c r="V20" i="66"/>
  <c r="U20" i="66"/>
  <c r="T20" i="66"/>
  <c r="S20" i="66"/>
  <c r="R20" i="66"/>
  <c r="Q20" i="66"/>
  <c r="P20" i="66"/>
  <c r="O20" i="66"/>
  <c r="N20" i="66"/>
  <c r="M20" i="66"/>
  <c r="L20" i="66"/>
  <c r="K20" i="66"/>
  <c r="J20" i="66"/>
  <c r="I20" i="66"/>
  <c r="H20" i="66"/>
  <c r="G20" i="66"/>
  <c r="F20" i="66"/>
  <c r="E20" i="66"/>
  <c r="D20" i="66"/>
  <c r="C20" i="66"/>
  <c r="AW19" i="66"/>
  <c r="AV19" i="66"/>
  <c r="AU19" i="66"/>
  <c r="AT19" i="66"/>
  <c r="AS19" i="66"/>
  <c r="AR19" i="66"/>
  <c r="AQ19" i="66"/>
  <c r="AP19" i="66"/>
  <c r="AO19" i="66"/>
  <c r="AN19" i="66"/>
  <c r="AM19" i="66"/>
  <c r="AL19" i="66"/>
  <c r="AK19" i="66"/>
  <c r="AJ19" i="66"/>
  <c r="AI19" i="66"/>
  <c r="AH19" i="66"/>
  <c r="AG19" i="66"/>
  <c r="AF19" i="66"/>
  <c r="AE19" i="66"/>
  <c r="AD19" i="66"/>
  <c r="AC19" i="66"/>
  <c r="AB19" i="66"/>
  <c r="AA19" i="66"/>
  <c r="Z19" i="66"/>
  <c r="Y19" i="66"/>
  <c r="X19" i="66"/>
  <c r="W19" i="66"/>
  <c r="V19" i="66"/>
  <c r="U19" i="66"/>
  <c r="T19" i="66"/>
  <c r="S19" i="66"/>
  <c r="R19" i="66"/>
  <c r="Q19" i="66"/>
  <c r="P19" i="66"/>
  <c r="O19" i="66"/>
  <c r="N19" i="66"/>
  <c r="M19" i="66"/>
  <c r="L19" i="66"/>
  <c r="K19" i="66"/>
  <c r="J19" i="66"/>
  <c r="I19" i="66"/>
  <c r="H19" i="66"/>
  <c r="G19" i="66"/>
  <c r="F19" i="66"/>
  <c r="E19" i="66"/>
  <c r="D19" i="66"/>
  <c r="C19" i="66"/>
  <c r="AW18" i="66"/>
  <c r="AV18" i="66"/>
  <c r="AU18" i="66"/>
  <c r="AT18" i="66"/>
  <c r="AS18" i="66"/>
  <c r="AR18" i="66"/>
  <c r="AQ18" i="66"/>
  <c r="AP18" i="66"/>
  <c r="AO18" i="66"/>
  <c r="AN18" i="66"/>
  <c r="AM18" i="66"/>
  <c r="AL18" i="66"/>
  <c r="AK18" i="66"/>
  <c r="AJ18" i="66"/>
  <c r="AI18" i="66"/>
  <c r="AH18" i="66"/>
  <c r="AG18" i="66"/>
  <c r="AF18" i="66"/>
  <c r="AE18" i="66"/>
  <c r="AD18" i="66"/>
  <c r="AC18" i="66"/>
  <c r="AB18" i="66"/>
  <c r="AA18" i="66"/>
  <c r="Z18" i="66"/>
  <c r="Y18" i="66"/>
  <c r="X18" i="66"/>
  <c r="W18" i="66"/>
  <c r="V18" i="66"/>
  <c r="U18" i="66"/>
  <c r="T18" i="66"/>
  <c r="S18" i="66"/>
  <c r="R18" i="66"/>
  <c r="Q18" i="66"/>
  <c r="P18" i="66"/>
  <c r="O18" i="66"/>
  <c r="N18" i="66"/>
  <c r="M18" i="66"/>
  <c r="L18" i="66"/>
  <c r="K18" i="66"/>
  <c r="J18" i="66"/>
  <c r="I18" i="66"/>
  <c r="H18" i="66"/>
  <c r="G18" i="66"/>
  <c r="F18" i="66"/>
  <c r="E18" i="66"/>
  <c r="D18" i="66"/>
  <c r="C18" i="66"/>
  <c r="AW17" i="66"/>
  <c r="AV17" i="66"/>
  <c r="AU17" i="66"/>
  <c r="AT17" i="66"/>
  <c r="AS17" i="66"/>
  <c r="AR17" i="66"/>
  <c r="AQ17" i="66"/>
  <c r="AP17" i="66"/>
  <c r="AO17" i="66"/>
  <c r="AN17" i="66"/>
  <c r="AM17" i="66"/>
  <c r="AL17" i="66"/>
  <c r="AK17" i="66"/>
  <c r="AJ17" i="66"/>
  <c r="AI17" i="66"/>
  <c r="AH17" i="66"/>
  <c r="AG17" i="66"/>
  <c r="AF17" i="66"/>
  <c r="AE17" i="66"/>
  <c r="AD17" i="66"/>
  <c r="AC17" i="66"/>
  <c r="AB17" i="66"/>
  <c r="AA17" i="66"/>
  <c r="Z17" i="66"/>
  <c r="Y17" i="66"/>
  <c r="X17" i="66"/>
  <c r="W17" i="66"/>
  <c r="V17" i="66"/>
  <c r="U17" i="66"/>
  <c r="T17" i="66"/>
  <c r="S17" i="66"/>
  <c r="R17" i="66"/>
  <c r="Q17" i="66"/>
  <c r="P17" i="66"/>
  <c r="O17" i="66"/>
  <c r="N17" i="66"/>
  <c r="M17" i="66"/>
  <c r="L17" i="66"/>
  <c r="K17" i="66"/>
  <c r="J17" i="66"/>
  <c r="I17" i="66"/>
  <c r="H17" i="66"/>
  <c r="G17" i="66"/>
  <c r="F17" i="66"/>
  <c r="E17" i="66"/>
  <c r="D17" i="66"/>
  <c r="C17" i="66"/>
  <c r="AW16" i="66"/>
  <c r="AV16" i="66"/>
  <c r="AU16" i="66"/>
  <c r="AT16" i="66"/>
  <c r="AS16" i="66"/>
  <c r="AR16" i="66"/>
  <c r="AQ16" i="66"/>
  <c r="AP16" i="66"/>
  <c r="AO16" i="66"/>
  <c r="AN16" i="66"/>
  <c r="AM16" i="66"/>
  <c r="AL16" i="66"/>
  <c r="AK16" i="66"/>
  <c r="AJ16" i="66"/>
  <c r="AI16" i="66"/>
  <c r="AH16" i="66"/>
  <c r="AG16" i="66"/>
  <c r="AF16" i="66"/>
  <c r="AE16" i="66"/>
  <c r="AD16" i="66"/>
  <c r="AC16" i="66"/>
  <c r="AB16" i="66"/>
  <c r="AA16" i="66"/>
  <c r="Z16" i="66"/>
  <c r="Y16" i="66"/>
  <c r="X16" i="66"/>
  <c r="W16" i="66"/>
  <c r="V16" i="66"/>
  <c r="U16" i="66"/>
  <c r="T16" i="66"/>
  <c r="S16" i="66"/>
  <c r="R16" i="66"/>
  <c r="Q16" i="66"/>
  <c r="P16" i="66"/>
  <c r="O16" i="66"/>
  <c r="N16" i="66"/>
  <c r="M16" i="66"/>
  <c r="L16" i="66"/>
  <c r="K16" i="66"/>
  <c r="J16" i="66"/>
  <c r="I16" i="66"/>
  <c r="H16" i="66"/>
  <c r="G16" i="66"/>
  <c r="F16" i="66"/>
  <c r="E16" i="66"/>
  <c r="D16" i="66"/>
  <c r="C16" i="66"/>
  <c r="AW15" i="66"/>
  <c r="AV15" i="66"/>
  <c r="AU15" i="66"/>
  <c r="AT15" i="66"/>
  <c r="AS15" i="66"/>
  <c r="AR15" i="66"/>
  <c r="AQ15" i="66"/>
  <c r="AP15" i="66"/>
  <c r="AO15" i="66"/>
  <c r="AN15" i="66"/>
  <c r="AM15" i="66"/>
  <c r="AL15" i="66"/>
  <c r="AK15" i="66"/>
  <c r="AJ15" i="66"/>
  <c r="AI15" i="66"/>
  <c r="AH15" i="66"/>
  <c r="AG15" i="66"/>
  <c r="AF15" i="66"/>
  <c r="AE15" i="66"/>
  <c r="AD15" i="66"/>
  <c r="AC15" i="66"/>
  <c r="AB15" i="66"/>
  <c r="AA15" i="66"/>
  <c r="Z15" i="66"/>
  <c r="Y15" i="66"/>
  <c r="X15" i="66"/>
  <c r="W15" i="66"/>
  <c r="V15" i="66"/>
  <c r="U15" i="66"/>
  <c r="T15" i="66"/>
  <c r="S15" i="66"/>
  <c r="R15" i="66"/>
  <c r="Q15" i="66"/>
  <c r="P15" i="66"/>
  <c r="O15" i="66"/>
  <c r="N15" i="66"/>
  <c r="M15" i="66"/>
  <c r="L15" i="66"/>
  <c r="K15" i="66"/>
  <c r="J15" i="66"/>
  <c r="I15" i="66"/>
  <c r="H15" i="66"/>
  <c r="G15" i="66"/>
  <c r="F15" i="66"/>
  <c r="E15" i="66"/>
  <c r="D15" i="66"/>
  <c r="C15" i="66"/>
  <c r="AW14" i="66"/>
  <c r="AV14" i="66"/>
  <c r="AU14" i="66"/>
  <c r="AT14" i="66"/>
  <c r="AS14" i="66"/>
  <c r="AR14" i="66"/>
  <c r="AQ14" i="66"/>
  <c r="AP14" i="66"/>
  <c r="AO14" i="66"/>
  <c r="AN14" i="66"/>
  <c r="AM14" i="66"/>
  <c r="AL14" i="66"/>
  <c r="AK14" i="66"/>
  <c r="AJ14" i="66"/>
  <c r="AI14" i="66"/>
  <c r="AH14" i="66"/>
  <c r="AG14" i="66"/>
  <c r="AF14" i="66"/>
  <c r="AE14" i="66"/>
  <c r="AD14" i="66"/>
  <c r="AC14" i="66"/>
  <c r="AB14" i="66"/>
  <c r="AA14" i="66"/>
  <c r="Z14" i="66"/>
  <c r="Y14" i="66"/>
  <c r="X14" i="66"/>
  <c r="W14" i="66"/>
  <c r="V14" i="66"/>
  <c r="U14" i="66"/>
  <c r="T14" i="66"/>
  <c r="S14" i="66"/>
  <c r="R14" i="66"/>
  <c r="Q14" i="66"/>
  <c r="P14" i="66"/>
  <c r="O14" i="66"/>
  <c r="N14" i="66"/>
  <c r="M14" i="66"/>
  <c r="L14" i="66"/>
  <c r="K14" i="66"/>
  <c r="J14" i="66"/>
  <c r="I14" i="66"/>
  <c r="H14" i="66"/>
  <c r="G14" i="66"/>
  <c r="F14" i="66"/>
  <c r="E14" i="66"/>
  <c r="D14" i="66"/>
  <c r="C14" i="66"/>
  <c r="AW13" i="66"/>
  <c r="AV13" i="66"/>
  <c r="AU13" i="66"/>
  <c r="AT13" i="66"/>
  <c r="AS13" i="66"/>
  <c r="AR13" i="66"/>
  <c r="AQ13" i="66"/>
  <c r="AP13" i="66"/>
  <c r="AO13" i="66"/>
  <c r="AN13" i="66"/>
  <c r="AM13" i="66"/>
  <c r="AL13" i="66"/>
  <c r="AK13" i="66"/>
  <c r="AJ13" i="66"/>
  <c r="AI13" i="66"/>
  <c r="AH13" i="66"/>
  <c r="AG13" i="66"/>
  <c r="AF13" i="66"/>
  <c r="AE13" i="66"/>
  <c r="AD13" i="66"/>
  <c r="AC13" i="66"/>
  <c r="AB13" i="66"/>
  <c r="AA13" i="66"/>
  <c r="Z13" i="66"/>
  <c r="Y13" i="66"/>
  <c r="X13" i="66"/>
  <c r="W13" i="66"/>
  <c r="V13" i="66"/>
  <c r="U13" i="66"/>
  <c r="T13" i="66"/>
  <c r="S13" i="66"/>
  <c r="R13" i="66"/>
  <c r="Q13" i="66"/>
  <c r="P13" i="66"/>
  <c r="O13" i="66"/>
  <c r="N13" i="66"/>
  <c r="M13" i="66"/>
  <c r="L13" i="66"/>
  <c r="K13" i="66"/>
  <c r="J13" i="66"/>
  <c r="I13" i="66"/>
  <c r="H13" i="66"/>
  <c r="G13" i="66"/>
  <c r="F13" i="66"/>
  <c r="E13" i="66"/>
  <c r="D13" i="66"/>
  <c r="C13" i="66"/>
  <c r="AW12" i="66"/>
  <c r="AV12" i="66"/>
  <c r="AU12" i="66"/>
  <c r="AT12" i="66"/>
  <c r="AS12" i="66"/>
  <c r="AR12" i="66"/>
  <c r="AQ12" i="66"/>
  <c r="AP12" i="66"/>
  <c r="AO12" i="66"/>
  <c r="AN12" i="66"/>
  <c r="AM12" i="66"/>
  <c r="AL12" i="66"/>
  <c r="AK12" i="66"/>
  <c r="AJ12" i="66"/>
  <c r="AI12" i="66"/>
  <c r="AH12" i="66"/>
  <c r="AG12" i="66"/>
  <c r="AF12" i="66"/>
  <c r="AE12" i="66"/>
  <c r="AD12" i="66"/>
  <c r="AC12" i="66"/>
  <c r="AB12" i="66"/>
  <c r="AA12" i="66"/>
  <c r="Z12" i="66"/>
  <c r="Y12" i="66"/>
  <c r="X12" i="66"/>
  <c r="W12" i="66"/>
  <c r="V12" i="66"/>
  <c r="U12" i="66"/>
  <c r="T12" i="66"/>
  <c r="S12" i="66"/>
  <c r="R12" i="66"/>
  <c r="Q12" i="66"/>
  <c r="P12" i="66"/>
  <c r="O12" i="66"/>
  <c r="N12" i="66"/>
  <c r="M12" i="66"/>
  <c r="L12" i="66"/>
  <c r="K12" i="66"/>
  <c r="J12" i="66"/>
  <c r="I12" i="66"/>
  <c r="H12" i="66"/>
  <c r="G12" i="66"/>
  <c r="F12" i="66"/>
  <c r="E12" i="66"/>
  <c r="D12" i="66"/>
  <c r="C12" i="66"/>
  <c r="BA27" i="64"/>
  <c r="AZ27" i="64"/>
  <c r="AY27" i="64"/>
  <c r="AX27" i="64"/>
  <c r="AW27" i="64"/>
  <c r="BA26" i="64"/>
  <c r="AZ26" i="64"/>
  <c r="AY26" i="64"/>
  <c r="AX26" i="64"/>
  <c r="AW26" i="64"/>
  <c r="BA25" i="64"/>
  <c r="AZ25" i="64"/>
  <c r="AY25" i="64"/>
  <c r="AX25" i="64"/>
  <c r="AW25" i="64"/>
  <c r="BA24" i="64"/>
  <c r="AZ24" i="64"/>
  <c r="AY24" i="64"/>
  <c r="AX24" i="64"/>
  <c r="AW24" i="64"/>
  <c r="BA23" i="64"/>
  <c r="AZ23" i="64"/>
  <c r="AY23" i="64"/>
  <c r="AX23" i="64"/>
  <c r="AW23" i="64"/>
  <c r="BA22" i="64"/>
  <c r="AZ22" i="64"/>
  <c r="AY22" i="64"/>
  <c r="AX22" i="64"/>
  <c r="AW22" i="64"/>
  <c r="BA21" i="64"/>
  <c r="AZ21" i="64"/>
  <c r="AY21" i="64"/>
  <c r="AX21" i="64"/>
  <c r="AW21" i="64"/>
  <c r="BA20" i="64"/>
  <c r="AZ20" i="64"/>
  <c r="AY20" i="64"/>
  <c r="AX20" i="64"/>
  <c r="AW20" i="64"/>
  <c r="BA19" i="64"/>
  <c r="AZ19" i="64"/>
  <c r="AY19" i="64"/>
  <c r="AX19" i="64"/>
  <c r="AW19" i="64"/>
  <c r="BA18" i="64"/>
  <c r="AZ18" i="64"/>
  <c r="AY18" i="64"/>
  <c r="AX18" i="64"/>
  <c r="AW18" i="64"/>
  <c r="AZ17" i="64"/>
  <c r="AY17" i="64"/>
  <c r="AX17" i="64"/>
  <c r="AW17" i="64"/>
  <c r="BA16" i="64"/>
  <c r="AZ16" i="64"/>
  <c r="AY16" i="64"/>
  <c r="AX16" i="64"/>
  <c r="AW16" i="64"/>
  <c r="BA15" i="64"/>
  <c r="AZ15" i="64"/>
  <c r="AY15" i="64"/>
  <c r="AX15" i="64"/>
  <c r="AW15" i="64"/>
  <c r="BA14" i="64"/>
  <c r="AZ14" i="64"/>
  <c r="AY14" i="64"/>
  <c r="AX14" i="64"/>
  <c r="AW14" i="64"/>
  <c r="BA13" i="64"/>
  <c r="AZ13" i="64"/>
  <c r="AY13" i="64"/>
  <c r="AX13" i="64"/>
  <c r="AW13" i="64"/>
  <c r="BA12" i="64"/>
  <c r="AZ12" i="64"/>
  <c r="AY12" i="64"/>
  <c r="AX12" i="64"/>
  <c r="AW12" i="64"/>
  <c r="C21" i="63"/>
  <c r="C12" i="64"/>
  <c r="C13" i="64"/>
  <c r="C14" i="64"/>
  <c r="C15" i="64"/>
  <c r="C16" i="64"/>
  <c r="C17" i="64"/>
  <c r="C18" i="64"/>
  <c r="C19" i="64"/>
  <c r="C20" i="64"/>
  <c r="C21" i="64"/>
  <c r="C23" i="64"/>
  <c r="C24" i="64"/>
  <c r="C25" i="64"/>
  <c r="C26" i="64"/>
  <c r="C27" i="64"/>
  <c r="AZ97" i="64"/>
  <c r="AY97" i="64"/>
  <c r="AX97" i="64"/>
  <c r="AW97" i="64"/>
  <c r="AV97" i="64"/>
  <c r="AU97" i="64"/>
  <c r="AT97" i="64"/>
  <c r="AS97" i="64"/>
  <c r="AR97" i="64"/>
  <c r="AQ97" i="64"/>
  <c r="AP97" i="64"/>
  <c r="AO97" i="64"/>
  <c r="AN97" i="64"/>
  <c r="AM97" i="64"/>
  <c r="AL97" i="64"/>
  <c r="AK97" i="64"/>
  <c r="AZ98" i="64"/>
  <c r="AY98" i="64"/>
  <c r="AX98" i="64"/>
  <c r="AW98" i="64"/>
  <c r="AV98" i="64"/>
  <c r="AU98" i="64"/>
  <c r="AT98" i="64"/>
  <c r="AS98" i="64"/>
  <c r="AR98" i="64"/>
  <c r="AQ98" i="64"/>
  <c r="AP98" i="64"/>
  <c r="AO98" i="64"/>
  <c r="AN98" i="64"/>
  <c r="AM98" i="64"/>
  <c r="AL98" i="64"/>
  <c r="AK98" i="64"/>
  <c r="AZ96" i="64"/>
  <c r="AY96" i="64"/>
  <c r="AX96" i="64"/>
  <c r="AW96" i="64"/>
  <c r="AV96" i="64"/>
  <c r="AU96" i="64"/>
  <c r="AT96" i="64"/>
  <c r="AS96" i="64"/>
  <c r="AR96" i="64"/>
  <c r="AQ96" i="64"/>
  <c r="AP96" i="64"/>
  <c r="AO96" i="64"/>
  <c r="AN96" i="64"/>
  <c r="AM96" i="64"/>
  <c r="AL96" i="64"/>
  <c r="AK96" i="64"/>
  <c r="AZ95" i="64"/>
  <c r="AY95" i="64"/>
  <c r="AX95" i="64"/>
  <c r="AW95" i="64"/>
  <c r="AV95" i="64"/>
  <c r="AU95" i="64"/>
  <c r="AT95" i="64"/>
  <c r="AS95" i="64"/>
  <c r="AR95" i="64"/>
  <c r="AQ95" i="64"/>
  <c r="AP95" i="64"/>
  <c r="AO95" i="64"/>
  <c r="AN95" i="64"/>
  <c r="AM95" i="64"/>
  <c r="AL95" i="64"/>
  <c r="AK95" i="64"/>
  <c r="AZ94" i="64"/>
  <c r="AY94" i="64"/>
  <c r="AX94" i="64"/>
  <c r="AW94" i="64"/>
  <c r="AV94" i="64"/>
  <c r="AU94" i="64"/>
  <c r="AT94" i="64"/>
  <c r="AS94" i="64"/>
  <c r="AR94" i="64"/>
  <c r="AQ94" i="64"/>
  <c r="AP94" i="64"/>
  <c r="AO94" i="64"/>
  <c r="AN94" i="64"/>
  <c r="AM94" i="64"/>
  <c r="AL94" i="64"/>
  <c r="AK94" i="64"/>
  <c r="AZ92" i="64"/>
  <c r="AY92" i="64"/>
  <c r="AX92" i="64"/>
  <c r="AW92" i="64"/>
  <c r="AV92" i="64"/>
  <c r="AU92" i="64"/>
  <c r="AT92" i="64"/>
  <c r="AS92" i="64"/>
  <c r="AR92" i="64"/>
  <c r="AQ92" i="64"/>
  <c r="AP92" i="64"/>
  <c r="AO92" i="64"/>
  <c r="AN92" i="64"/>
  <c r="AM92" i="64"/>
  <c r="AL92" i="64"/>
  <c r="AK92" i="64"/>
  <c r="AZ91" i="64"/>
  <c r="AY91" i="64"/>
  <c r="AX91" i="64"/>
  <c r="AW91" i="64"/>
  <c r="AV91" i="64"/>
  <c r="AU91" i="64"/>
  <c r="AT91" i="64"/>
  <c r="AS91" i="64"/>
  <c r="AR91" i="64"/>
  <c r="AQ91" i="64"/>
  <c r="AP91" i="64"/>
  <c r="AO91" i="64"/>
  <c r="AN91" i="64"/>
  <c r="AM91" i="64"/>
  <c r="AL91" i="64"/>
  <c r="AK91" i="64"/>
  <c r="AZ90" i="64"/>
  <c r="AY90" i="64"/>
  <c r="AX90" i="64"/>
  <c r="AW90" i="64"/>
  <c r="AV90" i="64"/>
  <c r="AU90" i="64"/>
  <c r="AT90" i="64"/>
  <c r="AS90" i="64"/>
  <c r="AR90" i="64"/>
  <c r="AQ90" i="64"/>
  <c r="AP90" i="64"/>
  <c r="AO90" i="64"/>
  <c r="AN90" i="64"/>
  <c r="AM90" i="64"/>
  <c r="AL90" i="64"/>
  <c r="AK90" i="64"/>
  <c r="AZ89" i="64"/>
  <c r="AY89" i="64"/>
  <c r="AX89" i="64"/>
  <c r="AW89" i="64"/>
  <c r="AV89" i="64"/>
  <c r="AU89" i="64"/>
  <c r="AT89" i="64"/>
  <c r="AS89" i="64"/>
  <c r="AR89" i="64"/>
  <c r="AQ89" i="64"/>
  <c r="AP89" i="64"/>
  <c r="AO89" i="64"/>
  <c r="AN89" i="64"/>
  <c r="AM89" i="64"/>
  <c r="AL89" i="64"/>
  <c r="AK89" i="64"/>
  <c r="AZ88" i="64"/>
  <c r="AY88" i="64"/>
  <c r="AX88" i="64"/>
  <c r="AW88" i="64"/>
  <c r="AV88" i="64"/>
  <c r="AU88" i="64"/>
  <c r="AT88" i="64"/>
  <c r="AS88" i="64"/>
  <c r="AR88" i="64"/>
  <c r="AQ88" i="64"/>
  <c r="AP88" i="64"/>
  <c r="AO88" i="64"/>
  <c r="AN88" i="64"/>
  <c r="AM88" i="64"/>
  <c r="AL88" i="64"/>
  <c r="AK88" i="64"/>
  <c r="AZ87" i="64"/>
  <c r="AY87" i="64"/>
  <c r="AX87" i="64"/>
  <c r="AW87" i="64"/>
  <c r="AV87" i="64"/>
  <c r="AU87" i="64"/>
  <c r="AT87" i="64"/>
  <c r="AS87" i="64"/>
  <c r="AR87" i="64"/>
  <c r="AQ87" i="64"/>
  <c r="AP87" i="64"/>
  <c r="AO87" i="64"/>
  <c r="AN87" i="64"/>
  <c r="AM87" i="64"/>
  <c r="AL87" i="64"/>
  <c r="AK87" i="64"/>
  <c r="AZ86" i="64"/>
  <c r="AY86" i="64"/>
  <c r="AX86" i="64"/>
  <c r="AW86" i="64"/>
  <c r="AV86" i="64"/>
  <c r="AU86" i="64"/>
  <c r="AT86" i="64"/>
  <c r="AS86" i="64"/>
  <c r="AR86" i="64"/>
  <c r="AQ86" i="64"/>
  <c r="AP86" i="64"/>
  <c r="AO86" i="64"/>
  <c r="AN86" i="64"/>
  <c r="AM86" i="64"/>
  <c r="AL86" i="64"/>
  <c r="AK86" i="64"/>
  <c r="AZ85" i="64"/>
  <c r="AY85" i="64"/>
  <c r="AX85" i="64"/>
  <c r="AW85" i="64"/>
  <c r="AV85" i="64"/>
  <c r="AU85" i="64"/>
  <c r="AT85" i="64"/>
  <c r="AS85" i="64"/>
  <c r="AR85" i="64"/>
  <c r="AQ85" i="64"/>
  <c r="AP85" i="64"/>
  <c r="AO85" i="64"/>
  <c r="AN85" i="64"/>
  <c r="AM85" i="64"/>
  <c r="AL85" i="64"/>
  <c r="AK85" i="64"/>
  <c r="AZ84" i="64"/>
  <c r="AY84" i="64"/>
  <c r="AX84" i="64"/>
  <c r="AW84" i="64"/>
  <c r="AV84" i="64"/>
  <c r="AU84" i="64"/>
  <c r="AT84" i="64"/>
  <c r="AS84" i="64"/>
  <c r="AR84" i="64"/>
  <c r="AQ84" i="64"/>
  <c r="AP84" i="64"/>
  <c r="AO84" i="64"/>
  <c r="AN84" i="64"/>
  <c r="AM84" i="64"/>
  <c r="AL84" i="64"/>
  <c r="AK84" i="64"/>
  <c r="AZ83" i="64"/>
  <c r="AY83" i="64"/>
  <c r="AX83" i="64"/>
  <c r="AW83" i="64"/>
  <c r="AV83" i="64"/>
  <c r="AU83" i="64"/>
  <c r="AT83" i="64"/>
  <c r="AS83" i="64"/>
  <c r="AR83" i="64"/>
  <c r="AQ83" i="64"/>
  <c r="AP83" i="64"/>
  <c r="AO83" i="64"/>
  <c r="AN83" i="64"/>
  <c r="AM83" i="64"/>
  <c r="AL83" i="64"/>
  <c r="AK83" i="64"/>
  <c r="AZ82" i="64"/>
  <c r="AY82" i="64"/>
  <c r="AX82" i="64"/>
  <c r="AW82" i="64"/>
  <c r="AV82" i="64"/>
  <c r="AU82" i="64"/>
  <c r="AT82" i="64"/>
  <c r="AS82" i="64"/>
  <c r="AR82" i="64"/>
  <c r="AQ82" i="64"/>
  <c r="AP82" i="64"/>
  <c r="AO82" i="64"/>
  <c r="AN82" i="64"/>
  <c r="AM82" i="64"/>
  <c r="AL82" i="64"/>
  <c r="AK82" i="64"/>
  <c r="AZ81" i="64"/>
  <c r="AY81" i="64"/>
  <c r="AX81" i="64"/>
  <c r="AW81" i="64"/>
  <c r="AV81" i="64"/>
  <c r="AU81" i="64"/>
  <c r="AT81" i="64"/>
  <c r="AS81" i="64"/>
  <c r="AR81" i="64"/>
  <c r="AQ81" i="64"/>
  <c r="AP81" i="64"/>
  <c r="AO81" i="64"/>
  <c r="AN81" i="64"/>
  <c r="AM81" i="64"/>
  <c r="AL81" i="64"/>
  <c r="AK81" i="64"/>
  <c r="AZ80" i="64"/>
  <c r="AY80" i="64"/>
  <c r="AX80" i="64"/>
  <c r="AW80" i="64"/>
  <c r="AV80" i="64"/>
  <c r="AU80" i="64"/>
  <c r="AT80" i="64"/>
  <c r="AS80" i="64"/>
  <c r="AR80" i="64"/>
  <c r="AQ80" i="64"/>
  <c r="AP80" i="64"/>
  <c r="AO80" i="64"/>
  <c r="AN80" i="64"/>
  <c r="AM80" i="64"/>
  <c r="AL80" i="64"/>
  <c r="AK80" i="64"/>
  <c r="AZ79" i="64"/>
  <c r="AY79" i="64"/>
  <c r="AX79" i="64"/>
  <c r="AW79" i="64"/>
  <c r="AV79" i="64"/>
  <c r="AU79" i="64"/>
  <c r="AT79" i="64"/>
  <c r="AS79" i="64"/>
  <c r="AR79" i="64"/>
  <c r="AQ79" i="64"/>
  <c r="AP79" i="64"/>
  <c r="AO79" i="64"/>
  <c r="AN79" i="64"/>
  <c r="AM79" i="64"/>
  <c r="AL79" i="64"/>
  <c r="AK79" i="64"/>
  <c r="AZ78" i="64"/>
  <c r="AY78" i="64"/>
  <c r="AX78" i="64"/>
  <c r="AW78" i="64"/>
  <c r="AV78" i="64"/>
  <c r="AU78" i="64"/>
  <c r="AT78" i="64"/>
  <c r="AS78" i="64"/>
  <c r="AR78" i="64"/>
  <c r="AQ78" i="64"/>
  <c r="AP78" i="64"/>
  <c r="AO78" i="64"/>
  <c r="AN78" i="64"/>
  <c r="AM78" i="64"/>
  <c r="AL78" i="64"/>
  <c r="AK78" i="64"/>
  <c r="AZ77" i="64"/>
  <c r="AY77" i="64"/>
  <c r="AX77" i="64"/>
  <c r="AW77" i="64"/>
  <c r="AV77" i="64"/>
  <c r="AU77" i="64"/>
  <c r="AT77" i="64"/>
  <c r="AS77" i="64"/>
  <c r="AR77" i="64"/>
  <c r="AQ77" i="64"/>
  <c r="AP77" i="64"/>
  <c r="AO77" i="64"/>
  <c r="AN77" i="64"/>
  <c r="AM77" i="64"/>
  <c r="AL77" i="64"/>
  <c r="AK77" i="64"/>
  <c r="AZ76" i="64"/>
  <c r="AY76" i="64"/>
  <c r="AX76" i="64"/>
  <c r="AW76" i="64"/>
  <c r="AV76" i="64"/>
  <c r="AU76" i="64"/>
  <c r="AT76" i="64"/>
  <c r="AS76" i="64"/>
  <c r="AR76" i="64"/>
  <c r="AQ76" i="64"/>
  <c r="AP76" i="64"/>
  <c r="AO76" i="64"/>
  <c r="AN76" i="64"/>
  <c r="AM76" i="64"/>
  <c r="AL76" i="64"/>
  <c r="AK76" i="64"/>
  <c r="AZ75" i="64"/>
  <c r="AY75" i="64"/>
  <c r="AX75" i="64"/>
  <c r="AW75" i="64"/>
  <c r="AV75" i="64"/>
  <c r="AU75" i="64"/>
  <c r="AT75" i="64"/>
  <c r="AS75" i="64"/>
  <c r="AR75" i="64"/>
  <c r="AQ75" i="64"/>
  <c r="AP75" i="64"/>
  <c r="AO75" i="64"/>
  <c r="AN75" i="64"/>
  <c r="AM75" i="64"/>
  <c r="AL75" i="64"/>
  <c r="AK75" i="64"/>
  <c r="AZ74" i="64"/>
  <c r="AY74" i="64"/>
  <c r="AX74" i="64"/>
  <c r="AW74" i="64"/>
  <c r="AV74" i="64"/>
  <c r="AU74" i="64"/>
  <c r="AT74" i="64"/>
  <c r="AS74" i="64"/>
  <c r="AR74" i="64"/>
  <c r="AQ74" i="64"/>
  <c r="AP74" i="64"/>
  <c r="AO74" i="64"/>
  <c r="AN74" i="64"/>
  <c r="AM74" i="64"/>
  <c r="AL74" i="64"/>
  <c r="AK74" i="64"/>
  <c r="AZ73" i="64"/>
  <c r="AY73" i="64"/>
  <c r="AX73" i="64"/>
  <c r="AW73" i="64"/>
  <c r="AV73" i="64"/>
  <c r="AU73" i="64"/>
  <c r="AT73" i="64"/>
  <c r="AS73" i="64"/>
  <c r="AR73" i="64"/>
  <c r="AQ73" i="64"/>
  <c r="AP73" i="64"/>
  <c r="AO73" i="64"/>
  <c r="AN73" i="64"/>
  <c r="AM73" i="64"/>
  <c r="AL73" i="64"/>
  <c r="AK73" i="64"/>
  <c r="AZ72" i="64"/>
  <c r="AY72" i="64"/>
  <c r="AX72" i="64"/>
  <c r="AW72" i="64"/>
  <c r="AV72" i="64"/>
  <c r="AU72" i="64"/>
  <c r="AT72" i="64"/>
  <c r="AS72" i="64"/>
  <c r="AR72" i="64"/>
  <c r="AQ72" i="64"/>
  <c r="AP72" i="64"/>
  <c r="AO72" i="64"/>
  <c r="AN72" i="64"/>
  <c r="AM72" i="64"/>
  <c r="AL72" i="64"/>
  <c r="AK72" i="64"/>
  <c r="AZ71" i="64"/>
  <c r="AY71" i="64"/>
  <c r="AX71" i="64"/>
  <c r="AW71" i="64"/>
  <c r="AV71" i="64"/>
  <c r="AU71" i="64"/>
  <c r="AT71" i="64"/>
  <c r="AS71" i="64"/>
  <c r="AR71" i="64"/>
  <c r="AQ71" i="64"/>
  <c r="AP71" i="64"/>
  <c r="AO71" i="64"/>
  <c r="AN71" i="64"/>
  <c r="AM71" i="64"/>
  <c r="AL71" i="64"/>
  <c r="AK71" i="64"/>
  <c r="AZ70" i="64"/>
  <c r="AY70" i="64"/>
  <c r="AX70" i="64"/>
  <c r="AW70" i="64"/>
  <c r="AV70" i="64"/>
  <c r="AU70" i="64"/>
  <c r="AT70" i="64"/>
  <c r="AS70" i="64"/>
  <c r="AR70" i="64"/>
  <c r="AQ70" i="64"/>
  <c r="AP70" i="64"/>
  <c r="AO70" i="64"/>
  <c r="AN70" i="64"/>
  <c r="AM70" i="64"/>
  <c r="AL70" i="64"/>
  <c r="AK70" i="64"/>
  <c r="AZ69" i="64"/>
  <c r="AY69" i="64"/>
  <c r="AX69" i="64"/>
  <c r="AW69" i="64"/>
  <c r="AV69" i="64"/>
  <c r="AU69" i="64"/>
  <c r="AT69" i="64"/>
  <c r="AS69" i="64"/>
  <c r="AR69" i="64"/>
  <c r="AQ69" i="64"/>
  <c r="AP69" i="64"/>
  <c r="AO69" i="64"/>
  <c r="AN69" i="64"/>
  <c r="AM69" i="64"/>
  <c r="AL69" i="64"/>
  <c r="AK69" i="64"/>
  <c r="AZ68" i="64"/>
  <c r="AY68" i="64"/>
  <c r="AX68" i="64"/>
  <c r="AW68" i="64"/>
  <c r="AV68" i="64"/>
  <c r="AU68" i="64"/>
  <c r="AT68" i="64"/>
  <c r="AS68" i="64"/>
  <c r="AR68" i="64"/>
  <c r="AQ68" i="64"/>
  <c r="AP68" i="64"/>
  <c r="AO68" i="64"/>
  <c r="AN68" i="64"/>
  <c r="AM68" i="64"/>
  <c r="AL68" i="64"/>
  <c r="AK68" i="64"/>
  <c r="AZ67" i="64"/>
  <c r="AY67" i="64"/>
  <c r="AX67" i="64"/>
  <c r="AW67" i="64"/>
  <c r="AV67" i="64"/>
  <c r="AU67" i="64"/>
  <c r="AT67" i="64"/>
  <c r="AS67" i="64"/>
  <c r="AR67" i="64"/>
  <c r="AQ67" i="64"/>
  <c r="AP67" i="64"/>
  <c r="AO67" i="64"/>
  <c r="AN67" i="64"/>
  <c r="AM67" i="64"/>
  <c r="AL67" i="64"/>
  <c r="AK67" i="64"/>
  <c r="AZ66" i="64"/>
  <c r="AY66" i="64"/>
  <c r="AX66" i="64"/>
  <c r="AW66" i="64"/>
  <c r="AV66" i="64"/>
  <c r="AU66" i="64"/>
  <c r="AT66" i="64"/>
  <c r="AS66" i="64"/>
  <c r="AR66" i="64"/>
  <c r="AQ66" i="64"/>
  <c r="AP66" i="64"/>
  <c r="AO66" i="64"/>
  <c r="AN66" i="64"/>
  <c r="AM66" i="64"/>
  <c r="AL66" i="64"/>
  <c r="AK66" i="64"/>
  <c r="AZ65" i="64"/>
  <c r="AY65" i="64"/>
  <c r="AX65" i="64"/>
  <c r="AW65" i="64"/>
  <c r="AV65" i="64"/>
  <c r="AU65" i="64"/>
  <c r="AT65" i="64"/>
  <c r="AS65" i="64"/>
  <c r="AR65" i="64"/>
  <c r="AQ65" i="64"/>
  <c r="AP65" i="64"/>
  <c r="AO65" i="64"/>
  <c r="AN65" i="64"/>
  <c r="AM65" i="64"/>
  <c r="AL65" i="64"/>
  <c r="AK65" i="64"/>
  <c r="AZ64" i="64"/>
  <c r="AY64" i="64"/>
  <c r="AX64" i="64"/>
  <c r="AW64" i="64"/>
  <c r="AV64" i="64"/>
  <c r="AU64" i="64"/>
  <c r="AT64" i="64"/>
  <c r="AS64" i="64"/>
  <c r="AR64" i="64"/>
  <c r="AQ64" i="64"/>
  <c r="AP64" i="64"/>
  <c r="AO64" i="64"/>
  <c r="AN64" i="64"/>
  <c r="AM64" i="64"/>
  <c r="AL64" i="64"/>
  <c r="AK64" i="64"/>
  <c r="AZ63" i="64"/>
  <c r="AY63" i="64"/>
  <c r="AX63" i="64"/>
  <c r="AW63" i="64"/>
  <c r="AV63" i="64"/>
  <c r="AU63" i="64"/>
  <c r="AT63" i="64"/>
  <c r="AS63" i="64"/>
  <c r="AR63" i="64"/>
  <c r="AQ63" i="64"/>
  <c r="AP63" i="64"/>
  <c r="AO63" i="64"/>
  <c r="AN63" i="64"/>
  <c r="AM63" i="64"/>
  <c r="AL63" i="64"/>
  <c r="AK63" i="64"/>
  <c r="AZ62" i="64"/>
  <c r="AY62" i="64"/>
  <c r="AX62" i="64"/>
  <c r="AW62" i="64"/>
  <c r="AV62" i="64"/>
  <c r="AU62" i="64"/>
  <c r="AT62" i="64"/>
  <c r="AS62" i="64"/>
  <c r="AR62" i="64"/>
  <c r="AQ62" i="64"/>
  <c r="AP62" i="64"/>
  <c r="AO62" i="64"/>
  <c r="AN62" i="64"/>
  <c r="AM62" i="64"/>
  <c r="AL62" i="64"/>
  <c r="AK62" i="64"/>
  <c r="AZ61" i="64"/>
  <c r="AY61" i="64"/>
  <c r="AX61" i="64"/>
  <c r="AW61" i="64"/>
  <c r="AV61" i="64"/>
  <c r="AU61" i="64"/>
  <c r="AT61" i="64"/>
  <c r="AS61" i="64"/>
  <c r="AR61" i="64"/>
  <c r="AQ61" i="64"/>
  <c r="AP61" i="64"/>
  <c r="AO61" i="64"/>
  <c r="AN61" i="64"/>
  <c r="AM61" i="64"/>
  <c r="AL61" i="64"/>
  <c r="AK61" i="64"/>
  <c r="AZ60" i="64"/>
  <c r="AY60" i="64"/>
  <c r="AX60" i="64"/>
  <c r="AW60" i="64"/>
  <c r="AV60" i="64"/>
  <c r="AU60" i="64"/>
  <c r="AT60" i="64"/>
  <c r="AS60" i="64"/>
  <c r="AR60" i="64"/>
  <c r="AQ60" i="64"/>
  <c r="AP60" i="64"/>
  <c r="AO60" i="64"/>
  <c r="AN60" i="64"/>
  <c r="AM60" i="64"/>
  <c r="AL60" i="64"/>
  <c r="AK60" i="64"/>
  <c r="AZ59" i="64"/>
  <c r="AY59" i="64"/>
  <c r="AX59" i="64"/>
  <c r="AW59" i="64"/>
  <c r="AV59" i="64"/>
  <c r="AU59" i="64"/>
  <c r="AT59" i="64"/>
  <c r="AS59" i="64"/>
  <c r="AR59" i="64"/>
  <c r="AQ59" i="64"/>
  <c r="AP59" i="64"/>
  <c r="AO59" i="64"/>
  <c r="AN59" i="64"/>
  <c r="AM59" i="64"/>
  <c r="AL59" i="64"/>
  <c r="AK59" i="64"/>
  <c r="AZ58" i="64"/>
  <c r="AY58" i="64"/>
  <c r="AX58" i="64"/>
  <c r="AW58" i="64"/>
  <c r="AV58" i="64"/>
  <c r="AU58" i="64"/>
  <c r="AT58" i="64"/>
  <c r="AS58" i="64"/>
  <c r="AR58" i="64"/>
  <c r="AQ58" i="64"/>
  <c r="AP58" i="64"/>
  <c r="AO58" i="64"/>
  <c r="AN58" i="64"/>
  <c r="AM58" i="64"/>
  <c r="AL58" i="64"/>
  <c r="AK58" i="64"/>
  <c r="AZ57" i="64"/>
  <c r="AY57" i="64"/>
  <c r="AX57" i="64"/>
  <c r="AW57" i="64"/>
  <c r="AV57" i="64"/>
  <c r="AU57" i="64"/>
  <c r="AT57" i="64"/>
  <c r="AS57" i="64"/>
  <c r="AR57" i="64"/>
  <c r="AQ57" i="64"/>
  <c r="AP57" i="64"/>
  <c r="AO57" i="64"/>
  <c r="AN57" i="64"/>
  <c r="AM57" i="64"/>
  <c r="AL57" i="64"/>
  <c r="AK57" i="64"/>
  <c r="AZ56" i="64"/>
  <c r="AY56" i="64"/>
  <c r="AX56" i="64"/>
  <c r="AW56" i="64"/>
  <c r="AV56" i="64"/>
  <c r="AU56" i="64"/>
  <c r="AT56" i="64"/>
  <c r="AS56" i="64"/>
  <c r="AR56" i="64"/>
  <c r="AQ56" i="64"/>
  <c r="AP56" i="64"/>
  <c r="AO56" i="64"/>
  <c r="AN56" i="64"/>
  <c r="AM56" i="64"/>
  <c r="AL56" i="64"/>
  <c r="AK56" i="64"/>
  <c r="AZ55" i="64"/>
  <c r="AY55" i="64"/>
  <c r="AX55" i="64"/>
  <c r="AW55" i="64"/>
  <c r="AV55" i="64"/>
  <c r="AU55" i="64"/>
  <c r="AT55" i="64"/>
  <c r="AS55" i="64"/>
  <c r="AR55" i="64"/>
  <c r="AQ55" i="64"/>
  <c r="AP55" i="64"/>
  <c r="AO55" i="64"/>
  <c r="AN55" i="64"/>
  <c r="AM55" i="64"/>
  <c r="AL55" i="64"/>
  <c r="AK55" i="64"/>
  <c r="AZ54" i="64"/>
  <c r="AY54" i="64"/>
  <c r="AX54" i="64"/>
  <c r="AW54" i="64"/>
  <c r="AV54" i="64"/>
  <c r="AU54" i="64"/>
  <c r="AT54" i="64"/>
  <c r="AS54" i="64"/>
  <c r="AR54" i="64"/>
  <c r="AQ54" i="64"/>
  <c r="AP54" i="64"/>
  <c r="AO54" i="64"/>
  <c r="AN54" i="64"/>
  <c r="AM54" i="64"/>
  <c r="AL54" i="64"/>
  <c r="AK54" i="64"/>
  <c r="AZ53" i="64"/>
  <c r="AY53" i="64"/>
  <c r="AX53" i="64"/>
  <c r="AW53" i="64"/>
  <c r="AV53" i="64"/>
  <c r="AU53" i="64"/>
  <c r="AT53" i="64"/>
  <c r="AS53" i="64"/>
  <c r="AR53" i="64"/>
  <c r="AQ53" i="64"/>
  <c r="AP53" i="64"/>
  <c r="AO53" i="64"/>
  <c r="AN53" i="64"/>
  <c r="AM53" i="64"/>
  <c r="AL53" i="64"/>
  <c r="AK53" i="64"/>
  <c r="AZ52" i="64"/>
  <c r="AY52" i="64"/>
  <c r="AX52" i="64"/>
  <c r="AW52" i="64"/>
  <c r="AV52" i="64"/>
  <c r="AU52" i="64"/>
  <c r="AT52" i="64"/>
  <c r="AS52" i="64"/>
  <c r="AR52" i="64"/>
  <c r="AQ52" i="64"/>
  <c r="AP52" i="64"/>
  <c r="AO52" i="64"/>
  <c r="AN52" i="64"/>
  <c r="AM52" i="64"/>
  <c r="AL52" i="64"/>
  <c r="AK52" i="64"/>
  <c r="AZ51" i="64"/>
  <c r="AY51" i="64"/>
  <c r="AX51" i="64"/>
  <c r="AW51" i="64"/>
  <c r="AV51" i="64"/>
  <c r="AU51" i="64"/>
  <c r="AT51" i="64"/>
  <c r="AS51" i="64"/>
  <c r="AR51" i="64"/>
  <c r="AQ51" i="64"/>
  <c r="AP51" i="64"/>
  <c r="AO51" i="64"/>
  <c r="AN51" i="64"/>
  <c r="AM51" i="64"/>
  <c r="AL51" i="64"/>
  <c r="AK51" i="64"/>
  <c r="AZ50" i="64"/>
  <c r="AY50" i="64"/>
  <c r="AX50" i="64"/>
  <c r="AW50" i="64"/>
  <c r="AV50" i="64"/>
  <c r="AU50" i="64"/>
  <c r="AT50" i="64"/>
  <c r="AS50" i="64"/>
  <c r="AR50" i="64"/>
  <c r="AQ50" i="64"/>
  <c r="AP50" i="64"/>
  <c r="AO50" i="64"/>
  <c r="AN50" i="64"/>
  <c r="AM50" i="64"/>
  <c r="AL50" i="64"/>
  <c r="AK50" i="64"/>
  <c r="AZ49" i="64"/>
  <c r="AY49" i="64"/>
  <c r="AX49" i="64"/>
  <c r="AW49" i="64"/>
  <c r="AV49" i="64"/>
  <c r="AU49" i="64"/>
  <c r="AT49" i="64"/>
  <c r="AS49" i="64"/>
  <c r="AR49" i="64"/>
  <c r="AQ49" i="64"/>
  <c r="AP49" i="64"/>
  <c r="AO49" i="64"/>
  <c r="AN49" i="64"/>
  <c r="AM49" i="64"/>
  <c r="AL49" i="64"/>
  <c r="AK49" i="64"/>
  <c r="AZ48" i="64"/>
  <c r="AY48" i="64"/>
  <c r="AX48" i="64"/>
  <c r="AW48" i="64"/>
  <c r="AV48" i="64"/>
  <c r="AU48" i="64"/>
  <c r="AT48" i="64"/>
  <c r="AS48" i="64"/>
  <c r="AR48" i="64"/>
  <c r="AQ48" i="64"/>
  <c r="AP48" i="64"/>
  <c r="AO48" i="64"/>
  <c r="AN48" i="64"/>
  <c r="AM48" i="64"/>
  <c r="AL48" i="64"/>
  <c r="AK48" i="64"/>
  <c r="AZ47" i="64"/>
  <c r="AY47" i="64"/>
  <c r="AX47" i="64"/>
  <c r="AW47" i="64"/>
  <c r="AV47" i="64"/>
  <c r="AU47" i="64"/>
  <c r="AT47" i="64"/>
  <c r="AS47" i="64"/>
  <c r="AR47" i="64"/>
  <c r="AQ47" i="64"/>
  <c r="AP47" i="64"/>
  <c r="AO47" i="64"/>
  <c r="AN47" i="64"/>
  <c r="AM47" i="64"/>
  <c r="AL47" i="64"/>
  <c r="AK47" i="64"/>
  <c r="AV27" i="64"/>
  <c r="AU27" i="64"/>
  <c r="AT27" i="64"/>
  <c r="AS27" i="64"/>
  <c r="AR27" i="64"/>
  <c r="AQ27" i="64"/>
  <c r="AP27" i="64"/>
  <c r="AO27" i="64"/>
  <c r="AN27" i="64"/>
  <c r="AM27" i="64"/>
  <c r="AL27" i="64"/>
  <c r="AK27" i="64"/>
  <c r="AJ27" i="64"/>
  <c r="AI27" i="64"/>
  <c r="AH27" i="64"/>
  <c r="AG27" i="64"/>
  <c r="AF27" i="64"/>
  <c r="AE27" i="64"/>
  <c r="AD27" i="64"/>
  <c r="AC27" i="64"/>
  <c r="AB27" i="64"/>
  <c r="AA27" i="64"/>
  <c r="Z27" i="64"/>
  <c r="Y27" i="64"/>
  <c r="X27" i="64"/>
  <c r="W27" i="64"/>
  <c r="V27" i="64"/>
  <c r="U27" i="64"/>
  <c r="T27" i="64"/>
  <c r="S27" i="64"/>
  <c r="R27" i="64"/>
  <c r="Q27" i="64"/>
  <c r="P27" i="64"/>
  <c r="O27" i="64"/>
  <c r="N27" i="64"/>
  <c r="M27" i="64"/>
  <c r="L27" i="64"/>
  <c r="K27" i="64"/>
  <c r="J27" i="64"/>
  <c r="I27" i="64"/>
  <c r="H27" i="64"/>
  <c r="G27" i="64"/>
  <c r="F27" i="64"/>
  <c r="E27" i="64"/>
  <c r="D27" i="64"/>
  <c r="AV26" i="64"/>
  <c r="AU26" i="64"/>
  <c r="AT26" i="64"/>
  <c r="AS26" i="64"/>
  <c r="AR26" i="64"/>
  <c r="AQ26" i="64"/>
  <c r="AP26" i="64"/>
  <c r="AO26" i="64"/>
  <c r="AN26" i="64"/>
  <c r="AM26" i="64"/>
  <c r="AL26" i="64"/>
  <c r="AK26" i="64"/>
  <c r="AJ26" i="64"/>
  <c r="AI26" i="64"/>
  <c r="AH26" i="64"/>
  <c r="AG26" i="64"/>
  <c r="AF26" i="64"/>
  <c r="AE26" i="64"/>
  <c r="AD26" i="64"/>
  <c r="AC26" i="64"/>
  <c r="AB26" i="64"/>
  <c r="AA26" i="64"/>
  <c r="Z26" i="64"/>
  <c r="Y26" i="64"/>
  <c r="X26" i="64"/>
  <c r="W26" i="64"/>
  <c r="V26" i="64"/>
  <c r="U26" i="64"/>
  <c r="T26" i="64"/>
  <c r="S26" i="64"/>
  <c r="R26" i="64"/>
  <c r="Q26" i="64"/>
  <c r="P26" i="64"/>
  <c r="O26" i="64"/>
  <c r="N26" i="64"/>
  <c r="M26" i="64"/>
  <c r="L26" i="64"/>
  <c r="K26" i="64"/>
  <c r="J26" i="64"/>
  <c r="I26" i="64"/>
  <c r="H26" i="64"/>
  <c r="G26" i="64"/>
  <c r="F26" i="64"/>
  <c r="E26" i="64"/>
  <c r="D26" i="64"/>
  <c r="AV25" i="64"/>
  <c r="AU25" i="64"/>
  <c r="AT25" i="64"/>
  <c r="AS25" i="64"/>
  <c r="AR25" i="64"/>
  <c r="AQ25" i="64"/>
  <c r="AP25" i="64"/>
  <c r="AO25" i="64"/>
  <c r="AN25" i="64"/>
  <c r="AM25" i="64"/>
  <c r="AL25" i="64"/>
  <c r="AK25" i="64"/>
  <c r="AJ25" i="64"/>
  <c r="AI25" i="64"/>
  <c r="AH25" i="64"/>
  <c r="AG25" i="64"/>
  <c r="AF25" i="64"/>
  <c r="AE25" i="64"/>
  <c r="AD25" i="64"/>
  <c r="AC25" i="64"/>
  <c r="AB25" i="64"/>
  <c r="AA25" i="64"/>
  <c r="Z25" i="64"/>
  <c r="Y25" i="64"/>
  <c r="X25" i="64"/>
  <c r="W25" i="64"/>
  <c r="V25" i="64"/>
  <c r="U25" i="64"/>
  <c r="T25" i="64"/>
  <c r="S25" i="64"/>
  <c r="R25" i="64"/>
  <c r="Q25" i="64"/>
  <c r="P25" i="64"/>
  <c r="O25" i="64"/>
  <c r="N25" i="64"/>
  <c r="M25" i="64"/>
  <c r="L25" i="64"/>
  <c r="K25" i="64"/>
  <c r="J25" i="64"/>
  <c r="I25" i="64"/>
  <c r="H25" i="64"/>
  <c r="G25" i="64"/>
  <c r="F25" i="64"/>
  <c r="E25" i="64"/>
  <c r="D25" i="64"/>
  <c r="AV24" i="64"/>
  <c r="AU24" i="64"/>
  <c r="AT24" i="64"/>
  <c r="AS24" i="64"/>
  <c r="AR24" i="64"/>
  <c r="AQ24" i="64"/>
  <c r="AP24" i="64"/>
  <c r="AO24" i="64"/>
  <c r="AN24" i="64"/>
  <c r="AM24" i="64"/>
  <c r="AL24" i="64"/>
  <c r="AK24" i="64"/>
  <c r="AJ24" i="64"/>
  <c r="AI24" i="64"/>
  <c r="AH24" i="64"/>
  <c r="AG24" i="64"/>
  <c r="AF24" i="64"/>
  <c r="AE24" i="64"/>
  <c r="AD24" i="64"/>
  <c r="AC24" i="64"/>
  <c r="AB24" i="64"/>
  <c r="AA24" i="64"/>
  <c r="Z24" i="64"/>
  <c r="Y24" i="64"/>
  <c r="X24" i="64"/>
  <c r="W24" i="64"/>
  <c r="V24" i="64"/>
  <c r="U24" i="64"/>
  <c r="T24" i="64"/>
  <c r="S24" i="64"/>
  <c r="R24" i="64"/>
  <c r="Q24" i="64"/>
  <c r="P24" i="64"/>
  <c r="O24" i="64"/>
  <c r="N24" i="64"/>
  <c r="M24" i="64"/>
  <c r="L24" i="64"/>
  <c r="K24" i="64"/>
  <c r="J24" i="64"/>
  <c r="I24" i="64"/>
  <c r="H24" i="64"/>
  <c r="G24" i="64"/>
  <c r="F24" i="64"/>
  <c r="E24" i="64"/>
  <c r="D24" i="64"/>
  <c r="AV23" i="64"/>
  <c r="AU23" i="64"/>
  <c r="AT23" i="64"/>
  <c r="AS23" i="64"/>
  <c r="AR23" i="64"/>
  <c r="AQ23" i="64"/>
  <c r="AP23" i="64"/>
  <c r="AO23" i="64"/>
  <c r="AN23" i="64"/>
  <c r="AM23" i="64"/>
  <c r="AL23" i="64"/>
  <c r="AK23" i="64"/>
  <c r="AJ23" i="64"/>
  <c r="AI23" i="64"/>
  <c r="AH23" i="64"/>
  <c r="AG23" i="64"/>
  <c r="AF23" i="64"/>
  <c r="AE23" i="64"/>
  <c r="AD23" i="64"/>
  <c r="AC23" i="64"/>
  <c r="AB23" i="64"/>
  <c r="AA23" i="64"/>
  <c r="Z23" i="64"/>
  <c r="Y23" i="64"/>
  <c r="X23" i="64"/>
  <c r="W23" i="64"/>
  <c r="V23" i="64"/>
  <c r="U23" i="64"/>
  <c r="T23" i="64"/>
  <c r="S23" i="64"/>
  <c r="R23" i="64"/>
  <c r="Q23" i="64"/>
  <c r="P23" i="64"/>
  <c r="O23" i="64"/>
  <c r="N23" i="64"/>
  <c r="M23" i="64"/>
  <c r="L23" i="64"/>
  <c r="K23" i="64"/>
  <c r="J23" i="64"/>
  <c r="I23" i="64"/>
  <c r="H23" i="64"/>
  <c r="G23" i="64"/>
  <c r="F23" i="64"/>
  <c r="E23" i="64"/>
  <c r="D23" i="64"/>
  <c r="AV22" i="64"/>
  <c r="AU22" i="64"/>
  <c r="AT22" i="64"/>
  <c r="AS22" i="64"/>
  <c r="AR22" i="64"/>
  <c r="AQ22" i="64"/>
  <c r="AP22" i="64"/>
  <c r="AO22" i="64"/>
  <c r="AN22" i="64"/>
  <c r="AM22" i="64"/>
  <c r="AL22" i="64"/>
  <c r="AK22" i="64"/>
  <c r="AJ22" i="64"/>
  <c r="AI22" i="64"/>
  <c r="AH22" i="64"/>
  <c r="AG22" i="64"/>
  <c r="AF22" i="64"/>
  <c r="AE22" i="64"/>
  <c r="AD22" i="64"/>
  <c r="AC22" i="64"/>
  <c r="AB22" i="64"/>
  <c r="AA22" i="64"/>
  <c r="Z22" i="64"/>
  <c r="Y22" i="64"/>
  <c r="X22" i="64"/>
  <c r="W22" i="64"/>
  <c r="V22" i="64"/>
  <c r="U22" i="64"/>
  <c r="T22" i="64"/>
  <c r="S22" i="64"/>
  <c r="R22" i="64"/>
  <c r="Q22" i="64"/>
  <c r="P22" i="64"/>
  <c r="O22" i="64"/>
  <c r="N22" i="64"/>
  <c r="M22" i="64"/>
  <c r="L22" i="64"/>
  <c r="K22" i="64"/>
  <c r="J22" i="64"/>
  <c r="I22" i="64"/>
  <c r="H22" i="64"/>
  <c r="G22" i="64"/>
  <c r="F22" i="64"/>
  <c r="E22" i="64"/>
  <c r="D22" i="64"/>
  <c r="AV21" i="64"/>
  <c r="AU21" i="64"/>
  <c r="AT21" i="64"/>
  <c r="AS21" i="64"/>
  <c r="AR21" i="64"/>
  <c r="AQ21" i="64"/>
  <c r="AP21" i="64"/>
  <c r="AO21" i="64"/>
  <c r="AN21" i="64"/>
  <c r="AM21" i="64"/>
  <c r="AL21" i="64"/>
  <c r="AK21" i="64"/>
  <c r="AJ21" i="64"/>
  <c r="AI21" i="64"/>
  <c r="AH21" i="64"/>
  <c r="AG21" i="64"/>
  <c r="AF21" i="64"/>
  <c r="AE21" i="64"/>
  <c r="AD21" i="64"/>
  <c r="AC21" i="64"/>
  <c r="AB21" i="64"/>
  <c r="AA21" i="64"/>
  <c r="Z21" i="64"/>
  <c r="Y21" i="64"/>
  <c r="X21" i="64"/>
  <c r="W21" i="64"/>
  <c r="V21" i="64"/>
  <c r="U21" i="64"/>
  <c r="T21" i="64"/>
  <c r="S21" i="64"/>
  <c r="R21" i="64"/>
  <c r="Q21" i="64"/>
  <c r="P21" i="64"/>
  <c r="O21" i="64"/>
  <c r="N21" i="64"/>
  <c r="M21" i="64"/>
  <c r="L21" i="64"/>
  <c r="K21" i="64"/>
  <c r="J21" i="64"/>
  <c r="I21" i="64"/>
  <c r="H21" i="64"/>
  <c r="G21" i="64"/>
  <c r="F21" i="64"/>
  <c r="E21" i="64"/>
  <c r="D21" i="64"/>
  <c r="AV20" i="64"/>
  <c r="AU20" i="64"/>
  <c r="AT20" i="64"/>
  <c r="AS20" i="64"/>
  <c r="AR20" i="64"/>
  <c r="AQ20" i="64"/>
  <c r="AP20" i="64"/>
  <c r="AO20" i="64"/>
  <c r="AN20" i="64"/>
  <c r="AM20" i="64"/>
  <c r="AL20" i="64"/>
  <c r="AK20" i="64"/>
  <c r="AJ20" i="64"/>
  <c r="AI20" i="64"/>
  <c r="AH20" i="64"/>
  <c r="AG20" i="64"/>
  <c r="AF20" i="64"/>
  <c r="AE20" i="64"/>
  <c r="AD20" i="64"/>
  <c r="AC20" i="64"/>
  <c r="AB20" i="64"/>
  <c r="AA20" i="64"/>
  <c r="Z20" i="64"/>
  <c r="Y20" i="64"/>
  <c r="X20" i="64"/>
  <c r="W20" i="64"/>
  <c r="V20" i="64"/>
  <c r="U20" i="64"/>
  <c r="T20" i="64"/>
  <c r="S20" i="64"/>
  <c r="R20" i="64"/>
  <c r="Q20" i="64"/>
  <c r="P20" i="64"/>
  <c r="O20" i="64"/>
  <c r="N20" i="64"/>
  <c r="M20" i="64"/>
  <c r="L20" i="64"/>
  <c r="K20" i="64"/>
  <c r="J20" i="64"/>
  <c r="I20" i="64"/>
  <c r="H20" i="64"/>
  <c r="G20" i="64"/>
  <c r="F20" i="64"/>
  <c r="E20" i="64"/>
  <c r="D20" i="64"/>
  <c r="AV19" i="64"/>
  <c r="AU19" i="64"/>
  <c r="AT19" i="64"/>
  <c r="AS19" i="64"/>
  <c r="AR19" i="64"/>
  <c r="AQ19" i="64"/>
  <c r="AP19" i="64"/>
  <c r="AO19" i="64"/>
  <c r="AN19" i="64"/>
  <c r="AM19" i="64"/>
  <c r="AL19" i="64"/>
  <c r="AK19" i="64"/>
  <c r="AJ19" i="64"/>
  <c r="AI19" i="64"/>
  <c r="AH19" i="64"/>
  <c r="AG19" i="64"/>
  <c r="AF19" i="64"/>
  <c r="AE19" i="64"/>
  <c r="AD19" i="64"/>
  <c r="AC19" i="64"/>
  <c r="AB19" i="64"/>
  <c r="AA19" i="64"/>
  <c r="Z19" i="64"/>
  <c r="Y19" i="64"/>
  <c r="X19" i="64"/>
  <c r="W19" i="64"/>
  <c r="V19" i="64"/>
  <c r="U19" i="64"/>
  <c r="T19" i="64"/>
  <c r="S19" i="64"/>
  <c r="R19" i="64"/>
  <c r="Q19" i="64"/>
  <c r="P19" i="64"/>
  <c r="O19" i="64"/>
  <c r="N19" i="64"/>
  <c r="M19" i="64"/>
  <c r="L19" i="64"/>
  <c r="K19" i="64"/>
  <c r="J19" i="64"/>
  <c r="I19" i="64"/>
  <c r="H19" i="64"/>
  <c r="G19" i="64"/>
  <c r="F19" i="64"/>
  <c r="E19" i="64"/>
  <c r="D19" i="64"/>
  <c r="AV18" i="64"/>
  <c r="AU18" i="64"/>
  <c r="AT18" i="64"/>
  <c r="AS18" i="64"/>
  <c r="AR18" i="64"/>
  <c r="AQ18" i="64"/>
  <c r="AP18" i="64"/>
  <c r="AO18" i="64"/>
  <c r="AN18" i="64"/>
  <c r="AM18" i="64"/>
  <c r="AL18" i="64"/>
  <c r="AK18" i="64"/>
  <c r="AJ18" i="64"/>
  <c r="AI18" i="64"/>
  <c r="AH18" i="64"/>
  <c r="AG18" i="64"/>
  <c r="AF18" i="64"/>
  <c r="AE18" i="64"/>
  <c r="AD18" i="64"/>
  <c r="AC18" i="64"/>
  <c r="AB18" i="64"/>
  <c r="AA18" i="64"/>
  <c r="Z18" i="64"/>
  <c r="Y18" i="64"/>
  <c r="X18" i="64"/>
  <c r="W18" i="64"/>
  <c r="V18" i="64"/>
  <c r="U18" i="64"/>
  <c r="T18" i="64"/>
  <c r="S18" i="64"/>
  <c r="R18" i="64"/>
  <c r="Q18" i="64"/>
  <c r="P18" i="64"/>
  <c r="O18" i="64"/>
  <c r="N18" i="64"/>
  <c r="M18" i="64"/>
  <c r="L18" i="64"/>
  <c r="K18" i="64"/>
  <c r="J18" i="64"/>
  <c r="I18" i="64"/>
  <c r="H18" i="64"/>
  <c r="G18" i="64"/>
  <c r="F18" i="64"/>
  <c r="E18" i="64"/>
  <c r="D18" i="64"/>
  <c r="AV17" i="64"/>
  <c r="AU17" i="64"/>
  <c r="AT17" i="64"/>
  <c r="AS17" i="64"/>
  <c r="AR17" i="64"/>
  <c r="AQ17" i="64"/>
  <c r="AP17" i="64"/>
  <c r="AO17" i="64"/>
  <c r="AN17" i="64"/>
  <c r="AM17" i="64"/>
  <c r="AL17" i="64"/>
  <c r="AK17" i="64"/>
  <c r="AJ17" i="64"/>
  <c r="AI17" i="64"/>
  <c r="AH17" i="64"/>
  <c r="AG17" i="64"/>
  <c r="AF17" i="64"/>
  <c r="AE17" i="64"/>
  <c r="AD17" i="64"/>
  <c r="AC17" i="64"/>
  <c r="AB17" i="64"/>
  <c r="AA17" i="64"/>
  <c r="Z17" i="64"/>
  <c r="Y17" i="64"/>
  <c r="X17" i="64"/>
  <c r="W17" i="64"/>
  <c r="V17" i="64"/>
  <c r="U17" i="64"/>
  <c r="T17" i="64"/>
  <c r="S17" i="64"/>
  <c r="R17" i="64"/>
  <c r="Q17" i="64"/>
  <c r="P17" i="64"/>
  <c r="O17" i="64"/>
  <c r="N17" i="64"/>
  <c r="M17" i="64"/>
  <c r="L17" i="64"/>
  <c r="K17" i="64"/>
  <c r="J17" i="64"/>
  <c r="I17" i="64"/>
  <c r="H17" i="64"/>
  <c r="G17" i="64"/>
  <c r="F17" i="64"/>
  <c r="E17" i="64"/>
  <c r="D17" i="64"/>
  <c r="AV16" i="64"/>
  <c r="AU16" i="64"/>
  <c r="AT16" i="64"/>
  <c r="AS16" i="64"/>
  <c r="AR16" i="64"/>
  <c r="AQ16" i="64"/>
  <c r="AP16" i="64"/>
  <c r="AO16" i="64"/>
  <c r="AN16" i="64"/>
  <c r="AM16" i="64"/>
  <c r="AL16" i="64"/>
  <c r="AK16" i="64"/>
  <c r="AJ16" i="64"/>
  <c r="AI16" i="64"/>
  <c r="AH16" i="64"/>
  <c r="AG16" i="64"/>
  <c r="AF16" i="64"/>
  <c r="AE16" i="64"/>
  <c r="AD16" i="64"/>
  <c r="AC16" i="64"/>
  <c r="AB16" i="64"/>
  <c r="AA16" i="64"/>
  <c r="Z16" i="64"/>
  <c r="Y16" i="64"/>
  <c r="X16" i="64"/>
  <c r="W16" i="64"/>
  <c r="V16" i="64"/>
  <c r="U16" i="64"/>
  <c r="T16" i="64"/>
  <c r="S16" i="64"/>
  <c r="R16" i="64"/>
  <c r="Q16" i="64"/>
  <c r="P16" i="64"/>
  <c r="O16" i="64"/>
  <c r="N16" i="64"/>
  <c r="M16" i="64"/>
  <c r="L16" i="64"/>
  <c r="K16" i="64"/>
  <c r="J16" i="64"/>
  <c r="I16" i="64"/>
  <c r="H16" i="64"/>
  <c r="G16" i="64"/>
  <c r="F16" i="64"/>
  <c r="E16" i="64"/>
  <c r="D16" i="64"/>
  <c r="AV15" i="64"/>
  <c r="AU15" i="64"/>
  <c r="AT15" i="64"/>
  <c r="AS15" i="64"/>
  <c r="AR15" i="64"/>
  <c r="AQ15" i="64"/>
  <c r="AP15" i="64"/>
  <c r="AO15" i="64"/>
  <c r="AN15" i="64"/>
  <c r="AM15" i="64"/>
  <c r="AL15" i="64"/>
  <c r="AK15" i="64"/>
  <c r="AJ15" i="64"/>
  <c r="AI15" i="64"/>
  <c r="AH15" i="64"/>
  <c r="AG15" i="64"/>
  <c r="AF15" i="64"/>
  <c r="AE15" i="64"/>
  <c r="AD15" i="64"/>
  <c r="AC15" i="64"/>
  <c r="AB15" i="64"/>
  <c r="AA15" i="64"/>
  <c r="Z15" i="64"/>
  <c r="Y15" i="64"/>
  <c r="X15" i="64"/>
  <c r="W15" i="64"/>
  <c r="V15" i="64"/>
  <c r="U15" i="64"/>
  <c r="T15" i="64"/>
  <c r="S15" i="64"/>
  <c r="R15" i="64"/>
  <c r="Q15" i="64"/>
  <c r="P15" i="64"/>
  <c r="O15" i="64"/>
  <c r="N15" i="64"/>
  <c r="M15" i="64"/>
  <c r="L15" i="64"/>
  <c r="K15" i="64"/>
  <c r="J15" i="64"/>
  <c r="I15" i="64"/>
  <c r="H15" i="64"/>
  <c r="G15" i="64"/>
  <c r="F15" i="64"/>
  <c r="E15" i="64"/>
  <c r="D15" i="64"/>
  <c r="AV14" i="64"/>
  <c r="AU14" i="64"/>
  <c r="AT14" i="64"/>
  <c r="AS14" i="64"/>
  <c r="AR14" i="64"/>
  <c r="AQ14" i="64"/>
  <c r="AP14" i="64"/>
  <c r="AO14" i="64"/>
  <c r="AN14" i="64"/>
  <c r="AM14" i="64"/>
  <c r="AL14" i="64"/>
  <c r="AK14" i="64"/>
  <c r="AJ14" i="64"/>
  <c r="AI14" i="64"/>
  <c r="AH14" i="64"/>
  <c r="AG14" i="64"/>
  <c r="AF14" i="64"/>
  <c r="AE14" i="64"/>
  <c r="AD14" i="64"/>
  <c r="AC14" i="64"/>
  <c r="AB14" i="64"/>
  <c r="AA14" i="64"/>
  <c r="Z14" i="64"/>
  <c r="Y14" i="64"/>
  <c r="X14" i="64"/>
  <c r="W14" i="64"/>
  <c r="V14" i="64"/>
  <c r="U14" i="64"/>
  <c r="T14" i="64"/>
  <c r="S14" i="64"/>
  <c r="R14" i="64"/>
  <c r="Q14" i="64"/>
  <c r="P14" i="64"/>
  <c r="O14" i="64"/>
  <c r="N14" i="64"/>
  <c r="M14" i="64"/>
  <c r="L14" i="64"/>
  <c r="K14" i="64"/>
  <c r="J14" i="64"/>
  <c r="I14" i="64"/>
  <c r="H14" i="64"/>
  <c r="G14" i="64"/>
  <c r="F14" i="64"/>
  <c r="E14" i="64"/>
  <c r="D14" i="64"/>
  <c r="AV13" i="64"/>
  <c r="AU13" i="64"/>
  <c r="AT13" i="64"/>
  <c r="AS13" i="64"/>
  <c r="AR13" i="64"/>
  <c r="AQ13" i="64"/>
  <c r="AP13" i="64"/>
  <c r="AO13" i="64"/>
  <c r="AN13" i="64"/>
  <c r="AM13" i="64"/>
  <c r="AL13" i="64"/>
  <c r="AK13" i="64"/>
  <c r="AJ13" i="64"/>
  <c r="AI13" i="64"/>
  <c r="AH13" i="64"/>
  <c r="AG13" i="64"/>
  <c r="AF13" i="64"/>
  <c r="AE13" i="64"/>
  <c r="AD13" i="64"/>
  <c r="AC13" i="64"/>
  <c r="AB13" i="64"/>
  <c r="AA13" i="64"/>
  <c r="Z13" i="64"/>
  <c r="Y13" i="64"/>
  <c r="X13" i="64"/>
  <c r="W13" i="64"/>
  <c r="V13" i="64"/>
  <c r="U13" i="64"/>
  <c r="T13" i="64"/>
  <c r="S13" i="64"/>
  <c r="R13" i="64"/>
  <c r="Q13" i="64"/>
  <c r="P13" i="64"/>
  <c r="O13" i="64"/>
  <c r="N13" i="64"/>
  <c r="M13" i="64"/>
  <c r="L13" i="64"/>
  <c r="K13" i="64"/>
  <c r="J13" i="64"/>
  <c r="I13" i="64"/>
  <c r="H13" i="64"/>
  <c r="G13" i="64"/>
  <c r="F13" i="64"/>
  <c r="E13" i="64"/>
  <c r="D13" i="64"/>
  <c r="AV12" i="64"/>
  <c r="AU12" i="64"/>
  <c r="AT12" i="64"/>
  <c r="AS12" i="64"/>
  <c r="AR12" i="64"/>
  <c r="AQ12" i="64"/>
  <c r="AP12" i="64"/>
  <c r="AO12" i="64"/>
  <c r="AN12" i="64"/>
  <c r="AM12" i="64"/>
  <c r="AL12" i="64"/>
  <c r="AK12" i="64"/>
  <c r="AJ12" i="64"/>
  <c r="AI12" i="64"/>
  <c r="AH12" i="64"/>
  <c r="AG12" i="64"/>
  <c r="AF12" i="64"/>
  <c r="AE12" i="64"/>
  <c r="AD12" i="64"/>
  <c r="AC12" i="64"/>
  <c r="AB12" i="64"/>
  <c r="AA12" i="64"/>
  <c r="Z12" i="64"/>
  <c r="Y12" i="64"/>
  <c r="X12" i="64"/>
  <c r="W12" i="64"/>
  <c r="V12" i="64"/>
  <c r="U12" i="64"/>
  <c r="T12" i="64"/>
  <c r="S12" i="64"/>
  <c r="R12" i="64"/>
  <c r="Q12" i="64"/>
  <c r="P12" i="64"/>
  <c r="O12" i="64"/>
  <c r="N12" i="64"/>
  <c r="M12" i="64"/>
  <c r="L12" i="64"/>
  <c r="K12" i="64"/>
  <c r="J12" i="64"/>
  <c r="I12" i="64"/>
  <c r="H12" i="64"/>
  <c r="G12" i="64"/>
  <c r="F12" i="64"/>
  <c r="E12" i="64"/>
  <c r="D12" i="64"/>
  <c r="O12" i="60"/>
  <c r="O13" i="60"/>
  <c r="O14" i="60"/>
  <c r="O15" i="60"/>
  <c r="O16" i="60"/>
  <c r="O17" i="60"/>
  <c r="O18" i="60"/>
  <c r="O19" i="60"/>
  <c r="O20" i="60"/>
  <c r="O21" i="60"/>
  <c r="O22" i="60"/>
  <c r="O23" i="60"/>
  <c r="O24" i="60"/>
  <c r="K12" i="60"/>
  <c r="K13" i="60"/>
  <c r="K14" i="60"/>
  <c r="K15" i="60"/>
  <c r="K16" i="60"/>
  <c r="K17" i="60"/>
  <c r="K18" i="60"/>
  <c r="K19" i="60"/>
  <c r="K20" i="60"/>
  <c r="K21" i="60"/>
  <c r="K22" i="60"/>
  <c r="K23" i="60"/>
  <c r="K24" i="60"/>
  <c r="M12" i="60"/>
  <c r="M13" i="60"/>
  <c r="M14" i="60"/>
  <c r="M15" i="60"/>
  <c r="M16" i="60"/>
  <c r="M17" i="60"/>
  <c r="M18" i="60"/>
  <c r="M19" i="60"/>
  <c r="M20" i="60"/>
  <c r="M21" i="60"/>
  <c r="M22" i="60"/>
  <c r="M23" i="60"/>
  <c r="M24" i="60"/>
  <c r="AW24" i="60"/>
  <c r="AV24" i="60"/>
  <c r="AU24" i="60"/>
  <c r="AT24" i="60"/>
  <c r="AS24" i="60"/>
  <c r="AR24" i="60"/>
  <c r="AQ24" i="60"/>
  <c r="AP24" i="60"/>
  <c r="AO24" i="60"/>
  <c r="AN24" i="60"/>
  <c r="AM24" i="60"/>
  <c r="AL24" i="60"/>
  <c r="AK24" i="60"/>
  <c r="AJ24" i="60"/>
  <c r="AI24" i="60"/>
  <c r="AH24" i="60"/>
  <c r="AG24" i="60"/>
  <c r="AF24" i="60"/>
  <c r="AE24" i="60"/>
  <c r="AD24" i="60"/>
  <c r="AC24" i="60"/>
  <c r="AB24" i="60"/>
  <c r="AA24" i="60"/>
  <c r="Z24" i="60"/>
  <c r="Y24" i="60"/>
  <c r="X24" i="60"/>
  <c r="W24" i="60"/>
  <c r="V24" i="60"/>
  <c r="U24" i="60"/>
  <c r="T24" i="60"/>
  <c r="S24" i="60"/>
  <c r="R24" i="60"/>
  <c r="Q24" i="60"/>
  <c r="P24" i="60"/>
  <c r="N24" i="60"/>
  <c r="L24" i="60"/>
  <c r="J24" i="60"/>
  <c r="I24" i="60"/>
  <c r="H24" i="60"/>
  <c r="G24" i="60"/>
  <c r="F24" i="60"/>
  <c r="E24" i="60"/>
  <c r="D24" i="60"/>
  <c r="C24" i="60"/>
  <c r="AW23" i="60"/>
  <c r="AV23" i="60"/>
  <c r="AU23" i="60"/>
  <c r="AT23" i="60"/>
  <c r="AS23" i="60"/>
  <c r="AR23" i="60"/>
  <c r="AQ23" i="60"/>
  <c r="AP23" i="60"/>
  <c r="AO23" i="60"/>
  <c r="AN23" i="60"/>
  <c r="AM23" i="60"/>
  <c r="AL23" i="60"/>
  <c r="AK23" i="60"/>
  <c r="AJ23" i="60"/>
  <c r="AI23" i="60"/>
  <c r="AH23" i="60"/>
  <c r="AG23" i="60"/>
  <c r="AF23" i="60"/>
  <c r="AE23" i="60"/>
  <c r="AD23" i="60"/>
  <c r="AC23" i="60"/>
  <c r="AB23" i="60"/>
  <c r="AA23" i="60"/>
  <c r="Z23" i="60"/>
  <c r="Y23" i="60"/>
  <c r="X23" i="60"/>
  <c r="W23" i="60"/>
  <c r="V23" i="60"/>
  <c r="U23" i="60"/>
  <c r="T23" i="60"/>
  <c r="S23" i="60"/>
  <c r="R23" i="60"/>
  <c r="Q23" i="60"/>
  <c r="P23" i="60"/>
  <c r="N23" i="60"/>
  <c r="L23" i="60"/>
  <c r="J23" i="60"/>
  <c r="I23" i="60"/>
  <c r="H23" i="60"/>
  <c r="G23" i="60"/>
  <c r="F23" i="60"/>
  <c r="E23" i="60"/>
  <c r="D23" i="60"/>
  <c r="C23" i="60"/>
  <c r="AW22" i="60"/>
  <c r="AV22" i="60"/>
  <c r="AU22" i="60"/>
  <c r="AT22" i="60"/>
  <c r="AS22" i="60"/>
  <c r="AR22" i="60"/>
  <c r="AQ22" i="60"/>
  <c r="AP22" i="60"/>
  <c r="AO22" i="60"/>
  <c r="AN22" i="60"/>
  <c r="AM22" i="60"/>
  <c r="AL22" i="60"/>
  <c r="AK22" i="60"/>
  <c r="AJ22" i="60"/>
  <c r="AI22" i="60"/>
  <c r="AH22" i="60"/>
  <c r="AG22" i="60"/>
  <c r="AF22" i="60"/>
  <c r="AE22" i="60"/>
  <c r="AD22" i="60"/>
  <c r="AC22" i="60"/>
  <c r="AB22" i="60"/>
  <c r="AA22" i="60"/>
  <c r="Z22" i="60"/>
  <c r="Y22" i="60"/>
  <c r="X22" i="60"/>
  <c r="W22" i="60"/>
  <c r="V22" i="60"/>
  <c r="U22" i="60"/>
  <c r="T22" i="60"/>
  <c r="S22" i="60"/>
  <c r="R22" i="60"/>
  <c r="Q22" i="60"/>
  <c r="P22" i="60"/>
  <c r="N22" i="60"/>
  <c r="L22" i="60"/>
  <c r="J22" i="60"/>
  <c r="I22" i="60"/>
  <c r="H22" i="60"/>
  <c r="G22" i="60"/>
  <c r="F22" i="60"/>
  <c r="E22" i="60"/>
  <c r="D22" i="60"/>
  <c r="C22" i="60"/>
  <c r="AW21" i="60"/>
  <c r="AV21" i="60"/>
  <c r="AU21" i="60"/>
  <c r="AT21" i="60"/>
  <c r="AS21" i="60"/>
  <c r="AR21" i="60"/>
  <c r="AQ21" i="60"/>
  <c r="AP21" i="60"/>
  <c r="AO21" i="60"/>
  <c r="AN21" i="60"/>
  <c r="AM21" i="60"/>
  <c r="AL21" i="60"/>
  <c r="AK21" i="60"/>
  <c r="AJ21" i="60"/>
  <c r="AI21" i="60"/>
  <c r="AH21" i="60"/>
  <c r="AG21" i="60"/>
  <c r="AF21" i="60"/>
  <c r="AE21" i="60"/>
  <c r="AD21" i="60"/>
  <c r="AC21" i="60"/>
  <c r="AB21" i="60"/>
  <c r="AA21" i="60"/>
  <c r="Z21" i="60"/>
  <c r="Y21" i="60"/>
  <c r="X21" i="60"/>
  <c r="W21" i="60"/>
  <c r="V21" i="60"/>
  <c r="U21" i="60"/>
  <c r="T21" i="60"/>
  <c r="S21" i="60"/>
  <c r="R21" i="60"/>
  <c r="Q21" i="60"/>
  <c r="P21" i="60"/>
  <c r="N21" i="60"/>
  <c r="L21" i="60"/>
  <c r="J21" i="60"/>
  <c r="I21" i="60"/>
  <c r="H21" i="60"/>
  <c r="G21" i="60"/>
  <c r="F21" i="60"/>
  <c r="E21" i="60"/>
  <c r="D21" i="60"/>
  <c r="C21" i="60"/>
  <c r="AW20" i="60"/>
  <c r="AV20" i="60"/>
  <c r="AU20" i="60"/>
  <c r="AT20" i="60"/>
  <c r="AS20" i="60"/>
  <c r="AR20" i="60"/>
  <c r="AQ20" i="60"/>
  <c r="AP20" i="60"/>
  <c r="AO20" i="60"/>
  <c r="AN20" i="60"/>
  <c r="AM20" i="60"/>
  <c r="AL20" i="60"/>
  <c r="AK20" i="60"/>
  <c r="AJ20" i="60"/>
  <c r="AI20" i="60"/>
  <c r="AH20" i="60"/>
  <c r="AG20" i="60"/>
  <c r="AF20" i="60"/>
  <c r="AE20" i="60"/>
  <c r="AD20" i="60"/>
  <c r="AC20" i="60"/>
  <c r="AB20" i="60"/>
  <c r="AA20" i="60"/>
  <c r="Z20" i="60"/>
  <c r="Y20" i="60"/>
  <c r="X20" i="60"/>
  <c r="W20" i="60"/>
  <c r="V20" i="60"/>
  <c r="U20" i="60"/>
  <c r="T20" i="60"/>
  <c r="S20" i="60"/>
  <c r="R20" i="60"/>
  <c r="Q20" i="60"/>
  <c r="P20" i="60"/>
  <c r="N20" i="60"/>
  <c r="L20" i="60"/>
  <c r="J20" i="60"/>
  <c r="I20" i="60"/>
  <c r="H20" i="60"/>
  <c r="G20" i="60"/>
  <c r="F20" i="60"/>
  <c r="E20" i="60"/>
  <c r="D20" i="60"/>
  <c r="C20" i="60"/>
  <c r="AW19" i="60"/>
  <c r="AV19" i="60"/>
  <c r="AU19" i="60"/>
  <c r="AT19" i="60"/>
  <c r="AS19" i="60"/>
  <c r="AR19" i="60"/>
  <c r="AQ19" i="60"/>
  <c r="AP19" i="60"/>
  <c r="AO19" i="60"/>
  <c r="AN19" i="60"/>
  <c r="AM19" i="60"/>
  <c r="AL19" i="60"/>
  <c r="AK19" i="60"/>
  <c r="AJ19" i="60"/>
  <c r="AI19" i="60"/>
  <c r="AH19" i="60"/>
  <c r="AG19" i="60"/>
  <c r="AF19" i="60"/>
  <c r="AE19" i="60"/>
  <c r="AD19" i="60"/>
  <c r="AC19" i="60"/>
  <c r="AB19" i="60"/>
  <c r="AA19" i="60"/>
  <c r="Z19" i="60"/>
  <c r="Y19" i="60"/>
  <c r="X19" i="60"/>
  <c r="W19" i="60"/>
  <c r="V19" i="60"/>
  <c r="U19" i="60"/>
  <c r="T19" i="60"/>
  <c r="S19" i="60"/>
  <c r="R19" i="60"/>
  <c r="Q19" i="60"/>
  <c r="P19" i="60"/>
  <c r="N19" i="60"/>
  <c r="L19" i="60"/>
  <c r="J19" i="60"/>
  <c r="I19" i="60"/>
  <c r="H19" i="60"/>
  <c r="G19" i="60"/>
  <c r="F19" i="60"/>
  <c r="E19" i="60"/>
  <c r="D19" i="60"/>
  <c r="C19" i="60"/>
  <c r="AW18" i="60"/>
  <c r="AV18" i="60"/>
  <c r="AU18" i="60"/>
  <c r="AT18" i="60"/>
  <c r="AS18" i="60"/>
  <c r="AR18" i="60"/>
  <c r="AQ18" i="60"/>
  <c r="AP18" i="60"/>
  <c r="AO18" i="60"/>
  <c r="AN18" i="60"/>
  <c r="AM18" i="60"/>
  <c r="AL18" i="60"/>
  <c r="AK18" i="60"/>
  <c r="AJ18" i="60"/>
  <c r="AI18" i="60"/>
  <c r="AH18" i="60"/>
  <c r="AG18" i="60"/>
  <c r="AF18" i="60"/>
  <c r="AE18" i="60"/>
  <c r="AD18" i="60"/>
  <c r="AC18" i="60"/>
  <c r="AB18" i="60"/>
  <c r="AA18" i="60"/>
  <c r="Z18" i="60"/>
  <c r="Y18" i="60"/>
  <c r="X18" i="60"/>
  <c r="W18" i="60"/>
  <c r="V18" i="60"/>
  <c r="U18" i="60"/>
  <c r="T18" i="60"/>
  <c r="S18" i="60"/>
  <c r="R18" i="60"/>
  <c r="Q18" i="60"/>
  <c r="P18" i="60"/>
  <c r="N18" i="60"/>
  <c r="L18" i="60"/>
  <c r="J18" i="60"/>
  <c r="I18" i="60"/>
  <c r="H18" i="60"/>
  <c r="G18" i="60"/>
  <c r="F18" i="60"/>
  <c r="E18" i="60"/>
  <c r="D18" i="60"/>
  <c r="C18" i="60"/>
  <c r="AW17" i="60"/>
  <c r="AV17" i="60"/>
  <c r="AU17" i="60"/>
  <c r="AT17" i="60"/>
  <c r="AS17" i="60"/>
  <c r="AR17" i="60"/>
  <c r="AQ17" i="60"/>
  <c r="AP17" i="60"/>
  <c r="AO17" i="60"/>
  <c r="AN17" i="60"/>
  <c r="AM17" i="60"/>
  <c r="AL17" i="60"/>
  <c r="AK17" i="60"/>
  <c r="AJ17" i="60"/>
  <c r="AI17" i="60"/>
  <c r="AH17" i="60"/>
  <c r="AG17" i="60"/>
  <c r="AF17" i="60"/>
  <c r="AE17" i="60"/>
  <c r="AD17" i="60"/>
  <c r="AC17" i="60"/>
  <c r="AB17" i="60"/>
  <c r="AA17" i="60"/>
  <c r="Z17" i="60"/>
  <c r="Y17" i="60"/>
  <c r="X17" i="60"/>
  <c r="W17" i="60"/>
  <c r="V17" i="60"/>
  <c r="U17" i="60"/>
  <c r="T17" i="60"/>
  <c r="S17" i="60"/>
  <c r="R17" i="60"/>
  <c r="Q17" i="60"/>
  <c r="P17" i="60"/>
  <c r="N17" i="60"/>
  <c r="L17" i="60"/>
  <c r="J17" i="60"/>
  <c r="I17" i="60"/>
  <c r="H17" i="60"/>
  <c r="G17" i="60"/>
  <c r="F17" i="60"/>
  <c r="E17" i="60"/>
  <c r="D17" i="60"/>
  <c r="C17" i="60"/>
  <c r="AW16" i="60"/>
  <c r="AV16" i="60"/>
  <c r="AU16" i="60"/>
  <c r="AT16" i="60"/>
  <c r="AS16" i="60"/>
  <c r="AR16" i="60"/>
  <c r="AQ16" i="60"/>
  <c r="AP16" i="60"/>
  <c r="AO16" i="60"/>
  <c r="AN16" i="60"/>
  <c r="AM16" i="60"/>
  <c r="AL16" i="60"/>
  <c r="AK16" i="60"/>
  <c r="AJ16" i="60"/>
  <c r="AI16" i="60"/>
  <c r="AH16" i="60"/>
  <c r="AG16" i="60"/>
  <c r="AF16" i="60"/>
  <c r="AE16" i="60"/>
  <c r="AD16" i="60"/>
  <c r="AC16" i="60"/>
  <c r="AB16" i="60"/>
  <c r="AA16" i="60"/>
  <c r="Z16" i="60"/>
  <c r="Y16" i="60"/>
  <c r="X16" i="60"/>
  <c r="W16" i="60"/>
  <c r="V16" i="60"/>
  <c r="U16" i="60"/>
  <c r="T16" i="60"/>
  <c r="S16" i="60"/>
  <c r="R16" i="60"/>
  <c r="Q16" i="60"/>
  <c r="P16" i="60"/>
  <c r="N16" i="60"/>
  <c r="L16" i="60"/>
  <c r="J16" i="60"/>
  <c r="I16" i="60"/>
  <c r="H16" i="60"/>
  <c r="G16" i="60"/>
  <c r="F16" i="60"/>
  <c r="E16" i="60"/>
  <c r="D16" i="60"/>
  <c r="C16" i="60"/>
  <c r="AW15" i="60"/>
  <c r="AV15" i="60"/>
  <c r="AU15" i="60"/>
  <c r="AT15" i="60"/>
  <c r="AS15" i="60"/>
  <c r="AR15" i="60"/>
  <c r="AQ15" i="60"/>
  <c r="AP15" i="60"/>
  <c r="AO15" i="60"/>
  <c r="AN15" i="60"/>
  <c r="AM15" i="60"/>
  <c r="AL15" i="60"/>
  <c r="AK15" i="60"/>
  <c r="AJ15" i="60"/>
  <c r="AI15" i="60"/>
  <c r="AH15" i="60"/>
  <c r="AG15" i="60"/>
  <c r="AF15" i="60"/>
  <c r="AE15" i="60"/>
  <c r="AD15" i="60"/>
  <c r="AC15" i="60"/>
  <c r="AB15" i="60"/>
  <c r="AA15" i="60"/>
  <c r="Z15" i="60"/>
  <c r="Y15" i="60"/>
  <c r="X15" i="60"/>
  <c r="W15" i="60"/>
  <c r="V15" i="60"/>
  <c r="U15" i="60"/>
  <c r="T15" i="60"/>
  <c r="S15" i="60"/>
  <c r="R15" i="60"/>
  <c r="Q15" i="60"/>
  <c r="P15" i="60"/>
  <c r="N15" i="60"/>
  <c r="L15" i="60"/>
  <c r="J15" i="60"/>
  <c r="I15" i="60"/>
  <c r="H15" i="60"/>
  <c r="G15" i="60"/>
  <c r="F15" i="60"/>
  <c r="E15" i="60"/>
  <c r="D15" i="60"/>
  <c r="C15" i="60"/>
  <c r="AW14" i="60"/>
  <c r="AV14" i="60"/>
  <c r="AU14" i="60"/>
  <c r="AT14" i="60"/>
  <c r="AS14" i="60"/>
  <c r="AR14" i="60"/>
  <c r="AQ14" i="60"/>
  <c r="AP14" i="60"/>
  <c r="AO14" i="60"/>
  <c r="AN14" i="60"/>
  <c r="AM14" i="60"/>
  <c r="AL14" i="60"/>
  <c r="AK14" i="60"/>
  <c r="AJ14" i="60"/>
  <c r="AI14" i="60"/>
  <c r="AH14" i="60"/>
  <c r="AG14" i="60"/>
  <c r="AF14" i="60"/>
  <c r="AE14" i="60"/>
  <c r="AD14" i="60"/>
  <c r="AC14" i="60"/>
  <c r="AB14" i="60"/>
  <c r="AA14" i="60"/>
  <c r="Z14" i="60"/>
  <c r="Y14" i="60"/>
  <c r="X14" i="60"/>
  <c r="W14" i="60"/>
  <c r="V14" i="60"/>
  <c r="U14" i="60"/>
  <c r="T14" i="60"/>
  <c r="S14" i="60"/>
  <c r="R14" i="60"/>
  <c r="Q14" i="60"/>
  <c r="P14" i="60"/>
  <c r="N14" i="60"/>
  <c r="L14" i="60"/>
  <c r="J14" i="60"/>
  <c r="I14" i="60"/>
  <c r="H14" i="60"/>
  <c r="G14" i="60"/>
  <c r="F14" i="60"/>
  <c r="E14" i="60"/>
  <c r="D14" i="60"/>
  <c r="C14" i="60"/>
  <c r="AW13" i="60"/>
  <c r="AV13" i="60"/>
  <c r="AU13" i="60"/>
  <c r="AT13" i="60"/>
  <c r="AS13" i="60"/>
  <c r="AR13" i="60"/>
  <c r="AQ13" i="60"/>
  <c r="AP13" i="60"/>
  <c r="AO13" i="60"/>
  <c r="AN13" i="60"/>
  <c r="AM13" i="60"/>
  <c r="AL13" i="60"/>
  <c r="AK13" i="60"/>
  <c r="AJ13" i="60"/>
  <c r="AI13" i="60"/>
  <c r="AH13" i="60"/>
  <c r="AG13" i="60"/>
  <c r="AF13" i="60"/>
  <c r="AE13" i="60"/>
  <c r="AD13" i="60"/>
  <c r="AC13" i="60"/>
  <c r="AB13" i="60"/>
  <c r="AA13" i="60"/>
  <c r="Z13" i="60"/>
  <c r="Y13" i="60"/>
  <c r="X13" i="60"/>
  <c r="W13" i="60"/>
  <c r="V13" i="60"/>
  <c r="U13" i="60"/>
  <c r="T13" i="60"/>
  <c r="S13" i="60"/>
  <c r="R13" i="60"/>
  <c r="Q13" i="60"/>
  <c r="P13" i="60"/>
  <c r="N13" i="60"/>
  <c r="L13" i="60"/>
  <c r="J13" i="60"/>
  <c r="I13" i="60"/>
  <c r="H13" i="60"/>
  <c r="G13" i="60"/>
  <c r="F13" i="60"/>
  <c r="E13" i="60"/>
  <c r="D13" i="60"/>
  <c r="C13" i="60"/>
  <c r="AW12" i="60"/>
  <c r="AV12" i="60"/>
  <c r="AU12" i="60"/>
  <c r="AT12" i="60"/>
  <c r="AS12" i="60"/>
  <c r="AR12" i="60"/>
  <c r="AQ12" i="60"/>
  <c r="AP12" i="60"/>
  <c r="AO12" i="60"/>
  <c r="AN12" i="60"/>
  <c r="AM12" i="60"/>
  <c r="AL12" i="60"/>
  <c r="AK12" i="60"/>
  <c r="AJ12" i="60"/>
  <c r="AI12" i="60"/>
  <c r="AH12" i="60"/>
  <c r="AG12" i="60"/>
  <c r="AF12" i="60"/>
  <c r="AE12" i="60"/>
  <c r="AD12" i="60"/>
  <c r="AC12" i="60"/>
  <c r="AB12" i="60"/>
  <c r="AA12" i="60"/>
  <c r="Z12" i="60"/>
  <c r="Y12" i="60"/>
  <c r="X12" i="60"/>
  <c r="W12" i="60"/>
  <c r="V12" i="60"/>
  <c r="U12" i="60"/>
  <c r="T12" i="60"/>
  <c r="S12" i="60"/>
  <c r="R12" i="60"/>
  <c r="Q12" i="60"/>
  <c r="P12" i="60"/>
  <c r="N12" i="60"/>
  <c r="L12" i="60"/>
  <c r="J12" i="60"/>
  <c r="I12" i="60"/>
  <c r="H12" i="60"/>
  <c r="G12" i="60"/>
  <c r="F12" i="60"/>
  <c r="E12" i="60"/>
  <c r="D12" i="60"/>
  <c r="C12" i="60"/>
  <c r="AF81" i="60"/>
  <c r="AE81" i="60"/>
  <c r="AD81" i="60"/>
  <c r="AC81" i="60"/>
  <c r="AB81" i="60"/>
  <c r="AA81" i="60"/>
  <c r="Z81" i="60"/>
  <c r="Y81" i="60"/>
  <c r="X81" i="60"/>
  <c r="W81" i="60"/>
  <c r="V81" i="60"/>
  <c r="U81" i="60"/>
  <c r="T81" i="60"/>
  <c r="AF79" i="60"/>
  <c r="AE79" i="60"/>
  <c r="AD79" i="60"/>
  <c r="AC79" i="60"/>
  <c r="AB79" i="60"/>
  <c r="AA79" i="60"/>
  <c r="Z79" i="60"/>
  <c r="Y79" i="60"/>
  <c r="X79" i="60"/>
  <c r="W79" i="60"/>
  <c r="V79" i="60"/>
  <c r="U79" i="60"/>
  <c r="T79" i="60"/>
  <c r="AF78" i="60"/>
  <c r="AE78" i="60"/>
  <c r="AD78" i="60"/>
  <c r="AC78" i="60"/>
  <c r="AB78" i="60"/>
  <c r="AA78" i="60"/>
  <c r="Z78" i="60"/>
  <c r="Y78" i="60"/>
  <c r="X78" i="60"/>
  <c r="W78" i="60"/>
  <c r="V78" i="60"/>
  <c r="U78" i="60"/>
  <c r="T78" i="60"/>
  <c r="AF77" i="60"/>
  <c r="AE77" i="60"/>
  <c r="AD77" i="60"/>
  <c r="AC77" i="60"/>
  <c r="AB77" i="60"/>
  <c r="AA77" i="60"/>
  <c r="Z77" i="60"/>
  <c r="Y77" i="60"/>
  <c r="X77" i="60"/>
  <c r="W77" i="60"/>
  <c r="V77" i="60"/>
  <c r="U77" i="60"/>
  <c r="T77" i="60"/>
  <c r="AF76" i="60"/>
  <c r="AE76" i="60"/>
  <c r="AD76" i="60"/>
  <c r="AC76" i="60"/>
  <c r="AB76" i="60"/>
  <c r="AA76" i="60"/>
  <c r="Z76" i="60"/>
  <c r="Y76" i="60"/>
  <c r="X76" i="60"/>
  <c r="W76" i="60"/>
  <c r="V76" i="60"/>
  <c r="U76" i="60"/>
  <c r="T76" i="60"/>
  <c r="AF75" i="60"/>
  <c r="AE75" i="60"/>
  <c r="AD75" i="60"/>
  <c r="AC75" i="60"/>
  <c r="AB75" i="60"/>
  <c r="AA75" i="60"/>
  <c r="Z75" i="60"/>
  <c r="Y75" i="60"/>
  <c r="X75" i="60"/>
  <c r="W75" i="60"/>
  <c r="V75" i="60"/>
  <c r="U75" i="60"/>
  <c r="T75" i="60"/>
  <c r="AF74" i="60"/>
  <c r="AE74" i="60"/>
  <c r="AD74" i="60"/>
  <c r="AC74" i="60"/>
  <c r="AB74" i="60"/>
  <c r="AA74" i="60"/>
  <c r="Z74" i="60"/>
  <c r="Y74" i="60"/>
  <c r="X74" i="60"/>
  <c r="W74" i="60"/>
  <c r="V74" i="60"/>
  <c r="U74" i="60"/>
  <c r="T74" i="60"/>
  <c r="AF73" i="60"/>
  <c r="AE73" i="60"/>
  <c r="AD73" i="60"/>
  <c r="AC73" i="60"/>
  <c r="AB73" i="60"/>
  <c r="AA73" i="60"/>
  <c r="Z73" i="60"/>
  <c r="Y73" i="60"/>
  <c r="X73" i="60"/>
  <c r="W73" i="60"/>
  <c r="V73" i="60"/>
  <c r="U73" i="60"/>
  <c r="T73" i="60"/>
  <c r="AF72" i="60"/>
  <c r="AE72" i="60"/>
  <c r="AD72" i="60"/>
  <c r="AC72" i="60"/>
  <c r="AB72" i="60"/>
  <c r="AA72" i="60"/>
  <c r="Z72" i="60"/>
  <c r="Y72" i="60"/>
  <c r="X72" i="60"/>
  <c r="W72" i="60"/>
  <c r="V72" i="60"/>
  <c r="U72" i="60"/>
  <c r="T72" i="60"/>
  <c r="AF71" i="60"/>
  <c r="AE71" i="60"/>
  <c r="AD71" i="60"/>
  <c r="AC71" i="60"/>
  <c r="AB71" i="60"/>
  <c r="AA71" i="60"/>
  <c r="Z71" i="60"/>
  <c r="Y71" i="60"/>
  <c r="X71" i="60"/>
  <c r="W71" i="60"/>
  <c r="V71" i="60"/>
  <c r="U71" i="60"/>
  <c r="T71" i="60"/>
  <c r="AF70" i="60"/>
  <c r="AE70" i="60"/>
  <c r="AD70" i="60"/>
  <c r="AC70" i="60"/>
  <c r="AB70" i="60"/>
  <c r="AA70" i="60"/>
  <c r="Z70" i="60"/>
  <c r="Y70" i="60"/>
  <c r="X70" i="60"/>
  <c r="W70" i="60"/>
  <c r="V70" i="60"/>
  <c r="U70" i="60"/>
  <c r="T70" i="60"/>
  <c r="AF69" i="60"/>
  <c r="AE69" i="60"/>
  <c r="AD69" i="60"/>
  <c r="AC69" i="60"/>
  <c r="AB69" i="60"/>
  <c r="AA69" i="60"/>
  <c r="Z69" i="60"/>
  <c r="Y69" i="60"/>
  <c r="X69" i="60"/>
  <c r="W69" i="60"/>
  <c r="V69" i="60"/>
  <c r="U69" i="60"/>
  <c r="T69" i="60"/>
  <c r="AF68" i="60"/>
  <c r="AE68" i="60"/>
  <c r="AD68" i="60"/>
  <c r="AC68" i="60"/>
  <c r="AB68" i="60"/>
  <c r="AA68" i="60"/>
  <c r="Z68" i="60"/>
  <c r="Y68" i="60"/>
  <c r="X68" i="60"/>
  <c r="W68" i="60"/>
  <c r="V68" i="60"/>
  <c r="U68" i="60"/>
  <c r="T68" i="60"/>
  <c r="AF67" i="60"/>
  <c r="AE67" i="60"/>
  <c r="AD67" i="60"/>
  <c r="AC67" i="60"/>
  <c r="AB67" i="60"/>
  <c r="AA67" i="60"/>
  <c r="Z67" i="60"/>
  <c r="Y67" i="60"/>
  <c r="X67" i="60"/>
  <c r="W67" i="60"/>
  <c r="V67" i="60"/>
  <c r="U67" i="60"/>
  <c r="T67" i="60"/>
  <c r="AF66" i="60"/>
  <c r="AE66" i="60"/>
  <c r="AD66" i="60"/>
  <c r="AC66" i="60"/>
  <c r="AB66" i="60"/>
  <c r="AA66" i="60"/>
  <c r="Z66" i="60"/>
  <c r="Y66" i="60"/>
  <c r="X66" i="60"/>
  <c r="W66" i="60"/>
  <c r="V66" i="60"/>
  <c r="U66" i="60"/>
  <c r="T66" i="60"/>
  <c r="AF65" i="60"/>
  <c r="AE65" i="60"/>
  <c r="AD65" i="60"/>
  <c r="AC65" i="60"/>
  <c r="AB65" i="60"/>
  <c r="AA65" i="60"/>
  <c r="Z65" i="60"/>
  <c r="Y65" i="60"/>
  <c r="X65" i="60"/>
  <c r="W65" i="60"/>
  <c r="V65" i="60"/>
  <c r="U65" i="60"/>
  <c r="T65" i="60"/>
  <c r="AF64" i="60"/>
  <c r="AE64" i="60"/>
  <c r="AD64" i="60"/>
  <c r="AC64" i="60"/>
  <c r="AB64" i="60"/>
  <c r="AA64" i="60"/>
  <c r="Z64" i="60"/>
  <c r="Y64" i="60"/>
  <c r="X64" i="60"/>
  <c r="W64" i="60"/>
  <c r="V64" i="60"/>
  <c r="U64" i="60"/>
  <c r="T64" i="60"/>
  <c r="AF63" i="60"/>
  <c r="AE63" i="60"/>
  <c r="AD63" i="60"/>
  <c r="AC63" i="60"/>
  <c r="AB63" i="60"/>
  <c r="AA63" i="60"/>
  <c r="Z63" i="60"/>
  <c r="Y63" i="60"/>
  <c r="X63" i="60"/>
  <c r="W63" i="60"/>
  <c r="V63" i="60"/>
  <c r="U63" i="60"/>
  <c r="T63" i="60"/>
  <c r="AF62" i="60"/>
  <c r="AE62" i="60"/>
  <c r="AD62" i="60"/>
  <c r="AC62" i="60"/>
  <c r="AB62" i="60"/>
  <c r="AA62" i="60"/>
  <c r="Z62" i="60"/>
  <c r="Y62" i="60"/>
  <c r="X62" i="60"/>
  <c r="W62" i="60"/>
  <c r="V62" i="60"/>
  <c r="U62" i="60"/>
  <c r="T62" i="60"/>
  <c r="AF61" i="60"/>
  <c r="AE61" i="60"/>
  <c r="AD61" i="60"/>
  <c r="AC61" i="60"/>
  <c r="AB61" i="60"/>
  <c r="AA61" i="60"/>
  <c r="Z61" i="60"/>
  <c r="Y61" i="60"/>
  <c r="X61" i="60"/>
  <c r="W61" i="60"/>
  <c r="V61" i="60"/>
  <c r="U61" i="60"/>
  <c r="T61" i="60"/>
  <c r="AF60" i="60"/>
  <c r="AE60" i="60"/>
  <c r="AD60" i="60"/>
  <c r="AC60" i="60"/>
  <c r="AB60" i="60"/>
  <c r="AA60" i="60"/>
  <c r="Z60" i="60"/>
  <c r="Y60" i="60"/>
  <c r="X60" i="60"/>
  <c r="W60" i="60"/>
  <c r="V60" i="60"/>
  <c r="U60" i="60"/>
  <c r="T60" i="60"/>
  <c r="AF59" i="60"/>
  <c r="AE59" i="60"/>
  <c r="AD59" i="60"/>
  <c r="AC59" i="60"/>
  <c r="AB59" i="60"/>
  <c r="AA59" i="60"/>
  <c r="Z59" i="60"/>
  <c r="Y59" i="60"/>
  <c r="X59" i="60"/>
  <c r="W59" i="60"/>
  <c r="V59" i="60"/>
  <c r="U59" i="60"/>
  <c r="T59" i="60"/>
  <c r="AF58" i="60"/>
  <c r="AE58" i="60"/>
  <c r="AD58" i="60"/>
  <c r="AC58" i="60"/>
  <c r="AB58" i="60"/>
  <c r="AA58" i="60"/>
  <c r="Z58" i="60"/>
  <c r="Y58" i="60"/>
  <c r="X58" i="60"/>
  <c r="W58" i="60"/>
  <c r="V58" i="60"/>
  <c r="U58" i="60"/>
  <c r="T58" i="60"/>
  <c r="AF57" i="60"/>
  <c r="AE57" i="60"/>
  <c r="AD57" i="60"/>
  <c r="AC57" i="60"/>
  <c r="AB57" i="60"/>
  <c r="AA57" i="60"/>
  <c r="Z57" i="60"/>
  <c r="Y57" i="60"/>
  <c r="X57" i="60"/>
  <c r="W57" i="60"/>
  <c r="V57" i="60"/>
  <c r="U57" i="60"/>
  <c r="T57" i="60"/>
  <c r="AF56" i="60"/>
  <c r="AE56" i="60"/>
  <c r="AD56" i="60"/>
  <c r="AC56" i="60"/>
  <c r="AB56" i="60"/>
  <c r="AA56" i="60"/>
  <c r="Z56" i="60"/>
  <c r="Y56" i="60"/>
  <c r="X56" i="60"/>
  <c r="W56" i="60"/>
  <c r="V56" i="60"/>
  <c r="U56" i="60"/>
  <c r="T56" i="60"/>
  <c r="AF55" i="60"/>
  <c r="AE55" i="60"/>
  <c r="AD55" i="60"/>
  <c r="AC55" i="60"/>
  <c r="AB55" i="60"/>
  <c r="AA55" i="60"/>
  <c r="Z55" i="60"/>
  <c r="Y55" i="60"/>
  <c r="X55" i="60"/>
  <c r="W55" i="60"/>
  <c r="V55" i="60"/>
  <c r="U55" i="60"/>
  <c r="T55" i="60"/>
  <c r="AF54" i="60"/>
  <c r="AE54" i="60"/>
  <c r="AD54" i="60"/>
  <c r="AC54" i="60"/>
  <c r="AB54" i="60"/>
  <c r="AA54" i="60"/>
  <c r="Z54" i="60"/>
  <c r="Y54" i="60"/>
  <c r="X54" i="60"/>
  <c r="W54" i="60"/>
  <c r="V54" i="60"/>
  <c r="U54" i="60"/>
  <c r="T54" i="60"/>
  <c r="AF53" i="60"/>
  <c r="AE53" i="60"/>
  <c r="AD53" i="60"/>
  <c r="AC53" i="60"/>
  <c r="AB53" i="60"/>
  <c r="AA53" i="60"/>
  <c r="Z53" i="60"/>
  <c r="Y53" i="60"/>
  <c r="X53" i="60"/>
  <c r="W53" i="60"/>
  <c r="V53" i="60"/>
  <c r="U53" i="60"/>
  <c r="T53" i="60"/>
  <c r="AF52" i="60"/>
  <c r="AE52" i="60"/>
  <c r="AD52" i="60"/>
  <c r="AC52" i="60"/>
  <c r="AB52" i="60"/>
  <c r="AA52" i="60"/>
  <c r="Z52" i="60"/>
  <c r="Y52" i="60"/>
  <c r="X52" i="60"/>
  <c r="W52" i="60"/>
  <c r="V52" i="60"/>
  <c r="U52" i="60"/>
  <c r="T52" i="60"/>
  <c r="AF51" i="60"/>
  <c r="AE51" i="60"/>
  <c r="AD51" i="60"/>
  <c r="AC51" i="60"/>
  <c r="AB51" i="60"/>
  <c r="AA51" i="60"/>
  <c r="Z51" i="60"/>
  <c r="Y51" i="60"/>
  <c r="X51" i="60"/>
  <c r="W51" i="60"/>
  <c r="V51" i="60"/>
  <c r="U51" i="60"/>
  <c r="T51" i="60"/>
  <c r="AF50" i="60"/>
  <c r="AE50" i="60"/>
  <c r="AD50" i="60"/>
  <c r="AC50" i="60"/>
  <c r="AB50" i="60"/>
  <c r="AA50" i="60"/>
  <c r="Z50" i="60"/>
  <c r="Y50" i="60"/>
  <c r="X50" i="60"/>
  <c r="W50" i="60"/>
  <c r="V50" i="60"/>
  <c r="U50" i="60"/>
  <c r="T50" i="60"/>
  <c r="AF49" i="60"/>
  <c r="AE49" i="60"/>
  <c r="AD49" i="60"/>
  <c r="AC49" i="60"/>
  <c r="AB49" i="60"/>
  <c r="AA49" i="60"/>
  <c r="Z49" i="60"/>
  <c r="Y49" i="60"/>
  <c r="X49" i="60"/>
  <c r="W49" i="60"/>
  <c r="V49" i="60"/>
  <c r="U49" i="60"/>
  <c r="T49" i="60"/>
  <c r="AF48" i="60"/>
  <c r="AE48" i="60"/>
  <c r="AD48" i="60"/>
  <c r="AC48" i="60"/>
  <c r="AB48" i="60"/>
  <c r="AA48" i="60"/>
  <c r="Z48" i="60"/>
  <c r="Y48" i="60"/>
  <c r="X48" i="60"/>
  <c r="W48" i="60"/>
  <c r="V48" i="60"/>
  <c r="U48" i="60"/>
  <c r="T48" i="60"/>
  <c r="AF47" i="60"/>
  <c r="AE47" i="60"/>
  <c r="AD47" i="60"/>
  <c r="AC47" i="60"/>
  <c r="AB47" i="60"/>
  <c r="AA47" i="60"/>
  <c r="Z47" i="60"/>
  <c r="Y47" i="60"/>
  <c r="X47" i="60"/>
  <c r="W47" i="60"/>
  <c r="V47" i="60"/>
  <c r="U47" i="60"/>
  <c r="T47" i="60"/>
  <c r="AF46" i="60"/>
  <c r="AE46" i="60"/>
  <c r="AD46" i="60"/>
  <c r="AC46" i="60"/>
  <c r="AB46" i="60"/>
  <c r="AA46" i="60"/>
  <c r="Z46" i="60"/>
  <c r="Y46" i="60"/>
  <c r="X46" i="60"/>
  <c r="W46" i="60"/>
  <c r="V46" i="60"/>
  <c r="U46" i="60"/>
  <c r="T46" i="60"/>
  <c r="AF45" i="60"/>
  <c r="AE45" i="60"/>
  <c r="AD45" i="60"/>
  <c r="AC45" i="60"/>
  <c r="AB45" i="60"/>
  <c r="AA45" i="60"/>
  <c r="Z45" i="60"/>
  <c r="Y45" i="60"/>
  <c r="X45" i="60"/>
  <c r="W45" i="60"/>
  <c r="V45" i="60"/>
  <c r="U45" i="60"/>
  <c r="T45" i="60"/>
  <c r="AF44" i="60"/>
  <c r="AE44" i="60"/>
  <c r="AD44" i="60"/>
  <c r="AC44" i="60"/>
  <c r="AB44" i="60"/>
  <c r="AA44" i="60"/>
  <c r="Z44" i="60"/>
  <c r="Y44" i="60"/>
  <c r="X44" i="60"/>
  <c r="W44" i="60"/>
  <c r="V44" i="60"/>
  <c r="U44" i="60"/>
  <c r="T44" i="60"/>
  <c r="AF43" i="60"/>
  <c r="AE43" i="60"/>
  <c r="AD43" i="60"/>
  <c r="AC43" i="60"/>
  <c r="AB43" i="60"/>
  <c r="AA43" i="60"/>
  <c r="Z43" i="60"/>
  <c r="Y43" i="60"/>
  <c r="X43" i="60"/>
  <c r="W43" i="60"/>
  <c r="V43" i="60"/>
  <c r="U43" i="60"/>
  <c r="T43" i="60"/>
  <c r="AF42" i="60"/>
  <c r="AE42" i="60"/>
  <c r="AD42" i="60"/>
  <c r="AC42" i="60"/>
  <c r="AB42" i="60"/>
  <c r="AA42" i="60"/>
  <c r="Z42" i="60"/>
  <c r="Y42" i="60"/>
  <c r="X42" i="60"/>
  <c r="W42" i="60"/>
  <c r="V42" i="60"/>
  <c r="U42" i="60"/>
  <c r="T42" i="60"/>
  <c r="AF41" i="60"/>
  <c r="AE41" i="60"/>
  <c r="AD41" i="60"/>
  <c r="AC41" i="60"/>
  <c r="AB41" i="60"/>
  <c r="AA41" i="60"/>
  <c r="Z41" i="60"/>
  <c r="Y41" i="60"/>
  <c r="X41" i="60"/>
  <c r="W41" i="60"/>
  <c r="V41" i="60"/>
  <c r="U41" i="60"/>
  <c r="T41" i="60"/>
  <c r="AF40" i="60"/>
  <c r="AE40" i="60"/>
  <c r="AD40" i="60"/>
  <c r="AC40" i="60"/>
  <c r="AB40" i="60"/>
  <c r="AA40" i="60"/>
  <c r="Z40" i="60"/>
  <c r="Y40" i="60"/>
  <c r="X40" i="60"/>
  <c r="W40" i="60"/>
  <c r="V40" i="60"/>
  <c r="U40" i="60"/>
  <c r="T40" i="60"/>
  <c r="AF39" i="60"/>
  <c r="AE39" i="60"/>
  <c r="AD39" i="60"/>
  <c r="AC39" i="60"/>
  <c r="AB39" i="60"/>
  <c r="AA39" i="60"/>
  <c r="Z39" i="60"/>
  <c r="Y39" i="60"/>
  <c r="X39" i="60"/>
  <c r="W39" i="60"/>
  <c r="V39" i="60"/>
  <c r="U39" i="60"/>
  <c r="T39" i="60"/>
  <c r="AF38" i="60"/>
  <c r="AE38" i="60"/>
  <c r="AD38" i="60"/>
  <c r="AC38" i="60"/>
  <c r="AB38" i="60"/>
  <c r="AA38" i="60"/>
  <c r="Z38" i="60"/>
  <c r="Y38" i="60"/>
  <c r="X38" i="60"/>
  <c r="W38" i="60"/>
  <c r="V38" i="60"/>
  <c r="U38" i="60"/>
  <c r="T38" i="60"/>
  <c r="AF37" i="60"/>
  <c r="AE37" i="60"/>
  <c r="AD37" i="60"/>
  <c r="AC37" i="60"/>
  <c r="AB37" i="60"/>
  <c r="AA37" i="60"/>
  <c r="Z37" i="60"/>
  <c r="Y37" i="60"/>
  <c r="X37" i="60"/>
  <c r="W37" i="60"/>
  <c r="V37" i="60"/>
  <c r="U37" i="60"/>
  <c r="T37" i="60"/>
  <c r="AF36" i="60"/>
  <c r="AE36" i="60"/>
  <c r="AD36" i="60"/>
  <c r="AC36" i="60"/>
  <c r="AB36" i="60"/>
  <c r="AA36" i="60"/>
  <c r="Z36" i="60"/>
  <c r="Y36" i="60"/>
  <c r="X36" i="60"/>
  <c r="W36" i="60"/>
  <c r="V36" i="60"/>
  <c r="U36" i="60"/>
  <c r="T36" i="60"/>
  <c r="AF35" i="60"/>
  <c r="AE35" i="60"/>
  <c r="AD35" i="60"/>
  <c r="AC35" i="60"/>
  <c r="AB35" i="60"/>
  <c r="AA35" i="60"/>
  <c r="Z35" i="60"/>
  <c r="Y35" i="60"/>
  <c r="X35" i="60"/>
  <c r="W35" i="60"/>
  <c r="V35" i="60"/>
  <c r="U35" i="60"/>
  <c r="T35" i="60"/>
  <c r="AF34" i="60"/>
  <c r="AE34" i="60"/>
  <c r="AD34" i="60"/>
  <c r="AC34" i="60"/>
  <c r="AB34" i="60"/>
  <c r="AA34" i="60"/>
  <c r="Z34" i="60"/>
  <c r="Y34" i="60"/>
  <c r="X34" i="60"/>
  <c r="W34" i="60"/>
  <c r="V34" i="60"/>
  <c r="U34" i="60"/>
  <c r="T34" i="60"/>
  <c r="C21" i="59"/>
  <c r="AD83" i="58"/>
  <c r="AC83" i="58"/>
  <c r="AB83" i="58"/>
  <c r="AA83" i="58"/>
  <c r="Z83" i="58"/>
  <c r="Y83" i="58"/>
  <c r="X83" i="58"/>
  <c r="W83" i="58"/>
  <c r="V83" i="58"/>
  <c r="U83" i="58"/>
  <c r="T83" i="58"/>
  <c r="S83" i="58"/>
  <c r="AD81" i="58"/>
  <c r="AC81" i="58"/>
  <c r="AB81" i="58"/>
  <c r="AA81" i="58"/>
  <c r="Z81" i="58"/>
  <c r="Y81" i="58"/>
  <c r="X81" i="58"/>
  <c r="W81" i="58"/>
  <c r="V81" i="58"/>
  <c r="U81" i="58"/>
  <c r="T81" i="58"/>
  <c r="S81" i="58"/>
  <c r="AD80" i="58"/>
  <c r="AC80" i="58"/>
  <c r="AB80" i="58"/>
  <c r="AA80" i="58"/>
  <c r="Z80" i="58"/>
  <c r="Y80" i="58"/>
  <c r="X80" i="58"/>
  <c r="W80" i="58"/>
  <c r="V80" i="58"/>
  <c r="U80" i="58"/>
  <c r="T80" i="58"/>
  <c r="S80" i="58"/>
  <c r="AD79" i="58"/>
  <c r="AC79" i="58"/>
  <c r="AB79" i="58"/>
  <c r="AA79" i="58"/>
  <c r="Z79" i="58"/>
  <c r="Y79" i="58"/>
  <c r="X79" i="58"/>
  <c r="W79" i="58"/>
  <c r="V79" i="58"/>
  <c r="U79" i="58"/>
  <c r="T79" i="58"/>
  <c r="S79" i="58"/>
  <c r="AD78" i="58"/>
  <c r="AC78" i="58"/>
  <c r="AB78" i="58"/>
  <c r="AA78" i="58"/>
  <c r="Z78" i="58"/>
  <c r="Y78" i="58"/>
  <c r="X78" i="58"/>
  <c r="W78" i="58"/>
  <c r="V78" i="58"/>
  <c r="U78" i="58"/>
  <c r="T78" i="58"/>
  <c r="S78" i="58"/>
  <c r="AD77" i="58"/>
  <c r="AC77" i="58"/>
  <c r="AB77" i="58"/>
  <c r="AA77" i="58"/>
  <c r="Z77" i="58"/>
  <c r="Y77" i="58"/>
  <c r="X77" i="58"/>
  <c r="W77" i="58"/>
  <c r="V77" i="58"/>
  <c r="U77" i="58"/>
  <c r="T77" i="58"/>
  <c r="S77" i="58"/>
  <c r="AD76" i="58"/>
  <c r="AC76" i="58"/>
  <c r="AB76" i="58"/>
  <c r="AA76" i="58"/>
  <c r="Z76" i="58"/>
  <c r="Y76" i="58"/>
  <c r="X76" i="58"/>
  <c r="W76" i="58"/>
  <c r="V76" i="58"/>
  <c r="U76" i="58"/>
  <c r="T76" i="58"/>
  <c r="S76" i="58"/>
  <c r="AD75" i="58"/>
  <c r="AC75" i="58"/>
  <c r="AB75" i="58"/>
  <c r="AA75" i="58"/>
  <c r="Z75" i="58"/>
  <c r="Y75" i="58"/>
  <c r="X75" i="58"/>
  <c r="W75" i="58"/>
  <c r="V75" i="58"/>
  <c r="U75" i="58"/>
  <c r="T75" i="58"/>
  <c r="S75" i="58"/>
  <c r="AD74" i="58"/>
  <c r="AC74" i="58"/>
  <c r="AB74" i="58"/>
  <c r="AA74" i="58"/>
  <c r="Z74" i="58"/>
  <c r="Y74" i="58"/>
  <c r="X74" i="58"/>
  <c r="W74" i="58"/>
  <c r="V74" i="58"/>
  <c r="U74" i="58"/>
  <c r="T74" i="58"/>
  <c r="S74" i="58"/>
  <c r="AD73" i="58"/>
  <c r="AC73" i="58"/>
  <c r="AB73" i="58"/>
  <c r="AA73" i="58"/>
  <c r="Z73" i="58"/>
  <c r="Y73" i="58"/>
  <c r="X73" i="58"/>
  <c r="W73" i="58"/>
  <c r="V73" i="58"/>
  <c r="U73" i="58"/>
  <c r="T73" i="58"/>
  <c r="S73" i="58"/>
  <c r="AD72" i="58"/>
  <c r="AC72" i="58"/>
  <c r="AB72" i="58"/>
  <c r="AA72" i="58"/>
  <c r="Z72" i="58"/>
  <c r="Y72" i="58"/>
  <c r="X72" i="58"/>
  <c r="W72" i="58"/>
  <c r="V72" i="58"/>
  <c r="U72" i="58"/>
  <c r="T72" i="58"/>
  <c r="S72" i="58"/>
  <c r="AD71" i="58"/>
  <c r="AC71" i="58"/>
  <c r="AB71" i="58"/>
  <c r="AA71" i="58"/>
  <c r="Z71" i="58"/>
  <c r="Y71" i="58"/>
  <c r="X71" i="58"/>
  <c r="W71" i="58"/>
  <c r="V71" i="58"/>
  <c r="U71" i="58"/>
  <c r="T71" i="58"/>
  <c r="S71" i="58"/>
  <c r="AD70" i="58"/>
  <c r="AC70" i="58"/>
  <c r="AB70" i="58"/>
  <c r="AA70" i="58"/>
  <c r="Z70" i="58"/>
  <c r="Y70" i="58"/>
  <c r="X70" i="58"/>
  <c r="W70" i="58"/>
  <c r="V70" i="58"/>
  <c r="U70" i="58"/>
  <c r="T70" i="58"/>
  <c r="S70" i="58"/>
  <c r="AD69" i="58"/>
  <c r="AC69" i="58"/>
  <c r="AB69" i="58"/>
  <c r="AA69" i="58"/>
  <c r="Z69" i="58"/>
  <c r="Y69" i="58"/>
  <c r="X69" i="58"/>
  <c r="W69" i="58"/>
  <c r="V69" i="58"/>
  <c r="U69" i="58"/>
  <c r="T69" i="58"/>
  <c r="S69" i="58"/>
  <c r="AD68" i="58"/>
  <c r="AC68" i="58"/>
  <c r="AB68" i="58"/>
  <c r="AA68" i="58"/>
  <c r="Z68" i="58"/>
  <c r="Y68" i="58"/>
  <c r="X68" i="58"/>
  <c r="W68" i="58"/>
  <c r="V68" i="58"/>
  <c r="U68" i="58"/>
  <c r="T68" i="58"/>
  <c r="S68" i="58"/>
  <c r="AD67" i="58"/>
  <c r="AC67" i="58"/>
  <c r="AB67" i="58"/>
  <c r="AA67" i="58"/>
  <c r="Z67" i="58"/>
  <c r="Y67" i="58"/>
  <c r="X67" i="58"/>
  <c r="W67" i="58"/>
  <c r="V67" i="58"/>
  <c r="U67" i="58"/>
  <c r="T67" i="58"/>
  <c r="S67" i="58"/>
  <c r="AD66" i="58"/>
  <c r="AC66" i="58"/>
  <c r="AB66" i="58"/>
  <c r="AA66" i="58"/>
  <c r="Z66" i="58"/>
  <c r="Y66" i="58"/>
  <c r="X66" i="58"/>
  <c r="W66" i="58"/>
  <c r="V66" i="58"/>
  <c r="U66" i="58"/>
  <c r="T66" i="58"/>
  <c r="S66" i="58"/>
  <c r="AD65" i="58"/>
  <c r="AC65" i="58"/>
  <c r="AB65" i="58"/>
  <c r="AA65" i="58"/>
  <c r="Z65" i="58"/>
  <c r="Y65" i="58"/>
  <c r="X65" i="58"/>
  <c r="W65" i="58"/>
  <c r="V65" i="58"/>
  <c r="U65" i="58"/>
  <c r="T65" i="58"/>
  <c r="S65" i="58"/>
  <c r="AD64" i="58"/>
  <c r="AC64" i="58"/>
  <c r="AB64" i="58"/>
  <c r="AA64" i="58"/>
  <c r="Z64" i="58"/>
  <c r="Y64" i="58"/>
  <c r="X64" i="58"/>
  <c r="W64" i="58"/>
  <c r="V64" i="58"/>
  <c r="U64" i="58"/>
  <c r="T64" i="58"/>
  <c r="S64" i="58"/>
  <c r="AD63" i="58"/>
  <c r="AC63" i="58"/>
  <c r="AB63" i="58"/>
  <c r="AA63" i="58"/>
  <c r="Z63" i="58"/>
  <c r="Y63" i="58"/>
  <c r="X63" i="58"/>
  <c r="W63" i="58"/>
  <c r="V63" i="58"/>
  <c r="U63" i="58"/>
  <c r="T63" i="58"/>
  <c r="S63" i="58"/>
  <c r="AD62" i="58"/>
  <c r="AC62" i="58"/>
  <c r="AB62" i="58"/>
  <c r="AA62" i="58"/>
  <c r="Z62" i="58"/>
  <c r="Y62" i="58"/>
  <c r="X62" i="58"/>
  <c r="W62" i="58"/>
  <c r="V62" i="58"/>
  <c r="U62" i="58"/>
  <c r="T62" i="58"/>
  <c r="S62" i="58"/>
  <c r="AD61" i="58"/>
  <c r="AC61" i="58"/>
  <c r="AB61" i="58"/>
  <c r="AA61" i="58"/>
  <c r="Z61" i="58"/>
  <c r="Y61" i="58"/>
  <c r="X61" i="58"/>
  <c r="W61" i="58"/>
  <c r="V61" i="58"/>
  <c r="U61" i="58"/>
  <c r="T61" i="58"/>
  <c r="S61" i="58"/>
  <c r="AD60" i="58"/>
  <c r="AC60" i="58"/>
  <c r="AB60" i="58"/>
  <c r="AA60" i="58"/>
  <c r="Z60" i="58"/>
  <c r="Y60" i="58"/>
  <c r="X60" i="58"/>
  <c r="W60" i="58"/>
  <c r="V60" i="58"/>
  <c r="U60" i="58"/>
  <c r="T60" i="58"/>
  <c r="S60" i="58"/>
  <c r="AD59" i="58"/>
  <c r="AC59" i="58"/>
  <c r="AB59" i="58"/>
  <c r="AA59" i="58"/>
  <c r="Z59" i="58"/>
  <c r="Y59" i="58"/>
  <c r="X59" i="58"/>
  <c r="W59" i="58"/>
  <c r="V59" i="58"/>
  <c r="U59" i="58"/>
  <c r="T59" i="58"/>
  <c r="S59" i="58"/>
  <c r="AD58" i="58"/>
  <c r="AC58" i="58"/>
  <c r="AB58" i="58"/>
  <c r="AA58" i="58"/>
  <c r="Z58" i="58"/>
  <c r="Y58" i="58"/>
  <c r="X58" i="58"/>
  <c r="W58" i="58"/>
  <c r="V58" i="58"/>
  <c r="U58" i="58"/>
  <c r="T58" i="58"/>
  <c r="S58" i="58"/>
  <c r="AD57" i="58"/>
  <c r="AC57" i="58"/>
  <c r="AB57" i="58"/>
  <c r="AA57" i="58"/>
  <c r="Z57" i="58"/>
  <c r="Y57" i="58"/>
  <c r="X57" i="58"/>
  <c r="W57" i="58"/>
  <c r="V57" i="58"/>
  <c r="U57" i="58"/>
  <c r="T57" i="58"/>
  <c r="S57" i="58"/>
  <c r="AD56" i="58"/>
  <c r="AC56" i="58"/>
  <c r="AB56" i="58"/>
  <c r="AA56" i="58"/>
  <c r="Z56" i="58"/>
  <c r="Y56" i="58"/>
  <c r="X56" i="58"/>
  <c r="W56" i="58"/>
  <c r="V56" i="58"/>
  <c r="U56" i="58"/>
  <c r="T56" i="58"/>
  <c r="S56" i="58"/>
  <c r="AD55" i="58"/>
  <c r="AC55" i="58"/>
  <c r="AB55" i="58"/>
  <c r="AA55" i="58"/>
  <c r="Z55" i="58"/>
  <c r="Y55" i="58"/>
  <c r="X55" i="58"/>
  <c r="W55" i="58"/>
  <c r="V55" i="58"/>
  <c r="U55" i="58"/>
  <c r="T55" i="58"/>
  <c r="S55" i="58"/>
  <c r="AD54" i="58"/>
  <c r="AC54" i="58"/>
  <c r="AB54" i="58"/>
  <c r="AA54" i="58"/>
  <c r="Z54" i="58"/>
  <c r="Y54" i="58"/>
  <c r="X54" i="58"/>
  <c r="W54" i="58"/>
  <c r="V54" i="58"/>
  <c r="U54" i="58"/>
  <c r="T54" i="58"/>
  <c r="S54" i="58"/>
  <c r="AD53" i="58"/>
  <c r="AC53" i="58"/>
  <c r="AB53" i="58"/>
  <c r="AA53" i="58"/>
  <c r="Z53" i="58"/>
  <c r="Y53" i="58"/>
  <c r="X53" i="58"/>
  <c r="W53" i="58"/>
  <c r="V53" i="58"/>
  <c r="U53" i="58"/>
  <c r="T53" i="58"/>
  <c r="S53" i="58"/>
  <c r="AD52" i="58"/>
  <c r="AC52" i="58"/>
  <c r="AB52" i="58"/>
  <c r="AA52" i="58"/>
  <c r="Z52" i="58"/>
  <c r="Y52" i="58"/>
  <c r="X52" i="58"/>
  <c r="W52" i="58"/>
  <c r="V52" i="58"/>
  <c r="U52" i="58"/>
  <c r="T52" i="58"/>
  <c r="S52" i="58"/>
  <c r="AD51" i="58"/>
  <c r="AC51" i="58"/>
  <c r="AB51" i="58"/>
  <c r="AA51" i="58"/>
  <c r="Z51" i="58"/>
  <c r="Y51" i="58"/>
  <c r="X51" i="58"/>
  <c r="W51" i="58"/>
  <c r="V51" i="58"/>
  <c r="U51" i="58"/>
  <c r="T51" i="58"/>
  <c r="S51" i="58"/>
  <c r="AD50" i="58"/>
  <c r="AC50" i="58"/>
  <c r="AB50" i="58"/>
  <c r="AA50" i="58"/>
  <c r="Z50" i="58"/>
  <c r="Y50" i="58"/>
  <c r="X50" i="58"/>
  <c r="W50" i="58"/>
  <c r="V50" i="58"/>
  <c r="U50" i="58"/>
  <c r="T50" i="58"/>
  <c r="S50" i="58"/>
  <c r="AD49" i="58"/>
  <c r="AC49" i="58"/>
  <c r="AB49" i="58"/>
  <c r="AA49" i="58"/>
  <c r="Z49" i="58"/>
  <c r="Y49" i="58"/>
  <c r="X49" i="58"/>
  <c r="W49" i="58"/>
  <c r="V49" i="58"/>
  <c r="U49" i="58"/>
  <c r="T49" i="58"/>
  <c r="S49" i="58"/>
  <c r="AD48" i="58"/>
  <c r="AC48" i="58"/>
  <c r="AB48" i="58"/>
  <c r="AA48" i="58"/>
  <c r="Z48" i="58"/>
  <c r="Y48" i="58"/>
  <c r="X48" i="58"/>
  <c r="W48" i="58"/>
  <c r="V48" i="58"/>
  <c r="U48" i="58"/>
  <c r="T48" i="58"/>
  <c r="S48" i="58"/>
  <c r="AD47" i="58"/>
  <c r="AC47" i="58"/>
  <c r="AB47" i="58"/>
  <c r="AA47" i="58"/>
  <c r="Z47" i="58"/>
  <c r="Y47" i="58"/>
  <c r="X47" i="58"/>
  <c r="W47" i="58"/>
  <c r="V47" i="58"/>
  <c r="U47" i="58"/>
  <c r="T47" i="58"/>
  <c r="S47" i="58"/>
  <c r="AD46" i="58"/>
  <c r="AC46" i="58"/>
  <c r="AB46" i="58"/>
  <c r="AA46" i="58"/>
  <c r="Z46" i="58"/>
  <c r="Y46" i="58"/>
  <c r="X46" i="58"/>
  <c r="W46" i="58"/>
  <c r="V46" i="58"/>
  <c r="U46" i="58"/>
  <c r="T46" i="58"/>
  <c r="S46" i="58"/>
  <c r="AD45" i="58"/>
  <c r="AC45" i="58"/>
  <c r="AB45" i="58"/>
  <c r="AA45" i="58"/>
  <c r="Z45" i="58"/>
  <c r="Y45" i="58"/>
  <c r="X45" i="58"/>
  <c r="W45" i="58"/>
  <c r="V45" i="58"/>
  <c r="U45" i="58"/>
  <c r="T45" i="58"/>
  <c r="S45" i="58"/>
  <c r="AD44" i="58"/>
  <c r="AC44" i="58"/>
  <c r="AB44" i="58"/>
  <c r="AA44" i="58"/>
  <c r="Z44" i="58"/>
  <c r="Y44" i="58"/>
  <c r="X44" i="58"/>
  <c r="W44" i="58"/>
  <c r="V44" i="58"/>
  <c r="U44" i="58"/>
  <c r="T44" i="58"/>
  <c r="S44" i="58"/>
  <c r="AD43" i="58"/>
  <c r="AC43" i="58"/>
  <c r="AB43" i="58"/>
  <c r="AA43" i="58"/>
  <c r="Z43" i="58"/>
  <c r="Y43" i="58"/>
  <c r="X43" i="58"/>
  <c r="W43" i="58"/>
  <c r="V43" i="58"/>
  <c r="U43" i="58"/>
  <c r="T43" i="58"/>
  <c r="S43" i="58"/>
  <c r="AD42" i="58"/>
  <c r="AC42" i="58"/>
  <c r="AB42" i="58"/>
  <c r="AA42" i="58"/>
  <c r="Z42" i="58"/>
  <c r="Y42" i="58"/>
  <c r="X42" i="58"/>
  <c r="W42" i="58"/>
  <c r="V42" i="58"/>
  <c r="U42" i="58"/>
  <c r="T42" i="58"/>
  <c r="S42" i="58"/>
  <c r="AD41" i="58"/>
  <c r="AC41" i="58"/>
  <c r="AB41" i="58"/>
  <c r="AA41" i="58"/>
  <c r="Z41" i="58"/>
  <c r="Y41" i="58"/>
  <c r="X41" i="58"/>
  <c r="W41" i="58"/>
  <c r="V41" i="58"/>
  <c r="U41" i="58"/>
  <c r="T41" i="58"/>
  <c r="S41" i="58"/>
  <c r="AD40" i="58"/>
  <c r="AC40" i="58"/>
  <c r="AB40" i="58"/>
  <c r="AA40" i="58"/>
  <c r="Z40" i="58"/>
  <c r="Y40" i="58"/>
  <c r="X40" i="58"/>
  <c r="W40" i="58"/>
  <c r="V40" i="58"/>
  <c r="U40" i="58"/>
  <c r="T40" i="58"/>
  <c r="S40" i="58"/>
  <c r="AD39" i="58"/>
  <c r="AC39" i="58"/>
  <c r="AB39" i="58"/>
  <c r="AA39" i="58"/>
  <c r="Z39" i="58"/>
  <c r="Y39" i="58"/>
  <c r="X39" i="58"/>
  <c r="W39" i="58"/>
  <c r="V39" i="58"/>
  <c r="U39" i="58"/>
  <c r="T39" i="58"/>
  <c r="S39" i="58"/>
  <c r="AD38" i="58"/>
  <c r="AC38" i="58"/>
  <c r="AB38" i="58"/>
  <c r="AA38" i="58"/>
  <c r="Z38" i="58"/>
  <c r="Y38" i="58"/>
  <c r="X38" i="58"/>
  <c r="W38" i="58"/>
  <c r="V38" i="58"/>
  <c r="U38" i="58"/>
  <c r="T38" i="58"/>
  <c r="S38" i="58"/>
  <c r="AD37" i="58"/>
  <c r="AC37" i="58"/>
  <c r="AB37" i="58"/>
  <c r="AA37" i="58"/>
  <c r="Z37" i="58"/>
  <c r="Y37" i="58"/>
  <c r="X37" i="58"/>
  <c r="W37" i="58"/>
  <c r="V37" i="58"/>
  <c r="U37" i="58"/>
  <c r="T37" i="58"/>
  <c r="S37" i="58"/>
  <c r="AD36" i="58"/>
  <c r="AC36" i="58"/>
  <c r="AB36" i="58"/>
  <c r="AA36" i="58"/>
  <c r="Z36" i="58"/>
  <c r="Y36" i="58"/>
  <c r="X36" i="58"/>
  <c r="W36" i="58"/>
  <c r="V36" i="58"/>
  <c r="U36" i="58"/>
  <c r="T36" i="58"/>
  <c r="S36" i="58"/>
  <c r="AD35" i="58"/>
  <c r="AC35" i="58"/>
  <c r="AB35" i="58"/>
  <c r="AA35" i="58"/>
  <c r="Z35" i="58"/>
  <c r="Y35" i="58"/>
  <c r="X35" i="58"/>
  <c r="W35" i="58"/>
  <c r="V35" i="58"/>
  <c r="U35" i="58"/>
  <c r="T35" i="58"/>
  <c r="S35" i="58"/>
  <c r="AD34" i="58"/>
  <c r="AC34" i="58"/>
  <c r="AB34" i="58"/>
  <c r="AA34" i="58"/>
  <c r="Z34" i="58"/>
  <c r="Y34" i="58"/>
  <c r="X34" i="58"/>
  <c r="W34" i="58"/>
  <c r="V34" i="58"/>
  <c r="U34" i="58"/>
  <c r="T34" i="58"/>
  <c r="S34" i="58"/>
  <c r="AD33" i="58"/>
  <c r="AC33" i="58"/>
  <c r="AB33" i="58"/>
  <c r="AA33" i="58"/>
  <c r="Z33" i="58"/>
  <c r="Y33" i="58"/>
  <c r="X33" i="58"/>
  <c r="W33" i="58"/>
  <c r="V33" i="58"/>
  <c r="U33" i="58"/>
  <c r="T33" i="58"/>
  <c r="S33" i="58"/>
  <c r="AZ23" i="58"/>
  <c r="AY23" i="58"/>
  <c r="AX23" i="58"/>
  <c r="AW23" i="58"/>
  <c r="AV23" i="58"/>
  <c r="AU23" i="58"/>
  <c r="AT23" i="58"/>
  <c r="AS23" i="58"/>
  <c r="AR23" i="58"/>
  <c r="AQ23" i="58"/>
  <c r="AP23" i="58"/>
  <c r="AO23" i="58"/>
  <c r="AN23" i="58"/>
  <c r="AM23" i="58"/>
  <c r="AL23" i="58"/>
  <c r="AK23" i="58"/>
  <c r="AJ23" i="58"/>
  <c r="AI23" i="58"/>
  <c r="AH23" i="58"/>
  <c r="AG23" i="58"/>
  <c r="AF23" i="58"/>
  <c r="AE23" i="58"/>
  <c r="AD23" i="58"/>
  <c r="AC23" i="58"/>
  <c r="AB23" i="58"/>
  <c r="AA23" i="58"/>
  <c r="Z23" i="58"/>
  <c r="Y23" i="58"/>
  <c r="X23" i="58"/>
  <c r="W23" i="58"/>
  <c r="V23" i="58"/>
  <c r="U23" i="58"/>
  <c r="T23" i="58"/>
  <c r="S23" i="58"/>
  <c r="R23" i="58"/>
  <c r="Q23" i="58"/>
  <c r="P23" i="58"/>
  <c r="O23" i="58"/>
  <c r="N23" i="58"/>
  <c r="M23" i="58"/>
  <c r="L23" i="58"/>
  <c r="K23" i="58"/>
  <c r="J23" i="58"/>
  <c r="I23" i="58"/>
  <c r="H23" i="58"/>
  <c r="G23" i="58"/>
  <c r="F23" i="58"/>
  <c r="E23" i="58"/>
  <c r="D23" i="58"/>
  <c r="C23" i="58"/>
  <c r="AZ22" i="58"/>
  <c r="AY22" i="58"/>
  <c r="AX22" i="58"/>
  <c r="AW22" i="58"/>
  <c r="AV22" i="58"/>
  <c r="AU22" i="58"/>
  <c r="AT22" i="58"/>
  <c r="AS22" i="58"/>
  <c r="AR22" i="58"/>
  <c r="AQ22" i="58"/>
  <c r="AP22" i="58"/>
  <c r="AO22" i="58"/>
  <c r="AN22" i="58"/>
  <c r="AM22" i="58"/>
  <c r="AL22" i="58"/>
  <c r="AK22" i="58"/>
  <c r="AJ22" i="58"/>
  <c r="AI22" i="58"/>
  <c r="AH22" i="58"/>
  <c r="AG22" i="58"/>
  <c r="AF22" i="58"/>
  <c r="AE22" i="58"/>
  <c r="AD22" i="58"/>
  <c r="AC22" i="58"/>
  <c r="AB22" i="58"/>
  <c r="AA22" i="58"/>
  <c r="Z22" i="58"/>
  <c r="Y22" i="58"/>
  <c r="X22" i="58"/>
  <c r="W22" i="58"/>
  <c r="V22" i="58"/>
  <c r="U22" i="58"/>
  <c r="T22" i="58"/>
  <c r="S22" i="58"/>
  <c r="R22" i="58"/>
  <c r="Q22" i="58"/>
  <c r="P22" i="58"/>
  <c r="O22" i="58"/>
  <c r="N22" i="58"/>
  <c r="M22" i="58"/>
  <c r="L22" i="58"/>
  <c r="K22" i="58"/>
  <c r="J22" i="58"/>
  <c r="I22" i="58"/>
  <c r="H22" i="58"/>
  <c r="G22" i="58"/>
  <c r="F22" i="58"/>
  <c r="E22" i="58"/>
  <c r="D22" i="58"/>
  <c r="C22" i="58"/>
  <c r="AZ21" i="58"/>
  <c r="AY21" i="58"/>
  <c r="AX21" i="58"/>
  <c r="AW21" i="58"/>
  <c r="AV21" i="58"/>
  <c r="AU21" i="58"/>
  <c r="AT21" i="58"/>
  <c r="AS21" i="58"/>
  <c r="AR21" i="58"/>
  <c r="AQ21" i="58"/>
  <c r="AP21" i="58"/>
  <c r="AO21" i="58"/>
  <c r="AN21" i="58"/>
  <c r="AM21" i="58"/>
  <c r="AL21" i="58"/>
  <c r="AK21" i="58"/>
  <c r="AJ21" i="58"/>
  <c r="AI21" i="58"/>
  <c r="AH21" i="58"/>
  <c r="AG21" i="58"/>
  <c r="AF21" i="58"/>
  <c r="AE21" i="58"/>
  <c r="AD21" i="58"/>
  <c r="AC21" i="58"/>
  <c r="AB21" i="58"/>
  <c r="AA21" i="58"/>
  <c r="Z21" i="58"/>
  <c r="Y21" i="58"/>
  <c r="X21" i="58"/>
  <c r="W21" i="58"/>
  <c r="V21" i="58"/>
  <c r="U21" i="58"/>
  <c r="T21" i="58"/>
  <c r="S21" i="58"/>
  <c r="R21" i="58"/>
  <c r="Q21" i="58"/>
  <c r="P21" i="58"/>
  <c r="O21" i="58"/>
  <c r="N21" i="58"/>
  <c r="M21" i="58"/>
  <c r="L21" i="58"/>
  <c r="K21" i="58"/>
  <c r="J21" i="58"/>
  <c r="I21" i="58"/>
  <c r="H21" i="58"/>
  <c r="G21" i="58"/>
  <c r="F21" i="58"/>
  <c r="E21" i="58"/>
  <c r="D21" i="58"/>
  <c r="C21" i="58"/>
  <c r="AZ20" i="58"/>
  <c r="AY20" i="58"/>
  <c r="AX20" i="58"/>
  <c r="AW20" i="58"/>
  <c r="AV20" i="58"/>
  <c r="AU20" i="58"/>
  <c r="AT20" i="58"/>
  <c r="AS20" i="58"/>
  <c r="AR20" i="58"/>
  <c r="AQ20" i="58"/>
  <c r="AP20" i="58"/>
  <c r="AO20" i="58"/>
  <c r="AN20" i="58"/>
  <c r="AM20" i="58"/>
  <c r="AL20" i="58"/>
  <c r="AK20" i="58"/>
  <c r="AJ20" i="58"/>
  <c r="AI20" i="58"/>
  <c r="AH20" i="58"/>
  <c r="AG20" i="58"/>
  <c r="AF20" i="58"/>
  <c r="AE20" i="58"/>
  <c r="AD20" i="58"/>
  <c r="AC20" i="58"/>
  <c r="AB20" i="58"/>
  <c r="AA20" i="58"/>
  <c r="Z20" i="58"/>
  <c r="Y20" i="58"/>
  <c r="X20" i="58"/>
  <c r="W20" i="58"/>
  <c r="V20" i="58"/>
  <c r="U20" i="58"/>
  <c r="T20" i="58"/>
  <c r="S20" i="58"/>
  <c r="R20" i="58"/>
  <c r="Q20" i="58"/>
  <c r="P20" i="58"/>
  <c r="O20" i="58"/>
  <c r="N20" i="58"/>
  <c r="M20" i="58"/>
  <c r="L20" i="58"/>
  <c r="K20" i="58"/>
  <c r="J20" i="58"/>
  <c r="I20" i="58"/>
  <c r="H20" i="58"/>
  <c r="G20" i="58"/>
  <c r="F20" i="58"/>
  <c r="E20" i="58"/>
  <c r="D20" i="58"/>
  <c r="C20" i="58"/>
  <c r="AZ19" i="58"/>
  <c r="AY19" i="58"/>
  <c r="AX19" i="58"/>
  <c r="AW19" i="58"/>
  <c r="AV19" i="58"/>
  <c r="AU19" i="58"/>
  <c r="AT19" i="58"/>
  <c r="AS19" i="58"/>
  <c r="AR19" i="58"/>
  <c r="AQ19" i="58"/>
  <c r="AP19" i="58"/>
  <c r="AO19" i="58"/>
  <c r="AN19" i="58"/>
  <c r="AM19" i="58"/>
  <c r="AL19" i="58"/>
  <c r="AK19" i="58"/>
  <c r="AJ19" i="58"/>
  <c r="AI19" i="58"/>
  <c r="AH19" i="58"/>
  <c r="AG19" i="58"/>
  <c r="AF19" i="58"/>
  <c r="AE19" i="58"/>
  <c r="AD19" i="58"/>
  <c r="AC19" i="58"/>
  <c r="AB19" i="58"/>
  <c r="AA19" i="58"/>
  <c r="Z19" i="58"/>
  <c r="Y19" i="58"/>
  <c r="X19" i="58"/>
  <c r="W19" i="58"/>
  <c r="V19" i="58"/>
  <c r="U19" i="58"/>
  <c r="T19" i="58"/>
  <c r="S19" i="58"/>
  <c r="R19" i="58"/>
  <c r="Q19" i="58"/>
  <c r="P19" i="58"/>
  <c r="O19" i="58"/>
  <c r="N19" i="58"/>
  <c r="M19" i="58"/>
  <c r="L19" i="58"/>
  <c r="K19" i="58"/>
  <c r="J19" i="58"/>
  <c r="I19" i="58"/>
  <c r="H19" i="58"/>
  <c r="G19" i="58"/>
  <c r="F19" i="58"/>
  <c r="E19" i="58"/>
  <c r="D19" i="58"/>
  <c r="C19" i="58"/>
  <c r="AZ18" i="58"/>
  <c r="AY18" i="58"/>
  <c r="AX18" i="58"/>
  <c r="AW18" i="58"/>
  <c r="AV18" i="58"/>
  <c r="AU18" i="58"/>
  <c r="AT18" i="58"/>
  <c r="AS18" i="58"/>
  <c r="AR18" i="58"/>
  <c r="AQ18" i="58"/>
  <c r="AP18" i="58"/>
  <c r="AO18" i="58"/>
  <c r="AN18" i="58"/>
  <c r="AM18" i="58"/>
  <c r="AL18" i="58"/>
  <c r="AK18" i="58"/>
  <c r="AJ18" i="58"/>
  <c r="AI18" i="58"/>
  <c r="AH18" i="58"/>
  <c r="AG18" i="58"/>
  <c r="AF18" i="58"/>
  <c r="AE18" i="58"/>
  <c r="AD18" i="58"/>
  <c r="AC18" i="58"/>
  <c r="AB18" i="58"/>
  <c r="AA18" i="58"/>
  <c r="Z18" i="58"/>
  <c r="Y18" i="58"/>
  <c r="X18" i="58"/>
  <c r="W18" i="58"/>
  <c r="V18" i="58"/>
  <c r="U18" i="58"/>
  <c r="T18" i="58"/>
  <c r="S18" i="58"/>
  <c r="R18" i="58"/>
  <c r="Q18" i="58"/>
  <c r="P18" i="58"/>
  <c r="O18" i="58"/>
  <c r="N18" i="58"/>
  <c r="M18" i="58"/>
  <c r="L18" i="58"/>
  <c r="K18" i="58"/>
  <c r="J18" i="58"/>
  <c r="I18" i="58"/>
  <c r="H18" i="58"/>
  <c r="G18" i="58"/>
  <c r="F18" i="58"/>
  <c r="E18" i="58"/>
  <c r="D18" i="58"/>
  <c r="C18" i="58"/>
  <c r="AZ17" i="58"/>
  <c r="AY17" i="58"/>
  <c r="AX17" i="58"/>
  <c r="AW17" i="58"/>
  <c r="AV17" i="58"/>
  <c r="AU17" i="58"/>
  <c r="AT17" i="58"/>
  <c r="AS17" i="58"/>
  <c r="AR17" i="58"/>
  <c r="AQ17" i="58"/>
  <c r="AP17" i="58"/>
  <c r="AO17" i="58"/>
  <c r="AN17" i="58"/>
  <c r="AM17" i="58"/>
  <c r="AL17" i="58"/>
  <c r="AK17" i="58"/>
  <c r="AJ17" i="58"/>
  <c r="AI17" i="58"/>
  <c r="AH17" i="58"/>
  <c r="AG17" i="58"/>
  <c r="AF17" i="58"/>
  <c r="AE17" i="58"/>
  <c r="AD17" i="58"/>
  <c r="AC17" i="58"/>
  <c r="AB17" i="58"/>
  <c r="AA17" i="58"/>
  <c r="Z17" i="58"/>
  <c r="Y17" i="58"/>
  <c r="X17" i="58"/>
  <c r="W17" i="58"/>
  <c r="V17" i="58"/>
  <c r="U17" i="58"/>
  <c r="T17" i="58"/>
  <c r="S17" i="58"/>
  <c r="R17" i="58"/>
  <c r="Q17" i="58"/>
  <c r="P17" i="58"/>
  <c r="O17" i="58"/>
  <c r="N17" i="58"/>
  <c r="M17" i="58"/>
  <c r="L17" i="58"/>
  <c r="K17" i="58"/>
  <c r="J17" i="58"/>
  <c r="I17" i="58"/>
  <c r="H17" i="58"/>
  <c r="G17" i="58"/>
  <c r="F17" i="58"/>
  <c r="E17" i="58"/>
  <c r="D17" i="58"/>
  <c r="C17" i="58"/>
  <c r="AZ16" i="58"/>
  <c r="AY16" i="58"/>
  <c r="AX16" i="58"/>
  <c r="AW16" i="58"/>
  <c r="AV16" i="58"/>
  <c r="AU16" i="58"/>
  <c r="AT16" i="58"/>
  <c r="AS16" i="58"/>
  <c r="AR16" i="58"/>
  <c r="AQ16" i="58"/>
  <c r="AP16" i="58"/>
  <c r="AO16" i="58"/>
  <c r="AN16" i="58"/>
  <c r="AM16" i="58"/>
  <c r="AL16" i="58"/>
  <c r="AK16" i="58"/>
  <c r="AJ16" i="58"/>
  <c r="AI16" i="58"/>
  <c r="AH16" i="58"/>
  <c r="AG16" i="58"/>
  <c r="AF16" i="58"/>
  <c r="AE16" i="58"/>
  <c r="AD16" i="58"/>
  <c r="AC16" i="58"/>
  <c r="AB16" i="58"/>
  <c r="AA16" i="58"/>
  <c r="Z16" i="58"/>
  <c r="Y16" i="58"/>
  <c r="X16" i="58"/>
  <c r="W16" i="58"/>
  <c r="V16" i="58"/>
  <c r="U16" i="58"/>
  <c r="T16" i="58"/>
  <c r="S16" i="58"/>
  <c r="R16" i="58"/>
  <c r="Q16" i="58"/>
  <c r="P16" i="58"/>
  <c r="O16" i="58"/>
  <c r="N16" i="58"/>
  <c r="M16" i="58"/>
  <c r="L16" i="58"/>
  <c r="K16" i="58"/>
  <c r="J16" i="58"/>
  <c r="I16" i="58"/>
  <c r="H16" i="58"/>
  <c r="G16" i="58"/>
  <c r="F16" i="58"/>
  <c r="E16" i="58"/>
  <c r="D16" i="58"/>
  <c r="C16" i="58"/>
  <c r="AZ15" i="58"/>
  <c r="AY15" i="58"/>
  <c r="AX15" i="58"/>
  <c r="AW15" i="58"/>
  <c r="AV15" i="58"/>
  <c r="AU15" i="58"/>
  <c r="AT15" i="58"/>
  <c r="AS15" i="58"/>
  <c r="AR15" i="58"/>
  <c r="AQ15" i="58"/>
  <c r="AP15" i="58"/>
  <c r="AO15" i="58"/>
  <c r="AN15" i="58"/>
  <c r="AM15" i="58"/>
  <c r="AL15" i="58"/>
  <c r="AK15" i="58"/>
  <c r="AJ15" i="58"/>
  <c r="AI15" i="58"/>
  <c r="AH15" i="58"/>
  <c r="AG15" i="58"/>
  <c r="AF15" i="58"/>
  <c r="AE15" i="58"/>
  <c r="AD15" i="58"/>
  <c r="AC15" i="58"/>
  <c r="AB15" i="58"/>
  <c r="AA15" i="58"/>
  <c r="Z15" i="58"/>
  <c r="Y15" i="58"/>
  <c r="X15" i="58"/>
  <c r="W15" i="58"/>
  <c r="V15" i="58"/>
  <c r="U15" i="58"/>
  <c r="T15" i="58"/>
  <c r="S15" i="58"/>
  <c r="R15" i="58"/>
  <c r="Q15" i="58"/>
  <c r="P15" i="58"/>
  <c r="O15" i="58"/>
  <c r="N15" i="58"/>
  <c r="M15" i="58"/>
  <c r="L15" i="58"/>
  <c r="K15" i="58"/>
  <c r="J15" i="58"/>
  <c r="I15" i="58"/>
  <c r="H15" i="58"/>
  <c r="G15" i="58"/>
  <c r="F15" i="58"/>
  <c r="E15" i="58"/>
  <c r="D15" i="58"/>
  <c r="C15" i="58"/>
  <c r="AZ14" i="58"/>
  <c r="AY14" i="58"/>
  <c r="AX14" i="58"/>
  <c r="AW14" i="58"/>
  <c r="AV14" i="58"/>
  <c r="AU14" i="58"/>
  <c r="AT14" i="58"/>
  <c r="AS14" i="58"/>
  <c r="AR14" i="58"/>
  <c r="AQ14" i="58"/>
  <c r="AP14" i="58"/>
  <c r="AO14" i="58"/>
  <c r="AN14" i="58"/>
  <c r="AM14" i="58"/>
  <c r="AL14" i="58"/>
  <c r="AK14" i="58"/>
  <c r="AJ14" i="58"/>
  <c r="AI14" i="58"/>
  <c r="AH14" i="58"/>
  <c r="AG14" i="58"/>
  <c r="AF14" i="58"/>
  <c r="AE14" i="58"/>
  <c r="AD14" i="58"/>
  <c r="AC14" i="58"/>
  <c r="AB14" i="58"/>
  <c r="AA14" i="58"/>
  <c r="Z14" i="58"/>
  <c r="Y14" i="58"/>
  <c r="X14" i="58"/>
  <c r="W14" i="58"/>
  <c r="V14" i="58"/>
  <c r="U14" i="58"/>
  <c r="T14" i="58"/>
  <c r="S14" i="58"/>
  <c r="R14" i="58"/>
  <c r="Q14" i="58"/>
  <c r="P14" i="58"/>
  <c r="O14" i="58"/>
  <c r="N14" i="58"/>
  <c r="M14" i="58"/>
  <c r="L14" i="58"/>
  <c r="K14" i="58"/>
  <c r="J14" i="58"/>
  <c r="I14" i="58"/>
  <c r="H14" i="58"/>
  <c r="G14" i="58"/>
  <c r="F14" i="58"/>
  <c r="E14" i="58"/>
  <c r="D14" i="58"/>
  <c r="C14" i="58"/>
  <c r="AZ13" i="58"/>
  <c r="AY13" i="58"/>
  <c r="AX13" i="58"/>
  <c r="AW13" i="58"/>
  <c r="AV13" i="58"/>
  <c r="AU13" i="58"/>
  <c r="AT13" i="58"/>
  <c r="AS13" i="58"/>
  <c r="AR13" i="58"/>
  <c r="AQ13" i="58"/>
  <c r="AP13" i="58"/>
  <c r="AO13" i="58"/>
  <c r="AN13" i="58"/>
  <c r="AM13" i="58"/>
  <c r="AL13" i="58"/>
  <c r="AK13" i="58"/>
  <c r="AJ13" i="58"/>
  <c r="AI13" i="58"/>
  <c r="AH13" i="58"/>
  <c r="AG13" i="58"/>
  <c r="AF13" i="58"/>
  <c r="AE13" i="58"/>
  <c r="AD13" i="58"/>
  <c r="AC13" i="58"/>
  <c r="AB13" i="58"/>
  <c r="AA13" i="58"/>
  <c r="Z13" i="58"/>
  <c r="Y13" i="58"/>
  <c r="X13" i="58"/>
  <c r="W13" i="58"/>
  <c r="V13" i="58"/>
  <c r="U13" i="58"/>
  <c r="T13" i="58"/>
  <c r="S13" i="58"/>
  <c r="R13" i="58"/>
  <c r="Q13" i="58"/>
  <c r="P13" i="58"/>
  <c r="O13" i="58"/>
  <c r="N13" i="58"/>
  <c r="M13" i="58"/>
  <c r="L13" i="58"/>
  <c r="K13" i="58"/>
  <c r="J13" i="58"/>
  <c r="I13" i="58"/>
  <c r="H13" i="58"/>
  <c r="G13" i="58"/>
  <c r="F13" i="58"/>
  <c r="E13" i="58"/>
  <c r="D13" i="58"/>
  <c r="C13" i="58"/>
  <c r="AZ12" i="58"/>
  <c r="AY12" i="58"/>
  <c r="AX12" i="58"/>
  <c r="AW12" i="58"/>
  <c r="AV12" i="58"/>
  <c r="AU12" i="58"/>
  <c r="AT12" i="58"/>
  <c r="AS12" i="58"/>
  <c r="AR12" i="58"/>
  <c r="AQ12" i="58"/>
  <c r="AP12" i="58"/>
  <c r="AO12" i="58"/>
  <c r="AN12" i="58"/>
  <c r="AM12" i="58"/>
  <c r="AL12" i="58"/>
  <c r="AK12" i="58"/>
  <c r="AJ12" i="58"/>
  <c r="AI12" i="58"/>
  <c r="AH12" i="58"/>
  <c r="AG12" i="58"/>
  <c r="AF12" i="58"/>
  <c r="AE12" i="58"/>
  <c r="AD12" i="58"/>
  <c r="AC12" i="58"/>
  <c r="AB12" i="58"/>
  <c r="AA12" i="58"/>
  <c r="Z12" i="58"/>
  <c r="Y12" i="58"/>
  <c r="X12" i="58"/>
  <c r="W12" i="58"/>
  <c r="V12" i="58"/>
  <c r="U12" i="58"/>
  <c r="T12" i="58"/>
  <c r="S12" i="58"/>
  <c r="R12" i="58"/>
  <c r="Q12" i="58"/>
  <c r="P12" i="58"/>
  <c r="O12" i="58"/>
  <c r="N12" i="58"/>
  <c r="M12" i="58"/>
  <c r="L12" i="58"/>
  <c r="K12" i="58"/>
  <c r="J12" i="58"/>
  <c r="I12" i="58"/>
  <c r="H12" i="58"/>
  <c r="G12" i="58"/>
  <c r="F12" i="58"/>
  <c r="E12" i="58"/>
  <c r="D12" i="58"/>
  <c r="C12" i="58"/>
  <c r="C21" i="57"/>
  <c r="C27" i="52"/>
  <c r="AZ27" i="52"/>
  <c r="AY27" i="52"/>
  <c r="AX27" i="52"/>
  <c r="AW27" i="52"/>
  <c r="AV27" i="52"/>
  <c r="AU27" i="52"/>
  <c r="AT27" i="52"/>
  <c r="AS27" i="52"/>
  <c r="AR27" i="52"/>
  <c r="AQ27" i="52"/>
  <c r="AP27" i="52"/>
  <c r="AO27" i="52"/>
  <c r="AN27" i="52"/>
  <c r="AM27" i="52"/>
  <c r="AL27" i="52"/>
  <c r="AK27" i="52"/>
  <c r="AJ27" i="52"/>
  <c r="AI27" i="52"/>
  <c r="AH27" i="52"/>
  <c r="AG27" i="52"/>
  <c r="AF27" i="52"/>
  <c r="AE27" i="52"/>
  <c r="AD27" i="52"/>
  <c r="AC27" i="52"/>
  <c r="AB27" i="52"/>
  <c r="AA27" i="52"/>
  <c r="Z27" i="52"/>
  <c r="Y27" i="52"/>
  <c r="X27" i="52"/>
  <c r="W27" i="52"/>
  <c r="V27" i="52"/>
  <c r="U27" i="52"/>
  <c r="T27" i="52"/>
  <c r="S27" i="52"/>
  <c r="R27" i="52"/>
  <c r="Q27" i="52"/>
  <c r="P27" i="52"/>
  <c r="O27" i="52"/>
  <c r="N27" i="52"/>
  <c r="M27" i="52"/>
  <c r="L27" i="52"/>
  <c r="K27" i="52"/>
  <c r="J27" i="52"/>
  <c r="I27" i="52"/>
  <c r="H27" i="52"/>
  <c r="G27" i="52"/>
  <c r="F27" i="52"/>
  <c r="E27" i="52"/>
  <c r="D27" i="52"/>
  <c r="AZ26" i="52"/>
  <c r="AY26" i="52"/>
  <c r="AX26" i="52"/>
  <c r="AW26" i="52"/>
  <c r="AV26" i="52"/>
  <c r="AU26" i="52"/>
  <c r="AT26" i="52"/>
  <c r="AS26" i="52"/>
  <c r="AR26" i="52"/>
  <c r="AQ26" i="52"/>
  <c r="AP26" i="52"/>
  <c r="AO26" i="52"/>
  <c r="AN26" i="52"/>
  <c r="AM26" i="52"/>
  <c r="AL26" i="52"/>
  <c r="AK26" i="52"/>
  <c r="AJ26" i="52"/>
  <c r="AI26" i="52"/>
  <c r="AH26" i="52"/>
  <c r="AG26" i="52"/>
  <c r="AF26" i="52"/>
  <c r="AE26" i="52"/>
  <c r="AD26" i="52"/>
  <c r="AC26" i="52"/>
  <c r="AB26" i="52"/>
  <c r="AA26" i="52"/>
  <c r="Z26" i="52"/>
  <c r="Y26" i="52"/>
  <c r="X26" i="52"/>
  <c r="W26" i="52"/>
  <c r="V26" i="52"/>
  <c r="U26" i="52"/>
  <c r="T26" i="52"/>
  <c r="S26" i="52"/>
  <c r="R26" i="52"/>
  <c r="Q26" i="52"/>
  <c r="P26" i="52"/>
  <c r="O26" i="52"/>
  <c r="N26" i="52"/>
  <c r="M26" i="52"/>
  <c r="L26" i="52"/>
  <c r="K26" i="52"/>
  <c r="J26" i="52"/>
  <c r="I26" i="52"/>
  <c r="H26" i="52"/>
  <c r="G26" i="52"/>
  <c r="F26" i="52"/>
  <c r="E26" i="52"/>
  <c r="D26" i="52"/>
  <c r="C26" i="52"/>
  <c r="AZ25" i="52"/>
  <c r="AY25" i="52"/>
  <c r="AX25" i="52"/>
  <c r="AW25"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O25" i="52"/>
  <c r="N25" i="52"/>
  <c r="M25" i="52"/>
  <c r="L25" i="52"/>
  <c r="K25" i="52"/>
  <c r="J25" i="52"/>
  <c r="I25" i="52"/>
  <c r="H25" i="52"/>
  <c r="G25" i="52"/>
  <c r="F25" i="52"/>
  <c r="E25" i="52"/>
  <c r="D25" i="52"/>
  <c r="C25" i="52"/>
  <c r="AZ24" i="52"/>
  <c r="AY24" i="52"/>
  <c r="AX24" i="52"/>
  <c r="AW24" i="52"/>
  <c r="AV24" i="52"/>
  <c r="AU24" i="52"/>
  <c r="AT24" i="52"/>
  <c r="AS24" i="52"/>
  <c r="AR24" i="52"/>
  <c r="AQ24" i="52"/>
  <c r="AP24" i="52"/>
  <c r="AO24" i="52"/>
  <c r="AN24" i="52"/>
  <c r="AM24" i="52"/>
  <c r="AL24" i="52"/>
  <c r="AK24" i="52"/>
  <c r="AJ24" i="52"/>
  <c r="AI24" i="52"/>
  <c r="AH24" i="52"/>
  <c r="AG24" i="52"/>
  <c r="AF24" i="52"/>
  <c r="AE24" i="52"/>
  <c r="AD24" i="52"/>
  <c r="AC24" i="52"/>
  <c r="AB24" i="52"/>
  <c r="AA24" i="52"/>
  <c r="Z24" i="52"/>
  <c r="Y24" i="52"/>
  <c r="X24" i="52"/>
  <c r="W24" i="52"/>
  <c r="V24" i="52"/>
  <c r="U24" i="52"/>
  <c r="T24" i="52"/>
  <c r="S24" i="52"/>
  <c r="R24" i="52"/>
  <c r="Q24" i="52"/>
  <c r="P24" i="52"/>
  <c r="O24" i="52"/>
  <c r="N24" i="52"/>
  <c r="M24" i="52"/>
  <c r="L24" i="52"/>
  <c r="K24" i="52"/>
  <c r="J24" i="52"/>
  <c r="I24" i="52"/>
  <c r="H24" i="52"/>
  <c r="G24" i="52"/>
  <c r="F24" i="52"/>
  <c r="E24" i="52"/>
  <c r="D24" i="52"/>
  <c r="C24" i="52"/>
  <c r="AZ23" i="52"/>
  <c r="AY23" i="52"/>
  <c r="AX23" i="52"/>
  <c r="AW23" i="52"/>
  <c r="AV23" i="52"/>
  <c r="AU23" i="52"/>
  <c r="AT23" i="52"/>
  <c r="AS23" i="52"/>
  <c r="AR23" i="52"/>
  <c r="AQ23" i="52"/>
  <c r="AP23" i="52"/>
  <c r="AO23" i="52"/>
  <c r="AN23" i="52"/>
  <c r="AM23" i="52"/>
  <c r="AL23" i="52"/>
  <c r="AK23" i="52"/>
  <c r="AJ23" i="52"/>
  <c r="AI23" i="52"/>
  <c r="AH23" i="52"/>
  <c r="AG23" i="52"/>
  <c r="AF23" i="52"/>
  <c r="AE23" i="52"/>
  <c r="AD23" i="52"/>
  <c r="AC23" i="52"/>
  <c r="AB23" i="52"/>
  <c r="AA23" i="52"/>
  <c r="Z23" i="52"/>
  <c r="Y23" i="52"/>
  <c r="X23" i="52"/>
  <c r="W23" i="52"/>
  <c r="V23" i="52"/>
  <c r="U23" i="52"/>
  <c r="T23" i="52"/>
  <c r="S23" i="52"/>
  <c r="R23" i="52"/>
  <c r="Q23" i="52"/>
  <c r="P23" i="52"/>
  <c r="O23" i="52"/>
  <c r="N23" i="52"/>
  <c r="M23" i="52"/>
  <c r="L23" i="52"/>
  <c r="K23" i="52"/>
  <c r="J23" i="52"/>
  <c r="I23" i="52"/>
  <c r="H23" i="52"/>
  <c r="G23" i="52"/>
  <c r="F23" i="52"/>
  <c r="E23" i="52"/>
  <c r="D23" i="52"/>
  <c r="C23" i="52"/>
  <c r="AZ22" i="52"/>
  <c r="AY22" i="52"/>
  <c r="AX22" i="52"/>
  <c r="AW22" i="52"/>
  <c r="AV22" i="52"/>
  <c r="AU22" i="52"/>
  <c r="AT22" i="52"/>
  <c r="AS22" i="52"/>
  <c r="AR22" i="52"/>
  <c r="AQ22" i="52"/>
  <c r="AP22" i="52"/>
  <c r="AO22" i="52"/>
  <c r="AN22" i="52"/>
  <c r="AM22" i="52"/>
  <c r="AL22" i="52"/>
  <c r="AK22" i="52"/>
  <c r="AJ22" i="52"/>
  <c r="AI22" i="52"/>
  <c r="AH22" i="52"/>
  <c r="AG22" i="52"/>
  <c r="AF22" i="52"/>
  <c r="AE22" i="52"/>
  <c r="AD22" i="52"/>
  <c r="AC22" i="52"/>
  <c r="AB22" i="52"/>
  <c r="AA22" i="52"/>
  <c r="Z22" i="52"/>
  <c r="Y22" i="52"/>
  <c r="X22" i="52"/>
  <c r="W22" i="52"/>
  <c r="V22" i="52"/>
  <c r="U22" i="52"/>
  <c r="T22" i="52"/>
  <c r="S22" i="52"/>
  <c r="R22" i="52"/>
  <c r="Q22" i="52"/>
  <c r="P22" i="52"/>
  <c r="O22" i="52"/>
  <c r="N22" i="52"/>
  <c r="M22" i="52"/>
  <c r="L22" i="52"/>
  <c r="K22" i="52"/>
  <c r="J22" i="52"/>
  <c r="I22" i="52"/>
  <c r="H22" i="52"/>
  <c r="G22" i="52"/>
  <c r="F22" i="52"/>
  <c r="E22" i="52"/>
  <c r="D22" i="52"/>
  <c r="C22" i="52"/>
  <c r="AZ21" i="52"/>
  <c r="AY21" i="52"/>
  <c r="AX21" i="52"/>
  <c r="AW21" i="52"/>
  <c r="AV21" i="52"/>
  <c r="AU21" i="52"/>
  <c r="AT21" i="52"/>
  <c r="AS21" i="52"/>
  <c r="AR21" i="52"/>
  <c r="AQ21" i="52"/>
  <c r="AP21" i="52"/>
  <c r="AO21" i="52"/>
  <c r="AN21" i="52"/>
  <c r="AM21" i="52"/>
  <c r="AL21" i="52"/>
  <c r="AK21" i="52"/>
  <c r="AJ21" i="52"/>
  <c r="AI21" i="52"/>
  <c r="AH21" i="52"/>
  <c r="AG21" i="52"/>
  <c r="AF21" i="52"/>
  <c r="AE21" i="52"/>
  <c r="AD21" i="52"/>
  <c r="AC21" i="52"/>
  <c r="AB21" i="52"/>
  <c r="AA21" i="52"/>
  <c r="Z21" i="52"/>
  <c r="Y21" i="52"/>
  <c r="X21" i="52"/>
  <c r="W21" i="52"/>
  <c r="V21" i="52"/>
  <c r="U21" i="52"/>
  <c r="T21" i="52"/>
  <c r="S21" i="52"/>
  <c r="R21" i="52"/>
  <c r="Q21" i="52"/>
  <c r="P21" i="52"/>
  <c r="O21" i="52"/>
  <c r="N21" i="52"/>
  <c r="M21" i="52"/>
  <c r="L21" i="52"/>
  <c r="K21" i="52"/>
  <c r="J21" i="52"/>
  <c r="I21" i="52"/>
  <c r="H21" i="52"/>
  <c r="G21" i="52"/>
  <c r="F21" i="52"/>
  <c r="E21" i="52"/>
  <c r="D21" i="52"/>
  <c r="C21" i="52"/>
  <c r="AZ20" i="52"/>
  <c r="AY20" i="52"/>
  <c r="AX20" i="52"/>
  <c r="AW20" i="52"/>
  <c r="AV20" i="52"/>
  <c r="AU20" i="52"/>
  <c r="AT20" i="52"/>
  <c r="AS20" i="52"/>
  <c r="AR20" i="52"/>
  <c r="AQ20" i="52"/>
  <c r="AP20" i="52"/>
  <c r="AO20" i="52"/>
  <c r="AN20" i="52"/>
  <c r="AM20" i="52"/>
  <c r="AL20" i="52"/>
  <c r="AK20" i="52"/>
  <c r="AJ20" i="52"/>
  <c r="AI20" i="52"/>
  <c r="AH20" i="52"/>
  <c r="AG20" i="52"/>
  <c r="AF20" i="52"/>
  <c r="AE20" i="52"/>
  <c r="AD20" i="52"/>
  <c r="AC20" i="52"/>
  <c r="AB20" i="52"/>
  <c r="AA20" i="52"/>
  <c r="Z20" i="52"/>
  <c r="Y20" i="52"/>
  <c r="X20" i="52"/>
  <c r="W20" i="52"/>
  <c r="V20" i="52"/>
  <c r="U20" i="52"/>
  <c r="T20" i="52"/>
  <c r="S20" i="52"/>
  <c r="R20" i="52"/>
  <c r="Q20" i="52"/>
  <c r="P20" i="52"/>
  <c r="O20" i="52"/>
  <c r="N20" i="52"/>
  <c r="M20" i="52"/>
  <c r="L20" i="52"/>
  <c r="K20" i="52"/>
  <c r="J20" i="52"/>
  <c r="I20" i="52"/>
  <c r="H20" i="52"/>
  <c r="G20" i="52"/>
  <c r="F20" i="52"/>
  <c r="E20" i="52"/>
  <c r="D20" i="52"/>
  <c r="C20" i="52"/>
  <c r="AZ19" i="52"/>
  <c r="AY19" i="52"/>
  <c r="AX19" i="52"/>
  <c r="AW19" i="52"/>
  <c r="AV19" i="52"/>
  <c r="AU19" i="52"/>
  <c r="AT19" i="52"/>
  <c r="AS19" i="52"/>
  <c r="AR19" i="52"/>
  <c r="AQ19" i="52"/>
  <c r="AP19" i="52"/>
  <c r="AO19" i="52"/>
  <c r="AN19" i="52"/>
  <c r="AM19" i="52"/>
  <c r="AL19" i="52"/>
  <c r="AK19" i="52"/>
  <c r="AJ19" i="52"/>
  <c r="AI19" i="52"/>
  <c r="AH19" i="52"/>
  <c r="AG19" i="52"/>
  <c r="AF19" i="52"/>
  <c r="AE19" i="52"/>
  <c r="AD19" i="52"/>
  <c r="AC19" i="52"/>
  <c r="AB19" i="52"/>
  <c r="AA19" i="52"/>
  <c r="Z19" i="52"/>
  <c r="Y19" i="52"/>
  <c r="X19" i="52"/>
  <c r="W19" i="52"/>
  <c r="V19" i="52"/>
  <c r="U19" i="52"/>
  <c r="T19" i="52"/>
  <c r="S19" i="52"/>
  <c r="R19" i="52"/>
  <c r="Q19" i="52"/>
  <c r="P19" i="52"/>
  <c r="O19" i="52"/>
  <c r="N19" i="52"/>
  <c r="M19" i="52"/>
  <c r="L19" i="52"/>
  <c r="K19" i="52"/>
  <c r="J19" i="52"/>
  <c r="I19" i="52"/>
  <c r="H19" i="52"/>
  <c r="G19" i="52"/>
  <c r="F19" i="52"/>
  <c r="E19" i="52"/>
  <c r="D19" i="52"/>
  <c r="C19" i="52"/>
  <c r="AZ18" i="52"/>
  <c r="AY18" i="52"/>
  <c r="AX18" i="52"/>
  <c r="AW18" i="52"/>
  <c r="AV18" i="52"/>
  <c r="AU18" i="52"/>
  <c r="AT18" i="52"/>
  <c r="AS18" i="52"/>
  <c r="AR18" i="52"/>
  <c r="AQ18" i="52"/>
  <c r="AP18" i="52"/>
  <c r="AO18" i="52"/>
  <c r="AN18" i="52"/>
  <c r="AM18" i="52"/>
  <c r="AL18" i="52"/>
  <c r="AK18" i="52"/>
  <c r="AJ18" i="52"/>
  <c r="AI18" i="52"/>
  <c r="AH18" i="52"/>
  <c r="AG18" i="52"/>
  <c r="AF18" i="52"/>
  <c r="AE18" i="52"/>
  <c r="AD18" i="52"/>
  <c r="AC18" i="52"/>
  <c r="AB18" i="52"/>
  <c r="AA18" i="52"/>
  <c r="Z18" i="52"/>
  <c r="Y18" i="52"/>
  <c r="X18" i="52"/>
  <c r="W18" i="52"/>
  <c r="V18" i="52"/>
  <c r="U18" i="52"/>
  <c r="T18" i="52"/>
  <c r="S18" i="52"/>
  <c r="R18" i="52"/>
  <c r="Q18" i="52"/>
  <c r="P18" i="52"/>
  <c r="O18" i="52"/>
  <c r="N18" i="52"/>
  <c r="M18" i="52"/>
  <c r="L18" i="52"/>
  <c r="K18" i="52"/>
  <c r="J18" i="52"/>
  <c r="I18" i="52"/>
  <c r="H18" i="52"/>
  <c r="G18" i="52"/>
  <c r="F18" i="52"/>
  <c r="E18" i="52"/>
  <c r="D18" i="52"/>
  <c r="C18" i="52"/>
  <c r="AZ17" i="52"/>
  <c r="AY17" i="52"/>
  <c r="AX17" i="52"/>
  <c r="AW17" i="52"/>
  <c r="AV17" i="52"/>
  <c r="AU17" i="52"/>
  <c r="AT17" i="52"/>
  <c r="AS17" i="52"/>
  <c r="AR17" i="52"/>
  <c r="AQ17" i="52"/>
  <c r="AP17" i="52"/>
  <c r="AO17" i="52"/>
  <c r="AN17" i="52"/>
  <c r="AM17" i="52"/>
  <c r="AL17" i="52"/>
  <c r="AK17" i="52"/>
  <c r="AJ17" i="52"/>
  <c r="AI17" i="52"/>
  <c r="AH17" i="52"/>
  <c r="AG17" i="52"/>
  <c r="AF17" i="52"/>
  <c r="AE17" i="52"/>
  <c r="AD17" i="52"/>
  <c r="AC17" i="52"/>
  <c r="AB17" i="52"/>
  <c r="AA17" i="52"/>
  <c r="Z17" i="52"/>
  <c r="Y17" i="52"/>
  <c r="X17" i="52"/>
  <c r="W17" i="52"/>
  <c r="V17" i="52"/>
  <c r="U17" i="52"/>
  <c r="T17" i="52"/>
  <c r="S17" i="52"/>
  <c r="R17" i="52"/>
  <c r="Q17" i="52"/>
  <c r="P17" i="52"/>
  <c r="O17" i="52"/>
  <c r="N17" i="52"/>
  <c r="M17" i="52"/>
  <c r="L17" i="52"/>
  <c r="K17" i="52"/>
  <c r="J17" i="52"/>
  <c r="I17" i="52"/>
  <c r="H17" i="52"/>
  <c r="G17" i="52"/>
  <c r="F17" i="52"/>
  <c r="E17" i="52"/>
  <c r="D17" i="52"/>
  <c r="C17" i="52"/>
  <c r="AZ16" i="52"/>
  <c r="AY16" i="52"/>
  <c r="AX16" i="52"/>
  <c r="AW16" i="52"/>
  <c r="AV16" i="52"/>
  <c r="AU16" i="52"/>
  <c r="AT16" i="52"/>
  <c r="AS16" i="52"/>
  <c r="AR16" i="52"/>
  <c r="AQ16" i="52"/>
  <c r="AP16" i="52"/>
  <c r="AO16" i="52"/>
  <c r="AN16" i="52"/>
  <c r="AM16" i="52"/>
  <c r="AL16" i="52"/>
  <c r="AK16" i="52"/>
  <c r="AJ16" i="52"/>
  <c r="AI16" i="52"/>
  <c r="AH16" i="52"/>
  <c r="AG16" i="52"/>
  <c r="AF16" i="52"/>
  <c r="AE16" i="52"/>
  <c r="AD16" i="52"/>
  <c r="AC16" i="52"/>
  <c r="AB16" i="52"/>
  <c r="AA16" i="52"/>
  <c r="Z16" i="52"/>
  <c r="Y16" i="52"/>
  <c r="X16" i="52"/>
  <c r="W16" i="52"/>
  <c r="V16" i="52"/>
  <c r="U16" i="52"/>
  <c r="T16" i="52"/>
  <c r="S16" i="52"/>
  <c r="R16" i="52"/>
  <c r="Q16" i="52"/>
  <c r="P16" i="52"/>
  <c r="O16" i="52"/>
  <c r="N16" i="52"/>
  <c r="M16" i="52"/>
  <c r="L16" i="52"/>
  <c r="K16" i="52"/>
  <c r="J16" i="52"/>
  <c r="I16" i="52"/>
  <c r="H16" i="52"/>
  <c r="G16" i="52"/>
  <c r="F16" i="52"/>
  <c r="E16" i="52"/>
  <c r="D16" i="52"/>
  <c r="C16" i="52"/>
  <c r="AZ15" i="52"/>
  <c r="AY15" i="52"/>
  <c r="AX15" i="52"/>
  <c r="AW15" i="52"/>
  <c r="AV15" i="52"/>
  <c r="AU15" i="52"/>
  <c r="AT15" i="52"/>
  <c r="AS15" i="52"/>
  <c r="AR15" i="52"/>
  <c r="AQ15" i="52"/>
  <c r="AP15" i="52"/>
  <c r="AO15" i="52"/>
  <c r="AN15" i="52"/>
  <c r="AM15" i="52"/>
  <c r="AL15" i="52"/>
  <c r="AK15" i="52"/>
  <c r="AJ15" i="52"/>
  <c r="AI15" i="52"/>
  <c r="AH15" i="52"/>
  <c r="AG15" i="52"/>
  <c r="AF15" i="52"/>
  <c r="AE15" i="52"/>
  <c r="AD15" i="52"/>
  <c r="AC15" i="52"/>
  <c r="AB15" i="52"/>
  <c r="AA15" i="52"/>
  <c r="Z15" i="52"/>
  <c r="Y15" i="52"/>
  <c r="X15" i="52"/>
  <c r="W15" i="52"/>
  <c r="V15" i="52"/>
  <c r="U15" i="52"/>
  <c r="T15" i="52"/>
  <c r="S15" i="52"/>
  <c r="R15" i="52"/>
  <c r="Q15" i="52"/>
  <c r="P15" i="52"/>
  <c r="O15" i="52"/>
  <c r="N15" i="52"/>
  <c r="M15" i="52"/>
  <c r="L15" i="52"/>
  <c r="K15" i="52"/>
  <c r="J15" i="52"/>
  <c r="I15" i="52"/>
  <c r="H15" i="52"/>
  <c r="G15" i="52"/>
  <c r="F15" i="52"/>
  <c r="E15" i="52"/>
  <c r="D15" i="52"/>
  <c r="C15" i="52"/>
  <c r="AZ14" i="52"/>
  <c r="AY14" i="52"/>
  <c r="AX14" i="52"/>
  <c r="AW14" i="52"/>
  <c r="AV14" i="52"/>
  <c r="AU14" i="52"/>
  <c r="AT14" i="52"/>
  <c r="AS14" i="52"/>
  <c r="AR14" i="52"/>
  <c r="AQ14" i="52"/>
  <c r="AP14" i="52"/>
  <c r="AO14" i="52"/>
  <c r="AN14" i="52"/>
  <c r="AM14" i="52"/>
  <c r="AL14" i="52"/>
  <c r="AK14" i="52"/>
  <c r="AJ14" i="52"/>
  <c r="AI14" i="52"/>
  <c r="AH14" i="52"/>
  <c r="AG14" i="52"/>
  <c r="AF14" i="52"/>
  <c r="AE14" i="52"/>
  <c r="AD14" i="52"/>
  <c r="AC14" i="52"/>
  <c r="AB14" i="52"/>
  <c r="AA14" i="52"/>
  <c r="Z14" i="52"/>
  <c r="Y14" i="52"/>
  <c r="X14" i="52"/>
  <c r="W14" i="52"/>
  <c r="V14" i="52"/>
  <c r="U14" i="52"/>
  <c r="T14" i="52"/>
  <c r="S14" i="52"/>
  <c r="R14" i="52"/>
  <c r="Q14" i="52"/>
  <c r="P14" i="52"/>
  <c r="O14" i="52"/>
  <c r="N14" i="52"/>
  <c r="M14" i="52"/>
  <c r="L14" i="52"/>
  <c r="K14" i="52"/>
  <c r="J14" i="52"/>
  <c r="I14" i="52"/>
  <c r="H14" i="52"/>
  <c r="G14" i="52"/>
  <c r="F14" i="52"/>
  <c r="E14" i="52"/>
  <c r="D14" i="52"/>
  <c r="C14" i="52"/>
  <c r="AZ13" i="52"/>
  <c r="AY13" i="52"/>
  <c r="AX13" i="52"/>
  <c r="AW13" i="52"/>
  <c r="AV13" i="52"/>
  <c r="AU13" i="52"/>
  <c r="AT13" i="52"/>
  <c r="AS13" i="52"/>
  <c r="AR13" i="52"/>
  <c r="AQ13" i="52"/>
  <c r="AP13" i="52"/>
  <c r="AO13" i="52"/>
  <c r="AN13" i="52"/>
  <c r="AM13" i="52"/>
  <c r="AL13" i="52"/>
  <c r="AK13" i="52"/>
  <c r="AJ13" i="52"/>
  <c r="AI13" i="52"/>
  <c r="AH13" i="52"/>
  <c r="AG13" i="52"/>
  <c r="AF13" i="52"/>
  <c r="AE13" i="52"/>
  <c r="AD13" i="52"/>
  <c r="AC13" i="52"/>
  <c r="AB13" i="52"/>
  <c r="AA13" i="52"/>
  <c r="Z13" i="52"/>
  <c r="Y13" i="52"/>
  <c r="X13" i="52"/>
  <c r="W13" i="52"/>
  <c r="V13" i="52"/>
  <c r="U13" i="52"/>
  <c r="T13" i="52"/>
  <c r="S13" i="52"/>
  <c r="R13" i="52"/>
  <c r="Q13" i="52"/>
  <c r="P13" i="52"/>
  <c r="O13" i="52"/>
  <c r="N13" i="52"/>
  <c r="M13" i="52"/>
  <c r="L13" i="52"/>
  <c r="K13" i="52"/>
  <c r="J13" i="52"/>
  <c r="I13" i="52"/>
  <c r="H13" i="52"/>
  <c r="G13" i="52"/>
  <c r="F13" i="52"/>
  <c r="E13" i="52"/>
  <c r="D13" i="52"/>
  <c r="C13" i="52"/>
  <c r="AZ12" i="52"/>
  <c r="AY12" i="52"/>
  <c r="AX12" i="52"/>
  <c r="AW12" i="52"/>
  <c r="AV12" i="52"/>
  <c r="AU12" i="52"/>
  <c r="AT12" i="52"/>
  <c r="AS12" i="52"/>
  <c r="AR12" i="52"/>
  <c r="AQ12" i="52"/>
  <c r="AP12" i="52"/>
  <c r="AO12" i="52"/>
  <c r="AN12" i="52"/>
  <c r="AM12" i="52"/>
  <c r="AL12" i="52"/>
  <c r="AK12" i="52"/>
  <c r="AJ12" i="52"/>
  <c r="AI12" i="52"/>
  <c r="AH12" i="52"/>
  <c r="AG12" i="52"/>
  <c r="AF12" i="52"/>
  <c r="AE12" i="52"/>
  <c r="AD12" i="52"/>
  <c r="AC12" i="52"/>
  <c r="AB12" i="52"/>
  <c r="AA12" i="52"/>
  <c r="Z12" i="52"/>
  <c r="Y12" i="52"/>
  <c r="X12" i="52"/>
  <c r="W12" i="52"/>
  <c r="V12" i="52"/>
  <c r="U12" i="52"/>
  <c r="T12" i="52"/>
  <c r="S12" i="52"/>
  <c r="R12" i="52"/>
  <c r="Q12" i="52"/>
  <c r="P12" i="52"/>
  <c r="O12" i="52"/>
  <c r="N12" i="52"/>
  <c r="M12" i="52"/>
  <c r="L12" i="52"/>
  <c r="K12" i="52"/>
  <c r="J12" i="52"/>
  <c r="I12" i="52"/>
  <c r="H12" i="52"/>
  <c r="G12" i="52"/>
  <c r="F12" i="52"/>
  <c r="E12" i="52"/>
  <c r="D12" i="52"/>
  <c r="C12" i="52"/>
  <c r="AL87" i="52"/>
  <c r="AK87" i="52"/>
  <c r="AJ87" i="52"/>
  <c r="AI87" i="52"/>
  <c r="AH87" i="52"/>
  <c r="AG87" i="52"/>
  <c r="AF87" i="52"/>
  <c r="AE87" i="52"/>
  <c r="AD87" i="52"/>
  <c r="AC87" i="52"/>
  <c r="AB87" i="52"/>
  <c r="AA87" i="52"/>
  <c r="Z87" i="52"/>
  <c r="Y87" i="52"/>
  <c r="X87" i="52"/>
  <c r="W87" i="52"/>
  <c r="AL85" i="52"/>
  <c r="AK85" i="52"/>
  <c r="AJ85" i="52"/>
  <c r="AI85" i="52"/>
  <c r="AH85" i="52"/>
  <c r="AG85" i="52"/>
  <c r="AF85" i="52"/>
  <c r="AE85" i="52"/>
  <c r="AD85" i="52"/>
  <c r="AC85" i="52"/>
  <c r="AB85" i="52"/>
  <c r="AA85" i="52"/>
  <c r="Z85" i="52"/>
  <c r="Y85" i="52"/>
  <c r="X85" i="52"/>
  <c r="W85" i="52"/>
  <c r="AL84" i="52"/>
  <c r="AK84" i="52"/>
  <c r="AJ84" i="52"/>
  <c r="AI84" i="52"/>
  <c r="AH84" i="52"/>
  <c r="AG84" i="52"/>
  <c r="AF84" i="52"/>
  <c r="AE84" i="52"/>
  <c r="AD84" i="52"/>
  <c r="AC84" i="52"/>
  <c r="AB84" i="52"/>
  <c r="AA84" i="52"/>
  <c r="Z84" i="52"/>
  <c r="Y84" i="52"/>
  <c r="X84" i="52"/>
  <c r="W84" i="52"/>
  <c r="AL83" i="52"/>
  <c r="AK83" i="52"/>
  <c r="AJ83" i="52"/>
  <c r="AI83" i="52"/>
  <c r="AH83" i="52"/>
  <c r="AG83" i="52"/>
  <c r="AF83" i="52"/>
  <c r="AE83" i="52"/>
  <c r="AD83" i="52"/>
  <c r="AC83" i="52"/>
  <c r="AB83" i="52"/>
  <c r="AA83" i="52"/>
  <c r="Z83" i="52"/>
  <c r="Y83" i="52"/>
  <c r="X83" i="52"/>
  <c r="W83" i="52"/>
  <c r="AL82" i="52"/>
  <c r="AK82" i="52"/>
  <c r="AJ82" i="52"/>
  <c r="AI82" i="52"/>
  <c r="AH82" i="52"/>
  <c r="AG82" i="52"/>
  <c r="AF82" i="52"/>
  <c r="AE82" i="52"/>
  <c r="AD82" i="52"/>
  <c r="AC82" i="52"/>
  <c r="AB82" i="52"/>
  <c r="AA82" i="52"/>
  <c r="Z82" i="52"/>
  <c r="Y82" i="52"/>
  <c r="X82" i="52"/>
  <c r="W82" i="52"/>
  <c r="AL81" i="52"/>
  <c r="AK81" i="52"/>
  <c r="AJ81" i="52"/>
  <c r="AI81" i="52"/>
  <c r="AH81" i="52"/>
  <c r="AG81" i="52"/>
  <c r="AF81" i="52"/>
  <c r="AE81" i="52"/>
  <c r="AD81" i="52"/>
  <c r="AC81" i="52"/>
  <c r="AB81" i="52"/>
  <c r="AA81" i="52"/>
  <c r="Z81" i="52"/>
  <c r="Y81" i="52"/>
  <c r="X81" i="52"/>
  <c r="W81" i="52"/>
  <c r="AL80" i="52"/>
  <c r="AK80" i="52"/>
  <c r="AJ80" i="52"/>
  <c r="AI80" i="52"/>
  <c r="AH80" i="52"/>
  <c r="AG80" i="52"/>
  <c r="AF80" i="52"/>
  <c r="AE80" i="52"/>
  <c r="AD80" i="52"/>
  <c r="AC80" i="52"/>
  <c r="AB80" i="52"/>
  <c r="AA80" i="52"/>
  <c r="Z80" i="52"/>
  <c r="Y80" i="52"/>
  <c r="X80" i="52"/>
  <c r="W80" i="52"/>
  <c r="AL79" i="52"/>
  <c r="AK79" i="52"/>
  <c r="AJ79" i="52"/>
  <c r="AI79" i="52"/>
  <c r="AH79" i="52"/>
  <c r="AG79" i="52"/>
  <c r="AF79" i="52"/>
  <c r="AE79" i="52"/>
  <c r="AD79" i="52"/>
  <c r="AC79" i="52"/>
  <c r="AB79" i="52"/>
  <c r="AA79" i="52"/>
  <c r="Z79" i="52"/>
  <c r="Y79" i="52"/>
  <c r="X79" i="52"/>
  <c r="W79" i="52"/>
  <c r="AL78" i="52"/>
  <c r="AK78" i="52"/>
  <c r="AJ78" i="52"/>
  <c r="AI78" i="52"/>
  <c r="AH78" i="52"/>
  <c r="AG78" i="52"/>
  <c r="AF78" i="52"/>
  <c r="AE78" i="52"/>
  <c r="AD78" i="52"/>
  <c r="AC78" i="52"/>
  <c r="AB78" i="52"/>
  <c r="AA78" i="52"/>
  <c r="Z78" i="52"/>
  <c r="Y78" i="52"/>
  <c r="X78" i="52"/>
  <c r="W78" i="52"/>
  <c r="AL77" i="52"/>
  <c r="AK77" i="52"/>
  <c r="AJ77" i="52"/>
  <c r="AI77" i="52"/>
  <c r="AH77" i="52"/>
  <c r="AG77" i="52"/>
  <c r="AF77" i="52"/>
  <c r="AE77" i="52"/>
  <c r="AD77" i="52"/>
  <c r="AC77" i="52"/>
  <c r="AB77" i="52"/>
  <c r="AA77" i="52"/>
  <c r="Z77" i="52"/>
  <c r="Y77" i="52"/>
  <c r="X77" i="52"/>
  <c r="W77" i="52"/>
  <c r="AL76" i="52"/>
  <c r="AK76" i="52"/>
  <c r="AJ76" i="52"/>
  <c r="AI76" i="52"/>
  <c r="AH76" i="52"/>
  <c r="AG76" i="52"/>
  <c r="AF76" i="52"/>
  <c r="AE76" i="52"/>
  <c r="AD76" i="52"/>
  <c r="AC76" i="52"/>
  <c r="AB76" i="52"/>
  <c r="AA76" i="52"/>
  <c r="Z76" i="52"/>
  <c r="Y76" i="52"/>
  <c r="X76" i="52"/>
  <c r="W76" i="52"/>
  <c r="AL75" i="52"/>
  <c r="AK75" i="52"/>
  <c r="AJ75" i="52"/>
  <c r="AI75" i="52"/>
  <c r="AH75" i="52"/>
  <c r="AG75" i="52"/>
  <c r="AF75" i="52"/>
  <c r="AE75" i="52"/>
  <c r="AD75" i="52"/>
  <c r="AC75" i="52"/>
  <c r="AB75" i="52"/>
  <c r="AA75" i="52"/>
  <c r="Z75" i="52"/>
  <c r="Y75" i="52"/>
  <c r="X75" i="52"/>
  <c r="W75" i="52"/>
  <c r="AL74" i="52"/>
  <c r="AK74" i="52"/>
  <c r="AJ74" i="52"/>
  <c r="AI74" i="52"/>
  <c r="AH74" i="52"/>
  <c r="AG74" i="52"/>
  <c r="AF74" i="52"/>
  <c r="AE74" i="52"/>
  <c r="AD74" i="52"/>
  <c r="AC74" i="52"/>
  <c r="AB74" i="52"/>
  <c r="AA74" i="52"/>
  <c r="Z74" i="52"/>
  <c r="Y74" i="52"/>
  <c r="X74" i="52"/>
  <c r="W74" i="52"/>
  <c r="AL73" i="52"/>
  <c r="AK73" i="52"/>
  <c r="AJ73" i="52"/>
  <c r="AI73" i="52"/>
  <c r="AH73" i="52"/>
  <c r="AG73" i="52"/>
  <c r="AF73" i="52"/>
  <c r="AE73" i="52"/>
  <c r="AD73" i="52"/>
  <c r="AC73" i="52"/>
  <c r="AB73" i="52"/>
  <c r="AA73" i="52"/>
  <c r="Z73" i="52"/>
  <c r="Y73" i="52"/>
  <c r="X73" i="52"/>
  <c r="W73" i="52"/>
  <c r="AL72" i="52"/>
  <c r="AK72" i="52"/>
  <c r="AJ72" i="52"/>
  <c r="AI72" i="52"/>
  <c r="AH72" i="52"/>
  <c r="AG72" i="52"/>
  <c r="AF72" i="52"/>
  <c r="AE72" i="52"/>
  <c r="AD72" i="52"/>
  <c r="AC72" i="52"/>
  <c r="AB72" i="52"/>
  <c r="AA72" i="52"/>
  <c r="Z72" i="52"/>
  <c r="Y72" i="52"/>
  <c r="X72" i="52"/>
  <c r="W72" i="52"/>
  <c r="AL71" i="52"/>
  <c r="AK71" i="52"/>
  <c r="AJ71" i="52"/>
  <c r="AI71" i="52"/>
  <c r="AH71" i="52"/>
  <c r="AG71" i="52"/>
  <c r="AF71" i="52"/>
  <c r="AE71" i="52"/>
  <c r="AD71" i="52"/>
  <c r="AC71" i="52"/>
  <c r="AB71" i="52"/>
  <c r="AA71" i="52"/>
  <c r="Z71" i="52"/>
  <c r="Y71" i="52"/>
  <c r="X71" i="52"/>
  <c r="W71" i="52"/>
  <c r="AL70" i="52"/>
  <c r="AK70" i="52"/>
  <c r="AJ70" i="52"/>
  <c r="AI70" i="52"/>
  <c r="AH70" i="52"/>
  <c r="AG70" i="52"/>
  <c r="AF70" i="52"/>
  <c r="AE70" i="52"/>
  <c r="AD70" i="52"/>
  <c r="AC70" i="52"/>
  <c r="AB70" i="52"/>
  <c r="AA70" i="52"/>
  <c r="Z70" i="52"/>
  <c r="Y70" i="52"/>
  <c r="X70" i="52"/>
  <c r="W70" i="52"/>
  <c r="AL69" i="52"/>
  <c r="AK69" i="52"/>
  <c r="AJ69" i="52"/>
  <c r="AI69" i="52"/>
  <c r="AH69" i="52"/>
  <c r="AG69" i="52"/>
  <c r="AF69" i="52"/>
  <c r="AE69" i="52"/>
  <c r="AD69" i="52"/>
  <c r="AC69" i="52"/>
  <c r="AB69" i="52"/>
  <c r="AA69" i="52"/>
  <c r="Z69" i="52"/>
  <c r="Y69" i="52"/>
  <c r="X69" i="52"/>
  <c r="W69" i="52"/>
  <c r="AL68" i="52"/>
  <c r="AK68" i="52"/>
  <c r="AJ68" i="52"/>
  <c r="AI68" i="52"/>
  <c r="AH68" i="52"/>
  <c r="AG68" i="52"/>
  <c r="AF68" i="52"/>
  <c r="AE68" i="52"/>
  <c r="AD68" i="52"/>
  <c r="AC68" i="52"/>
  <c r="AB68" i="52"/>
  <c r="AA68" i="52"/>
  <c r="Z68" i="52"/>
  <c r="Y68" i="52"/>
  <c r="X68" i="52"/>
  <c r="W68" i="52"/>
  <c r="AL67" i="52"/>
  <c r="AK67" i="52"/>
  <c r="AJ67" i="52"/>
  <c r="AI67" i="52"/>
  <c r="AH67" i="52"/>
  <c r="AG67" i="52"/>
  <c r="AF67" i="52"/>
  <c r="AE67" i="52"/>
  <c r="AD67" i="52"/>
  <c r="AC67" i="52"/>
  <c r="AB67" i="52"/>
  <c r="AA67" i="52"/>
  <c r="Z67" i="52"/>
  <c r="Y67" i="52"/>
  <c r="X67" i="52"/>
  <c r="W67" i="52"/>
  <c r="AL66" i="52"/>
  <c r="AK66" i="52"/>
  <c r="AJ66" i="52"/>
  <c r="AI66" i="52"/>
  <c r="AH66" i="52"/>
  <c r="AG66" i="52"/>
  <c r="AF66" i="52"/>
  <c r="AE66" i="52"/>
  <c r="AD66" i="52"/>
  <c r="AC66" i="52"/>
  <c r="AB66" i="52"/>
  <c r="AA66" i="52"/>
  <c r="Z66" i="52"/>
  <c r="Y66" i="52"/>
  <c r="X66" i="52"/>
  <c r="W66" i="52"/>
  <c r="AL65" i="52"/>
  <c r="AK65" i="52"/>
  <c r="AJ65" i="52"/>
  <c r="AI65" i="52"/>
  <c r="AH65" i="52"/>
  <c r="AG65" i="52"/>
  <c r="AF65" i="52"/>
  <c r="AE65" i="52"/>
  <c r="AD65" i="52"/>
  <c r="AC65" i="52"/>
  <c r="AB65" i="52"/>
  <c r="AA65" i="52"/>
  <c r="Z65" i="52"/>
  <c r="Y65" i="52"/>
  <c r="X65" i="52"/>
  <c r="W65" i="52"/>
  <c r="AL64" i="52"/>
  <c r="AK64" i="52"/>
  <c r="AJ64" i="52"/>
  <c r="AI64" i="52"/>
  <c r="AH64" i="52"/>
  <c r="AG64" i="52"/>
  <c r="AF64" i="52"/>
  <c r="AE64" i="52"/>
  <c r="AD64" i="52"/>
  <c r="AC64" i="52"/>
  <c r="AB64" i="52"/>
  <c r="AA64" i="52"/>
  <c r="Z64" i="52"/>
  <c r="Y64" i="52"/>
  <c r="X64" i="52"/>
  <c r="W64" i="52"/>
  <c r="AL63" i="52"/>
  <c r="AK63" i="52"/>
  <c r="AJ63" i="52"/>
  <c r="AI63" i="52"/>
  <c r="AH63" i="52"/>
  <c r="AG63" i="52"/>
  <c r="AF63" i="52"/>
  <c r="AE63" i="52"/>
  <c r="AD63" i="52"/>
  <c r="AC63" i="52"/>
  <c r="AB63" i="52"/>
  <c r="AA63" i="52"/>
  <c r="Z63" i="52"/>
  <c r="Y63" i="52"/>
  <c r="X63" i="52"/>
  <c r="W63" i="52"/>
  <c r="AL62" i="52"/>
  <c r="AK62" i="52"/>
  <c r="AJ62" i="52"/>
  <c r="AI62" i="52"/>
  <c r="AH62" i="52"/>
  <c r="AG62" i="52"/>
  <c r="AF62" i="52"/>
  <c r="AE62" i="52"/>
  <c r="AD62" i="52"/>
  <c r="AC62" i="52"/>
  <c r="AB62" i="52"/>
  <c r="AA62" i="52"/>
  <c r="Z62" i="52"/>
  <c r="Y62" i="52"/>
  <c r="X62" i="52"/>
  <c r="W62" i="52"/>
  <c r="AL61" i="52"/>
  <c r="AK61" i="52"/>
  <c r="AJ61" i="52"/>
  <c r="AI61" i="52"/>
  <c r="AH61" i="52"/>
  <c r="AG61" i="52"/>
  <c r="AF61" i="52"/>
  <c r="AE61" i="52"/>
  <c r="AD61" i="52"/>
  <c r="AC61" i="52"/>
  <c r="AB61" i="52"/>
  <c r="AA61" i="52"/>
  <c r="Z61" i="52"/>
  <c r="Y61" i="52"/>
  <c r="X61" i="52"/>
  <c r="W61" i="52"/>
  <c r="AL60" i="52"/>
  <c r="AK60" i="52"/>
  <c r="AJ60" i="52"/>
  <c r="AI60" i="52"/>
  <c r="AH60" i="52"/>
  <c r="AG60" i="52"/>
  <c r="AF60" i="52"/>
  <c r="AE60" i="52"/>
  <c r="AD60" i="52"/>
  <c r="AC60" i="52"/>
  <c r="AB60" i="52"/>
  <c r="AA60" i="52"/>
  <c r="Z60" i="52"/>
  <c r="Y60" i="52"/>
  <c r="X60" i="52"/>
  <c r="W60" i="52"/>
  <c r="AL59" i="52"/>
  <c r="AK59" i="52"/>
  <c r="AJ59" i="52"/>
  <c r="AI59" i="52"/>
  <c r="AH59" i="52"/>
  <c r="AG59" i="52"/>
  <c r="AF59" i="52"/>
  <c r="AE59" i="52"/>
  <c r="AD59" i="52"/>
  <c r="AC59" i="52"/>
  <c r="AB59" i="52"/>
  <c r="AA59" i="52"/>
  <c r="Z59" i="52"/>
  <c r="Y59" i="52"/>
  <c r="X59" i="52"/>
  <c r="W59" i="52"/>
  <c r="AL58" i="52"/>
  <c r="AK58" i="52"/>
  <c r="AJ58" i="52"/>
  <c r="AI58" i="52"/>
  <c r="AH58" i="52"/>
  <c r="AG58" i="52"/>
  <c r="AF58" i="52"/>
  <c r="AE58" i="52"/>
  <c r="AD58" i="52"/>
  <c r="AC58" i="52"/>
  <c r="AB58" i="52"/>
  <c r="AA58" i="52"/>
  <c r="Z58" i="52"/>
  <c r="Y58" i="52"/>
  <c r="X58" i="52"/>
  <c r="W58" i="52"/>
  <c r="AL57" i="52"/>
  <c r="AK57" i="52"/>
  <c r="AJ57" i="52"/>
  <c r="AI57" i="52"/>
  <c r="AH57" i="52"/>
  <c r="AG57" i="52"/>
  <c r="AF57" i="52"/>
  <c r="AE57" i="52"/>
  <c r="AD57" i="52"/>
  <c r="AC57" i="52"/>
  <c r="AB57" i="52"/>
  <c r="AA57" i="52"/>
  <c r="Z57" i="52"/>
  <c r="Y57" i="52"/>
  <c r="X57" i="52"/>
  <c r="W57" i="52"/>
  <c r="AL56" i="52"/>
  <c r="AK56" i="52"/>
  <c r="AJ56" i="52"/>
  <c r="AI56" i="52"/>
  <c r="AH56" i="52"/>
  <c r="AG56" i="52"/>
  <c r="AF56" i="52"/>
  <c r="AE56" i="52"/>
  <c r="AD56" i="52"/>
  <c r="AC56" i="52"/>
  <c r="AB56" i="52"/>
  <c r="AA56" i="52"/>
  <c r="Z56" i="52"/>
  <c r="Y56" i="52"/>
  <c r="X56" i="52"/>
  <c r="W56" i="52"/>
  <c r="AL55" i="52"/>
  <c r="AK55" i="52"/>
  <c r="AJ55" i="52"/>
  <c r="AI55" i="52"/>
  <c r="AH55" i="52"/>
  <c r="AG55" i="52"/>
  <c r="AF55" i="52"/>
  <c r="AE55" i="52"/>
  <c r="AD55" i="52"/>
  <c r="AC55" i="52"/>
  <c r="AB55" i="52"/>
  <c r="AA55" i="52"/>
  <c r="Z55" i="52"/>
  <c r="Y55" i="52"/>
  <c r="X55" i="52"/>
  <c r="W55" i="52"/>
  <c r="AL54" i="52"/>
  <c r="AK54" i="52"/>
  <c r="AJ54" i="52"/>
  <c r="AI54" i="52"/>
  <c r="AH54" i="52"/>
  <c r="AG54" i="52"/>
  <c r="AF54" i="52"/>
  <c r="AE54" i="52"/>
  <c r="AD54" i="52"/>
  <c r="AC54" i="52"/>
  <c r="AB54" i="52"/>
  <c r="AA54" i="52"/>
  <c r="Z54" i="52"/>
  <c r="Y54" i="52"/>
  <c r="X54" i="52"/>
  <c r="W54" i="52"/>
  <c r="AL53" i="52"/>
  <c r="AK53" i="52"/>
  <c r="AJ53" i="52"/>
  <c r="AI53" i="52"/>
  <c r="AH53" i="52"/>
  <c r="AG53" i="52"/>
  <c r="AF53" i="52"/>
  <c r="AE53" i="52"/>
  <c r="AD53" i="52"/>
  <c r="AC53" i="52"/>
  <c r="AB53" i="52"/>
  <c r="AA53" i="52"/>
  <c r="Z53" i="52"/>
  <c r="Y53" i="52"/>
  <c r="X53" i="52"/>
  <c r="W53" i="52"/>
  <c r="AL52" i="52"/>
  <c r="AK52" i="52"/>
  <c r="AJ52" i="52"/>
  <c r="AI52" i="52"/>
  <c r="AH52" i="52"/>
  <c r="AG52" i="52"/>
  <c r="AF52" i="52"/>
  <c r="AE52" i="52"/>
  <c r="AD52" i="52"/>
  <c r="AC52" i="52"/>
  <c r="AB52" i="52"/>
  <c r="AA52" i="52"/>
  <c r="Z52" i="52"/>
  <c r="Y52" i="52"/>
  <c r="X52" i="52"/>
  <c r="W52" i="52"/>
  <c r="AL51" i="52"/>
  <c r="AK51" i="52"/>
  <c r="AJ51" i="52"/>
  <c r="AI51" i="52"/>
  <c r="AH51" i="52"/>
  <c r="AG51" i="52"/>
  <c r="AF51" i="52"/>
  <c r="AE51" i="52"/>
  <c r="AD51" i="52"/>
  <c r="AC51" i="52"/>
  <c r="AB51" i="52"/>
  <c r="AA51" i="52"/>
  <c r="Z51" i="52"/>
  <c r="Y51" i="52"/>
  <c r="X51" i="52"/>
  <c r="W51" i="52"/>
  <c r="AL50" i="52"/>
  <c r="AK50" i="52"/>
  <c r="AJ50" i="52"/>
  <c r="AI50" i="52"/>
  <c r="AH50" i="52"/>
  <c r="AG50" i="52"/>
  <c r="AF50" i="52"/>
  <c r="AE50" i="52"/>
  <c r="AD50" i="52"/>
  <c r="AC50" i="52"/>
  <c r="AB50" i="52"/>
  <c r="AA50" i="52"/>
  <c r="Z50" i="52"/>
  <c r="Y50" i="52"/>
  <c r="X50" i="52"/>
  <c r="W50" i="52"/>
  <c r="AL49" i="52"/>
  <c r="AK49" i="52"/>
  <c r="AJ49" i="52"/>
  <c r="AI49" i="52"/>
  <c r="AH49" i="52"/>
  <c r="AG49" i="52"/>
  <c r="AF49" i="52"/>
  <c r="AE49" i="52"/>
  <c r="AD49" i="52"/>
  <c r="AC49" i="52"/>
  <c r="AB49" i="52"/>
  <c r="AA49" i="52"/>
  <c r="Z49" i="52"/>
  <c r="Y49" i="52"/>
  <c r="X49" i="52"/>
  <c r="W49" i="52"/>
  <c r="AL48" i="52"/>
  <c r="AK48" i="52"/>
  <c r="AJ48" i="52"/>
  <c r="AI48" i="52"/>
  <c r="AH48" i="52"/>
  <c r="AG48" i="52"/>
  <c r="AF48" i="52"/>
  <c r="AE48" i="52"/>
  <c r="AD48" i="52"/>
  <c r="AC48" i="52"/>
  <c r="AB48" i="52"/>
  <c r="AA48" i="52"/>
  <c r="Z48" i="52"/>
  <c r="Y48" i="52"/>
  <c r="X48" i="52"/>
  <c r="W48" i="52"/>
  <c r="AL47" i="52"/>
  <c r="AK47" i="52"/>
  <c r="AJ47" i="52"/>
  <c r="AI47" i="52"/>
  <c r="AH47" i="52"/>
  <c r="AG47" i="52"/>
  <c r="AF47" i="52"/>
  <c r="AE47" i="52"/>
  <c r="AD47" i="52"/>
  <c r="AC47" i="52"/>
  <c r="AB47" i="52"/>
  <c r="AA47" i="52"/>
  <c r="Z47" i="52"/>
  <c r="Y47" i="52"/>
  <c r="X47" i="52"/>
  <c r="W47" i="52"/>
  <c r="AL46" i="52"/>
  <c r="AK46" i="52"/>
  <c r="AJ46" i="52"/>
  <c r="AI46" i="52"/>
  <c r="AH46" i="52"/>
  <c r="AG46" i="52"/>
  <c r="AF46" i="52"/>
  <c r="AE46" i="52"/>
  <c r="AD46" i="52"/>
  <c r="AC46" i="52"/>
  <c r="AB46" i="52"/>
  <c r="AA46" i="52"/>
  <c r="Z46" i="52"/>
  <c r="Y46" i="52"/>
  <c r="X46" i="52"/>
  <c r="W46" i="52"/>
  <c r="AL45" i="52"/>
  <c r="AK45" i="52"/>
  <c r="AJ45" i="52"/>
  <c r="AI45" i="52"/>
  <c r="AH45" i="52"/>
  <c r="AG45" i="52"/>
  <c r="AF45" i="52"/>
  <c r="AE45" i="52"/>
  <c r="AD45" i="52"/>
  <c r="AC45" i="52"/>
  <c r="AB45" i="52"/>
  <c r="AA45" i="52"/>
  <c r="Z45" i="52"/>
  <c r="Y45" i="52"/>
  <c r="X45" i="52"/>
  <c r="W45" i="52"/>
  <c r="AL44" i="52"/>
  <c r="AK44" i="52"/>
  <c r="AJ44" i="52"/>
  <c r="AI44" i="52"/>
  <c r="AH44" i="52"/>
  <c r="AG44" i="52"/>
  <c r="AF44" i="52"/>
  <c r="AE44" i="52"/>
  <c r="AD44" i="52"/>
  <c r="AC44" i="52"/>
  <c r="AB44" i="52"/>
  <c r="AA44" i="52"/>
  <c r="Z44" i="52"/>
  <c r="Y44" i="52"/>
  <c r="X44" i="52"/>
  <c r="W44" i="52"/>
  <c r="AL43" i="52"/>
  <c r="AK43" i="52"/>
  <c r="AJ43" i="52"/>
  <c r="AI43" i="52"/>
  <c r="AH43" i="52"/>
  <c r="AG43" i="52"/>
  <c r="AF43" i="52"/>
  <c r="AE43" i="52"/>
  <c r="AD43" i="52"/>
  <c r="AC43" i="52"/>
  <c r="AB43" i="52"/>
  <c r="AA43" i="52"/>
  <c r="Z43" i="52"/>
  <c r="Y43" i="52"/>
  <c r="X43" i="52"/>
  <c r="W43" i="52"/>
  <c r="AL42" i="52"/>
  <c r="AK42" i="52"/>
  <c r="AJ42" i="52"/>
  <c r="AI42" i="52"/>
  <c r="AH42" i="52"/>
  <c r="AG42" i="52"/>
  <c r="AF42" i="52"/>
  <c r="AE42" i="52"/>
  <c r="AD42" i="52"/>
  <c r="AC42" i="52"/>
  <c r="AB42" i="52"/>
  <c r="AA42" i="52"/>
  <c r="Z42" i="52"/>
  <c r="Y42" i="52"/>
  <c r="X42" i="52"/>
  <c r="W42" i="52"/>
  <c r="AL41" i="52"/>
  <c r="AK41" i="52"/>
  <c r="AJ41" i="52"/>
  <c r="AI41" i="52"/>
  <c r="AH41" i="52"/>
  <c r="AG41" i="52"/>
  <c r="AF41" i="52"/>
  <c r="AE41" i="52"/>
  <c r="AD41" i="52"/>
  <c r="AC41" i="52"/>
  <c r="AB41" i="52"/>
  <c r="AA41" i="52"/>
  <c r="Z41" i="52"/>
  <c r="Y41" i="52"/>
  <c r="X41" i="52"/>
  <c r="W41" i="52"/>
  <c r="AL40" i="52"/>
  <c r="AK40" i="52"/>
  <c r="AJ40" i="52"/>
  <c r="AI40" i="52"/>
  <c r="AH40" i="52"/>
  <c r="AG40" i="52"/>
  <c r="AF40" i="52"/>
  <c r="AE40" i="52"/>
  <c r="AD40" i="52"/>
  <c r="AC40" i="52"/>
  <c r="AB40" i="52"/>
  <c r="AA40" i="52"/>
  <c r="Z40" i="52"/>
  <c r="Y40" i="52"/>
  <c r="X40" i="52"/>
  <c r="W40" i="52"/>
  <c r="AL39" i="52"/>
  <c r="AK39" i="52"/>
  <c r="AJ39" i="52"/>
  <c r="AI39" i="52"/>
  <c r="AH39" i="52"/>
  <c r="AG39" i="52"/>
  <c r="AF39" i="52"/>
  <c r="AE39" i="52"/>
  <c r="AD39" i="52"/>
  <c r="AC39" i="52"/>
  <c r="AB39" i="52"/>
  <c r="AA39" i="52"/>
  <c r="Z39" i="52"/>
  <c r="Y39" i="52"/>
  <c r="X39" i="52"/>
  <c r="W39" i="52"/>
  <c r="AL38" i="52"/>
  <c r="AK38" i="52"/>
  <c r="AJ38" i="52"/>
  <c r="AI38" i="52"/>
  <c r="AH38" i="52"/>
  <c r="AG38" i="52"/>
  <c r="AF38" i="52"/>
  <c r="AE38" i="52"/>
  <c r="AD38" i="52"/>
  <c r="AC38" i="52"/>
  <c r="AB38" i="52"/>
  <c r="AA38" i="52"/>
  <c r="Z38" i="52"/>
  <c r="Y38" i="52"/>
  <c r="X38" i="52"/>
  <c r="W38" i="52"/>
  <c r="AL37" i="52"/>
  <c r="AK37" i="52"/>
  <c r="AJ37" i="52"/>
  <c r="AI37" i="52"/>
  <c r="AH37" i="52"/>
  <c r="AG37" i="52"/>
  <c r="AF37" i="52"/>
  <c r="AE37" i="52"/>
  <c r="AD37" i="52"/>
  <c r="AC37" i="52"/>
  <c r="AB37" i="52"/>
  <c r="AA37" i="52"/>
  <c r="Z37" i="52"/>
  <c r="Y37" i="52"/>
  <c r="X37" i="52"/>
  <c r="W37" i="52"/>
  <c r="C21" i="19"/>
  <c r="H23" i="18"/>
  <c r="G23" i="18"/>
  <c r="F23" i="18"/>
  <c r="E23" i="18"/>
  <c r="D23" i="18"/>
  <c r="C23" i="18"/>
  <c r="H22" i="18"/>
  <c r="G22" i="18"/>
  <c r="F22" i="18"/>
  <c r="E22" i="18"/>
  <c r="D22" i="18"/>
  <c r="C22" i="18"/>
  <c r="H21" i="18"/>
  <c r="G21" i="18"/>
  <c r="F21" i="18"/>
  <c r="E21" i="18"/>
  <c r="D21" i="18"/>
  <c r="C21" i="18"/>
  <c r="H20" i="18"/>
  <c r="G20" i="18"/>
  <c r="F20" i="18"/>
  <c r="E20" i="18"/>
  <c r="D20" i="18"/>
  <c r="C20" i="18"/>
  <c r="H19" i="18"/>
  <c r="G19" i="18"/>
  <c r="F19" i="18"/>
  <c r="E19" i="18"/>
  <c r="D19" i="18"/>
  <c r="C19" i="18"/>
  <c r="H18" i="18"/>
  <c r="G18" i="18"/>
  <c r="F18" i="18"/>
  <c r="E18" i="18"/>
  <c r="D18" i="18"/>
  <c r="C18" i="18"/>
  <c r="H17" i="18"/>
  <c r="G17" i="18"/>
  <c r="F17" i="18"/>
  <c r="E17" i="18"/>
  <c r="D17" i="18"/>
  <c r="C17" i="18"/>
  <c r="H16" i="18"/>
  <c r="G16" i="18"/>
  <c r="F16" i="18"/>
  <c r="E16" i="18"/>
  <c r="D16" i="18"/>
  <c r="C16" i="18"/>
  <c r="H15" i="18"/>
  <c r="G15" i="18"/>
  <c r="F15" i="18"/>
  <c r="E15" i="18"/>
  <c r="D15" i="18"/>
  <c r="C15" i="18"/>
  <c r="H14" i="18"/>
  <c r="G14" i="18"/>
  <c r="F14" i="18"/>
  <c r="E14" i="18"/>
  <c r="D14" i="18"/>
  <c r="C14" i="18"/>
  <c r="C21" i="17"/>
  <c r="H23" i="16"/>
  <c r="G23" i="16"/>
  <c r="F23" i="16"/>
  <c r="E23" i="16"/>
  <c r="D23" i="16"/>
  <c r="C23" i="16"/>
  <c r="H22" i="16"/>
  <c r="G22" i="16"/>
  <c r="F22" i="16"/>
  <c r="E22" i="16"/>
  <c r="D22" i="16"/>
  <c r="C22" i="16"/>
  <c r="H21" i="16"/>
  <c r="G21" i="16"/>
  <c r="F21" i="16"/>
  <c r="E21" i="16"/>
  <c r="D21" i="16"/>
  <c r="C21" i="16"/>
  <c r="H20" i="16"/>
  <c r="G20" i="16"/>
  <c r="F20" i="16"/>
  <c r="E20" i="16"/>
  <c r="D20" i="16"/>
  <c r="C20" i="16"/>
  <c r="H19" i="16"/>
  <c r="G19" i="16"/>
  <c r="F19" i="16"/>
  <c r="E19" i="16"/>
  <c r="D19" i="16"/>
  <c r="C19" i="16"/>
  <c r="H18" i="16"/>
  <c r="G18" i="16"/>
  <c r="F18" i="16"/>
  <c r="E18" i="16"/>
  <c r="D18" i="16"/>
  <c r="C18" i="16"/>
  <c r="H17" i="16"/>
  <c r="G17" i="16"/>
  <c r="F17" i="16"/>
  <c r="E17" i="16"/>
  <c r="D17" i="16"/>
  <c r="C17" i="16"/>
  <c r="H16" i="16"/>
  <c r="G16" i="16"/>
  <c r="F16" i="16"/>
  <c r="E16" i="16"/>
  <c r="D16" i="16"/>
  <c r="C16" i="16"/>
  <c r="H15" i="16"/>
  <c r="G15" i="16"/>
  <c r="F15" i="16"/>
  <c r="E15" i="16"/>
  <c r="D15" i="16"/>
  <c r="C15" i="16"/>
  <c r="H14" i="16"/>
  <c r="G14" i="16"/>
  <c r="F14" i="16"/>
  <c r="E14" i="16"/>
  <c r="D14" i="16"/>
  <c r="C14" i="16"/>
  <c r="C21" i="15"/>
  <c r="H16" i="26"/>
  <c r="G16" i="26"/>
  <c r="F16" i="26"/>
  <c r="E16" i="26"/>
  <c r="D16" i="26"/>
  <c r="C16" i="26"/>
  <c r="H15" i="26"/>
  <c r="G15" i="26"/>
  <c r="F15" i="26"/>
  <c r="E15" i="26"/>
  <c r="D15" i="26"/>
  <c r="C15" i="26"/>
  <c r="H14" i="26"/>
  <c r="G14" i="26"/>
  <c r="F14" i="26"/>
  <c r="E14" i="26"/>
  <c r="D14" i="26"/>
  <c r="C14" i="26"/>
  <c r="H40" i="26"/>
  <c r="G40" i="26"/>
  <c r="F40" i="26"/>
  <c r="E40" i="26"/>
  <c r="D40" i="26"/>
  <c r="C40" i="26"/>
  <c r="H39" i="26"/>
  <c r="G39" i="26"/>
  <c r="F39" i="26"/>
  <c r="E39" i="26"/>
  <c r="D39" i="26"/>
  <c r="C39" i="26"/>
  <c r="H38" i="26"/>
  <c r="G38" i="26"/>
  <c r="F38" i="26"/>
  <c r="E38" i="26"/>
  <c r="D38" i="26"/>
  <c r="C38" i="26"/>
  <c r="H37" i="26"/>
  <c r="G37" i="26"/>
  <c r="F37" i="26"/>
  <c r="E37" i="26"/>
  <c r="D37" i="26"/>
  <c r="C37" i="26"/>
  <c r="H36" i="26"/>
  <c r="G36" i="26"/>
  <c r="F36" i="26"/>
  <c r="E36" i="26"/>
  <c r="D36" i="26"/>
  <c r="C36" i="26"/>
  <c r="H35" i="26"/>
  <c r="G35" i="26"/>
  <c r="F35" i="26"/>
  <c r="E35" i="26"/>
  <c r="D35" i="26"/>
  <c r="C35" i="26"/>
  <c r="H34" i="26"/>
  <c r="G34" i="26"/>
  <c r="F34" i="26"/>
  <c r="E34" i="26"/>
  <c r="D34" i="26"/>
  <c r="C34" i="26"/>
  <c r="H33" i="26"/>
  <c r="G33" i="26"/>
  <c r="F33" i="26"/>
  <c r="E33" i="26"/>
  <c r="D33" i="26"/>
  <c r="C33" i="26"/>
  <c r="H32" i="26"/>
  <c r="G32" i="26"/>
  <c r="F32" i="26"/>
  <c r="E32" i="26"/>
  <c r="D32" i="26"/>
  <c r="C32" i="26"/>
  <c r="H31" i="26"/>
  <c r="G31" i="26"/>
  <c r="F31" i="26"/>
  <c r="E31" i="26"/>
  <c r="D31" i="26"/>
  <c r="C31" i="26"/>
  <c r="H30" i="26"/>
  <c r="G30" i="26"/>
  <c r="F30" i="26"/>
  <c r="E30" i="26"/>
  <c r="D30" i="26"/>
  <c r="C30" i="26"/>
  <c r="H29" i="26"/>
  <c r="G29" i="26"/>
  <c r="F29" i="26"/>
  <c r="E29" i="26"/>
  <c r="D29" i="26"/>
  <c r="C29" i="26"/>
  <c r="H28" i="26"/>
  <c r="G28" i="26"/>
  <c r="F28" i="26"/>
  <c r="E28" i="26"/>
  <c r="D28" i="26"/>
  <c r="C28" i="26"/>
  <c r="H27" i="26"/>
  <c r="G27" i="26"/>
  <c r="F27" i="26"/>
  <c r="E27" i="26"/>
  <c r="D27" i="26"/>
  <c r="C27" i="26"/>
  <c r="H26" i="26"/>
  <c r="G26" i="26"/>
  <c r="F26" i="26"/>
  <c r="E26" i="26"/>
  <c r="D26" i="26"/>
  <c r="C26" i="26"/>
  <c r="H25" i="26"/>
  <c r="G25" i="26"/>
  <c r="F25" i="26"/>
  <c r="E25" i="26"/>
  <c r="D25" i="26"/>
  <c r="C25" i="26"/>
  <c r="H24" i="26"/>
  <c r="G24" i="26"/>
  <c r="F24" i="26"/>
  <c r="E24" i="26"/>
  <c r="D24" i="26"/>
  <c r="C24" i="26"/>
  <c r="H23" i="26"/>
  <c r="G23" i="26"/>
  <c r="F23" i="26"/>
  <c r="E23" i="26"/>
  <c r="D23" i="26"/>
  <c r="C23" i="26"/>
  <c r="H22" i="26"/>
  <c r="G22" i="26"/>
  <c r="F22" i="26"/>
  <c r="E22" i="26"/>
  <c r="D22" i="26"/>
  <c r="C22" i="26"/>
  <c r="H21" i="26"/>
  <c r="G21" i="26"/>
  <c r="F21" i="26"/>
  <c r="E21" i="26"/>
  <c r="D21" i="26"/>
  <c r="C21" i="26"/>
  <c r="H20" i="26"/>
  <c r="G20" i="26"/>
  <c r="F20" i="26"/>
  <c r="E20" i="26"/>
  <c r="D20" i="26"/>
  <c r="C20" i="26"/>
  <c r="H19" i="26"/>
  <c r="G19" i="26"/>
  <c r="F19" i="26"/>
  <c r="E19" i="26"/>
  <c r="D19" i="26"/>
  <c r="C19" i="26"/>
  <c r="H18" i="26"/>
  <c r="G18" i="26"/>
  <c r="F18" i="26"/>
  <c r="E18" i="26"/>
  <c r="D18" i="26"/>
  <c r="C18" i="26"/>
  <c r="H17" i="26"/>
  <c r="G17" i="26"/>
  <c r="F17" i="26"/>
  <c r="E17" i="26"/>
  <c r="D17" i="26"/>
  <c r="C17" i="26"/>
  <c r="C21" i="25"/>
  <c r="H25" i="42"/>
  <c r="G25" i="42"/>
  <c r="F25" i="42"/>
  <c r="E25" i="42"/>
  <c r="D25" i="42"/>
  <c r="C25" i="42"/>
  <c r="H24" i="42"/>
  <c r="G24" i="42"/>
  <c r="F24" i="42"/>
  <c r="E24" i="42"/>
  <c r="D24" i="42"/>
  <c r="C24" i="42"/>
  <c r="H23" i="42"/>
  <c r="G23" i="42"/>
  <c r="F23" i="42"/>
  <c r="E23" i="42"/>
  <c r="D23" i="42"/>
  <c r="C23" i="42"/>
  <c r="H22" i="42"/>
  <c r="G22" i="42"/>
  <c r="F22" i="42"/>
  <c r="E22" i="42"/>
  <c r="D22" i="42"/>
  <c r="C22" i="42"/>
  <c r="H21" i="42"/>
  <c r="G21" i="42"/>
  <c r="F21" i="42"/>
  <c r="E21" i="42"/>
  <c r="D21" i="42"/>
  <c r="C21" i="42"/>
  <c r="H20" i="42"/>
  <c r="G20" i="42"/>
  <c r="F20" i="42"/>
  <c r="E20" i="42"/>
  <c r="D20" i="42"/>
  <c r="C20" i="42"/>
  <c r="H19" i="42"/>
  <c r="G19" i="42"/>
  <c r="F19" i="42"/>
  <c r="E19" i="42"/>
  <c r="D19" i="42"/>
  <c r="C19" i="42"/>
  <c r="H18" i="42"/>
  <c r="G18" i="42"/>
  <c r="F18" i="42"/>
  <c r="E18" i="42"/>
  <c r="D18" i="42"/>
  <c r="C18" i="42"/>
  <c r="H17" i="42"/>
  <c r="G17" i="42"/>
  <c r="F17" i="42"/>
  <c r="E17" i="42"/>
  <c r="D17" i="42"/>
  <c r="C17" i="42"/>
  <c r="H16" i="42"/>
  <c r="G16" i="42"/>
  <c r="F16" i="42"/>
  <c r="E16" i="42"/>
  <c r="D16" i="42"/>
  <c r="C16" i="42"/>
  <c r="H15" i="42"/>
  <c r="G15" i="42"/>
  <c r="F15" i="42"/>
  <c r="E15" i="42"/>
  <c r="D15" i="42"/>
  <c r="C15" i="42"/>
  <c r="H14" i="42"/>
  <c r="G14" i="42"/>
  <c r="F14" i="42"/>
  <c r="E14" i="42"/>
  <c r="D14" i="42"/>
  <c r="C14" i="42"/>
  <c r="E62" i="42"/>
  <c r="H73" i="42"/>
  <c r="G73" i="42"/>
  <c r="F73" i="42"/>
  <c r="E73" i="42"/>
  <c r="D73" i="42"/>
  <c r="C73" i="42"/>
  <c r="H72" i="42"/>
  <c r="G72" i="42"/>
  <c r="F72" i="42"/>
  <c r="E72" i="42"/>
  <c r="D72" i="42"/>
  <c r="C72" i="42"/>
  <c r="H71" i="42"/>
  <c r="G71" i="42"/>
  <c r="F71" i="42"/>
  <c r="E71" i="42"/>
  <c r="D71" i="42"/>
  <c r="C71" i="42"/>
  <c r="H70" i="42"/>
  <c r="G70" i="42"/>
  <c r="F70" i="42"/>
  <c r="E70" i="42"/>
  <c r="D70" i="42"/>
  <c r="C70" i="42"/>
  <c r="H69" i="42"/>
  <c r="G69" i="42"/>
  <c r="F69" i="42"/>
  <c r="E69" i="42"/>
  <c r="D69" i="42"/>
  <c r="C69" i="42"/>
  <c r="H68" i="42"/>
  <c r="G68" i="42"/>
  <c r="F68" i="42"/>
  <c r="E68" i="42"/>
  <c r="D68" i="42"/>
  <c r="C68" i="42"/>
  <c r="H67" i="42"/>
  <c r="G67" i="42"/>
  <c r="F67" i="42"/>
  <c r="E67" i="42"/>
  <c r="D67" i="42"/>
  <c r="C67" i="42"/>
  <c r="H66" i="42"/>
  <c r="G66" i="42"/>
  <c r="F66" i="42"/>
  <c r="E66" i="42"/>
  <c r="D66" i="42"/>
  <c r="C66" i="42"/>
  <c r="H65" i="42"/>
  <c r="G65" i="42"/>
  <c r="F65" i="42"/>
  <c r="E65" i="42"/>
  <c r="D65" i="42"/>
  <c r="C65" i="42"/>
  <c r="H64" i="42"/>
  <c r="G64" i="42"/>
  <c r="F64" i="42"/>
  <c r="E64" i="42"/>
  <c r="D64" i="42"/>
  <c r="C64" i="42"/>
  <c r="H63" i="42"/>
  <c r="G63" i="42"/>
  <c r="F63" i="42"/>
  <c r="E63" i="42"/>
  <c r="D63" i="42"/>
  <c r="C63" i="42"/>
  <c r="H62" i="42"/>
  <c r="G62" i="42"/>
  <c r="F62" i="42"/>
  <c r="D62" i="42"/>
  <c r="C62" i="42"/>
  <c r="H61" i="42"/>
  <c r="G61" i="42"/>
  <c r="F61" i="42"/>
  <c r="E61" i="42"/>
  <c r="D61" i="42"/>
  <c r="C61" i="42"/>
  <c r="H60" i="42"/>
  <c r="G60" i="42"/>
  <c r="F60" i="42"/>
  <c r="E60" i="42"/>
  <c r="D60" i="42"/>
  <c r="C60" i="42"/>
  <c r="H59" i="42"/>
  <c r="G59" i="42"/>
  <c r="F59" i="42"/>
  <c r="E59" i="42"/>
  <c r="D59" i="42"/>
  <c r="C59" i="42"/>
  <c r="H58" i="42"/>
  <c r="G58" i="42"/>
  <c r="F58" i="42"/>
  <c r="E58" i="42"/>
  <c r="D58" i="42"/>
  <c r="C58" i="42"/>
  <c r="H57" i="42"/>
  <c r="G57" i="42"/>
  <c r="F57" i="42"/>
  <c r="E57" i="42"/>
  <c r="D57" i="42"/>
  <c r="C57" i="42"/>
  <c r="H56" i="42"/>
  <c r="G56" i="42"/>
  <c r="F56" i="42"/>
  <c r="E56" i="42"/>
  <c r="D56" i="42"/>
  <c r="C56" i="42"/>
  <c r="H55" i="42"/>
  <c r="G55" i="42"/>
  <c r="F55" i="42"/>
  <c r="E55" i="42"/>
  <c r="D55" i="42"/>
  <c r="C55" i="42"/>
  <c r="H54" i="42"/>
  <c r="G54" i="42"/>
  <c r="F54" i="42"/>
  <c r="E54" i="42"/>
  <c r="D54" i="42"/>
  <c r="C54" i="42"/>
  <c r="H53" i="42"/>
  <c r="G53" i="42"/>
  <c r="F53" i="42"/>
  <c r="E53" i="42"/>
  <c r="D53" i="42"/>
  <c r="C53" i="42"/>
  <c r="H52" i="42"/>
  <c r="G52" i="42"/>
  <c r="F52" i="42"/>
  <c r="E52" i="42"/>
  <c r="D52" i="42"/>
  <c r="C52" i="42"/>
  <c r="H51" i="42"/>
  <c r="G51" i="42"/>
  <c r="F51" i="42"/>
  <c r="E51" i="42"/>
  <c r="D51" i="42"/>
  <c r="C51" i="42"/>
  <c r="H50" i="42"/>
  <c r="G50" i="42"/>
  <c r="F50" i="42"/>
  <c r="E50" i="42"/>
  <c r="D50" i="42"/>
  <c r="C50" i="42"/>
  <c r="H49" i="42"/>
  <c r="G49" i="42"/>
  <c r="F49" i="42"/>
  <c r="E49" i="42"/>
  <c r="D49" i="42"/>
  <c r="C49" i="42"/>
  <c r="H48" i="42"/>
  <c r="G48" i="42"/>
  <c r="F48" i="42"/>
  <c r="E48" i="42"/>
  <c r="D48" i="42"/>
  <c r="C48" i="42"/>
  <c r="H47" i="42"/>
  <c r="G47" i="42"/>
  <c r="F47" i="42"/>
  <c r="E47" i="42"/>
  <c r="D47" i="42"/>
  <c r="C47" i="42"/>
  <c r="H46" i="42"/>
  <c r="G46" i="42"/>
  <c r="F46" i="42"/>
  <c r="E46" i="42"/>
  <c r="D46" i="42"/>
  <c r="C46" i="42"/>
  <c r="H45" i="42"/>
  <c r="G45" i="42"/>
  <c r="F45" i="42"/>
  <c r="E45" i="42"/>
  <c r="D45" i="42"/>
  <c r="C45" i="42"/>
  <c r="H44" i="42"/>
  <c r="G44" i="42"/>
  <c r="F44" i="42"/>
  <c r="E44" i="42"/>
  <c r="D44" i="42"/>
  <c r="C44" i="42"/>
  <c r="H43" i="42"/>
  <c r="G43" i="42"/>
  <c r="F43" i="42"/>
  <c r="E43" i="42"/>
  <c r="D43" i="42"/>
  <c r="C43" i="42"/>
  <c r="H42" i="42"/>
  <c r="G42" i="42"/>
  <c r="F42" i="42"/>
  <c r="E42" i="42"/>
  <c r="D42" i="42"/>
  <c r="C42" i="42"/>
  <c r="H41" i="42"/>
  <c r="G41" i="42"/>
  <c r="F41" i="42"/>
  <c r="E41" i="42"/>
  <c r="D41" i="42"/>
  <c r="C41" i="42"/>
  <c r="H40" i="42"/>
  <c r="G40" i="42"/>
  <c r="F40" i="42"/>
  <c r="E40" i="42"/>
  <c r="D40" i="42"/>
  <c r="C40" i="42"/>
  <c r="H39" i="42"/>
  <c r="G39" i="42"/>
  <c r="F39" i="42"/>
  <c r="E39" i="42"/>
  <c r="D39" i="42"/>
  <c r="C39" i="42"/>
  <c r="H38" i="42"/>
  <c r="G38" i="42"/>
  <c r="F38" i="42"/>
  <c r="E38" i="42"/>
  <c r="D38" i="42"/>
  <c r="C38" i="42"/>
  <c r="C21" i="41"/>
  <c r="H23" i="40"/>
  <c r="G23" i="40"/>
  <c r="F23" i="40"/>
  <c r="E23" i="40"/>
  <c r="D23" i="40"/>
  <c r="C23" i="40"/>
  <c r="H22" i="40"/>
  <c r="G22" i="40"/>
  <c r="F22" i="40"/>
  <c r="E22" i="40"/>
  <c r="D22" i="40"/>
  <c r="C22" i="40"/>
  <c r="H21" i="40"/>
  <c r="G21" i="40"/>
  <c r="F21" i="40"/>
  <c r="E21" i="40"/>
  <c r="D21" i="40"/>
  <c r="C21" i="40"/>
  <c r="H20" i="40"/>
  <c r="G20" i="40"/>
  <c r="F20" i="40"/>
  <c r="E20" i="40"/>
  <c r="D20" i="40"/>
  <c r="C20" i="40"/>
  <c r="H19" i="40"/>
  <c r="G19" i="40"/>
  <c r="F19" i="40"/>
  <c r="E19" i="40"/>
  <c r="D19" i="40"/>
  <c r="C19" i="40"/>
  <c r="H18" i="40"/>
  <c r="G18" i="40"/>
  <c r="F18" i="40"/>
  <c r="E18" i="40"/>
  <c r="D18" i="40"/>
  <c r="C18" i="40"/>
  <c r="H17" i="40"/>
  <c r="G17" i="40"/>
  <c r="F17" i="40"/>
  <c r="E17" i="40"/>
  <c r="D17" i="40"/>
  <c r="C17" i="40"/>
  <c r="H16" i="40"/>
  <c r="G16" i="40"/>
  <c r="F16" i="40"/>
  <c r="E16" i="40"/>
  <c r="D16" i="40"/>
  <c r="C16" i="40"/>
  <c r="H15" i="40"/>
  <c r="G15" i="40"/>
  <c r="F15" i="40"/>
  <c r="E15" i="40"/>
  <c r="D15" i="40"/>
  <c r="C15" i="40"/>
  <c r="H14" i="40"/>
  <c r="G14" i="40"/>
  <c r="F14" i="40"/>
  <c r="E14" i="40"/>
  <c r="D14" i="40"/>
  <c r="C14" i="40"/>
  <c r="C21" i="39"/>
  <c r="H43" i="12"/>
  <c r="G43" i="12"/>
  <c r="F43" i="12"/>
  <c r="E43" i="12"/>
  <c r="D43" i="12"/>
  <c r="C43" i="12"/>
  <c r="H42" i="12"/>
  <c r="G42" i="12"/>
  <c r="F42" i="12"/>
  <c r="E42" i="12"/>
  <c r="D42" i="12"/>
  <c r="C42" i="12"/>
  <c r="H41" i="12"/>
  <c r="G41" i="12"/>
  <c r="F41" i="12"/>
  <c r="E41" i="12"/>
  <c r="D41" i="12"/>
  <c r="C41" i="12"/>
  <c r="H40" i="12"/>
  <c r="G40" i="12"/>
  <c r="F40" i="12"/>
  <c r="E40" i="12"/>
  <c r="D40" i="12"/>
  <c r="C40" i="12"/>
  <c r="H39" i="12"/>
  <c r="G39" i="12"/>
  <c r="F39" i="12"/>
  <c r="E39" i="12"/>
  <c r="D39" i="12"/>
  <c r="C39" i="12"/>
  <c r="H38" i="12"/>
  <c r="G38" i="12"/>
  <c r="F38" i="12"/>
  <c r="E38" i="12"/>
  <c r="D38" i="12"/>
  <c r="C38" i="12"/>
  <c r="H37" i="12"/>
  <c r="G37" i="12"/>
  <c r="F37" i="12"/>
  <c r="E37" i="12"/>
  <c r="D37" i="12"/>
  <c r="C37" i="12"/>
  <c r="H36" i="12"/>
  <c r="G36" i="12"/>
  <c r="F36" i="12"/>
  <c r="E36" i="12"/>
  <c r="D36" i="12"/>
  <c r="C36" i="12"/>
  <c r="H35" i="12"/>
  <c r="G35" i="12"/>
  <c r="F35" i="12"/>
  <c r="E35" i="12"/>
  <c r="D35" i="12"/>
  <c r="C35" i="12"/>
  <c r="H34" i="12"/>
  <c r="G34" i="12"/>
  <c r="F34" i="12"/>
  <c r="E34" i="12"/>
  <c r="D34" i="12"/>
  <c r="C34" i="12"/>
  <c r="C33" i="12"/>
  <c r="H14" i="12"/>
  <c r="G14" i="12"/>
  <c r="F14" i="12"/>
  <c r="E14" i="12"/>
  <c r="D14" i="12"/>
  <c r="C14" i="12"/>
  <c r="H33" i="12"/>
  <c r="G33" i="12"/>
  <c r="F33" i="12"/>
  <c r="E33" i="12"/>
  <c r="D33" i="12"/>
  <c r="H32" i="12"/>
  <c r="G32" i="12"/>
  <c r="F32" i="12"/>
  <c r="E32" i="12"/>
  <c r="D32" i="12"/>
  <c r="C32" i="12"/>
  <c r="H31" i="12"/>
  <c r="G31" i="12"/>
  <c r="F31" i="12"/>
  <c r="E31" i="12"/>
  <c r="D31" i="12"/>
  <c r="C31" i="12"/>
  <c r="H30" i="12"/>
  <c r="G30" i="12"/>
  <c r="F30" i="12"/>
  <c r="E30" i="12"/>
  <c r="D30" i="12"/>
  <c r="C30" i="12"/>
  <c r="H29" i="12"/>
  <c r="G29" i="12"/>
  <c r="F29" i="12"/>
  <c r="E29" i="12"/>
  <c r="D29" i="12"/>
  <c r="C29" i="12"/>
  <c r="H28" i="12"/>
  <c r="G28" i="12"/>
  <c r="F28" i="12"/>
  <c r="E28" i="12"/>
  <c r="D28" i="12"/>
  <c r="C28" i="12"/>
  <c r="H27" i="12"/>
  <c r="G27" i="12"/>
  <c r="F27" i="12"/>
  <c r="E27" i="12"/>
  <c r="D27" i="12"/>
  <c r="C27" i="12"/>
  <c r="H26" i="12"/>
  <c r="G26" i="12"/>
  <c r="F26" i="12"/>
  <c r="E26" i="12"/>
  <c r="D26" i="12"/>
  <c r="C26" i="12"/>
  <c r="H25" i="12"/>
  <c r="G25" i="12"/>
  <c r="F25" i="12"/>
  <c r="E25" i="12"/>
  <c r="D25" i="12"/>
  <c r="C25" i="12"/>
  <c r="H24" i="12"/>
  <c r="G24" i="12"/>
  <c r="F24" i="12"/>
  <c r="E24" i="12"/>
  <c r="D24" i="12"/>
  <c r="C24" i="12"/>
  <c r="H23" i="12"/>
  <c r="G23" i="12"/>
  <c r="F23" i="12"/>
  <c r="E23" i="12"/>
  <c r="D23" i="12"/>
  <c r="C23" i="12"/>
  <c r="H22" i="12"/>
  <c r="G22" i="12"/>
  <c r="F22" i="12"/>
  <c r="E22" i="12"/>
  <c r="D22" i="12"/>
  <c r="C22" i="12"/>
  <c r="H21" i="12"/>
  <c r="G21" i="12"/>
  <c r="F21" i="12"/>
  <c r="E21" i="12"/>
  <c r="D21" i="12"/>
  <c r="C21" i="12"/>
  <c r="H20" i="12"/>
  <c r="G20" i="12"/>
  <c r="F20" i="12"/>
  <c r="E20" i="12"/>
  <c r="D20" i="12"/>
  <c r="C20" i="12"/>
  <c r="H19" i="12"/>
  <c r="G19" i="12"/>
  <c r="F19" i="12"/>
  <c r="E19" i="12"/>
  <c r="D19" i="12"/>
  <c r="C19" i="12"/>
  <c r="H18" i="12"/>
  <c r="G18" i="12"/>
  <c r="F18" i="12"/>
  <c r="E18" i="12"/>
  <c r="D18" i="12"/>
  <c r="C18" i="12"/>
  <c r="H17" i="12"/>
  <c r="G17" i="12"/>
  <c r="F17" i="12"/>
  <c r="E17" i="12"/>
  <c r="D17" i="12"/>
  <c r="C17" i="12"/>
  <c r="H16" i="12"/>
  <c r="G16" i="12"/>
  <c r="F16" i="12"/>
  <c r="E16" i="12"/>
  <c r="D16" i="12"/>
  <c r="H15" i="12"/>
  <c r="G15" i="12"/>
  <c r="F15" i="12"/>
  <c r="E15" i="12"/>
  <c r="D15" i="12"/>
  <c r="C16" i="12"/>
  <c r="C15" i="12"/>
  <c r="C21" i="11"/>
  <c r="E6897" i="78"/>
  <c r="E6896" i="78"/>
  <c r="E6895" i="78"/>
  <c r="E6894" i="78"/>
  <c r="E6893" i="78"/>
  <c r="E6892" i="78"/>
  <c r="E6891" i="78"/>
  <c r="E6890" i="78"/>
  <c r="E6889" i="78"/>
  <c r="E6888" i="78"/>
  <c r="E6887" i="78"/>
  <c r="E6886" i="78"/>
  <c r="E6885" i="78"/>
  <c r="E6884" i="78"/>
  <c r="E6883" i="78"/>
  <c r="E6882" i="78"/>
  <c r="E6881" i="78"/>
  <c r="E6880" i="78"/>
  <c r="E6879" i="78"/>
  <c r="E6878" i="78"/>
  <c r="E6877" i="78"/>
  <c r="E6876" i="78"/>
  <c r="E6875" i="78"/>
  <c r="E6874" i="78"/>
  <c r="E6873" i="78"/>
  <c r="E6872" i="78"/>
  <c r="E6871" i="78"/>
  <c r="E6870" i="78"/>
  <c r="E6869" i="78"/>
  <c r="E6868" i="78"/>
  <c r="E6867" i="78"/>
  <c r="E6866" i="78"/>
  <c r="E6865" i="78"/>
  <c r="E6864" i="78"/>
  <c r="E6863" i="78"/>
  <c r="E6862" i="78"/>
  <c r="E6861" i="78"/>
  <c r="E6860" i="78"/>
  <c r="E6859" i="78"/>
  <c r="E6858" i="78"/>
  <c r="E6857" i="78"/>
  <c r="E6856" i="78"/>
  <c r="E6855" i="78"/>
  <c r="E6854" i="78"/>
  <c r="E6853" i="78"/>
  <c r="E6852" i="78"/>
  <c r="E6851" i="78"/>
  <c r="E6850" i="78"/>
  <c r="E6849" i="78"/>
  <c r="E6848" i="78"/>
  <c r="E6847" i="78"/>
  <c r="E6846" i="78"/>
  <c r="E6845" i="78"/>
  <c r="E6844" i="78"/>
  <c r="E6843" i="78"/>
  <c r="E6842" i="78"/>
  <c r="E6841" i="78"/>
  <c r="E6840" i="78"/>
  <c r="E6839" i="78"/>
  <c r="E6838" i="78"/>
  <c r="E6837" i="78"/>
  <c r="E6836" i="78"/>
  <c r="E6835" i="78"/>
  <c r="E6834" i="78"/>
  <c r="E6833" i="78"/>
  <c r="E6832" i="78"/>
  <c r="E6831" i="78"/>
  <c r="E6830" i="78"/>
  <c r="E6829" i="78"/>
  <c r="E6828" i="78"/>
  <c r="E6827" i="78"/>
  <c r="E6826" i="78"/>
  <c r="E6825" i="78"/>
  <c r="E6824" i="78"/>
  <c r="E6823" i="78"/>
  <c r="E6822" i="78"/>
  <c r="E6821" i="78"/>
  <c r="E6820" i="78"/>
  <c r="E6819" i="78"/>
  <c r="E6818" i="78"/>
  <c r="E6817" i="78"/>
  <c r="E6816" i="78"/>
  <c r="E6815" i="78"/>
  <c r="E6814" i="78"/>
  <c r="E6813" i="78"/>
  <c r="E6812" i="78"/>
  <c r="E6811" i="78"/>
  <c r="E6810" i="78"/>
  <c r="E6809" i="78"/>
  <c r="E6808" i="78"/>
  <c r="E6807" i="78"/>
  <c r="E6806" i="78"/>
  <c r="E6805" i="78"/>
  <c r="E6804" i="78"/>
  <c r="E6803" i="78"/>
  <c r="E6802" i="78"/>
  <c r="E6801" i="78"/>
  <c r="E6800" i="78"/>
  <c r="E6799" i="78"/>
  <c r="E6798" i="78"/>
  <c r="E6797" i="78"/>
  <c r="E6796" i="78"/>
  <c r="E6795" i="78"/>
  <c r="E6794" i="78"/>
  <c r="E6793" i="78"/>
  <c r="E6792" i="78"/>
  <c r="E6791" i="78"/>
  <c r="E6790" i="78"/>
  <c r="E6789" i="78"/>
  <c r="E6788" i="78"/>
  <c r="E6787" i="78"/>
  <c r="E6786" i="78"/>
  <c r="E6785" i="78"/>
  <c r="E6784" i="78"/>
  <c r="E6783" i="78"/>
  <c r="E6782" i="78"/>
  <c r="E6781" i="78"/>
  <c r="E6780" i="78"/>
  <c r="E6779" i="78"/>
  <c r="E6778" i="78"/>
  <c r="E6777" i="78"/>
  <c r="E6776" i="78"/>
  <c r="E6775" i="78"/>
  <c r="E6774" i="78"/>
  <c r="E6773" i="78"/>
  <c r="E6772" i="78"/>
  <c r="E6771" i="78"/>
  <c r="E6770" i="78"/>
  <c r="E6769" i="78"/>
  <c r="E6768" i="78"/>
  <c r="E6767" i="78"/>
  <c r="E6766" i="78"/>
  <c r="E6765" i="78"/>
  <c r="E6764" i="78"/>
  <c r="E6763" i="78"/>
  <c r="E6762" i="78"/>
  <c r="E6761" i="78"/>
  <c r="E6760" i="78"/>
  <c r="E6759" i="78"/>
  <c r="E6758" i="78"/>
  <c r="E6757" i="78"/>
  <c r="E6756" i="78"/>
  <c r="E6755" i="78"/>
  <c r="E6754" i="78"/>
  <c r="E6753" i="78"/>
  <c r="E6752" i="78"/>
  <c r="E6751" i="78"/>
  <c r="E6750" i="78"/>
  <c r="E6749" i="78"/>
  <c r="E6748" i="78"/>
  <c r="E6747" i="78"/>
  <c r="E6746" i="78"/>
  <c r="E6745" i="78"/>
  <c r="E6744" i="78"/>
  <c r="E6743" i="78"/>
  <c r="E6742" i="78"/>
  <c r="E6741" i="78"/>
  <c r="E6740" i="78"/>
  <c r="E6739" i="78"/>
  <c r="E6738" i="78"/>
  <c r="E6737" i="78"/>
  <c r="E6736" i="78"/>
  <c r="E6735" i="78"/>
  <c r="E6734" i="78"/>
  <c r="E6733" i="78"/>
  <c r="E6732" i="78"/>
  <c r="E6731" i="78"/>
  <c r="E6730" i="78"/>
  <c r="E6729" i="78"/>
  <c r="E6728" i="78"/>
  <c r="E6727" i="78"/>
  <c r="E6726" i="78"/>
  <c r="E6725" i="78"/>
  <c r="E6724" i="78"/>
  <c r="E6723" i="78"/>
  <c r="E6722" i="78"/>
  <c r="E6721" i="78"/>
  <c r="E6720" i="78"/>
  <c r="E6719" i="78"/>
  <c r="E6718" i="78"/>
  <c r="E6717" i="78"/>
  <c r="E6716" i="78"/>
  <c r="E6715" i="78"/>
  <c r="E6714" i="78"/>
  <c r="E6713" i="78"/>
  <c r="E6712" i="78"/>
  <c r="E6711" i="78"/>
  <c r="E6710" i="78"/>
  <c r="E6709" i="78"/>
  <c r="E6708" i="78"/>
  <c r="E6707" i="78"/>
  <c r="E6706" i="78"/>
  <c r="E6705" i="78"/>
  <c r="E6704" i="78"/>
  <c r="E6703" i="78"/>
  <c r="E6702" i="78"/>
  <c r="E6701" i="78"/>
  <c r="E6700" i="78"/>
  <c r="E6699" i="78"/>
  <c r="E6698" i="78"/>
  <c r="E6697" i="78"/>
  <c r="E6696" i="78"/>
  <c r="E6695" i="78"/>
  <c r="E6694" i="78"/>
  <c r="E6693" i="78"/>
  <c r="E6692" i="78"/>
  <c r="E6691" i="78"/>
  <c r="E6690" i="78"/>
  <c r="E6689" i="78"/>
  <c r="E6688" i="78"/>
  <c r="E6687" i="78"/>
  <c r="E6686" i="78"/>
  <c r="E6685" i="78"/>
  <c r="E6684" i="78"/>
  <c r="E6683" i="78"/>
  <c r="E6682" i="78"/>
  <c r="E6681" i="78"/>
  <c r="E6680" i="78"/>
  <c r="E6679" i="78"/>
  <c r="E6678" i="78"/>
  <c r="E6677" i="78"/>
  <c r="E6676" i="78"/>
  <c r="E6675" i="78"/>
  <c r="E6674" i="78"/>
  <c r="E6673" i="78"/>
  <c r="E6672" i="78"/>
  <c r="E6671" i="78"/>
  <c r="E6670" i="78"/>
  <c r="E6669" i="78"/>
  <c r="E6668" i="78"/>
  <c r="E6667" i="78"/>
  <c r="E6666" i="78"/>
  <c r="E6665" i="78"/>
  <c r="E6664" i="78"/>
  <c r="E6663" i="78"/>
  <c r="E6662" i="78"/>
  <c r="E6661" i="78"/>
  <c r="E6660" i="78"/>
  <c r="E6659" i="78"/>
  <c r="E6658" i="78"/>
  <c r="E6657" i="78"/>
  <c r="E6656" i="78"/>
  <c r="E6655" i="78"/>
  <c r="E6654" i="78"/>
  <c r="E6653" i="78"/>
  <c r="E6652" i="78"/>
  <c r="E6651" i="78"/>
  <c r="E6650" i="78"/>
  <c r="E6649" i="78"/>
  <c r="E6648" i="78"/>
  <c r="E6647" i="78"/>
  <c r="E6646" i="78"/>
  <c r="E6645" i="78"/>
  <c r="E6644" i="78"/>
  <c r="E6643" i="78"/>
  <c r="E6642" i="78"/>
  <c r="E6641" i="78"/>
  <c r="E6640" i="78"/>
  <c r="E6639" i="78"/>
  <c r="E6638" i="78"/>
  <c r="E6637" i="78"/>
  <c r="E6636" i="78"/>
  <c r="E6635" i="78"/>
  <c r="E6634" i="78"/>
  <c r="E6633" i="78"/>
  <c r="E6632" i="78"/>
  <c r="E6631" i="78"/>
  <c r="E6630" i="78"/>
  <c r="E6629" i="78"/>
  <c r="E6628" i="78"/>
  <c r="E6627" i="78"/>
  <c r="E6626" i="78"/>
  <c r="E6625" i="78"/>
  <c r="E6624" i="78"/>
  <c r="E6623" i="78"/>
  <c r="E6622" i="78"/>
  <c r="E6621" i="78"/>
  <c r="E6620" i="78"/>
  <c r="E6619" i="78"/>
  <c r="E6618" i="78"/>
  <c r="E6617" i="78"/>
  <c r="E6616" i="78"/>
  <c r="E6615" i="78"/>
  <c r="E6614" i="78"/>
  <c r="E6613" i="78"/>
  <c r="E6612" i="78"/>
  <c r="E6611" i="78"/>
  <c r="E6610" i="78"/>
  <c r="E6609" i="78"/>
  <c r="E6608" i="78"/>
  <c r="E6607" i="78"/>
  <c r="E6606" i="78"/>
  <c r="E6605" i="78"/>
  <c r="E6604" i="78"/>
  <c r="E6603" i="78"/>
  <c r="E6602" i="78"/>
  <c r="E6601" i="78"/>
  <c r="E6600" i="78"/>
  <c r="E6599" i="78"/>
  <c r="E6598" i="78"/>
  <c r="E6597" i="78"/>
  <c r="E6596" i="78"/>
  <c r="E6595" i="78"/>
  <c r="E6594" i="78"/>
  <c r="E6593" i="78"/>
  <c r="E6592" i="78"/>
  <c r="E6591" i="78"/>
  <c r="E6590" i="78"/>
  <c r="E6589" i="78"/>
  <c r="E6588" i="78"/>
  <c r="E6587" i="78"/>
  <c r="E6586" i="78"/>
  <c r="E6585" i="78"/>
  <c r="E6584" i="78"/>
  <c r="E6583" i="78"/>
  <c r="E6582" i="78"/>
  <c r="E6581" i="78"/>
  <c r="E6580" i="78"/>
  <c r="E6579" i="78"/>
  <c r="E6578" i="78"/>
  <c r="E6577" i="78"/>
  <c r="E6576" i="78"/>
  <c r="E6575" i="78"/>
  <c r="E6574" i="78"/>
  <c r="E6573" i="78"/>
  <c r="E6572" i="78"/>
  <c r="E6571" i="78"/>
  <c r="E6570" i="78"/>
  <c r="E6569" i="78"/>
  <c r="E6568" i="78"/>
  <c r="E6567" i="78"/>
  <c r="E6566" i="78"/>
  <c r="E6565" i="78"/>
  <c r="E6564" i="78"/>
  <c r="E6563" i="78"/>
  <c r="E6562" i="78"/>
  <c r="E6561" i="78"/>
  <c r="E6560" i="78"/>
  <c r="E6559" i="78"/>
  <c r="E6558" i="78"/>
  <c r="E6557" i="78"/>
  <c r="E6556" i="78"/>
  <c r="E6555" i="78"/>
  <c r="E6554" i="78"/>
  <c r="E6553" i="78"/>
  <c r="E6552" i="78"/>
  <c r="E6551" i="78"/>
  <c r="E6550" i="78"/>
  <c r="E6549" i="78"/>
  <c r="E6548" i="78"/>
  <c r="E6547" i="78"/>
  <c r="E6546" i="78"/>
  <c r="E6545" i="78"/>
  <c r="E6544" i="78"/>
  <c r="E6543" i="78"/>
  <c r="E6542" i="78"/>
  <c r="E6541" i="78"/>
  <c r="E6540" i="78"/>
  <c r="E6539" i="78"/>
  <c r="E6538" i="78"/>
  <c r="E6537" i="78"/>
  <c r="E6536" i="78"/>
  <c r="E6535" i="78"/>
  <c r="E6534" i="78"/>
  <c r="E6533" i="78"/>
  <c r="E6532" i="78"/>
  <c r="E6531" i="78"/>
  <c r="E6530" i="78"/>
  <c r="E6529" i="78"/>
  <c r="E6528" i="78"/>
  <c r="E6527" i="78"/>
  <c r="E6526" i="78"/>
  <c r="E6525" i="78"/>
  <c r="E6524" i="78"/>
  <c r="E6523" i="78"/>
  <c r="E6522" i="78"/>
  <c r="E6521" i="78"/>
  <c r="E6520" i="78"/>
  <c r="E6519" i="78"/>
  <c r="E6518" i="78"/>
  <c r="E6517" i="78"/>
  <c r="E6516" i="78"/>
  <c r="E6515" i="78"/>
  <c r="E6514" i="78"/>
  <c r="E6513" i="78"/>
  <c r="E6512" i="78"/>
  <c r="E6511" i="78"/>
  <c r="E6510" i="78"/>
  <c r="E6509" i="78"/>
  <c r="E6508" i="78"/>
  <c r="E6507" i="78"/>
  <c r="E6506" i="78"/>
  <c r="E6505" i="78"/>
  <c r="E6504" i="78"/>
  <c r="E6503" i="78"/>
  <c r="E6502" i="78"/>
  <c r="E6501" i="78"/>
  <c r="E6500" i="78"/>
  <c r="E6499" i="78"/>
  <c r="E6498" i="78"/>
  <c r="E6497" i="78"/>
  <c r="E6496" i="78"/>
  <c r="E6495" i="78"/>
  <c r="E6494" i="78"/>
  <c r="E6493" i="78"/>
  <c r="E6492" i="78"/>
  <c r="E6491" i="78"/>
  <c r="E6490" i="78"/>
  <c r="E6489" i="78"/>
  <c r="E6488" i="78"/>
  <c r="E6487" i="78"/>
  <c r="E6486" i="78"/>
  <c r="E6485" i="78"/>
  <c r="E6484" i="78"/>
  <c r="E6483" i="78"/>
  <c r="E6482" i="78"/>
  <c r="E6481" i="78"/>
  <c r="E6480" i="78"/>
  <c r="E6479" i="78"/>
  <c r="E6478" i="78"/>
  <c r="E6477" i="78"/>
  <c r="E6476" i="78"/>
  <c r="E6475" i="78"/>
  <c r="E6474" i="78"/>
  <c r="E6473" i="78"/>
  <c r="E6472" i="78"/>
  <c r="E6471" i="78"/>
  <c r="E6470" i="78"/>
  <c r="E6469" i="78"/>
  <c r="E6468" i="78"/>
  <c r="E6467" i="78"/>
  <c r="E6466" i="78"/>
  <c r="E6465" i="78"/>
  <c r="E6464" i="78"/>
  <c r="E6463" i="78"/>
  <c r="E6462" i="78"/>
  <c r="E6461" i="78"/>
  <c r="E6460" i="78"/>
  <c r="E6459" i="78"/>
  <c r="E6458" i="78"/>
  <c r="E6457" i="78"/>
  <c r="E6456" i="78"/>
  <c r="E6455" i="78"/>
  <c r="E6454" i="78"/>
  <c r="E6453" i="78"/>
  <c r="E6452" i="78"/>
  <c r="E6451" i="78"/>
  <c r="E6450" i="78"/>
  <c r="E6449" i="78"/>
  <c r="E6448" i="78"/>
  <c r="E6447" i="78"/>
  <c r="E6446" i="78"/>
  <c r="E6445" i="78"/>
  <c r="E6444" i="78"/>
  <c r="E6443" i="78"/>
  <c r="E6442" i="78"/>
  <c r="E6441" i="78"/>
  <c r="E6440" i="78"/>
  <c r="E6439" i="78"/>
  <c r="E6438" i="78"/>
  <c r="E6437" i="78"/>
  <c r="E6436" i="78"/>
  <c r="E6435" i="78"/>
  <c r="E6434" i="78"/>
  <c r="E6433" i="78"/>
  <c r="E6432" i="78"/>
  <c r="E6431" i="78"/>
  <c r="E6430" i="78"/>
  <c r="E6429" i="78"/>
  <c r="E6428" i="78"/>
  <c r="E6427" i="78"/>
  <c r="E6426" i="78"/>
  <c r="E6425" i="78"/>
  <c r="E6424" i="78"/>
  <c r="E6423" i="78"/>
  <c r="E6422" i="78"/>
  <c r="E6421" i="78"/>
  <c r="E6420" i="78"/>
  <c r="E6419" i="78"/>
  <c r="E6418" i="78"/>
  <c r="E6417" i="78"/>
  <c r="E6416" i="78"/>
  <c r="E6415" i="78"/>
  <c r="E6414" i="78"/>
  <c r="E6413" i="78"/>
  <c r="E6412" i="78"/>
  <c r="E6411" i="78"/>
  <c r="E6410" i="78"/>
  <c r="E6409" i="78"/>
  <c r="E6408" i="78"/>
  <c r="E6407" i="78"/>
  <c r="E6406" i="78"/>
  <c r="E6405" i="78"/>
  <c r="E6404" i="78"/>
  <c r="E6403" i="78"/>
  <c r="E6402" i="78"/>
  <c r="E6401" i="78"/>
  <c r="E6400" i="78"/>
  <c r="E6399" i="78"/>
  <c r="E6398" i="78"/>
  <c r="E6397" i="78"/>
  <c r="E6396" i="78"/>
  <c r="E6395" i="78"/>
  <c r="E6394" i="78"/>
  <c r="E6393" i="78"/>
  <c r="E6392" i="78"/>
  <c r="E6391" i="78"/>
  <c r="E6390" i="78"/>
  <c r="E6389" i="78"/>
  <c r="E6388" i="78"/>
  <c r="E6387" i="78"/>
  <c r="E6386" i="78"/>
  <c r="E6385" i="78"/>
  <c r="E6384" i="78"/>
  <c r="E6383" i="78"/>
  <c r="E6382" i="78"/>
  <c r="E6381" i="78"/>
  <c r="E6380" i="78"/>
  <c r="E6379" i="78"/>
  <c r="E6378" i="78"/>
  <c r="E6377" i="78"/>
  <c r="E6376" i="78"/>
  <c r="E6375" i="78"/>
  <c r="E6374" i="78"/>
  <c r="E6373" i="78"/>
  <c r="E6372" i="78"/>
  <c r="E6371" i="78"/>
  <c r="E6370" i="78"/>
  <c r="E6369" i="78"/>
  <c r="E6368" i="78"/>
  <c r="E6367" i="78"/>
  <c r="E6366" i="78"/>
  <c r="E6365" i="78"/>
  <c r="E6364" i="78"/>
  <c r="E6363" i="78"/>
  <c r="E6362" i="78"/>
  <c r="E6361" i="78"/>
  <c r="E6360" i="78"/>
  <c r="E6359" i="78"/>
  <c r="E6358" i="78"/>
  <c r="E6357" i="78"/>
  <c r="E6356" i="78"/>
  <c r="E6355" i="78"/>
  <c r="E6354" i="78"/>
  <c r="E6353" i="78"/>
  <c r="E6352" i="78"/>
  <c r="E6351" i="78"/>
  <c r="E6350" i="78"/>
  <c r="E6349" i="78"/>
  <c r="E6348" i="78"/>
  <c r="E6347" i="78"/>
  <c r="E6346" i="78"/>
  <c r="E6345" i="78"/>
  <c r="E6344" i="78"/>
  <c r="E6343" i="78"/>
  <c r="E6342" i="78"/>
  <c r="E6341" i="78"/>
  <c r="E6340" i="78"/>
  <c r="E6339" i="78"/>
  <c r="E6338" i="78"/>
  <c r="E6337" i="78"/>
  <c r="E6336" i="78"/>
  <c r="E6335" i="78"/>
  <c r="E6334" i="78"/>
  <c r="E6333" i="78"/>
  <c r="E6332" i="78"/>
  <c r="E6331" i="78"/>
  <c r="E6330" i="78"/>
  <c r="E6329" i="78"/>
  <c r="E6328" i="78"/>
  <c r="E6327" i="78"/>
  <c r="E6326" i="78"/>
  <c r="E6325" i="78"/>
  <c r="E6324" i="78"/>
  <c r="E6323" i="78"/>
  <c r="E6322" i="78"/>
  <c r="E6321" i="78"/>
  <c r="E6320" i="78"/>
  <c r="E6319" i="78"/>
  <c r="E6318" i="78"/>
  <c r="E6317" i="78"/>
  <c r="E6316" i="78"/>
  <c r="E6315" i="78"/>
  <c r="E6314" i="78"/>
  <c r="E6313" i="78"/>
  <c r="E6312" i="78"/>
  <c r="E6311" i="78"/>
  <c r="E6310" i="78"/>
  <c r="E6309" i="78"/>
  <c r="E6308" i="78"/>
  <c r="E6307" i="78"/>
  <c r="E6306" i="78"/>
  <c r="E6305" i="78"/>
  <c r="E6304" i="78"/>
  <c r="E6303" i="78"/>
  <c r="E6302" i="78"/>
  <c r="E6301" i="78"/>
  <c r="E6300" i="78"/>
  <c r="E6299" i="78"/>
  <c r="E6298" i="78"/>
  <c r="E6297" i="78"/>
  <c r="E6296" i="78"/>
  <c r="E6295" i="78"/>
  <c r="E6294" i="78"/>
  <c r="E6293" i="78"/>
  <c r="E6292" i="78"/>
  <c r="E6291" i="78"/>
  <c r="E6290" i="78"/>
  <c r="E6289" i="78"/>
  <c r="E6288" i="78"/>
  <c r="E6287" i="78"/>
  <c r="E6286" i="78"/>
  <c r="E6285" i="78"/>
  <c r="E6284" i="78"/>
  <c r="E6283" i="78"/>
  <c r="E6282" i="78"/>
  <c r="E6281" i="78"/>
  <c r="E6280" i="78"/>
  <c r="E6279" i="78"/>
  <c r="E6278" i="78"/>
  <c r="E6277" i="78"/>
  <c r="E6276" i="78"/>
  <c r="E6275" i="78"/>
  <c r="E6274" i="78"/>
  <c r="E6273" i="78"/>
  <c r="E6272" i="78"/>
  <c r="E6271" i="78"/>
  <c r="E6270" i="78"/>
  <c r="E6269" i="78"/>
  <c r="E6268" i="78"/>
  <c r="E6267" i="78"/>
  <c r="E6266" i="78"/>
  <c r="E6265" i="78"/>
  <c r="E6264" i="78"/>
  <c r="E6263" i="78"/>
  <c r="E6262" i="78"/>
  <c r="E6261" i="78"/>
  <c r="E6260" i="78"/>
  <c r="E6259" i="78"/>
  <c r="E6258" i="78"/>
  <c r="E6257" i="78"/>
  <c r="E6256" i="78"/>
  <c r="E6255" i="78"/>
  <c r="E6254" i="78"/>
  <c r="E6253" i="78"/>
  <c r="E6252" i="78"/>
  <c r="E6251" i="78"/>
  <c r="E6250" i="78"/>
  <c r="E6249" i="78"/>
  <c r="E6248" i="78"/>
  <c r="E6247" i="78"/>
  <c r="E6246" i="78"/>
  <c r="E6245" i="78"/>
  <c r="E6244" i="78"/>
  <c r="E6243" i="78"/>
  <c r="E6242" i="78"/>
  <c r="E6241" i="78"/>
  <c r="E6240" i="78"/>
  <c r="E6239" i="78"/>
  <c r="E6238" i="78"/>
  <c r="E6237" i="78"/>
  <c r="E6236" i="78"/>
  <c r="E6235" i="78"/>
  <c r="E6234" i="78"/>
  <c r="E6233" i="78"/>
  <c r="E6232" i="78"/>
  <c r="E6231" i="78"/>
  <c r="E6230" i="78"/>
  <c r="E6229" i="78"/>
  <c r="E6228" i="78"/>
  <c r="E6227" i="78"/>
  <c r="E6226" i="78"/>
  <c r="E6225" i="78"/>
  <c r="E6224" i="78"/>
  <c r="E6223" i="78"/>
  <c r="E6222" i="78"/>
  <c r="E6221" i="78"/>
  <c r="E6220" i="78"/>
  <c r="E6219" i="78"/>
  <c r="E6218" i="78"/>
  <c r="E6217" i="78"/>
  <c r="E6216" i="78"/>
  <c r="E6215" i="78"/>
  <c r="E6214" i="78"/>
  <c r="E6213" i="78"/>
  <c r="E6212" i="78"/>
  <c r="E6211" i="78"/>
  <c r="E6210" i="78"/>
  <c r="E6209" i="78"/>
  <c r="E6208" i="78"/>
  <c r="E6207" i="78"/>
  <c r="E6206" i="78"/>
  <c r="E6205" i="78"/>
  <c r="E6204" i="78"/>
  <c r="E6203" i="78"/>
  <c r="E6202" i="78"/>
  <c r="E6201" i="78"/>
  <c r="E6200" i="78"/>
  <c r="E6199" i="78"/>
  <c r="E6198" i="78"/>
  <c r="E6197" i="78"/>
  <c r="E6196" i="78"/>
  <c r="E6195" i="78"/>
  <c r="E6194" i="78"/>
  <c r="E6193" i="78"/>
  <c r="E6192" i="78"/>
  <c r="E6191" i="78"/>
  <c r="E6190" i="78"/>
  <c r="E6189" i="78"/>
  <c r="E6188" i="78"/>
  <c r="E6187" i="78"/>
  <c r="E6186" i="78"/>
  <c r="E6185" i="78"/>
  <c r="E6184" i="78"/>
  <c r="E6183" i="78"/>
  <c r="E6182" i="78"/>
  <c r="E6181" i="78"/>
  <c r="E6180" i="78"/>
  <c r="E6179" i="78"/>
  <c r="E6178" i="78"/>
  <c r="E6177" i="78"/>
  <c r="E6176" i="78"/>
  <c r="E6175" i="78"/>
  <c r="E6174" i="78"/>
  <c r="E6173" i="78"/>
  <c r="E6172" i="78"/>
  <c r="E6171" i="78"/>
  <c r="E6170" i="78"/>
  <c r="E6169" i="78"/>
  <c r="E6168" i="78"/>
  <c r="E6167" i="78"/>
  <c r="E6166" i="78"/>
  <c r="E6165" i="78"/>
  <c r="E6164" i="78"/>
  <c r="E6163" i="78"/>
  <c r="E6162" i="78"/>
  <c r="E6161" i="78"/>
  <c r="E6160" i="78"/>
  <c r="E6159" i="78"/>
  <c r="E6158" i="78"/>
  <c r="E6157" i="78"/>
  <c r="E6156" i="78"/>
  <c r="E6155" i="78"/>
  <c r="E6154" i="78"/>
  <c r="E6153" i="78"/>
  <c r="E6152" i="78"/>
  <c r="E6151" i="78"/>
  <c r="E6150" i="78"/>
  <c r="E6149" i="78"/>
  <c r="E6148" i="78"/>
  <c r="E6147" i="78"/>
  <c r="E6146" i="78"/>
  <c r="E6145" i="78"/>
  <c r="E6144" i="78"/>
  <c r="E6143" i="78"/>
  <c r="E6142" i="78"/>
  <c r="E6141" i="78"/>
  <c r="E6140" i="78"/>
  <c r="E6139" i="78"/>
  <c r="E6138" i="78"/>
  <c r="E6137" i="78"/>
  <c r="E6136" i="78"/>
  <c r="E6135" i="78"/>
  <c r="E6134" i="78"/>
  <c r="E6133" i="78"/>
  <c r="E6132" i="78"/>
  <c r="E6131" i="78"/>
  <c r="E6130" i="78"/>
  <c r="E6129" i="78"/>
  <c r="E6128" i="78"/>
  <c r="E6127" i="78"/>
  <c r="E6126" i="78"/>
  <c r="E6125" i="78"/>
  <c r="E6124" i="78"/>
  <c r="E6123" i="78"/>
  <c r="E6122" i="78"/>
  <c r="E6121" i="78"/>
  <c r="E6120" i="78"/>
  <c r="E6119" i="78"/>
  <c r="E6118" i="78"/>
  <c r="E6117" i="78"/>
  <c r="E6116" i="78"/>
  <c r="E6115" i="78"/>
  <c r="E6114" i="78"/>
  <c r="E6113" i="78"/>
  <c r="E6112" i="78"/>
  <c r="E6111" i="78"/>
  <c r="E6110" i="78"/>
  <c r="E6109" i="78"/>
  <c r="E6108" i="78"/>
  <c r="E6107" i="78"/>
  <c r="E6106" i="78"/>
  <c r="E6105" i="78"/>
  <c r="E6104" i="78"/>
  <c r="E6103" i="78"/>
  <c r="E6102" i="78"/>
  <c r="E6101" i="78"/>
  <c r="E6100" i="78"/>
  <c r="E6099" i="78"/>
  <c r="E6098" i="78"/>
  <c r="E6097" i="78"/>
  <c r="E6096" i="78"/>
  <c r="E6095" i="78"/>
  <c r="E6094" i="78"/>
  <c r="E6093" i="78"/>
  <c r="E6092" i="78"/>
  <c r="E6091" i="78"/>
  <c r="E6090" i="78"/>
  <c r="E6089" i="78"/>
  <c r="E6088" i="78"/>
  <c r="E6087" i="78"/>
  <c r="E6086" i="78"/>
  <c r="E6085" i="78"/>
  <c r="E6084" i="78"/>
  <c r="E6083" i="78"/>
  <c r="E6082" i="78"/>
  <c r="E6081" i="78"/>
  <c r="E6080" i="78"/>
  <c r="E6079" i="78"/>
  <c r="E6078" i="78"/>
  <c r="E6077" i="78"/>
  <c r="E6076" i="78"/>
  <c r="E6075" i="78"/>
  <c r="E6074" i="78"/>
  <c r="E6073" i="78"/>
  <c r="E6072" i="78"/>
  <c r="E6071" i="78"/>
  <c r="E6070" i="78"/>
  <c r="E6069" i="78"/>
  <c r="E6068" i="78"/>
  <c r="E6067" i="78"/>
  <c r="E6066" i="78"/>
  <c r="E6065" i="78"/>
  <c r="E6064" i="78"/>
  <c r="E6063" i="78"/>
  <c r="E6062" i="78"/>
  <c r="E6061" i="78"/>
  <c r="E6060" i="78"/>
  <c r="E6059" i="78"/>
  <c r="E6058" i="78"/>
  <c r="E6057" i="78"/>
  <c r="E6056" i="78"/>
  <c r="E6055" i="78"/>
  <c r="E6054" i="78"/>
  <c r="E6053" i="78"/>
  <c r="E6052" i="78"/>
  <c r="E6051" i="78"/>
  <c r="E6050" i="78"/>
  <c r="E6049" i="78"/>
  <c r="E6048" i="78"/>
  <c r="E6047" i="78"/>
  <c r="E6046" i="78"/>
  <c r="E6045" i="78"/>
  <c r="E6044" i="78"/>
  <c r="E6043" i="78"/>
  <c r="E6042" i="78"/>
  <c r="E6041" i="78"/>
  <c r="E6040" i="78"/>
  <c r="E6039" i="78"/>
  <c r="E6038" i="78"/>
  <c r="E6037" i="78"/>
  <c r="E6036" i="78"/>
  <c r="E6035" i="78"/>
  <c r="E6034" i="78"/>
  <c r="E6033" i="78"/>
  <c r="E6032" i="78"/>
  <c r="E6031" i="78"/>
  <c r="E6030" i="78"/>
  <c r="E6029" i="78"/>
  <c r="E6028" i="78"/>
  <c r="E6027" i="78"/>
  <c r="E6026" i="78"/>
  <c r="E6025" i="78"/>
  <c r="E6024" i="78"/>
  <c r="E6023" i="78"/>
  <c r="E6022" i="78"/>
  <c r="E6021" i="78"/>
  <c r="E6020" i="78"/>
  <c r="E6019" i="78"/>
  <c r="E6018" i="78"/>
  <c r="E6017" i="78"/>
  <c r="E6016" i="78"/>
  <c r="E6015" i="78"/>
  <c r="E6014" i="78"/>
  <c r="E6013" i="78"/>
  <c r="E6012" i="78"/>
  <c r="E6011" i="78"/>
  <c r="E6010" i="78"/>
  <c r="E6009" i="78"/>
  <c r="E6008" i="78"/>
  <c r="E6007" i="78"/>
  <c r="E6006" i="78"/>
  <c r="E6005" i="78"/>
  <c r="E6004" i="78"/>
  <c r="E6003" i="78"/>
  <c r="E6002" i="78"/>
  <c r="E6001" i="78"/>
  <c r="E6000" i="78"/>
  <c r="E5999" i="78"/>
  <c r="E5998" i="78"/>
  <c r="E5997" i="78"/>
  <c r="E5996" i="78"/>
  <c r="E5995" i="78"/>
  <c r="E5994" i="78"/>
  <c r="E5993" i="78"/>
  <c r="E5992" i="78"/>
  <c r="E5991" i="78"/>
  <c r="E5990" i="78"/>
  <c r="E5989" i="78"/>
  <c r="E5988" i="78"/>
  <c r="E5987" i="78"/>
  <c r="E5986" i="78"/>
  <c r="E5985" i="78"/>
  <c r="E5984" i="78"/>
  <c r="E5983" i="78"/>
  <c r="E5982" i="78"/>
  <c r="E5981" i="78"/>
  <c r="E5980" i="78"/>
  <c r="E5979" i="78"/>
  <c r="E5978" i="78"/>
  <c r="E5977" i="78"/>
  <c r="E5976" i="78"/>
  <c r="E5975" i="78"/>
  <c r="E5974" i="78"/>
  <c r="E5973" i="78"/>
  <c r="E5972" i="78"/>
  <c r="E5971" i="78"/>
  <c r="E5970" i="78"/>
  <c r="E5969" i="78"/>
  <c r="E5968" i="78"/>
  <c r="E5967" i="78"/>
  <c r="E5966" i="78"/>
  <c r="E5965" i="78"/>
  <c r="E5964" i="78"/>
  <c r="E5963" i="78"/>
  <c r="E5962" i="78"/>
  <c r="E5961" i="78"/>
  <c r="E5960" i="78"/>
  <c r="E5959" i="78"/>
  <c r="E5958" i="78"/>
  <c r="E5957" i="78"/>
  <c r="E5956" i="78"/>
  <c r="E5955" i="78"/>
  <c r="E5954" i="78"/>
  <c r="E5953" i="78"/>
  <c r="E5952" i="78"/>
  <c r="E5951" i="78"/>
  <c r="E5950" i="78"/>
  <c r="E5949" i="78"/>
  <c r="E5948" i="78"/>
  <c r="E5947" i="78"/>
  <c r="E5946" i="78"/>
  <c r="E5945" i="78"/>
  <c r="E5944" i="78"/>
  <c r="E5943" i="78"/>
  <c r="E5942" i="78"/>
  <c r="E5941" i="78"/>
  <c r="E5940" i="78"/>
  <c r="E5939" i="78"/>
  <c r="E5938" i="78"/>
  <c r="E5937" i="78"/>
  <c r="E5936" i="78"/>
  <c r="E5935" i="78"/>
  <c r="E5934" i="78"/>
  <c r="E5933" i="78"/>
  <c r="E5932" i="78"/>
  <c r="E5931" i="78"/>
  <c r="E5930" i="78"/>
  <c r="E5929" i="78"/>
  <c r="E5928" i="78"/>
  <c r="E5927" i="78"/>
  <c r="E5926" i="78"/>
  <c r="E5925" i="78"/>
  <c r="E5924" i="78"/>
  <c r="E5923" i="78"/>
  <c r="E5922" i="78"/>
  <c r="E5921" i="78"/>
  <c r="E5920" i="78"/>
  <c r="E5919" i="78"/>
  <c r="E5918" i="78"/>
  <c r="E5917" i="78"/>
  <c r="E5916" i="78"/>
  <c r="E5915" i="78"/>
  <c r="E5914" i="78"/>
  <c r="E5913" i="78"/>
  <c r="E5912" i="78"/>
  <c r="E5911" i="78"/>
  <c r="E5910" i="78"/>
  <c r="E5909" i="78"/>
  <c r="E5908" i="78"/>
  <c r="E5907" i="78"/>
  <c r="E5906" i="78"/>
  <c r="E5905" i="78"/>
  <c r="E5904" i="78"/>
  <c r="E5903" i="78"/>
  <c r="E5902" i="78"/>
  <c r="E5901" i="78"/>
  <c r="E5900" i="78"/>
  <c r="E5899" i="78"/>
  <c r="E5898" i="78"/>
  <c r="E5897" i="78"/>
  <c r="E5896" i="78"/>
  <c r="E5895" i="78"/>
  <c r="E5894" i="78"/>
  <c r="E5893" i="78"/>
  <c r="E5892" i="78"/>
  <c r="E5891" i="78"/>
  <c r="E5890" i="78"/>
  <c r="E5889" i="78"/>
  <c r="E5888" i="78"/>
  <c r="E5887" i="78"/>
  <c r="E5886" i="78"/>
  <c r="E5885" i="78"/>
  <c r="E5884" i="78"/>
  <c r="E5883" i="78"/>
  <c r="E5882" i="78"/>
  <c r="E5881" i="78"/>
  <c r="E5880" i="78"/>
  <c r="E5879" i="78"/>
  <c r="E5878" i="78"/>
  <c r="E5877" i="78"/>
  <c r="E5876" i="78"/>
  <c r="E5875" i="78"/>
  <c r="E5874" i="78"/>
  <c r="E5873" i="78"/>
  <c r="E5872" i="78"/>
  <c r="E5871" i="78"/>
  <c r="E5870" i="78"/>
  <c r="E5869" i="78"/>
  <c r="E5868" i="78"/>
  <c r="E5867" i="78"/>
  <c r="E5866" i="78"/>
  <c r="E5865" i="78"/>
  <c r="E5864" i="78"/>
  <c r="E5863" i="78"/>
  <c r="E5862" i="78"/>
  <c r="E5861" i="78"/>
  <c r="E5860" i="78"/>
  <c r="E5859" i="78"/>
  <c r="E5858" i="78"/>
  <c r="E5857" i="78"/>
  <c r="E5856" i="78"/>
  <c r="E5855" i="78"/>
  <c r="E5854" i="78"/>
  <c r="E5853" i="78"/>
  <c r="E5852" i="78"/>
  <c r="E5851" i="78"/>
  <c r="E5850" i="78"/>
  <c r="E5849" i="78"/>
  <c r="E5848" i="78"/>
  <c r="E5847" i="78"/>
  <c r="E5846" i="78"/>
  <c r="E5845" i="78"/>
  <c r="E5844" i="78"/>
  <c r="E5843" i="78"/>
  <c r="E5842" i="78"/>
  <c r="E5841" i="78"/>
  <c r="E5840" i="78"/>
  <c r="E5839" i="78"/>
  <c r="E5838" i="78"/>
  <c r="E5837" i="78"/>
  <c r="E5836" i="78"/>
  <c r="E5835" i="78"/>
  <c r="E5834" i="78"/>
  <c r="E5833" i="78"/>
  <c r="E5832" i="78"/>
  <c r="E5831" i="78"/>
  <c r="E5830" i="78"/>
  <c r="E5829" i="78"/>
  <c r="E5828" i="78"/>
  <c r="E5827" i="78"/>
  <c r="E5826" i="78"/>
  <c r="E5825" i="78"/>
  <c r="E5824" i="78"/>
  <c r="E5823" i="78"/>
  <c r="E5822" i="78"/>
  <c r="E5821" i="78"/>
  <c r="E5820" i="78"/>
  <c r="E5819" i="78"/>
  <c r="E5818" i="78"/>
  <c r="E5817" i="78"/>
  <c r="E5816" i="78"/>
  <c r="E5815" i="78"/>
  <c r="E5814" i="78"/>
  <c r="E5813" i="78"/>
  <c r="E5812" i="78"/>
  <c r="E5811" i="78"/>
  <c r="E5810" i="78"/>
  <c r="E5809" i="78"/>
  <c r="E5808" i="78"/>
  <c r="E5807" i="78"/>
  <c r="E5806" i="78"/>
  <c r="E5805" i="78"/>
  <c r="E5804" i="78"/>
  <c r="E5803" i="78"/>
  <c r="E5802" i="78"/>
  <c r="E5801" i="78"/>
  <c r="E5800" i="78"/>
  <c r="E5799" i="78"/>
  <c r="E5798" i="78"/>
  <c r="E5797" i="78"/>
  <c r="E5796" i="78"/>
  <c r="E5795" i="78"/>
  <c r="E5794" i="78"/>
  <c r="E5793" i="78"/>
  <c r="E5792" i="78"/>
  <c r="E5791" i="78"/>
  <c r="E5790" i="78"/>
  <c r="E5789" i="78"/>
  <c r="E5788" i="78"/>
  <c r="E5787" i="78"/>
  <c r="E5786" i="78"/>
  <c r="E5785" i="78"/>
  <c r="E5784" i="78"/>
  <c r="E5783" i="78"/>
  <c r="E5782" i="78"/>
  <c r="E5781" i="78"/>
  <c r="E5780" i="78"/>
  <c r="E5779" i="78"/>
  <c r="E5778" i="78"/>
  <c r="E5777" i="78"/>
  <c r="E5776" i="78"/>
  <c r="E5775" i="78"/>
  <c r="E5774" i="78"/>
  <c r="E5773" i="78"/>
  <c r="E5772" i="78"/>
  <c r="E5771" i="78"/>
  <c r="E5770" i="78"/>
  <c r="E5769" i="78"/>
  <c r="E5768" i="78"/>
  <c r="E5767" i="78"/>
  <c r="E5766" i="78"/>
  <c r="E5765" i="78"/>
  <c r="E5764" i="78"/>
  <c r="E5763" i="78"/>
  <c r="E5762" i="78"/>
  <c r="E5761" i="78"/>
  <c r="E5760" i="78"/>
  <c r="E5759" i="78"/>
  <c r="E5758" i="78"/>
  <c r="E5757" i="78"/>
  <c r="E5756" i="78"/>
  <c r="E5755" i="78"/>
  <c r="E5754" i="78"/>
  <c r="E5753" i="78"/>
  <c r="E5752" i="78"/>
  <c r="E5751" i="78"/>
  <c r="E5750" i="78"/>
  <c r="E5749" i="78"/>
  <c r="E5748" i="78"/>
  <c r="E5747" i="78"/>
  <c r="E5746" i="78"/>
  <c r="E5745" i="78"/>
  <c r="E5744" i="78"/>
  <c r="E5743" i="78"/>
  <c r="E5742" i="78"/>
  <c r="E5741" i="78"/>
  <c r="E5740" i="78"/>
  <c r="E5739" i="78"/>
  <c r="E5738" i="78"/>
  <c r="E5737" i="78"/>
  <c r="E5736" i="78"/>
  <c r="E5735" i="78"/>
  <c r="E5734" i="78"/>
  <c r="E5733" i="78"/>
  <c r="E5732" i="78"/>
  <c r="E5731" i="78"/>
  <c r="E5730" i="78"/>
  <c r="E5729" i="78"/>
  <c r="E5728" i="78"/>
  <c r="E5727" i="78"/>
  <c r="E5726" i="78"/>
  <c r="E5725" i="78"/>
  <c r="E5724" i="78"/>
  <c r="E5723" i="78"/>
  <c r="E5722" i="78"/>
  <c r="E5721" i="78"/>
  <c r="E5720" i="78"/>
  <c r="E5719" i="78"/>
  <c r="E5718" i="78"/>
  <c r="E5717" i="78"/>
  <c r="E5716" i="78"/>
  <c r="E5715" i="78"/>
  <c r="E5714" i="78"/>
  <c r="E5713" i="78"/>
  <c r="E5712" i="78"/>
  <c r="E5711" i="78"/>
  <c r="E5710" i="78"/>
  <c r="E5709" i="78"/>
  <c r="E5708" i="78"/>
  <c r="E5707" i="78"/>
  <c r="E5706" i="78"/>
  <c r="E5705" i="78"/>
  <c r="E5704" i="78"/>
  <c r="E5703" i="78"/>
  <c r="E5702" i="78"/>
  <c r="E5701" i="78"/>
  <c r="E5700" i="78"/>
  <c r="E5699" i="78"/>
  <c r="E5698" i="78"/>
  <c r="E5697" i="78"/>
  <c r="E5696" i="78"/>
  <c r="E5695" i="78"/>
  <c r="E5694" i="78"/>
  <c r="E5693" i="78"/>
  <c r="E5692" i="78"/>
  <c r="E5691" i="78"/>
  <c r="E5690" i="78"/>
  <c r="E5689" i="78"/>
  <c r="E5688" i="78"/>
  <c r="E5687" i="78"/>
  <c r="E5686" i="78"/>
  <c r="E5685" i="78"/>
  <c r="E5684" i="78"/>
  <c r="E5683" i="78"/>
  <c r="E5682" i="78"/>
  <c r="E5681" i="78"/>
  <c r="E5680" i="78"/>
  <c r="E5679" i="78"/>
  <c r="E5678" i="78"/>
  <c r="E5677" i="78"/>
  <c r="E5676" i="78"/>
  <c r="E5675" i="78"/>
  <c r="E5674" i="78"/>
  <c r="E5673" i="78"/>
  <c r="E5672" i="78"/>
  <c r="E5671" i="78"/>
  <c r="E5670" i="78"/>
  <c r="E5669" i="78"/>
  <c r="E5668" i="78"/>
  <c r="E5667" i="78"/>
  <c r="E5666" i="78"/>
  <c r="E5665" i="78"/>
  <c r="E5664" i="78"/>
  <c r="E5663" i="78"/>
  <c r="E5662" i="78"/>
  <c r="E5661" i="78"/>
  <c r="E5660" i="78"/>
  <c r="E5659" i="78"/>
  <c r="E5658" i="78"/>
  <c r="E5657" i="78"/>
  <c r="E5656" i="78"/>
  <c r="E5655" i="78"/>
  <c r="E5654" i="78"/>
  <c r="E5653" i="78"/>
  <c r="E5652" i="78"/>
  <c r="E5651" i="78"/>
  <c r="E5650" i="78"/>
  <c r="E5649" i="78"/>
  <c r="E5648" i="78"/>
  <c r="E5647" i="78"/>
  <c r="E5646" i="78"/>
  <c r="E5645" i="78"/>
  <c r="E5644" i="78"/>
  <c r="E5643" i="78"/>
  <c r="E5642" i="78"/>
  <c r="E5641" i="78"/>
  <c r="E5640" i="78"/>
  <c r="E5639" i="78"/>
  <c r="E5638" i="78"/>
  <c r="E5637" i="78"/>
  <c r="E5636" i="78"/>
  <c r="E5635" i="78"/>
  <c r="E5634" i="78"/>
  <c r="E5633" i="78"/>
  <c r="E5632" i="78"/>
  <c r="E5631" i="78"/>
  <c r="E5630" i="78"/>
  <c r="E5629" i="78"/>
  <c r="E5628" i="78"/>
  <c r="E5627" i="78"/>
  <c r="E5626" i="78"/>
  <c r="E5625" i="78"/>
  <c r="E5624" i="78"/>
  <c r="E5623" i="78"/>
  <c r="E5622" i="78"/>
  <c r="E5621" i="78"/>
  <c r="E5620" i="78"/>
  <c r="E5619" i="78"/>
  <c r="E5618" i="78"/>
  <c r="E5617" i="78"/>
  <c r="E5616" i="78"/>
  <c r="E5615" i="78"/>
  <c r="E5614" i="78"/>
  <c r="E5613" i="78"/>
  <c r="E5612" i="78"/>
  <c r="E5611" i="78"/>
  <c r="E5610" i="78"/>
  <c r="E5609" i="78"/>
  <c r="E5608" i="78"/>
  <c r="E5607" i="78"/>
  <c r="E5606" i="78"/>
  <c r="E5605" i="78"/>
  <c r="E5604" i="78"/>
  <c r="E5603" i="78"/>
  <c r="E5602" i="78"/>
  <c r="E5601" i="78"/>
  <c r="E5600" i="78"/>
  <c r="E5599" i="78"/>
  <c r="E5598" i="78"/>
  <c r="E5597" i="78"/>
  <c r="E5596" i="78"/>
  <c r="E5595" i="78"/>
  <c r="E5594" i="78"/>
  <c r="E5593" i="78"/>
  <c r="E5592" i="78"/>
  <c r="E5591" i="78"/>
  <c r="E5590" i="78"/>
  <c r="E5589" i="78"/>
  <c r="E5588" i="78"/>
  <c r="E5587" i="78"/>
  <c r="E5586" i="78"/>
  <c r="E5585" i="78"/>
  <c r="E5584" i="78"/>
  <c r="E5583" i="78"/>
  <c r="E5582" i="78"/>
  <c r="E5581" i="78"/>
  <c r="E5580" i="78"/>
  <c r="E5579" i="78"/>
  <c r="E5578" i="78"/>
  <c r="E5577" i="78"/>
  <c r="E5576" i="78"/>
  <c r="E5575" i="78"/>
  <c r="E5574" i="78"/>
  <c r="E5573" i="78"/>
  <c r="E5572" i="78"/>
  <c r="E5571" i="78"/>
  <c r="E5570" i="78"/>
  <c r="E5569" i="78"/>
  <c r="E5568" i="78"/>
  <c r="E5567" i="78"/>
  <c r="E5566" i="78"/>
  <c r="E5565" i="78"/>
  <c r="E5564" i="78"/>
  <c r="E5563" i="78"/>
  <c r="E5562" i="78"/>
  <c r="E5561" i="78"/>
  <c r="E5560" i="78"/>
  <c r="E5559" i="78"/>
  <c r="E5558" i="78"/>
  <c r="E5557" i="78"/>
  <c r="E5556" i="78"/>
  <c r="E5555" i="78"/>
  <c r="E5554" i="78"/>
  <c r="E5553" i="78"/>
  <c r="E5552" i="78"/>
  <c r="E5551" i="78"/>
  <c r="E5550" i="78"/>
  <c r="E5549" i="78"/>
  <c r="E5548" i="78"/>
  <c r="E5547" i="78"/>
  <c r="E5546" i="78"/>
  <c r="E5545" i="78"/>
  <c r="E5544" i="78"/>
  <c r="E5543" i="78"/>
  <c r="E5542" i="78"/>
  <c r="E5541" i="78"/>
  <c r="E5540" i="78"/>
  <c r="E5539" i="78"/>
  <c r="E5538" i="78"/>
  <c r="E5537" i="78"/>
  <c r="E5536" i="78"/>
  <c r="E5535" i="78"/>
  <c r="E5534" i="78"/>
  <c r="E5533" i="78"/>
  <c r="E5532" i="78"/>
  <c r="E5531" i="78"/>
  <c r="E5530" i="78"/>
  <c r="E5529" i="78"/>
  <c r="E5528" i="78"/>
  <c r="E5527" i="78"/>
  <c r="E5526" i="78"/>
  <c r="E5525" i="78"/>
  <c r="E5524" i="78"/>
  <c r="E5523" i="78"/>
  <c r="E5522" i="78"/>
  <c r="E5521" i="78"/>
  <c r="E5520" i="78"/>
  <c r="E5519" i="78"/>
  <c r="E5518" i="78"/>
  <c r="E5517" i="78"/>
  <c r="E5516" i="78"/>
  <c r="E5515" i="78"/>
  <c r="E5514" i="78"/>
  <c r="E5513" i="78"/>
  <c r="E5512" i="78"/>
  <c r="E5511" i="78"/>
  <c r="E5510" i="78"/>
  <c r="E5509" i="78"/>
  <c r="E5508" i="78"/>
  <c r="E5507" i="78"/>
  <c r="E5506" i="78"/>
  <c r="E5505" i="78"/>
  <c r="E5504" i="78"/>
  <c r="E5503" i="78"/>
  <c r="E5502" i="78"/>
  <c r="E5501" i="78"/>
  <c r="E5500" i="78"/>
  <c r="E5499" i="78"/>
  <c r="E5498" i="78"/>
  <c r="E5497" i="78"/>
  <c r="E5496" i="78"/>
  <c r="E5495" i="78"/>
  <c r="E5494" i="78"/>
  <c r="E5493" i="78"/>
  <c r="E5492" i="78"/>
  <c r="E5491" i="78"/>
  <c r="E5490" i="78"/>
  <c r="E5489" i="78"/>
  <c r="E5488" i="78"/>
  <c r="E5487" i="78"/>
  <c r="E5486" i="78"/>
  <c r="E5485" i="78"/>
  <c r="E5484" i="78"/>
  <c r="E5483" i="78"/>
  <c r="E5482" i="78"/>
  <c r="E5481" i="78"/>
  <c r="E5480" i="78"/>
  <c r="E5479" i="78"/>
  <c r="E5478" i="78"/>
  <c r="E5477" i="78"/>
  <c r="E5476" i="78"/>
  <c r="E5475" i="78"/>
  <c r="E5474" i="78"/>
  <c r="E5473" i="78"/>
  <c r="E5472" i="78"/>
  <c r="E5471" i="78"/>
  <c r="E5470" i="78"/>
  <c r="E5469" i="78"/>
  <c r="E5468" i="78"/>
  <c r="E5467" i="78"/>
  <c r="E5466" i="78"/>
  <c r="E5465" i="78"/>
  <c r="E5464" i="78"/>
  <c r="E5463" i="78"/>
  <c r="E5462" i="78"/>
  <c r="E5461" i="78"/>
  <c r="E5460" i="78"/>
  <c r="E5459" i="78"/>
  <c r="E5458" i="78"/>
  <c r="E5457" i="78"/>
  <c r="E5456" i="78"/>
  <c r="E5455" i="78"/>
  <c r="E5454" i="78"/>
  <c r="E5453" i="78"/>
  <c r="E5452" i="78"/>
  <c r="E5451" i="78"/>
  <c r="E5450" i="78"/>
  <c r="E5449" i="78"/>
  <c r="E5448" i="78"/>
  <c r="E5447" i="78"/>
  <c r="E5446" i="78"/>
  <c r="E5445" i="78"/>
  <c r="E5444" i="78"/>
  <c r="E5443" i="78"/>
  <c r="E5442" i="78"/>
  <c r="E5441" i="78"/>
  <c r="E5440" i="78"/>
  <c r="E5439" i="78"/>
  <c r="E5438" i="78"/>
  <c r="E5437" i="78"/>
  <c r="E5436" i="78"/>
  <c r="E5435" i="78"/>
  <c r="E5434" i="78"/>
  <c r="E5433" i="78"/>
  <c r="E5432" i="78"/>
  <c r="E5431" i="78"/>
  <c r="E5430" i="78"/>
  <c r="E5429" i="78"/>
  <c r="E5428" i="78"/>
  <c r="E5427" i="78"/>
  <c r="E5426" i="78"/>
  <c r="E5425" i="78"/>
  <c r="E5424" i="78"/>
  <c r="E5423" i="78"/>
  <c r="E5422" i="78"/>
  <c r="E5421" i="78"/>
  <c r="E5420" i="78"/>
  <c r="E5419" i="78"/>
  <c r="E5418" i="78"/>
  <c r="E5417" i="78"/>
  <c r="E5416" i="78"/>
  <c r="E5415" i="78"/>
  <c r="E5414" i="78"/>
  <c r="E5413" i="78"/>
  <c r="E5412" i="78"/>
  <c r="E5411" i="78"/>
  <c r="E5410" i="78"/>
  <c r="E5409" i="78"/>
  <c r="E5408" i="78"/>
  <c r="E5407" i="78"/>
  <c r="E5406" i="78"/>
  <c r="E5405" i="78"/>
  <c r="E5404" i="78"/>
  <c r="E5403" i="78"/>
  <c r="E5402" i="78"/>
  <c r="E5401" i="78"/>
  <c r="E5400" i="78"/>
  <c r="E5399" i="78"/>
  <c r="E5398" i="78"/>
  <c r="E5397" i="78"/>
  <c r="E5396" i="78"/>
  <c r="E5395" i="78"/>
  <c r="E5394" i="78"/>
  <c r="E5393" i="78"/>
  <c r="E5392" i="78"/>
  <c r="E5391" i="78"/>
  <c r="E5390" i="78"/>
  <c r="E5389" i="78"/>
  <c r="E5388" i="78"/>
  <c r="E5387" i="78"/>
  <c r="E5386" i="78"/>
  <c r="E5385" i="78"/>
  <c r="E5384" i="78"/>
  <c r="E5383" i="78"/>
  <c r="E5382" i="78"/>
  <c r="E5381" i="78"/>
  <c r="E5380" i="78"/>
  <c r="E5379" i="78"/>
  <c r="E5378" i="78"/>
  <c r="E5377" i="78"/>
  <c r="E5376" i="78"/>
  <c r="E5375" i="78"/>
  <c r="E5374" i="78"/>
  <c r="E5373" i="78"/>
  <c r="E5372" i="78"/>
  <c r="E5371" i="78"/>
  <c r="E5370" i="78"/>
  <c r="E5369" i="78"/>
  <c r="E5368" i="78"/>
  <c r="E5367" i="78"/>
  <c r="E5366" i="78"/>
  <c r="E5365" i="78"/>
  <c r="E5364" i="78"/>
  <c r="E5363" i="78"/>
  <c r="E5362" i="78"/>
  <c r="E5361" i="78"/>
  <c r="E5360" i="78"/>
  <c r="E5359" i="78"/>
  <c r="E5358" i="78"/>
  <c r="E5357" i="78"/>
  <c r="E5356" i="78"/>
  <c r="E5355" i="78"/>
  <c r="E5354" i="78"/>
  <c r="E5353" i="78"/>
  <c r="E5352" i="78"/>
  <c r="E5351" i="78"/>
  <c r="E5350" i="78"/>
  <c r="E5349" i="78"/>
  <c r="E5348" i="78"/>
  <c r="E5347" i="78"/>
  <c r="E5346" i="78"/>
  <c r="E5345" i="78"/>
  <c r="E5344" i="78"/>
  <c r="E5343" i="78"/>
  <c r="E5342" i="78"/>
  <c r="E5341" i="78"/>
  <c r="E5340" i="78"/>
  <c r="E5339" i="78"/>
  <c r="E5338" i="78"/>
  <c r="E5337" i="78"/>
  <c r="E5336" i="78"/>
  <c r="E5335" i="78"/>
  <c r="E5334" i="78"/>
  <c r="E5333" i="78"/>
  <c r="E5332" i="78"/>
  <c r="E5331" i="78"/>
  <c r="E5330" i="78"/>
  <c r="E5329" i="78"/>
  <c r="E5328" i="78"/>
  <c r="E5327" i="78"/>
  <c r="E5326" i="78"/>
  <c r="E5325" i="78"/>
  <c r="E5324" i="78"/>
  <c r="E5323" i="78"/>
  <c r="E5322" i="78"/>
  <c r="E5321" i="78"/>
  <c r="E5320" i="78"/>
  <c r="E5319" i="78"/>
  <c r="E5318" i="78"/>
  <c r="E5317" i="78"/>
  <c r="E5316" i="78"/>
  <c r="E5315" i="78"/>
  <c r="E5314" i="78"/>
  <c r="E5313" i="78"/>
  <c r="E5312" i="78"/>
  <c r="E5311" i="78"/>
  <c r="E5310" i="78"/>
  <c r="E5309" i="78"/>
  <c r="E5308" i="78"/>
  <c r="E5307" i="78"/>
  <c r="E5306" i="78"/>
  <c r="E5305" i="78"/>
  <c r="E5304" i="78"/>
  <c r="E5303" i="78"/>
  <c r="E5302" i="78"/>
  <c r="E5301" i="78"/>
  <c r="E5300" i="78"/>
  <c r="E5299" i="78"/>
  <c r="E5298" i="78"/>
  <c r="E5297" i="78"/>
  <c r="E5296" i="78"/>
  <c r="E5295" i="78"/>
  <c r="E5294" i="78"/>
  <c r="E5293" i="78"/>
  <c r="E5292" i="78"/>
  <c r="E5291" i="78"/>
  <c r="E5290" i="78"/>
  <c r="E5289" i="78"/>
  <c r="E5288" i="78"/>
  <c r="E5287" i="78"/>
  <c r="E5286" i="78"/>
  <c r="E5285" i="78"/>
  <c r="E5284" i="78"/>
  <c r="E5283" i="78"/>
  <c r="E5282" i="78"/>
  <c r="E5281" i="78"/>
  <c r="E5280" i="78"/>
  <c r="E5279" i="78"/>
  <c r="E5278" i="78"/>
  <c r="E5277" i="78"/>
  <c r="E5276" i="78"/>
  <c r="E5275" i="78"/>
  <c r="E5274" i="78"/>
  <c r="E5273" i="78"/>
  <c r="E5272" i="78"/>
  <c r="E5271" i="78"/>
  <c r="E5270" i="78"/>
  <c r="E5269" i="78"/>
  <c r="E5268" i="78"/>
  <c r="E5267" i="78"/>
  <c r="E5266" i="78"/>
  <c r="E5265" i="78"/>
  <c r="E5264" i="78"/>
  <c r="E5263" i="78"/>
  <c r="E5262" i="78"/>
  <c r="E5261" i="78"/>
  <c r="E5260" i="78"/>
  <c r="E5259" i="78"/>
  <c r="E5258" i="78"/>
  <c r="E5257" i="78"/>
  <c r="E5256" i="78"/>
  <c r="E5255" i="78"/>
  <c r="E5254" i="78"/>
  <c r="E5253" i="78"/>
  <c r="E5252" i="78"/>
  <c r="E5251" i="78"/>
  <c r="E5250" i="78"/>
  <c r="E5249" i="78"/>
  <c r="E5248" i="78"/>
  <c r="E5247" i="78"/>
  <c r="E5246" i="78"/>
  <c r="E5245" i="78"/>
  <c r="E5244" i="78"/>
  <c r="E5243" i="78"/>
  <c r="E5242" i="78"/>
  <c r="E5241" i="78"/>
  <c r="E5240" i="78"/>
  <c r="E5239" i="78"/>
  <c r="E5238" i="78"/>
  <c r="E5237" i="78"/>
  <c r="E5236" i="78"/>
  <c r="E5235" i="78"/>
  <c r="E5234" i="78"/>
  <c r="E5233" i="78"/>
  <c r="E5232" i="78"/>
  <c r="E5231" i="78"/>
  <c r="E5230" i="78"/>
  <c r="E5229" i="78"/>
  <c r="E5228" i="78"/>
  <c r="E5227" i="78"/>
  <c r="E5226" i="78"/>
  <c r="E5225" i="78"/>
  <c r="E5224" i="78"/>
  <c r="E5223" i="78"/>
  <c r="E5222" i="78"/>
  <c r="E5221" i="78"/>
  <c r="E5220" i="78"/>
  <c r="E5219" i="78"/>
  <c r="E5218" i="78"/>
  <c r="E5217" i="78"/>
  <c r="E5216" i="78"/>
  <c r="E5215" i="78"/>
  <c r="E5214" i="78"/>
  <c r="E5213" i="78"/>
  <c r="E5212" i="78"/>
  <c r="E5211" i="78"/>
  <c r="E5210" i="78"/>
  <c r="E5209" i="78"/>
  <c r="E5208" i="78"/>
  <c r="E5207" i="78"/>
  <c r="E5206" i="78"/>
  <c r="E5205" i="78"/>
  <c r="E5204" i="78"/>
  <c r="E5203" i="78"/>
  <c r="E5202" i="78"/>
  <c r="E5201" i="78"/>
  <c r="E5200" i="78"/>
  <c r="E5199" i="78"/>
  <c r="E5198" i="78"/>
  <c r="E5197" i="78"/>
  <c r="E5196" i="78"/>
  <c r="E5195" i="78"/>
  <c r="E5194" i="78"/>
  <c r="E5193" i="78"/>
  <c r="E5192" i="78"/>
  <c r="E5191" i="78"/>
  <c r="E5190" i="78"/>
  <c r="E5189" i="78"/>
  <c r="E5188" i="78"/>
  <c r="E5187" i="78"/>
  <c r="E5186" i="78"/>
  <c r="E5185" i="78"/>
  <c r="E5184" i="78"/>
  <c r="E5183" i="78"/>
  <c r="E5182" i="78"/>
  <c r="E5181" i="78"/>
  <c r="E5180" i="78"/>
  <c r="E5179" i="78"/>
  <c r="E5178" i="78"/>
  <c r="E5177" i="78"/>
  <c r="E5176" i="78"/>
  <c r="E5175" i="78"/>
  <c r="E5174" i="78"/>
  <c r="E5173" i="78"/>
  <c r="E5172" i="78"/>
  <c r="E5171" i="78"/>
  <c r="E5170" i="78"/>
  <c r="E5169" i="78"/>
  <c r="E5168" i="78"/>
  <c r="E5167" i="78"/>
  <c r="E5166" i="78"/>
  <c r="E5165" i="78"/>
  <c r="E5164" i="78"/>
  <c r="E5163" i="78"/>
  <c r="E5162" i="78"/>
  <c r="E5161" i="78"/>
  <c r="E5160" i="78"/>
  <c r="E5159" i="78"/>
  <c r="E5158" i="78"/>
  <c r="E5157" i="78"/>
  <c r="E5156" i="78"/>
  <c r="E5155" i="78"/>
  <c r="E5154" i="78"/>
  <c r="E5153" i="78"/>
  <c r="E5152" i="78"/>
  <c r="E5151" i="78"/>
  <c r="E5150" i="78"/>
  <c r="E5149" i="78"/>
  <c r="E5148" i="78"/>
  <c r="E5147" i="78"/>
  <c r="E5146" i="78"/>
  <c r="E5145" i="78"/>
  <c r="E5144" i="78"/>
  <c r="E5143" i="78"/>
  <c r="E5142" i="78"/>
  <c r="E5141" i="78"/>
  <c r="E5140" i="78"/>
  <c r="E5139" i="78"/>
  <c r="E5138" i="78"/>
  <c r="E5137" i="78"/>
  <c r="E5136" i="78"/>
  <c r="E5135" i="78"/>
  <c r="E5134" i="78"/>
  <c r="E5133" i="78"/>
  <c r="E5132" i="78"/>
  <c r="E5131" i="78"/>
  <c r="E5130" i="78"/>
  <c r="E5129" i="78"/>
  <c r="E5128" i="78"/>
  <c r="E5127" i="78"/>
  <c r="E5126" i="78"/>
  <c r="E5125" i="78"/>
  <c r="E5124" i="78"/>
  <c r="E5123" i="78"/>
  <c r="E5122" i="78"/>
  <c r="E5121" i="78"/>
  <c r="E5120" i="78"/>
  <c r="E5119" i="78"/>
  <c r="E5118" i="78"/>
  <c r="E5117" i="78"/>
  <c r="E5116" i="78"/>
  <c r="E5115" i="78"/>
  <c r="E5114" i="78"/>
  <c r="E5113" i="78"/>
  <c r="E5112" i="78"/>
  <c r="E5111" i="78"/>
  <c r="E5110" i="78"/>
  <c r="E5109" i="78"/>
  <c r="E5108" i="78"/>
  <c r="E5107" i="78"/>
  <c r="E5106" i="78"/>
  <c r="E5105" i="78"/>
  <c r="E5104" i="78"/>
  <c r="E5103" i="78"/>
  <c r="E5102" i="78"/>
  <c r="E5101" i="78"/>
  <c r="E5100" i="78"/>
  <c r="E5099" i="78"/>
  <c r="E5098" i="78"/>
  <c r="E5097" i="78"/>
  <c r="E5096" i="78"/>
  <c r="E5095" i="78"/>
  <c r="E5094" i="78"/>
  <c r="E5093" i="78"/>
  <c r="E5092" i="78"/>
  <c r="E5091" i="78"/>
  <c r="E5090" i="78"/>
  <c r="E5089" i="78"/>
  <c r="E5088" i="78"/>
  <c r="E5087" i="78"/>
  <c r="E5086" i="78"/>
  <c r="E5085" i="78"/>
  <c r="E5084" i="78"/>
  <c r="E5083" i="78"/>
  <c r="E5082" i="78"/>
  <c r="E5081" i="78"/>
  <c r="E5080" i="78"/>
  <c r="E5079" i="78"/>
  <c r="E5078" i="78"/>
  <c r="E5077" i="78"/>
  <c r="E5076" i="78"/>
  <c r="E5075" i="78"/>
  <c r="E5074" i="78"/>
  <c r="E5073" i="78"/>
  <c r="E5072" i="78"/>
  <c r="E5071" i="78"/>
  <c r="E5070" i="78"/>
  <c r="E5069" i="78"/>
  <c r="E5068" i="78"/>
  <c r="E5067" i="78"/>
  <c r="E5066" i="78"/>
  <c r="E5065" i="78"/>
  <c r="E5064" i="78"/>
  <c r="E5063" i="78"/>
  <c r="E5062" i="78"/>
  <c r="E5061" i="78"/>
  <c r="E5060" i="78"/>
  <c r="E5059" i="78"/>
  <c r="E5058" i="78"/>
  <c r="E5057" i="78"/>
  <c r="E5056" i="78"/>
  <c r="E5055" i="78"/>
  <c r="E5054" i="78"/>
  <c r="E5053" i="78"/>
  <c r="E5052" i="78"/>
  <c r="E5051" i="78"/>
  <c r="E5050" i="78"/>
  <c r="E5049" i="78"/>
  <c r="E5048" i="78"/>
  <c r="E5047" i="78"/>
  <c r="E5046" i="78"/>
  <c r="E5045" i="78"/>
  <c r="E5044" i="78"/>
  <c r="E5043" i="78"/>
  <c r="E5042" i="78"/>
  <c r="E5041" i="78"/>
  <c r="E5040" i="78"/>
  <c r="E5039" i="78"/>
  <c r="E5038" i="78"/>
  <c r="E5037" i="78"/>
  <c r="E5036" i="78"/>
  <c r="E5035" i="78"/>
  <c r="E5034" i="78"/>
  <c r="E5033" i="78"/>
  <c r="E5032" i="78"/>
  <c r="E5031" i="78"/>
  <c r="E5030" i="78"/>
  <c r="E5029" i="78"/>
  <c r="E5028" i="78"/>
  <c r="E5027" i="78"/>
  <c r="E5026" i="78"/>
  <c r="E5025" i="78"/>
  <c r="E5024" i="78"/>
  <c r="E5023" i="78"/>
  <c r="E5022" i="78"/>
  <c r="E5021" i="78"/>
  <c r="E5020" i="78"/>
  <c r="E5019" i="78"/>
  <c r="E5018" i="78"/>
  <c r="E5017" i="78"/>
  <c r="E5016" i="78"/>
  <c r="E5015" i="78"/>
  <c r="E5014" i="78"/>
  <c r="E5013" i="78"/>
  <c r="E5012" i="78"/>
  <c r="E5011" i="78"/>
  <c r="E5010" i="78"/>
  <c r="E5009" i="78"/>
  <c r="E5008" i="78"/>
  <c r="E5007" i="78"/>
  <c r="E5006" i="78"/>
  <c r="E5005" i="78"/>
  <c r="E5004" i="78"/>
  <c r="E5003" i="78"/>
  <c r="E5002" i="78"/>
  <c r="E5001" i="78"/>
  <c r="E5000" i="78"/>
  <c r="E4999" i="78"/>
  <c r="E4998" i="78"/>
  <c r="E4997" i="78"/>
  <c r="E4996" i="78"/>
  <c r="E4995" i="78"/>
  <c r="E4994" i="78"/>
  <c r="E4993" i="78"/>
  <c r="E4992" i="78"/>
  <c r="E4991" i="78"/>
  <c r="E4990" i="78"/>
  <c r="E4989" i="78"/>
  <c r="E4988" i="78"/>
  <c r="E4987" i="78"/>
  <c r="E4986" i="78"/>
  <c r="E4985" i="78"/>
  <c r="E4984" i="78"/>
  <c r="E4983" i="78"/>
  <c r="E4982" i="78"/>
  <c r="E4981" i="78"/>
  <c r="E4980" i="78"/>
  <c r="E4979" i="78"/>
  <c r="E4978" i="78"/>
  <c r="E4977" i="78"/>
  <c r="E4976" i="78"/>
  <c r="E4975" i="78"/>
  <c r="E4974" i="78"/>
  <c r="E4973" i="78"/>
  <c r="E4972" i="78"/>
  <c r="E4971" i="78"/>
  <c r="E4970" i="78"/>
  <c r="E4969" i="78"/>
  <c r="E4968" i="78"/>
  <c r="E4967" i="78"/>
  <c r="E4966" i="78"/>
  <c r="E4965" i="78"/>
  <c r="E4964" i="78"/>
  <c r="E4963" i="78"/>
  <c r="E4962" i="78"/>
  <c r="E4961" i="78"/>
  <c r="E4960" i="78"/>
  <c r="E4959" i="78"/>
  <c r="E4958" i="78"/>
  <c r="E4957" i="78"/>
  <c r="E4956" i="78"/>
  <c r="E4955" i="78"/>
  <c r="E4954" i="78"/>
  <c r="E4953" i="78"/>
  <c r="E4952" i="78"/>
  <c r="E4951" i="78"/>
  <c r="E4950" i="78"/>
  <c r="E4949" i="78"/>
  <c r="E4948" i="78"/>
  <c r="E4947" i="78"/>
  <c r="E4946" i="78"/>
  <c r="E4945" i="78"/>
  <c r="E4944" i="78"/>
  <c r="E4943" i="78"/>
  <c r="E4942" i="78"/>
  <c r="E4941" i="78"/>
  <c r="E4940" i="78"/>
  <c r="E4939" i="78"/>
  <c r="E4938" i="78"/>
  <c r="E4937" i="78"/>
  <c r="E4936" i="78"/>
  <c r="E4935" i="78"/>
  <c r="E4934" i="78"/>
  <c r="E4933" i="78"/>
  <c r="E4932" i="78"/>
  <c r="E4931" i="78"/>
  <c r="E4930" i="78"/>
  <c r="E4929" i="78"/>
  <c r="E4928" i="78"/>
  <c r="E4927" i="78"/>
  <c r="E4926" i="78"/>
  <c r="E4925" i="78"/>
  <c r="E4924" i="78"/>
  <c r="E4923" i="78"/>
  <c r="E4922" i="78"/>
  <c r="E4921" i="78"/>
  <c r="E4920" i="78"/>
  <c r="E4919" i="78"/>
  <c r="E4918" i="78"/>
  <c r="E4917" i="78"/>
  <c r="E4916" i="78"/>
  <c r="E4915" i="78"/>
  <c r="E4914" i="78"/>
  <c r="E4913" i="78"/>
  <c r="E4912" i="78"/>
  <c r="E4911" i="78"/>
  <c r="E4910" i="78"/>
  <c r="E4909" i="78"/>
  <c r="E4908" i="78"/>
  <c r="E4907" i="78"/>
  <c r="E4906" i="78"/>
  <c r="E4905" i="78"/>
  <c r="E4904" i="78"/>
  <c r="E4903" i="78"/>
  <c r="E4902" i="78"/>
  <c r="E4901" i="78"/>
  <c r="E4900" i="78"/>
  <c r="E4899" i="78"/>
  <c r="E4898" i="78"/>
  <c r="E4897" i="78"/>
  <c r="E4896" i="78"/>
  <c r="E4895" i="78"/>
  <c r="E4894" i="78"/>
  <c r="E4893" i="78"/>
  <c r="E4892" i="78"/>
  <c r="E4891" i="78"/>
  <c r="E4890" i="78"/>
  <c r="E4889" i="78"/>
  <c r="E4888" i="78"/>
  <c r="E4887" i="78"/>
  <c r="E4886" i="78"/>
  <c r="E4885" i="78"/>
  <c r="E4884" i="78"/>
  <c r="E4883" i="78"/>
  <c r="E4882" i="78"/>
  <c r="E4881" i="78"/>
  <c r="E4880" i="78"/>
  <c r="E4879" i="78"/>
  <c r="E4878" i="78"/>
  <c r="E4877" i="78"/>
  <c r="E4876" i="78"/>
  <c r="E4875" i="78"/>
  <c r="E4874" i="78"/>
  <c r="E4873" i="78"/>
  <c r="E4872" i="78"/>
  <c r="E4871" i="78"/>
  <c r="E4870" i="78"/>
  <c r="E4869" i="78"/>
  <c r="E4868" i="78"/>
  <c r="E4867" i="78"/>
  <c r="E4866" i="78"/>
  <c r="E4865" i="78"/>
  <c r="E4864" i="78"/>
  <c r="E4863" i="78"/>
  <c r="E4862" i="78"/>
  <c r="E4861" i="78"/>
  <c r="E4860" i="78"/>
  <c r="E4859" i="78"/>
  <c r="E4858" i="78"/>
  <c r="E4857" i="78"/>
  <c r="E4856" i="78"/>
  <c r="E4855" i="78"/>
  <c r="E4854" i="78"/>
  <c r="E4853" i="78"/>
  <c r="E4852" i="78"/>
  <c r="E4851" i="78"/>
  <c r="E4850" i="78"/>
  <c r="E4849" i="78"/>
  <c r="E4848" i="78"/>
  <c r="E4847" i="78"/>
  <c r="E4846" i="78"/>
  <c r="E4845" i="78"/>
  <c r="E4844" i="78"/>
  <c r="E4843" i="78"/>
  <c r="E4842" i="78"/>
  <c r="E4841" i="78"/>
  <c r="E4840" i="78"/>
  <c r="E4839" i="78"/>
  <c r="E4838" i="78"/>
  <c r="E4837" i="78"/>
  <c r="E4836" i="78"/>
  <c r="E4835" i="78"/>
  <c r="E4834" i="78"/>
  <c r="E4833" i="78"/>
  <c r="E4832" i="78"/>
  <c r="E4831" i="78"/>
  <c r="E4830" i="78"/>
  <c r="E4829" i="78"/>
  <c r="E4828" i="78"/>
  <c r="E4827" i="78"/>
  <c r="E4826" i="78"/>
  <c r="E4825" i="78"/>
  <c r="E4824" i="78"/>
  <c r="E4823" i="78"/>
  <c r="E4822" i="78"/>
  <c r="E4821" i="78"/>
  <c r="E4820" i="78"/>
  <c r="E4819" i="78"/>
  <c r="E4818" i="78"/>
  <c r="E4817" i="78"/>
  <c r="E4816" i="78"/>
  <c r="E4815" i="78"/>
  <c r="E4814" i="78"/>
  <c r="E4813" i="78"/>
  <c r="E4812" i="78"/>
  <c r="E4811" i="78"/>
  <c r="E4810" i="78"/>
  <c r="E4809" i="78"/>
  <c r="E4808" i="78"/>
  <c r="E4807" i="78"/>
  <c r="E4806" i="78"/>
  <c r="E4805" i="78"/>
  <c r="E4804" i="78"/>
  <c r="E4803" i="78"/>
  <c r="E4802" i="78"/>
  <c r="E4801" i="78"/>
  <c r="E4800" i="78"/>
  <c r="E4799" i="78"/>
  <c r="E4798" i="78"/>
  <c r="E4797" i="78"/>
  <c r="E4796" i="78"/>
  <c r="E4795" i="78"/>
  <c r="E4794" i="78"/>
  <c r="E4793" i="78"/>
  <c r="E4792" i="78"/>
  <c r="E4791" i="78"/>
  <c r="E4790" i="78"/>
  <c r="E4789" i="78"/>
  <c r="E4788" i="78"/>
  <c r="E4787" i="78"/>
  <c r="E4786" i="78"/>
  <c r="E4785" i="78"/>
  <c r="E4784" i="78"/>
  <c r="E4783" i="78"/>
  <c r="E4782" i="78"/>
  <c r="E4781" i="78"/>
  <c r="E4780" i="78"/>
  <c r="E4779" i="78"/>
  <c r="E4778" i="78"/>
  <c r="E4777" i="78"/>
  <c r="E4776" i="78"/>
  <c r="E4775" i="78"/>
  <c r="E4774" i="78"/>
  <c r="E4773" i="78"/>
  <c r="E4772" i="78"/>
  <c r="E4771" i="78"/>
  <c r="E4770" i="78"/>
  <c r="E4769" i="78"/>
  <c r="E4768" i="78"/>
  <c r="E4767" i="78"/>
  <c r="E4766" i="78"/>
  <c r="E4765" i="78"/>
  <c r="E4764" i="78"/>
  <c r="E4763" i="78"/>
  <c r="E4762" i="78"/>
  <c r="E4761" i="78"/>
  <c r="E4760" i="78"/>
  <c r="E4759" i="78"/>
  <c r="E4758" i="78"/>
  <c r="E4757" i="78"/>
  <c r="E4756" i="78"/>
  <c r="E4755" i="78"/>
  <c r="E4754" i="78"/>
  <c r="E4753" i="78"/>
  <c r="E4752" i="78"/>
  <c r="E4751" i="78"/>
  <c r="E4750" i="78"/>
  <c r="E4749" i="78"/>
  <c r="E4748" i="78"/>
  <c r="E4747" i="78"/>
  <c r="E4746" i="78"/>
  <c r="E4745" i="78"/>
  <c r="E4744" i="78"/>
  <c r="E4743" i="78"/>
  <c r="E4742" i="78"/>
  <c r="E4741" i="78"/>
  <c r="E4740" i="78"/>
  <c r="E4739" i="78"/>
  <c r="E4738" i="78"/>
  <c r="E4737" i="78"/>
  <c r="E4736" i="78"/>
  <c r="E4735" i="78"/>
  <c r="E4734" i="78"/>
  <c r="E4733" i="78"/>
  <c r="E4732" i="78"/>
  <c r="E4731" i="78"/>
  <c r="E4730" i="78"/>
  <c r="E4729" i="78"/>
  <c r="E4728" i="78"/>
  <c r="E4727" i="78"/>
  <c r="E4726" i="78"/>
  <c r="E4725" i="78"/>
  <c r="E4724" i="78"/>
  <c r="E4723" i="78"/>
  <c r="E4722" i="78"/>
  <c r="E4721" i="78"/>
  <c r="E4720" i="78"/>
  <c r="E4719" i="78"/>
  <c r="E4718" i="78"/>
  <c r="E4717" i="78"/>
  <c r="E4716" i="78"/>
  <c r="E4715" i="78"/>
  <c r="E4714" i="78"/>
  <c r="E4713" i="78"/>
  <c r="E4712" i="78"/>
  <c r="E4711" i="78"/>
  <c r="E4710" i="78"/>
  <c r="E4709" i="78"/>
  <c r="E4708" i="78"/>
  <c r="E4707" i="78"/>
  <c r="E4706" i="78"/>
  <c r="E4705" i="78"/>
  <c r="E4704" i="78"/>
  <c r="E4703" i="78"/>
  <c r="E4702" i="78"/>
  <c r="E4701" i="78"/>
  <c r="E4700" i="78"/>
  <c r="E4699" i="78"/>
  <c r="E4698" i="78"/>
  <c r="E4697" i="78"/>
  <c r="E4696" i="78"/>
  <c r="E4695" i="78"/>
  <c r="E4694" i="78"/>
  <c r="E4693" i="78"/>
  <c r="E4692" i="78"/>
  <c r="E4691" i="78"/>
  <c r="E4690" i="78"/>
  <c r="E4689" i="78"/>
  <c r="E4688" i="78"/>
  <c r="E4687" i="78"/>
  <c r="E4686" i="78"/>
  <c r="E4685" i="78"/>
  <c r="E4684" i="78"/>
  <c r="E4683" i="78"/>
  <c r="E4682" i="78"/>
  <c r="E4681" i="78"/>
  <c r="E4680" i="78"/>
  <c r="E4679" i="78"/>
  <c r="E4678" i="78"/>
  <c r="E4677" i="78"/>
  <c r="E4676" i="78"/>
  <c r="E4675" i="78"/>
  <c r="E4674" i="78"/>
  <c r="E4673" i="78"/>
  <c r="E4672" i="78"/>
  <c r="E4671" i="78"/>
  <c r="E4670" i="78"/>
  <c r="E4669" i="78"/>
  <c r="E4668" i="78"/>
  <c r="E4667" i="78"/>
  <c r="E4666" i="78"/>
  <c r="E4665" i="78"/>
  <c r="E4664" i="78"/>
  <c r="E4663" i="78"/>
  <c r="E4662" i="78"/>
  <c r="E4661" i="78"/>
  <c r="E4660" i="78"/>
  <c r="E4659" i="78"/>
  <c r="E4658" i="78"/>
  <c r="E4657" i="78"/>
  <c r="E4656" i="78"/>
  <c r="E4655" i="78"/>
  <c r="E4654" i="78"/>
  <c r="E4653" i="78"/>
  <c r="E4652" i="78"/>
  <c r="E4651" i="78"/>
  <c r="E4650" i="78"/>
  <c r="E4649" i="78"/>
  <c r="E4648" i="78"/>
  <c r="E4647" i="78"/>
  <c r="E4646" i="78"/>
  <c r="E4645" i="78"/>
  <c r="E4644" i="78"/>
  <c r="E4643" i="78"/>
  <c r="E4642" i="78"/>
  <c r="E4641" i="78"/>
  <c r="E4640" i="78"/>
  <c r="E4639" i="78"/>
  <c r="E4638" i="78"/>
  <c r="E4637" i="78"/>
  <c r="E4636" i="78"/>
  <c r="E4635" i="78"/>
  <c r="E4634" i="78"/>
  <c r="E4633" i="78"/>
  <c r="E4632" i="78"/>
  <c r="E4631" i="78"/>
  <c r="E4630" i="78"/>
  <c r="E4629" i="78"/>
  <c r="E4628" i="78"/>
  <c r="E4627" i="78"/>
  <c r="E4626" i="78"/>
  <c r="E4625" i="78"/>
  <c r="E4624" i="78"/>
  <c r="E4623" i="78"/>
  <c r="E4622" i="78"/>
  <c r="E4621" i="78"/>
  <c r="E4620" i="78"/>
  <c r="E4619" i="78"/>
  <c r="E4618" i="78"/>
  <c r="E4617" i="78"/>
  <c r="E4616" i="78"/>
  <c r="E4615" i="78"/>
  <c r="E4614" i="78"/>
  <c r="E4613" i="78"/>
  <c r="E4612" i="78"/>
  <c r="E4611" i="78"/>
  <c r="E4610" i="78"/>
  <c r="E4609" i="78"/>
  <c r="E4608" i="78"/>
  <c r="E4607" i="78"/>
  <c r="E4606" i="78"/>
  <c r="E4605" i="78"/>
  <c r="E4604" i="78"/>
  <c r="E4603" i="78"/>
  <c r="E4602" i="78"/>
  <c r="E4601" i="78"/>
  <c r="E4600" i="78"/>
  <c r="E4599" i="78"/>
  <c r="E4598" i="78"/>
  <c r="E4597" i="78"/>
  <c r="E4596" i="78"/>
  <c r="E4595" i="78"/>
  <c r="E4594" i="78"/>
  <c r="E4593" i="78"/>
  <c r="E4592" i="78"/>
  <c r="E4591" i="78"/>
  <c r="E4590" i="78"/>
  <c r="E4589" i="78"/>
  <c r="E4588" i="78"/>
  <c r="E4587" i="78"/>
  <c r="E4586" i="78"/>
  <c r="E4585" i="78"/>
  <c r="E4584" i="78"/>
  <c r="E4583" i="78"/>
  <c r="E4582" i="78"/>
  <c r="E4581" i="78"/>
  <c r="E4580" i="78"/>
  <c r="E4579" i="78"/>
  <c r="E4578" i="78"/>
  <c r="E4577" i="78"/>
  <c r="E4576" i="78"/>
  <c r="E4575" i="78"/>
  <c r="E4574" i="78"/>
  <c r="E4573" i="78"/>
  <c r="E4572" i="78"/>
  <c r="E4571" i="78"/>
  <c r="E4570" i="78"/>
  <c r="E4569" i="78"/>
  <c r="E4568" i="78"/>
  <c r="E4567" i="78"/>
  <c r="E4566" i="78"/>
  <c r="E4565" i="78"/>
  <c r="E4564" i="78"/>
  <c r="E4563" i="78"/>
  <c r="E4562" i="78"/>
  <c r="E4561" i="78"/>
  <c r="E4560" i="78"/>
  <c r="E4559" i="78"/>
  <c r="E4558" i="78"/>
  <c r="E4557" i="78"/>
  <c r="E4556" i="78"/>
  <c r="E4555" i="78"/>
  <c r="E4554" i="78"/>
  <c r="E4553" i="78"/>
  <c r="E4552" i="78"/>
  <c r="E4551" i="78"/>
  <c r="E4550" i="78"/>
  <c r="E4549" i="78"/>
  <c r="E4548" i="78"/>
  <c r="E4547" i="78"/>
  <c r="E4546" i="78"/>
  <c r="E4545" i="78"/>
  <c r="E4544" i="78"/>
  <c r="E4543" i="78"/>
  <c r="E4542" i="78"/>
  <c r="E4541" i="78"/>
  <c r="E4540" i="78"/>
  <c r="E4539" i="78"/>
  <c r="E4538" i="78"/>
  <c r="E4537" i="78"/>
  <c r="E4536" i="78"/>
  <c r="E4535" i="78"/>
  <c r="E4534" i="78"/>
  <c r="E4533" i="78"/>
  <c r="E4532" i="78"/>
  <c r="E4531" i="78"/>
  <c r="E4530" i="78"/>
  <c r="E4529" i="78"/>
  <c r="E4528" i="78"/>
  <c r="E4527" i="78"/>
  <c r="E4526" i="78"/>
  <c r="E4525" i="78"/>
  <c r="E4524" i="78"/>
  <c r="E4523" i="78"/>
  <c r="E4522" i="78"/>
  <c r="E4521" i="78"/>
  <c r="E4520" i="78"/>
  <c r="E4519" i="78"/>
  <c r="E4518" i="78"/>
  <c r="E4517" i="78"/>
  <c r="E4516" i="78"/>
  <c r="E4515" i="78"/>
  <c r="E4514" i="78"/>
  <c r="E4513" i="78"/>
  <c r="E4512" i="78"/>
  <c r="E4511" i="78"/>
  <c r="E4510" i="78"/>
  <c r="E4509" i="78"/>
  <c r="E4508" i="78"/>
  <c r="E4507" i="78"/>
  <c r="E4506" i="78"/>
  <c r="E4505" i="78"/>
  <c r="E4504" i="78"/>
  <c r="E4503" i="78"/>
  <c r="E4502" i="78"/>
  <c r="E4501" i="78"/>
  <c r="E4500" i="78"/>
  <c r="E4499" i="78"/>
  <c r="E4498" i="78"/>
  <c r="E4497" i="78"/>
  <c r="E4496" i="78"/>
  <c r="E4495" i="78"/>
  <c r="E4494" i="78"/>
  <c r="E4493" i="78"/>
  <c r="E4492" i="78"/>
  <c r="E4491" i="78"/>
  <c r="E4490" i="78"/>
  <c r="E4489" i="78"/>
  <c r="E4488" i="78"/>
  <c r="E4487" i="78"/>
  <c r="E4486" i="78"/>
  <c r="E4485" i="78"/>
  <c r="E4484" i="78"/>
  <c r="E4483" i="78"/>
  <c r="E4482" i="78"/>
  <c r="E4481" i="78"/>
  <c r="E4480" i="78"/>
  <c r="E4479" i="78"/>
  <c r="E4478" i="78"/>
  <c r="E4477" i="78"/>
  <c r="E4476" i="78"/>
  <c r="E4475" i="78"/>
  <c r="E4474" i="78"/>
  <c r="E4473" i="78"/>
  <c r="E4472" i="78"/>
  <c r="E4471" i="78"/>
  <c r="E4470" i="78"/>
  <c r="E4469" i="78"/>
  <c r="E4468" i="78"/>
  <c r="E4467" i="78"/>
  <c r="E4466" i="78"/>
  <c r="E4465" i="78"/>
  <c r="E4464" i="78"/>
  <c r="E4463" i="78"/>
  <c r="E4462" i="78"/>
  <c r="E4461" i="78"/>
  <c r="E4460" i="78"/>
  <c r="E4459" i="78"/>
  <c r="E4458" i="78"/>
  <c r="E4457" i="78"/>
  <c r="E4456" i="78"/>
  <c r="E4455" i="78"/>
  <c r="E4454" i="78"/>
  <c r="E4453" i="78"/>
  <c r="E4452" i="78"/>
  <c r="E4451" i="78"/>
  <c r="E4450" i="78"/>
  <c r="E4449" i="78"/>
  <c r="E4448" i="78"/>
  <c r="E4447" i="78"/>
  <c r="E4446" i="78"/>
  <c r="E4445" i="78"/>
  <c r="E4444" i="78"/>
  <c r="E4443" i="78"/>
  <c r="E4442" i="78"/>
  <c r="E4441" i="78"/>
  <c r="E4440" i="78"/>
  <c r="E4439" i="78"/>
  <c r="E4438" i="78"/>
  <c r="E4437" i="78"/>
  <c r="E4436" i="78"/>
  <c r="E4435" i="78"/>
  <c r="E4434" i="78"/>
  <c r="E4433" i="78"/>
  <c r="E4432" i="78"/>
  <c r="E4431" i="78"/>
  <c r="E4430" i="78"/>
  <c r="E4429" i="78"/>
  <c r="E4428" i="78"/>
  <c r="E4427" i="78"/>
  <c r="E4426" i="78"/>
  <c r="E4425" i="78"/>
  <c r="E4424" i="78"/>
  <c r="E4423" i="78"/>
  <c r="E4422" i="78"/>
  <c r="E4421" i="78"/>
  <c r="E4420" i="78"/>
  <c r="E4419" i="78"/>
  <c r="E4418" i="78"/>
  <c r="E4417" i="78"/>
  <c r="E4416" i="78"/>
  <c r="E4415" i="78"/>
  <c r="E4414" i="78"/>
  <c r="E4413" i="78"/>
  <c r="E4412" i="78"/>
  <c r="E4411" i="78"/>
  <c r="E4410" i="78"/>
  <c r="E4409" i="78"/>
  <c r="E4408" i="78"/>
  <c r="E4407" i="78"/>
  <c r="E4406" i="78"/>
  <c r="E4405" i="78"/>
  <c r="E4404" i="78"/>
  <c r="E4403" i="78"/>
  <c r="E4402" i="78"/>
  <c r="E4401" i="78"/>
  <c r="E4400" i="78"/>
  <c r="E4399" i="78"/>
  <c r="E4398" i="78"/>
  <c r="E4397" i="78"/>
  <c r="E4396" i="78"/>
  <c r="E4395" i="78"/>
  <c r="E4394" i="78"/>
  <c r="E4393" i="78"/>
  <c r="E4392" i="78"/>
  <c r="E4391" i="78"/>
  <c r="E4390" i="78"/>
  <c r="E4389" i="78"/>
  <c r="E4388" i="78"/>
  <c r="E4387" i="78"/>
  <c r="E4386" i="78"/>
  <c r="E4385" i="78"/>
  <c r="E4384" i="78"/>
  <c r="E4383" i="78"/>
  <c r="E4382" i="78"/>
  <c r="E4381" i="78"/>
  <c r="E4380" i="78"/>
  <c r="E4379" i="78"/>
  <c r="E4378" i="78"/>
  <c r="E4377" i="78"/>
  <c r="E4376" i="78"/>
  <c r="E4375" i="78"/>
  <c r="E4374" i="78"/>
  <c r="E4373" i="78"/>
  <c r="E4372" i="78"/>
  <c r="E4371" i="78"/>
  <c r="E4370" i="78"/>
  <c r="E4369" i="78"/>
  <c r="E4368" i="78"/>
  <c r="E4367" i="78"/>
  <c r="E4366" i="78"/>
  <c r="E4365" i="78"/>
  <c r="E4364" i="78"/>
  <c r="E4363" i="78"/>
  <c r="E4362" i="78"/>
  <c r="E4361" i="78"/>
  <c r="E4360" i="78"/>
  <c r="E4359" i="78"/>
  <c r="E4358" i="78"/>
  <c r="E4357" i="78"/>
  <c r="E4356" i="78"/>
  <c r="E4355" i="78"/>
  <c r="E4354" i="78"/>
  <c r="E4353" i="78"/>
  <c r="E4352" i="78"/>
  <c r="E4351" i="78"/>
  <c r="E4350" i="78"/>
  <c r="E4349" i="78"/>
  <c r="E4348" i="78"/>
  <c r="E4347" i="78"/>
  <c r="E4346" i="78"/>
  <c r="E4345" i="78"/>
  <c r="E4344" i="78"/>
  <c r="E4343" i="78"/>
  <c r="E4342" i="78"/>
  <c r="E4341" i="78"/>
  <c r="E4340" i="78"/>
  <c r="E4339" i="78"/>
  <c r="E4338" i="78"/>
  <c r="E4337" i="78"/>
  <c r="E4336" i="78"/>
  <c r="E4335" i="78"/>
  <c r="E4334" i="78"/>
  <c r="E4333" i="78"/>
  <c r="E4332" i="78"/>
  <c r="E4331" i="78"/>
  <c r="E4330" i="78"/>
  <c r="E4329" i="78"/>
  <c r="E4328" i="78"/>
  <c r="E4327" i="78"/>
  <c r="E4326" i="78"/>
  <c r="E4325" i="78"/>
  <c r="E4324" i="78"/>
  <c r="E4323" i="78"/>
  <c r="E4322" i="78"/>
  <c r="E4321" i="78"/>
  <c r="E4320" i="78"/>
  <c r="E4319" i="78"/>
  <c r="E4318" i="78"/>
  <c r="E4317" i="78"/>
  <c r="E4316" i="78"/>
  <c r="E4315" i="78"/>
  <c r="E4314" i="78"/>
  <c r="E4313" i="78"/>
  <c r="E4312" i="78"/>
  <c r="E4311" i="78"/>
  <c r="E4310" i="78"/>
  <c r="E4309" i="78"/>
  <c r="E4308" i="78"/>
  <c r="E4307" i="78"/>
  <c r="E4306" i="78"/>
  <c r="E4305" i="78"/>
  <c r="E4304" i="78"/>
  <c r="E4303" i="78"/>
  <c r="E4302" i="78"/>
  <c r="E4301" i="78"/>
  <c r="E4300" i="78"/>
  <c r="E4299" i="78"/>
  <c r="E4298" i="78"/>
  <c r="E4297" i="78"/>
  <c r="E4296" i="78"/>
  <c r="E4295" i="78"/>
  <c r="E4294" i="78"/>
  <c r="E4293" i="78"/>
  <c r="E4292" i="78"/>
  <c r="E4291" i="78"/>
  <c r="E4290" i="78"/>
  <c r="E4289" i="78"/>
  <c r="E4288" i="78"/>
  <c r="E4287" i="78"/>
  <c r="E4286" i="78"/>
  <c r="E4285" i="78"/>
  <c r="E4284" i="78"/>
  <c r="E4283" i="78"/>
  <c r="E4282" i="78"/>
  <c r="E4281" i="78"/>
  <c r="E4280" i="78"/>
  <c r="E4279" i="78"/>
  <c r="E4278" i="78"/>
  <c r="E4277" i="78"/>
  <c r="E4276" i="78"/>
  <c r="E4275" i="78"/>
  <c r="E4274" i="78"/>
  <c r="E4273" i="78"/>
  <c r="E4272" i="78"/>
  <c r="E4271" i="78"/>
  <c r="E4270" i="78"/>
  <c r="E4269" i="78"/>
  <c r="E4268" i="78"/>
  <c r="E4267" i="78"/>
  <c r="E4266" i="78"/>
  <c r="E4265" i="78"/>
  <c r="E4264" i="78"/>
  <c r="E4263" i="78"/>
  <c r="E4262" i="78"/>
  <c r="E4261" i="78"/>
  <c r="E4260" i="78"/>
  <c r="E4259" i="78"/>
  <c r="E4258" i="78"/>
  <c r="E4257" i="78"/>
  <c r="E4256" i="78"/>
  <c r="E4255" i="78"/>
  <c r="E4254" i="78"/>
  <c r="E4253" i="78"/>
  <c r="E4252" i="78"/>
  <c r="E4251" i="78"/>
  <c r="E4250" i="78"/>
  <c r="E4249" i="78"/>
  <c r="E4248" i="78"/>
  <c r="E4247" i="78"/>
  <c r="E4246" i="78"/>
  <c r="E4245" i="78"/>
  <c r="E4244" i="78"/>
  <c r="E4243" i="78"/>
  <c r="E4242" i="78"/>
  <c r="E4241" i="78"/>
  <c r="E4240" i="78"/>
  <c r="E4239" i="78"/>
  <c r="E4238" i="78"/>
  <c r="E4237" i="78"/>
  <c r="E4236" i="78"/>
  <c r="E4235" i="78"/>
  <c r="E4234" i="78"/>
  <c r="E4233" i="78"/>
  <c r="E4232" i="78"/>
  <c r="E4231" i="78"/>
  <c r="E4230" i="78"/>
  <c r="E4229" i="78"/>
  <c r="E4228" i="78"/>
  <c r="E4227" i="78"/>
  <c r="E4226" i="78"/>
  <c r="E4225" i="78"/>
  <c r="E4224" i="78"/>
  <c r="E4223" i="78"/>
  <c r="E4222" i="78"/>
  <c r="E4221" i="78"/>
  <c r="E4220" i="78"/>
  <c r="E4219" i="78"/>
  <c r="E4218" i="78"/>
  <c r="E4217" i="78"/>
  <c r="E4216" i="78"/>
  <c r="E4215" i="78"/>
  <c r="E4214" i="78"/>
  <c r="E4213" i="78"/>
  <c r="E4212" i="78"/>
  <c r="E4211" i="78"/>
  <c r="E4210" i="78"/>
  <c r="E4209" i="78"/>
  <c r="E4208" i="78"/>
  <c r="E4207" i="78"/>
  <c r="E4206" i="78"/>
  <c r="E4205" i="78"/>
  <c r="E4204" i="78"/>
  <c r="E4203" i="78"/>
  <c r="E4202" i="78"/>
  <c r="E4201" i="78"/>
  <c r="E4200" i="78"/>
  <c r="E4199" i="78"/>
  <c r="E4198" i="78"/>
  <c r="E4197" i="78"/>
  <c r="E4196" i="78"/>
  <c r="E4195" i="78"/>
  <c r="E4194" i="78"/>
  <c r="E4193" i="78"/>
  <c r="E4192" i="78"/>
  <c r="E4191" i="78"/>
  <c r="E4190" i="78"/>
  <c r="E4189" i="78"/>
  <c r="E4188" i="78"/>
  <c r="E4187" i="78"/>
  <c r="E4186" i="78"/>
  <c r="E4185" i="78"/>
  <c r="E4184" i="78"/>
  <c r="E4183" i="78"/>
  <c r="E4182" i="78"/>
  <c r="E4181" i="78"/>
  <c r="E4180" i="78"/>
  <c r="E4179" i="78"/>
  <c r="E4178" i="78"/>
  <c r="E4177" i="78"/>
  <c r="E4176" i="78"/>
  <c r="E4175" i="78"/>
  <c r="E4174" i="78"/>
  <c r="E4173" i="78"/>
  <c r="E4172" i="78"/>
  <c r="E4171" i="78"/>
  <c r="E4170" i="78"/>
  <c r="E4169" i="78"/>
  <c r="E4168" i="78"/>
  <c r="E4167" i="78"/>
  <c r="E4166" i="78"/>
  <c r="E4165" i="78"/>
  <c r="E4164" i="78"/>
  <c r="E4163" i="78"/>
  <c r="E4162" i="78"/>
  <c r="E4161" i="78"/>
  <c r="E4160" i="78"/>
  <c r="E4159" i="78"/>
  <c r="E4158" i="78"/>
  <c r="E4157" i="78"/>
  <c r="E4156" i="78"/>
  <c r="E4155" i="78"/>
  <c r="E4154" i="78"/>
  <c r="E4153" i="78"/>
  <c r="E4152" i="78"/>
  <c r="E4151" i="78"/>
  <c r="E4150" i="78"/>
  <c r="E4149" i="78"/>
  <c r="E4148" i="78"/>
  <c r="E4147" i="78"/>
  <c r="E4146" i="78"/>
  <c r="E4145" i="78"/>
  <c r="E4144" i="78"/>
  <c r="E4143" i="78"/>
  <c r="E4142" i="78"/>
  <c r="E4141" i="78"/>
  <c r="E4140" i="78"/>
  <c r="E4139" i="78"/>
  <c r="E4138" i="78"/>
  <c r="E4137" i="78"/>
  <c r="E4136" i="78"/>
  <c r="E4135" i="78"/>
  <c r="E4134" i="78"/>
  <c r="E4133" i="78"/>
  <c r="E4132" i="78"/>
  <c r="E4131" i="78"/>
  <c r="E4130" i="78"/>
  <c r="E4129" i="78"/>
  <c r="E4128" i="78"/>
  <c r="E4127" i="78"/>
  <c r="E4126" i="78"/>
  <c r="E4125" i="78"/>
  <c r="E4124" i="78"/>
  <c r="E4123" i="78"/>
  <c r="E4122" i="78"/>
  <c r="E4121" i="78"/>
  <c r="E4120" i="78"/>
  <c r="E4119" i="78"/>
  <c r="E4118" i="78"/>
  <c r="E4117" i="78"/>
  <c r="E4116" i="78"/>
  <c r="E4115" i="78"/>
  <c r="E4114" i="78"/>
  <c r="E4113" i="78"/>
  <c r="E4112" i="78"/>
  <c r="E4111" i="78"/>
  <c r="E4110" i="78"/>
  <c r="E4109" i="78"/>
  <c r="E4108" i="78"/>
  <c r="E4107" i="78"/>
  <c r="E4106" i="78"/>
  <c r="E4105" i="78"/>
  <c r="E4104" i="78"/>
  <c r="E4103" i="78"/>
  <c r="E4102" i="78"/>
  <c r="E4101" i="78"/>
  <c r="E4100" i="78"/>
  <c r="E4099" i="78"/>
  <c r="E4098" i="78"/>
  <c r="E4097" i="78"/>
  <c r="E4096" i="78"/>
  <c r="E4095" i="78"/>
  <c r="E4094" i="78"/>
  <c r="E4093" i="78"/>
  <c r="E4092" i="78"/>
  <c r="E4091" i="78"/>
  <c r="E4090" i="78"/>
  <c r="E4089" i="78"/>
  <c r="E4088" i="78"/>
  <c r="E4087" i="78"/>
  <c r="E4086" i="78"/>
  <c r="E4085" i="78"/>
  <c r="E4084" i="78"/>
  <c r="E4083" i="78"/>
  <c r="E4082" i="78"/>
  <c r="E4081" i="78"/>
  <c r="E4080" i="78"/>
  <c r="E4079" i="78"/>
  <c r="E4078" i="78"/>
  <c r="E4077" i="78"/>
  <c r="E4076" i="78"/>
  <c r="E4075" i="78"/>
  <c r="E4074" i="78"/>
  <c r="E4073" i="78"/>
  <c r="E4072" i="78"/>
  <c r="E4071" i="78"/>
  <c r="E4070" i="78"/>
  <c r="E4069" i="78"/>
  <c r="E4068" i="78"/>
  <c r="E4067" i="78"/>
  <c r="E4066" i="78"/>
  <c r="E4065" i="78"/>
  <c r="E4064" i="78"/>
  <c r="E4063" i="78"/>
  <c r="E4062" i="78"/>
  <c r="E4061" i="78"/>
  <c r="E4060" i="78"/>
  <c r="E4059" i="78"/>
  <c r="E4058" i="78"/>
  <c r="E4057" i="78"/>
  <c r="E4056" i="78"/>
  <c r="E4055" i="78"/>
  <c r="E4054" i="78"/>
  <c r="E4053" i="78"/>
  <c r="E4052" i="78"/>
  <c r="E4051" i="78"/>
  <c r="E4050" i="78"/>
  <c r="E4049" i="78"/>
  <c r="E4048" i="78"/>
  <c r="E4047" i="78"/>
  <c r="E4046" i="78"/>
  <c r="E4045" i="78"/>
  <c r="E4044" i="78"/>
  <c r="E4043" i="78"/>
  <c r="E4042" i="78"/>
  <c r="E4041" i="78"/>
  <c r="E4040" i="78"/>
  <c r="E4039" i="78"/>
  <c r="E4038" i="78"/>
  <c r="E4037" i="78"/>
  <c r="E4036" i="78"/>
  <c r="E4035" i="78"/>
  <c r="E4034" i="78"/>
  <c r="E4033" i="78"/>
  <c r="E4032" i="78"/>
  <c r="E4031" i="78"/>
  <c r="E4030" i="78"/>
  <c r="E4029" i="78"/>
  <c r="E4028" i="78"/>
  <c r="E4027" i="78"/>
  <c r="E4026" i="78"/>
  <c r="E4025" i="78"/>
  <c r="E4024" i="78"/>
  <c r="E4023" i="78"/>
  <c r="E4022" i="78"/>
  <c r="E4021" i="78"/>
  <c r="E4020" i="78"/>
  <c r="E4019" i="78"/>
  <c r="E4018" i="78"/>
  <c r="E4017" i="78"/>
  <c r="E4016" i="78"/>
  <c r="E4015" i="78"/>
  <c r="E4014" i="78"/>
  <c r="E4013" i="78"/>
  <c r="E4012" i="78"/>
  <c r="E4011" i="78"/>
  <c r="E4010" i="78"/>
  <c r="E4009" i="78"/>
  <c r="E4008" i="78"/>
  <c r="E4007" i="78"/>
  <c r="E4006" i="78"/>
  <c r="E4005" i="78"/>
  <c r="E4004" i="78"/>
  <c r="E4003" i="78"/>
  <c r="E4002" i="78"/>
  <c r="E4001" i="78"/>
  <c r="E4000" i="78"/>
  <c r="E3999" i="78"/>
  <c r="E3998" i="78"/>
  <c r="E3997" i="78"/>
  <c r="E3996" i="78"/>
  <c r="E3995" i="78"/>
  <c r="E3994" i="78"/>
  <c r="E3993" i="78"/>
  <c r="E3992" i="78"/>
  <c r="E3991" i="78"/>
  <c r="E3990" i="78"/>
  <c r="E3989" i="78"/>
  <c r="E3988" i="78"/>
  <c r="E3987" i="78"/>
  <c r="E3986" i="78"/>
  <c r="E3985" i="78"/>
  <c r="E3984" i="78"/>
  <c r="E3983" i="78"/>
  <c r="E3982" i="78"/>
  <c r="E3981" i="78"/>
  <c r="E3980" i="78"/>
  <c r="E3979" i="78"/>
  <c r="E3978" i="78"/>
  <c r="E3977" i="78"/>
  <c r="E3976" i="78"/>
  <c r="E3975" i="78"/>
  <c r="E3974" i="78"/>
  <c r="E3973" i="78"/>
  <c r="E3972" i="78"/>
  <c r="E3971" i="78"/>
  <c r="E3970" i="78"/>
  <c r="E3969" i="78"/>
  <c r="E3968" i="78"/>
  <c r="E3967" i="78"/>
  <c r="E3966" i="78"/>
  <c r="E3965" i="78"/>
  <c r="E3964" i="78"/>
  <c r="E3963" i="78"/>
  <c r="E3962" i="78"/>
  <c r="E3961" i="78"/>
  <c r="E3960" i="78"/>
  <c r="E3959" i="78"/>
  <c r="E3958" i="78"/>
  <c r="E3957" i="78"/>
  <c r="E3956" i="78"/>
  <c r="E3955" i="78"/>
  <c r="E3954" i="78"/>
  <c r="E3953" i="78"/>
  <c r="E3952" i="78"/>
  <c r="E3951" i="78"/>
  <c r="E3950" i="78"/>
  <c r="E3949" i="78"/>
  <c r="E3948" i="78"/>
  <c r="E3947" i="78"/>
  <c r="E3946" i="78"/>
  <c r="E3945" i="78"/>
  <c r="E3944" i="78"/>
  <c r="E3943" i="78"/>
  <c r="E3942" i="78"/>
  <c r="E3941" i="78"/>
  <c r="E3940" i="78"/>
  <c r="E3939" i="78"/>
  <c r="E3938" i="78"/>
  <c r="E3937" i="78"/>
  <c r="E3936" i="78"/>
  <c r="E3935" i="78"/>
  <c r="E3934" i="78"/>
  <c r="E3933" i="78"/>
  <c r="E3932" i="78"/>
  <c r="E3931" i="78"/>
  <c r="E3930" i="78"/>
  <c r="E3929" i="78"/>
  <c r="E3928" i="78"/>
  <c r="E3927" i="78"/>
  <c r="E3926" i="78"/>
  <c r="E3925" i="78"/>
  <c r="E3924" i="78"/>
  <c r="E3923" i="78"/>
  <c r="E3922" i="78"/>
  <c r="E3921" i="78"/>
  <c r="E3920" i="78"/>
  <c r="E3919" i="78"/>
  <c r="E3918" i="78"/>
  <c r="E3917" i="78"/>
  <c r="E3916" i="78"/>
  <c r="E3915" i="78"/>
  <c r="E3914" i="78"/>
  <c r="E3913" i="78"/>
  <c r="E3912" i="78"/>
  <c r="E3911" i="78"/>
  <c r="E3910" i="78"/>
  <c r="E3909" i="78"/>
  <c r="E3908" i="78"/>
  <c r="E3907" i="78"/>
  <c r="E3906" i="78"/>
  <c r="E3905" i="78"/>
  <c r="E3904" i="78"/>
  <c r="E3903" i="78"/>
  <c r="E3902" i="78"/>
  <c r="E3901" i="78"/>
  <c r="E3900" i="78"/>
  <c r="E3899" i="78"/>
  <c r="E3898" i="78"/>
  <c r="E3897" i="78"/>
  <c r="E3896" i="78"/>
  <c r="E3895" i="78"/>
  <c r="E3894" i="78"/>
  <c r="E3893" i="78"/>
  <c r="E3892" i="78"/>
  <c r="E3891" i="78"/>
  <c r="E3890" i="78"/>
  <c r="E3889" i="78"/>
  <c r="E3888" i="78"/>
  <c r="E3887" i="78"/>
  <c r="E3886" i="78"/>
  <c r="E3885" i="78"/>
  <c r="E3884" i="78"/>
  <c r="E3883" i="78"/>
  <c r="E3882" i="78"/>
  <c r="E3881" i="78"/>
  <c r="E3880" i="78"/>
  <c r="E3879" i="78"/>
  <c r="E3878" i="78"/>
  <c r="E3877" i="78"/>
  <c r="E3876" i="78"/>
  <c r="E3875" i="78"/>
  <c r="E3874" i="78"/>
  <c r="E3873" i="78"/>
  <c r="E3872" i="78"/>
  <c r="E3871" i="78"/>
  <c r="E3870" i="78"/>
  <c r="E3869" i="78"/>
  <c r="E3868" i="78"/>
  <c r="E3867" i="78"/>
  <c r="E3866" i="78"/>
  <c r="E3865" i="78"/>
  <c r="E3864" i="78"/>
  <c r="E3863" i="78"/>
  <c r="E3862" i="78"/>
  <c r="E3861" i="78"/>
  <c r="E3860" i="78"/>
  <c r="E3859" i="78"/>
  <c r="E3858" i="78"/>
  <c r="E3857" i="78"/>
  <c r="E3856" i="78"/>
  <c r="E3855" i="78"/>
  <c r="E3854" i="78"/>
  <c r="E3853" i="78"/>
  <c r="E3852" i="78"/>
  <c r="E3851" i="78"/>
  <c r="E3850" i="78"/>
  <c r="E3849" i="78"/>
  <c r="E3848" i="78"/>
  <c r="E3847" i="78"/>
  <c r="E3846" i="78"/>
  <c r="E3845" i="78"/>
  <c r="E3844" i="78"/>
  <c r="E3843" i="78"/>
  <c r="E3842" i="78"/>
  <c r="E3841" i="78"/>
  <c r="E3840" i="78"/>
  <c r="E3839" i="78"/>
  <c r="E3838" i="78"/>
  <c r="E3837" i="78"/>
  <c r="E3836" i="78"/>
  <c r="E3835" i="78"/>
  <c r="E3834" i="78"/>
  <c r="E3833" i="78"/>
  <c r="E3832" i="78"/>
  <c r="E3831" i="78"/>
  <c r="E3830" i="78"/>
  <c r="E3829" i="78"/>
  <c r="E3828" i="78"/>
  <c r="E3827" i="78"/>
  <c r="E3826" i="78"/>
  <c r="E3825" i="78"/>
  <c r="E3824" i="78"/>
  <c r="E3823" i="78"/>
  <c r="E3822" i="78"/>
  <c r="E3821" i="78"/>
  <c r="E3820" i="78"/>
  <c r="E3819" i="78"/>
  <c r="E3818" i="78"/>
  <c r="E3817" i="78"/>
  <c r="E3816" i="78"/>
  <c r="E3815" i="78"/>
  <c r="E3814" i="78"/>
  <c r="E3813" i="78"/>
  <c r="E3812" i="78"/>
  <c r="E3811" i="78"/>
  <c r="E3810" i="78"/>
  <c r="E3809" i="78"/>
  <c r="E3808" i="78"/>
  <c r="E3807" i="78"/>
  <c r="E3806" i="78"/>
  <c r="E3805" i="78"/>
  <c r="E3804" i="78"/>
  <c r="E3803" i="78"/>
  <c r="E3802" i="78"/>
  <c r="E3801" i="78"/>
  <c r="E3800" i="78"/>
  <c r="E3799" i="78"/>
  <c r="E3798" i="78"/>
  <c r="E3797" i="78"/>
  <c r="E3796" i="78"/>
  <c r="E3795" i="78"/>
  <c r="E3794" i="78"/>
  <c r="E3793" i="78"/>
  <c r="E3792" i="78"/>
  <c r="E3791" i="78"/>
  <c r="E3790" i="78"/>
  <c r="E3789" i="78"/>
  <c r="E3788" i="78"/>
  <c r="E3787" i="78"/>
  <c r="E3786" i="78"/>
  <c r="E3785" i="78"/>
  <c r="E3784" i="78"/>
  <c r="E3783" i="78"/>
  <c r="E3782" i="78"/>
  <c r="E3781" i="78"/>
  <c r="E3780" i="78"/>
  <c r="E3779" i="78"/>
  <c r="E3778" i="78"/>
  <c r="E3777" i="78"/>
  <c r="E3776" i="78"/>
  <c r="E3775" i="78"/>
  <c r="E3774" i="78"/>
  <c r="E3773" i="78"/>
  <c r="E3772" i="78"/>
  <c r="E3771" i="78"/>
  <c r="E3770" i="78"/>
  <c r="E3769" i="78"/>
  <c r="E3768" i="78"/>
  <c r="E3767" i="78"/>
  <c r="E3766" i="78"/>
  <c r="E3765" i="78"/>
  <c r="E3764" i="78"/>
  <c r="E3763" i="78"/>
  <c r="E3762" i="78"/>
  <c r="E3761" i="78"/>
  <c r="E3760" i="78"/>
  <c r="E3759" i="78"/>
  <c r="E3758" i="78"/>
  <c r="E3757" i="78"/>
  <c r="E3756" i="78"/>
  <c r="E3755" i="78"/>
  <c r="E3754" i="78"/>
  <c r="E3753" i="78"/>
  <c r="E3752" i="78"/>
  <c r="E3751" i="78"/>
  <c r="E3750" i="78"/>
  <c r="E3749" i="78"/>
  <c r="E3748" i="78"/>
  <c r="E3747" i="78"/>
  <c r="E3746" i="78"/>
  <c r="E3745" i="78"/>
  <c r="E3744" i="78"/>
  <c r="E3743" i="78"/>
  <c r="E3742" i="78"/>
  <c r="E3741" i="78"/>
  <c r="E3740" i="78"/>
  <c r="E3739" i="78"/>
  <c r="E3738" i="78"/>
  <c r="E3737" i="78"/>
  <c r="E3736" i="78"/>
  <c r="E3735" i="78"/>
  <c r="E3734" i="78"/>
  <c r="E3733" i="78"/>
  <c r="E3732" i="78"/>
  <c r="E3731" i="78"/>
  <c r="E3730" i="78"/>
  <c r="E3729" i="78"/>
  <c r="E3728" i="78"/>
  <c r="E3727" i="78"/>
  <c r="E3726" i="78"/>
  <c r="E3725" i="78"/>
  <c r="E3724" i="78"/>
  <c r="E3723" i="78"/>
  <c r="E3722" i="78"/>
  <c r="E3721" i="78"/>
  <c r="E3720" i="78"/>
  <c r="E3719" i="78"/>
  <c r="E3718" i="78"/>
  <c r="E3717" i="78"/>
  <c r="E3716" i="78"/>
  <c r="E3715" i="78"/>
  <c r="E3714" i="78"/>
  <c r="E3713" i="78"/>
  <c r="E3712" i="78"/>
  <c r="E3711" i="78"/>
  <c r="E3710" i="78"/>
  <c r="E3709" i="78"/>
  <c r="E3708" i="78"/>
  <c r="E3707" i="78"/>
  <c r="E3706" i="78"/>
  <c r="E3705" i="78"/>
  <c r="E3704" i="78"/>
  <c r="E3703" i="78"/>
  <c r="E3702" i="78"/>
  <c r="E3701" i="78"/>
  <c r="E3700" i="78"/>
  <c r="E3699" i="78"/>
  <c r="E3698" i="78"/>
  <c r="E3697" i="78"/>
  <c r="E3696" i="78"/>
  <c r="E3695" i="78"/>
  <c r="E3694" i="78"/>
  <c r="E3693" i="78"/>
  <c r="E3692" i="78"/>
  <c r="E3691" i="78"/>
  <c r="E3690" i="78"/>
  <c r="E3689" i="78"/>
  <c r="E3688" i="78"/>
  <c r="E3687" i="78"/>
  <c r="E3686" i="78"/>
  <c r="E3685" i="78"/>
  <c r="E3684" i="78"/>
  <c r="E3683" i="78"/>
  <c r="E3682" i="78"/>
  <c r="E3681" i="78"/>
  <c r="E3680" i="78"/>
  <c r="E3679" i="78"/>
  <c r="E3678" i="78"/>
  <c r="E3677" i="78"/>
  <c r="E3676" i="78"/>
  <c r="E3675" i="78"/>
  <c r="E3674" i="78"/>
  <c r="E3673" i="78"/>
  <c r="E3672" i="78"/>
  <c r="E3671" i="78"/>
  <c r="E3670" i="78"/>
  <c r="E3669" i="78"/>
  <c r="E3668" i="78"/>
  <c r="E3667" i="78"/>
  <c r="E3666" i="78"/>
  <c r="E3665" i="78"/>
  <c r="E3664" i="78"/>
  <c r="E3663" i="78"/>
  <c r="E3662" i="78"/>
  <c r="E3661" i="78"/>
  <c r="E3660" i="78"/>
  <c r="E3659" i="78"/>
  <c r="E3658" i="78"/>
  <c r="E3657" i="78"/>
  <c r="E3656" i="78"/>
  <c r="E3655" i="78"/>
  <c r="E3654" i="78"/>
  <c r="E3653" i="78"/>
  <c r="E3652" i="78"/>
  <c r="E3651" i="78"/>
  <c r="E3650" i="78"/>
  <c r="E3649" i="78"/>
  <c r="E3648" i="78"/>
  <c r="E3647" i="78"/>
  <c r="E3646" i="78"/>
  <c r="E3645" i="78"/>
  <c r="E3644" i="78"/>
  <c r="E3643" i="78"/>
  <c r="E3642" i="78"/>
  <c r="E3641" i="78"/>
  <c r="E3640" i="78"/>
  <c r="E3639" i="78"/>
  <c r="E3638" i="78"/>
  <c r="E3637" i="78"/>
  <c r="E3636" i="78"/>
  <c r="E3635" i="78"/>
  <c r="E3634" i="78"/>
  <c r="E3633" i="78"/>
  <c r="E3632" i="78"/>
  <c r="E3631" i="78"/>
  <c r="E3630" i="78"/>
  <c r="E3629" i="78"/>
  <c r="E3628" i="78"/>
  <c r="E3627" i="78"/>
  <c r="E3626" i="78"/>
  <c r="E3625" i="78"/>
  <c r="E3624" i="78"/>
  <c r="E3623" i="78"/>
  <c r="E3622" i="78"/>
  <c r="E3621" i="78"/>
  <c r="E3620" i="78"/>
  <c r="E3619" i="78"/>
  <c r="E3618" i="78"/>
  <c r="E3617" i="78"/>
  <c r="E3616" i="78"/>
  <c r="E3615" i="78"/>
  <c r="E3614" i="78"/>
  <c r="E3613" i="78"/>
  <c r="E3612" i="78"/>
  <c r="E3611" i="78"/>
  <c r="E3610" i="78"/>
  <c r="E3609" i="78"/>
  <c r="E3608" i="78"/>
  <c r="E3607" i="78"/>
  <c r="E3606" i="78"/>
  <c r="E3605" i="78"/>
  <c r="E3604" i="78"/>
  <c r="E3603" i="78"/>
  <c r="E3602" i="78"/>
  <c r="E3601" i="78"/>
  <c r="E3600" i="78"/>
  <c r="E3599" i="78"/>
  <c r="E3598" i="78"/>
  <c r="E3597" i="78"/>
  <c r="E3596" i="78"/>
  <c r="E3595" i="78"/>
  <c r="E3594" i="78"/>
  <c r="E3593" i="78"/>
  <c r="E3592" i="78"/>
  <c r="E3591" i="78"/>
  <c r="E3590" i="78"/>
  <c r="E3589" i="78"/>
  <c r="E3588" i="78"/>
  <c r="E3587" i="78"/>
  <c r="E3586" i="78"/>
  <c r="E3585" i="78"/>
  <c r="E3584" i="78"/>
  <c r="E3583" i="78"/>
  <c r="E3582" i="78"/>
  <c r="E3581" i="78"/>
  <c r="E3580" i="78"/>
  <c r="E3579" i="78"/>
  <c r="E3578" i="78"/>
  <c r="E3577" i="78"/>
  <c r="E3576" i="78"/>
  <c r="E3575" i="78"/>
  <c r="E3574" i="78"/>
  <c r="E3573" i="78"/>
  <c r="E3572" i="78"/>
  <c r="E3571" i="78"/>
  <c r="E3570" i="78"/>
  <c r="E3569" i="78"/>
  <c r="E3568" i="78"/>
  <c r="E3567" i="78"/>
  <c r="E3566" i="78"/>
  <c r="E3565" i="78"/>
  <c r="E3564" i="78"/>
  <c r="E3563" i="78"/>
  <c r="E3562" i="78"/>
  <c r="E3561" i="78"/>
  <c r="E3560" i="78"/>
  <c r="E3559" i="78"/>
  <c r="E3558" i="78"/>
  <c r="E3557" i="78"/>
  <c r="E3556" i="78"/>
  <c r="E3555" i="78"/>
  <c r="E3554" i="78"/>
  <c r="E3553" i="78"/>
  <c r="E3552" i="78"/>
  <c r="E3551" i="78"/>
  <c r="E3550" i="78"/>
  <c r="E3549" i="78"/>
  <c r="E3548" i="78"/>
  <c r="E3547" i="78"/>
  <c r="E3546" i="78"/>
  <c r="E3545" i="78"/>
  <c r="E3544" i="78"/>
  <c r="E3543" i="78"/>
  <c r="E3542" i="78"/>
  <c r="E3541" i="78"/>
  <c r="E3540" i="78"/>
  <c r="E3539" i="78"/>
  <c r="E3538" i="78"/>
  <c r="E3537" i="78"/>
  <c r="E3536" i="78"/>
  <c r="E3535" i="78"/>
  <c r="E3534" i="78"/>
  <c r="E3533" i="78"/>
  <c r="E3532" i="78"/>
  <c r="E3531" i="78"/>
  <c r="E3530" i="78"/>
  <c r="E3529" i="78"/>
  <c r="E3528" i="78"/>
  <c r="E3527" i="78"/>
  <c r="E3526" i="78"/>
  <c r="E3525" i="78"/>
  <c r="E3524" i="78"/>
  <c r="E3523" i="78"/>
  <c r="E3522" i="78"/>
  <c r="E3521" i="78"/>
  <c r="E3520" i="78"/>
  <c r="E3519" i="78"/>
  <c r="E3518" i="78"/>
  <c r="E3517" i="78"/>
  <c r="E3516" i="78"/>
  <c r="E3515" i="78"/>
  <c r="E3514" i="78"/>
  <c r="E3513" i="78"/>
  <c r="E3512" i="78"/>
  <c r="E3511" i="78"/>
  <c r="E3510" i="78"/>
  <c r="E3509" i="78"/>
  <c r="E3508" i="78"/>
  <c r="E3507" i="78"/>
  <c r="E3506" i="78"/>
  <c r="E3505" i="78"/>
  <c r="E3504" i="78"/>
  <c r="E3503" i="78"/>
  <c r="E3502" i="78"/>
  <c r="E3501" i="78"/>
  <c r="E3500" i="78"/>
  <c r="E3499" i="78"/>
  <c r="E3498" i="78"/>
  <c r="E3497" i="78"/>
  <c r="E3496" i="78"/>
  <c r="E3495" i="78"/>
  <c r="E3494" i="78"/>
  <c r="E3493" i="78"/>
  <c r="E3492" i="78"/>
  <c r="E3491" i="78"/>
  <c r="E3490" i="78"/>
  <c r="E3489" i="78"/>
  <c r="E3488" i="78"/>
  <c r="E3487" i="78"/>
  <c r="E3486" i="78"/>
  <c r="E3485" i="78"/>
  <c r="E3484" i="78"/>
  <c r="E3483" i="78"/>
  <c r="E3482" i="78"/>
  <c r="E3481" i="78"/>
  <c r="E3480" i="78"/>
  <c r="E3479" i="78"/>
  <c r="E3478" i="78"/>
  <c r="E3477" i="78"/>
  <c r="E3476" i="78"/>
  <c r="E3475" i="78"/>
  <c r="E3474" i="78"/>
  <c r="E3473" i="78"/>
  <c r="E3472" i="78"/>
  <c r="E3471" i="78"/>
  <c r="E3470" i="78"/>
  <c r="E3469" i="78"/>
  <c r="E3468" i="78"/>
  <c r="E3467" i="78"/>
  <c r="E3466" i="78"/>
  <c r="E3465" i="78"/>
  <c r="E3464" i="78"/>
  <c r="E3463" i="78"/>
  <c r="E3462" i="78"/>
  <c r="E3461" i="78"/>
  <c r="E3460" i="78"/>
  <c r="E3459" i="78"/>
  <c r="E3458" i="78"/>
  <c r="E3457" i="78"/>
  <c r="E3456" i="78"/>
  <c r="E3455" i="78"/>
  <c r="E3454" i="78"/>
  <c r="E3453" i="78"/>
  <c r="E3452" i="78"/>
  <c r="E3451" i="78"/>
  <c r="E3450" i="78"/>
  <c r="E3449" i="78"/>
  <c r="E3448" i="78"/>
  <c r="E3447" i="78"/>
  <c r="E3446" i="78"/>
  <c r="E3445" i="78"/>
  <c r="E3444" i="78"/>
  <c r="E3443" i="78"/>
  <c r="E3442" i="78"/>
  <c r="E3441" i="78"/>
  <c r="E3440" i="78"/>
  <c r="E3439" i="78"/>
  <c r="E3438" i="78"/>
  <c r="E3437" i="78"/>
  <c r="E3436" i="78"/>
  <c r="E3435" i="78"/>
  <c r="E3434" i="78"/>
  <c r="E3433" i="78"/>
  <c r="E3432" i="78"/>
  <c r="E3431" i="78"/>
  <c r="E3430" i="78"/>
  <c r="E3429" i="78"/>
  <c r="E3428" i="78"/>
  <c r="E3427" i="78"/>
  <c r="E3426" i="78"/>
  <c r="E3425" i="78"/>
  <c r="E3424" i="78"/>
  <c r="E3423" i="78"/>
  <c r="E3422" i="78"/>
  <c r="E3421" i="78"/>
  <c r="E3420" i="78"/>
  <c r="E3419" i="78"/>
  <c r="E3418" i="78"/>
  <c r="E3417" i="78"/>
  <c r="E3416" i="78"/>
  <c r="E3415" i="78"/>
  <c r="E3414" i="78"/>
  <c r="E3413" i="78"/>
  <c r="E3412" i="78"/>
  <c r="E3411" i="78"/>
  <c r="E3410" i="78"/>
  <c r="E3409" i="78"/>
  <c r="E3408" i="78"/>
  <c r="E3407" i="78"/>
  <c r="E3406" i="78"/>
  <c r="E3405" i="78"/>
  <c r="E3404" i="78"/>
  <c r="E3403" i="78"/>
  <c r="E3402" i="78"/>
  <c r="E3401" i="78"/>
  <c r="E3400" i="78"/>
  <c r="E3399" i="78"/>
  <c r="E3398" i="78"/>
  <c r="E3397" i="78"/>
  <c r="E3396" i="78"/>
  <c r="E3395" i="78"/>
  <c r="E3394" i="78"/>
  <c r="E3393" i="78"/>
  <c r="E3392" i="78"/>
  <c r="E3391" i="78"/>
  <c r="E3390" i="78"/>
  <c r="E3389" i="78"/>
  <c r="E3388" i="78"/>
  <c r="E3387" i="78"/>
  <c r="E3386" i="78"/>
  <c r="E3385" i="78"/>
  <c r="E3384" i="78"/>
  <c r="E3383" i="78"/>
  <c r="E3382" i="78"/>
  <c r="E3381" i="78"/>
  <c r="E3380" i="78"/>
  <c r="E3379" i="78"/>
  <c r="E3378" i="78"/>
  <c r="E3377" i="78"/>
  <c r="E3376" i="78"/>
  <c r="E3375" i="78"/>
  <c r="E3374" i="78"/>
  <c r="E3373" i="78"/>
  <c r="E3372" i="78"/>
  <c r="E3371" i="78"/>
  <c r="E3370" i="78"/>
  <c r="E3369" i="78"/>
  <c r="E3368" i="78"/>
  <c r="E3367" i="78"/>
  <c r="E3366" i="78"/>
  <c r="E3365" i="78"/>
  <c r="E3364" i="78"/>
  <c r="E3363" i="78"/>
  <c r="E3362" i="78"/>
  <c r="E3361" i="78"/>
  <c r="E3360" i="78"/>
  <c r="E3359" i="78"/>
  <c r="E3358" i="78"/>
  <c r="E3357" i="78"/>
  <c r="E3356" i="78"/>
  <c r="E3355" i="78"/>
  <c r="E3354" i="78"/>
  <c r="E3353" i="78"/>
  <c r="E3352" i="78"/>
  <c r="E3351" i="78"/>
  <c r="E3350" i="78"/>
  <c r="E3349" i="78"/>
  <c r="E3348" i="78"/>
  <c r="E3347" i="78"/>
  <c r="E3346" i="78"/>
  <c r="E3345" i="78"/>
  <c r="E3344" i="78"/>
  <c r="E3343" i="78"/>
  <c r="E3342" i="78"/>
  <c r="E3341" i="78"/>
  <c r="E3340" i="78"/>
  <c r="E3339" i="78"/>
  <c r="E3338" i="78"/>
  <c r="E3337" i="78"/>
  <c r="E3336" i="78"/>
  <c r="E3335" i="78"/>
  <c r="E3334" i="78"/>
  <c r="E3333" i="78"/>
  <c r="E3332" i="78"/>
  <c r="E3331" i="78"/>
  <c r="E3330" i="78"/>
  <c r="E3329" i="78"/>
  <c r="E3328" i="78"/>
  <c r="E3327" i="78"/>
  <c r="E3326" i="78"/>
  <c r="E3325" i="78"/>
  <c r="E3324" i="78"/>
  <c r="E3323" i="78"/>
  <c r="E3322" i="78"/>
  <c r="E3321" i="78"/>
  <c r="E3320" i="78"/>
  <c r="E3319" i="78"/>
  <c r="E3318" i="78"/>
  <c r="E3317" i="78"/>
  <c r="E3316" i="78"/>
  <c r="E3315" i="78"/>
  <c r="E3314" i="78"/>
  <c r="E3313" i="78"/>
  <c r="E3312" i="78"/>
  <c r="E3311" i="78"/>
  <c r="E3310" i="78"/>
  <c r="E3309" i="78"/>
  <c r="E3308" i="78"/>
  <c r="E3307" i="78"/>
  <c r="E3306" i="78"/>
  <c r="E3305" i="78"/>
  <c r="E3304" i="78"/>
  <c r="E3303" i="78"/>
  <c r="E3302" i="78"/>
  <c r="E3301" i="78"/>
  <c r="E3300" i="78"/>
  <c r="E3299" i="78"/>
  <c r="E3298" i="78"/>
  <c r="E3297" i="78"/>
  <c r="E3296" i="78"/>
  <c r="E3295" i="78"/>
  <c r="E3294" i="78"/>
  <c r="E3293" i="78"/>
  <c r="E3292" i="78"/>
  <c r="E3291" i="78"/>
  <c r="E3290" i="78"/>
  <c r="E3289" i="78"/>
  <c r="E3288" i="78"/>
  <c r="E3287" i="78"/>
  <c r="E3286" i="78"/>
  <c r="E3285" i="78"/>
  <c r="E3284" i="78"/>
  <c r="E3283" i="78"/>
  <c r="E3282" i="78"/>
  <c r="E3281" i="78"/>
  <c r="E3280" i="78"/>
  <c r="E3279" i="78"/>
  <c r="E3278" i="78"/>
  <c r="E3277" i="78"/>
  <c r="E3276" i="78"/>
  <c r="E3275" i="78"/>
  <c r="E3274" i="78"/>
  <c r="E3273" i="78"/>
  <c r="E3272" i="78"/>
  <c r="E3271" i="78"/>
  <c r="E3270" i="78"/>
  <c r="E3269" i="78"/>
  <c r="E3268" i="78"/>
  <c r="E3267" i="78"/>
  <c r="E3266" i="78"/>
  <c r="E3265" i="78"/>
  <c r="E3264" i="78"/>
  <c r="E3263" i="78"/>
  <c r="E3262" i="78"/>
  <c r="E3261" i="78"/>
  <c r="E3260" i="78"/>
  <c r="E3259" i="78"/>
  <c r="E3258" i="78"/>
  <c r="E3257" i="78"/>
  <c r="E3256" i="78"/>
  <c r="E3255" i="78"/>
  <c r="E3254" i="78"/>
  <c r="E3253" i="78"/>
  <c r="E3252" i="78"/>
  <c r="E3251" i="78"/>
  <c r="E3250" i="78"/>
  <c r="E3249" i="78"/>
  <c r="E3248" i="78"/>
  <c r="E3247" i="78"/>
  <c r="E3246" i="78"/>
  <c r="E3245" i="78"/>
  <c r="E3244" i="78"/>
  <c r="E3243" i="78"/>
  <c r="E3242" i="78"/>
  <c r="E3241" i="78"/>
  <c r="E3240" i="78"/>
  <c r="E3239" i="78"/>
  <c r="E3238" i="78"/>
  <c r="E3237" i="78"/>
  <c r="E3236" i="78"/>
  <c r="E3235" i="78"/>
  <c r="E3234" i="78"/>
  <c r="E3233" i="78"/>
  <c r="E3232" i="78"/>
  <c r="E3231" i="78"/>
  <c r="E3230" i="78"/>
  <c r="E3229" i="78"/>
  <c r="E3228" i="78"/>
  <c r="E3227" i="78"/>
  <c r="E3226" i="78"/>
  <c r="E3225" i="78"/>
  <c r="E3224" i="78"/>
  <c r="E3223" i="78"/>
  <c r="E3222" i="78"/>
  <c r="E3221" i="78"/>
  <c r="E3220" i="78"/>
  <c r="E3219" i="78"/>
  <c r="E3218" i="78"/>
  <c r="E3217" i="78"/>
  <c r="E3216" i="78"/>
  <c r="E3215" i="78"/>
  <c r="E3214" i="78"/>
  <c r="E3213" i="78"/>
  <c r="E3212" i="78"/>
  <c r="E3211" i="78"/>
  <c r="E3210" i="78"/>
  <c r="E3209" i="78"/>
  <c r="E3208" i="78"/>
  <c r="E3207" i="78"/>
  <c r="E3206" i="78"/>
  <c r="E3205" i="78"/>
  <c r="E3204" i="78"/>
  <c r="E3203" i="78"/>
  <c r="E3202" i="78"/>
  <c r="E3201" i="78"/>
  <c r="E3200" i="78"/>
  <c r="E3199" i="78"/>
  <c r="E3198" i="78"/>
  <c r="E3197" i="78"/>
  <c r="E3196" i="78"/>
  <c r="E3195" i="78"/>
  <c r="E3194" i="78"/>
  <c r="E3193" i="78"/>
  <c r="E3192" i="78"/>
  <c r="E3191" i="78"/>
  <c r="E3190" i="78"/>
  <c r="E3189" i="78"/>
  <c r="E3188" i="78"/>
  <c r="E3187" i="78"/>
  <c r="E3186" i="78"/>
  <c r="E3185" i="78"/>
  <c r="E3184" i="78"/>
  <c r="E3183" i="78"/>
  <c r="E3182" i="78"/>
  <c r="E3181" i="78"/>
  <c r="E3180" i="78"/>
  <c r="E3179" i="78"/>
  <c r="E3178" i="78"/>
  <c r="E3177" i="78"/>
  <c r="E3176" i="78"/>
  <c r="E3175" i="78"/>
  <c r="E3174" i="78"/>
  <c r="E3173" i="78"/>
  <c r="E3172" i="78"/>
  <c r="E3171" i="78"/>
  <c r="E3170" i="78"/>
  <c r="E3169" i="78"/>
  <c r="E3168" i="78"/>
  <c r="E3167" i="78"/>
  <c r="E3166" i="78"/>
  <c r="E3165" i="78"/>
  <c r="E3164" i="78"/>
  <c r="E3163" i="78"/>
  <c r="E3162" i="78"/>
  <c r="E3161" i="78"/>
  <c r="E3160" i="78"/>
  <c r="E3159" i="78"/>
  <c r="E3158" i="78"/>
  <c r="E3157" i="78"/>
  <c r="E3156" i="78"/>
  <c r="E3155" i="78"/>
  <c r="E3154" i="78"/>
  <c r="E3153" i="78"/>
  <c r="E3152" i="78"/>
  <c r="E3151" i="78"/>
  <c r="E3150" i="78"/>
  <c r="E3149" i="78"/>
  <c r="E3148" i="78"/>
  <c r="E3147" i="78"/>
  <c r="E3146" i="78"/>
  <c r="E3145" i="78"/>
  <c r="E3144" i="78"/>
  <c r="E3143" i="78"/>
  <c r="E3142" i="78"/>
  <c r="E3141" i="78"/>
  <c r="E3140" i="78"/>
  <c r="E3139" i="78"/>
  <c r="E3138" i="78"/>
  <c r="E3137" i="78"/>
  <c r="E3136" i="78"/>
  <c r="E3135" i="78"/>
  <c r="E3134" i="78"/>
  <c r="E3133" i="78"/>
  <c r="E3132" i="78"/>
  <c r="E3131" i="78"/>
  <c r="E3130" i="78"/>
  <c r="E3129" i="78"/>
  <c r="E3128" i="78"/>
  <c r="E3127" i="78"/>
  <c r="E3126" i="78"/>
  <c r="E3125" i="78"/>
  <c r="E3124" i="78"/>
  <c r="E3123" i="78"/>
  <c r="E3122" i="78"/>
  <c r="E3121" i="78"/>
  <c r="E3120" i="78"/>
  <c r="E3119" i="78"/>
  <c r="E3118" i="78"/>
  <c r="E3117" i="78"/>
  <c r="E3116" i="78"/>
  <c r="E3115" i="78"/>
  <c r="E3114" i="78"/>
  <c r="E3113" i="78"/>
  <c r="E3112" i="78"/>
  <c r="E3111" i="78"/>
  <c r="E3110" i="78"/>
  <c r="E3109" i="78"/>
  <c r="E3108" i="78"/>
  <c r="E3107" i="78"/>
  <c r="E3106" i="78"/>
  <c r="E3105" i="78"/>
  <c r="E3104" i="78"/>
  <c r="E3103" i="78"/>
  <c r="E3102" i="78"/>
  <c r="E3101" i="78"/>
  <c r="E3100" i="78"/>
  <c r="E3099" i="78"/>
  <c r="E3098" i="78"/>
  <c r="E3097" i="78"/>
  <c r="E3096" i="78"/>
  <c r="E3095" i="78"/>
  <c r="E3094" i="78"/>
  <c r="E3093" i="78"/>
  <c r="E3092" i="78"/>
  <c r="E3091" i="78"/>
  <c r="E3090" i="78"/>
  <c r="E3089" i="78"/>
  <c r="E3088" i="78"/>
  <c r="E3087" i="78"/>
  <c r="E3086" i="78"/>
  <c r="E3085" i="78"/>
  <c r="E3084" i="78"/>
  <c r="E3083" i="78"/>
  <c r="E3082" i="78"/>
  <c r="E3081" i="78"/>
  <c r="E3080" i="78"/>
  <c r="E3079" i="78"/>
  <c r="E3078" i="78"/>
  <c r="E3077" i="78"/>
  <c r="E3076" i="78"/>
  <c r="E3075" i="78"/>
  <c r="E3074" i="78"/>
  <c r="E3073" i="78"/>
  <c r="E3072" i="78"/>
  <c r="E3071" i="78"/>
  <c r="E3070" i="78"/>
  <c r="E3069" i="78"/>
  <c r="E3068" i="78"/>
  <c r="E3067" i="78"/>
  <c r="E3066" i="78"/>
  <c r="E3065" i="78"/>
  <c r="E3064" i="78"/>
  <c r="E3063" i="78"/>
  <c r="E3062" i="78"/>
  <c r="E3061" i="78"/>
  <c r="E3060" i="78"/>
  <c r="E3059" i="78"/>
  <c r="E3058" i="78"/>
  <c r="E3057" i="78"/>
  <c r="E3056" i="78"/>
  <c r="E3055" i="78"/>
  <c r="E3054" i="78"/>
  <c r="E3053" i="78"/>
  <c r="E3052" i="78"/>
  <c r="E3051" i="78"/>
  <c r="E3050" i="78"/>
  <c r="E3049" i="78"/>
  <c r="E3048" i="78"/>
  <c r="E3047" i="78"/>
  <c r="E3046" i="78"/>
  <c r="E3045" i="78"/>
  <c r="E3044" i="78"/>
  <c r="E3043" i="78"/>
  <c r="E3042" i="78"/>
  <c r="E3041" i="78"/>
  <c r="E3040" i="78"/>
  <c r="E3039" i="78"/>
  <c r="E3038" i="78"/>
  <c r="E3037" i="78"/>
  <c r="E3036" i="78"/>
  <c r="E3035" i="78"/>
  <c r="E3034" i="78"/>
  <c r="E3033" i="78"/>
  <c r="E3032" i="78"/>
  <c r="E3031" i="78"/>
  <c r="E3030" i="78"/>
  <c r="E3029" i="78"/>
  <c r="E3028" i="78"/>
  <c r="E3027" i="78"/>
  <c r="E3026" i="78"/>
  <c r="E3025" i="78"/>
  <c r="E3024" i="78"/>
  <c r="E3023" i="78"/>
  <c r="E3022" i="78"/>
  <c r="E3021" i="78"/>
  <c r="E3020" i="78"/>
  <c r="E3019" i="78"/>
  <c r="E3018" i="78"/>
  <c r="E3017" i="78"/>
  <c r="E3016" i="78"/>
  <c r="E3015" i="78"/>
  <c r="E3014" i="78"/>
  <c r="E3013" i="78"/>
  <c r="E3012" i="78"/>
  <c r="E3011" i="78"/>
  <c r="E3010" i="78"/>
  <c r="E3009" i="78"/>
  <c r="E3008" i="78"/>
  <c r="E3007" i="78"/>
  <c r="E3006" i="78"/>
  <c r="E3005" i="78"/>
  <c r="E3004" i="78"/>
  <c r="E3003" i="78"/>
  <c r="E3002" i="78"/>
  <c r="E3001" i="78"/>
  <c r="E3000" i="78"/>
  <c r="E2999" i="78"/>
  <c r="E2998" i="78"/>
  <c r="E2997" i="78"/>
  <c r="E2996" i="78"/>
  <c r="E2995" i="78"/>
  <c r="E2994" i="78"/>
  <c r="E2993" i="78"/>
  <c r="E2992" i="78"/>
  <c r="E2991" i="78"/>
  <c r="E2990" i="78"/>
  <c r="E2989" i="78"/>
  <c r="E2988" i="78"/>
  <c r="E2987" i="78"/>
  <c r="E2986" i="78"/>
  <c r="E2985" i="78"/>
  <c r="E2984" i="78"/>
  <c r="E2983" i="78"/>
  <c r="E2982" i="78"/>
  <c r="E2981" i="78"/>
  <c r="E2980" i="78"/>
  <c r="E2979" i="78"/>
  <c r="E2978" i="78"/>
  <c r="E2977" i="78"/>
  <c r="E2976" i="78"/>
  <c r="E2975" i="78"/>
  <c r="E2974" i="78"/>
  <c r="E2973" i="78"/>
  <c r="E2972" i="78"/>
  <c r="E2971" i="78"/>
  <c r="E2970" i="78"/>
  <c r="E2969" i="78"/>
  <c r="E2968" i="78"/>
  <c r="E2967" i="78"/>
  <c r="E2966" i="78"/>
  <c r="E2965" i="78"/>
  <c r="E2964" i="78"/>
  <c r="E2963" i="78"/>
  <c r="E2962" i="78"/>
  <c r="E2961" i="78"/>
  <c r="E2960" i="78"/>
  <c r="E2959" i="78"/>
  <c r="E2958" i="78"/>
  <c r="E2957" i="78"/>
  <c r="E2956" i="78"/>
  <c r="E2955" i="78"/>
  <c r="E2954" i="78"/>
  <c r="E2953" i="78"/>
  <c r="E2952" i="78"/>
  <c r="E2951" i="78"/>
  <c r="E2950" i="78"/>
  <c r="E2949" i="78"/>
  <c r="E2948" i="78"/>
  <c r="E2947" i="78"/>
  <c r="E2946" i="78"/>
  <c r="E2945" i="78"/>
  <c r="E2944" i="78"/>
  <c r="E2943" i="78"/>
  <c r="E2942" i="78"/>
  <c r="E2941" i="78"/>
  <c r="E2940" i="78"/>
  <c r="E2939" i="78"/>
  <c r="E2938" i="78"/>
  <c r="E2937" i="78"/>
  <c r="E2936" i="78"/>
  <c r="E2935" i="78"/>
  <c r="E2934" i="78"/>
  <c r="E2933" i="78"/>
  <c r="E2932" i="78"/>
  <c r="E2931" i="78"/>
  <c r="E2930" i="78"/>
  <c r="E2929" i="78"/>
  <c r="E2928" i="78"/>
  <c r="E2927" i="78"/>
  <c r="E2926" i="78"/>
  <c r="E2925" i="78"/>
  <c r="E2924" i="78"/>
  <c r="E2923" i="78"/>
  <c r="E2922" i="78"/>
  <c r="E2921" i="78"/>
  <c r="E2920" i="78"/>
  <c r="E2919" i="78"/>
  <c r="E2918" i="78"/>
  <c r="E2917" i="78"/>
  <c r="E2916" i="78"/>
  <c r="E2915" i="78"/>
  <c r="E2914" i="78"/>
  <c r="E2913" i="78"/>
  <c r="E2912" i="78"/>
  <c r="E2911" i="78"/>
  <c r="E2910" i="78"/>
  <c r="E2909" i="78"/>
  <c r="E2908" i="78"/>
  <c r="E2907" i="78"/>
  <c r="E2906" i="78"/>
  <c r="E2905" i="78"/>
  <c r="E2904" i="78"/>
  <c r="E2903" i="78"/>
  <c r="E2902" i="78"/>
  <c r="E2901" i="78"/>
  <c r="E2900" i="78"/>
  <c r="E2899" i="78"/>
  <c r="E2898" i="78"/>
  <c r="E2897" i="78"/>
  <c r="E2896" i="78"/>
  <c r="E2895" i="78"/>
  <c r="E2894" i="78"/>
  <c r="E2893" i="78"/>
  <c r="E2892" i="78"/>
  <c r="E2891" i="78"/>
  <c r="E2890" i="78"/>
  <c r="E2889" i="78"/>
  <c r="E2888" i="78"/>
  <c r="E2887" i="78"/>
  <c r="E2886" i="78"/>
  <c r="E2885" i="78"/>
  <c r="E2884" i="78"/>
  <c r="E2883" i="78"/>
  <c r="E2882" i="78"/>
  <c r="E2881" i="78"/>
  <c r="E2880" i="78"/>
  <c r="E2879" i="78"/>
  <c r="E2878" i="78"/>
  <c r="E2877" i="78"/>
  <c r="E2876" i="78"/>
  <c r="E2875" i="78"/>
  <c r="E2874" i="78"/>
  <c r="E2873" i="78"/>
  <c r="E2872" i="78"/>
  <c r="E2871" i="78"/>
  <c r="E2870" i="78"/>
  <c r="E2869" i="78"/>
  <c r="E2868" i="78"/>
  <c r="E2867" i="78"/>
  <c r="E2866" i="78"/>
  <c r="E2865" i="78"/>
  <c r="E2864" i="78"/>
  <c r="E2863" i="78"/>
  <c r="E2862" i="78"/>
  <c r="E2861" i="78"/>
  <c r="E2860" i="78"/>
  <c r="E2859" i="78"/>
  <c r="E2858" i="78"/>
  <c r="E2857" i="78"/>
  <c r="E2856" i="78"/>
  <c r="E2855" i="78"/>
  <c r="E2854" i="78"/>
  <c r="E2853" i="78"/>
  <c r="E2852" i="78"/>
  <c r="E2851" i="78"/>
  <c r="E2850" i="78"/>
  <c r="E2849" i="78"/>
  <c r="E2848" i="78"/>
  <c r="E2847" i="78"/>
  <c r="E2846" i="78"/>
  <c r="E2845" i="78"/>
  <c r="E2844" i="78"/>
  <c r="E2843" i="78"/>
  <c r="E2842" i="78"/>
  <c r="E2841" i="78"/>
  <c r="E2840" i="78"/>
  <c r="E2839" i="78"/>
  <c r="E2838" i="78"/>
  <c r="E2837" i="78"/>
  <c r="E2836" i="78"/>
  <c r="E2835" i="78"/>
  <c r="E2834" i="78"/>
  <c r="E2833" i="78"/>
  <c r="E2832" i="78"/>
  <c r="E2831" i="78"/>
  <c r="E2830" i="78"/>
  <c r="E2829" i="78"/>
  <c r="E2828" i="78"/>
  <c r="E2827" i="78"/>
  <c r="E2826" i="78"/>
  <c r="E2825" i="78"/>
  <c r="E2824" i="78"/>
  <c r="E2823" i="78"/>
  <c r="E2822" i="78"/>
  <c r="E2821" i="78"/>
  <c r="E2820" i="78"/>
  <c r="E2819" i="78"/>
  <c r="E2818" i="78"/>
  <c r="E2817" i="78"/>
  <c r="E2816" i="78"/>
  <c r="E2815" i="78"/>
  <c r="E2814" i="78"/>
  <c r="E2813" i="78"/>
  <c r="E2812" i="78"/>
  <c r="E2811" i="78"/>
  <c r="E2810" i="78"/>
  <c r="E2809" i="78"/>
  <c r="E2808" i="78"/>
  <c r="E2807" i="78"/>
  <c r="E2806" i="78"/>
  <c r="E2805" i="78"/>
  <c r="E2804" i="78"/>
  <c r="E2803" i="78"/>
  <c r="E2802" i="78"/>
  <c r="E2801" i="78"/>
  <c r="E2800" i="78"/>
  <c r="E2799" i="78"/>
  <c r="E2798" i="78"/>
  <c r="E2797" i="78"/>
  <c r="E2796" i="78"/>
  <c r="E2795" i="78"/>
  <c r="E2794" i="78"/>
  <c r="E2793" i="78"/>
  <c r="E2792" i="78"/>
  <c r="E2791" i="78"/>
  <c r="E2790" i="78"/>
  <c r="E2789" i="78"/>
  <c r="E2788" i="78"/>
  <c r="E2787" i="78"/>
  <c r="E2786" i="78"/>
  <c r="E2785" i="78"/>
  <c r="E2784" i="78"/>
  <c r="E2783" i="78"/>
  <c r="E2782" i="78"/>
  <c r="E2781" i="78"/>
  <c r="E2780" i="78"/>
  <c r="E2779" i="78"/>
  <c r="E2778" i="78"/>
  <c r="E2777" i="78"/>
  <c r="E2776" i="78"/>
  <c r="E2775" i="78"/>
  <c r="E2774" i="78"/>
  <c r="E2773" i="78"/>
  <c r="E2772" i="78"/>
  <c r="E2771" i="78"/>
  <c r="E2770" i="78"/>
  <c r="E2769" i="78"/>
  <c r="E2768" i="78"/>
  <c r="E2767" i="78"/>
  <c r="E2766" i="78"/>
  <c r="E2765" i="78"/>
  <c r="E2764" i="78"/>
  <c r="E2763" i="78"/>
  <c r="E2762" i="78"/>
  <c r="E2761" i="78"/>
  <c r="E2760" i="78"/>
  <c r="E2759" i="78"/>
  <c r="E2758" i="78"/>
  <c r="E2757" i="78"/>
  <c r="E2756" i="78"/>
  <c r="E2755" i="78"/>
  <c r="E2754" i="78"/>
  <c r="E2753" i="78"/>
  <c r="E2752" i="78"/>
  <c r="E2751" i="78"/>
  <c r="E2750" i="78"/>
  <c r="E2749" i="78"/>
  <c r="E2748" i="78"/>
  <c r="E2747" i="78"/>
  <c r="E2746" i="78"/>
  <c r="E2745" i="78"/>
  <c r="E2744" i="78"/>
  <c r="E2743" i="78"/>
  <c r="E2742" i="78"/>
  <c r="E2741" i="78"/>
  <c r="E2740" i="78"/>
  <c r="E2739" i="78"/>
  <c r="E2738" i="78"/>
  <c r="E2737" i="78"/>
  <c r="E2736" i="78"/>
  <c r="E2735" i="78"/>
  <c r="E2734" i="78"/>
  <c r="E2733" i="78"/>
  <c r="E2732" i="78"/>
  <c r="E2731" i="78"/>
  <c r="E2730" i="78"/>
  <c r="E2729" i="78"/>
  <c r="E2728" i="78"/>
  <c r="E2727" i="78"/>
  <c r="E2726" i="78"/>
  <c r="E2725" i="78"/>
  <c r="E2724" i="78"/>
  <c r="E2723" i="78"/>
  <c r="E2722" i="78"/>
  <c r="E2721" i="78"/>
  <c r="E2720" i="78"/>
  <c r="E2719" i="78"/>
  <c r="E2718" i="78"/>
  <c r="E2717" i="78"/>
  <c r="E2716" i="78"/>
  <c r="E2715" i="78"/>
  <c r="E2714" i="78"/>
  <c r="E2713" i="78"/>
  <c r="E2712" i="78"/>
  <c r="E2711" i="78"/>
  <c r="E2710" i="78"/>
  <c r="E2709" i="78"/>
  <c r="E2708" i="78"/>
  <c r="E2707" i="78"/>
  <c r="E2706" i="78"/>
  <c r="E2705" i="78"/>
  <c r="E2704" i="78"/>
  <c r="E2703" i="78"/>
  <c r="E2702" i="78"/>
  <c r="E2701" i="78"/>
  <c r="E2700" i="78"/>
  <c r="E2699" i="78"/>
  <c r="E2698" i="78"/>
  <c r="E2697" i="78"/>
  <c r="E2696" i="78"/>
  <c r="E2695" i="78"/>
  <c r="E2694" i="78"/>
  <c r="E2693" i="78"/>
  <c r="E2692" i="78"/>
  <c r="E2691" i="78"/>
  <c r="E2690" i="78"/>
  <c r="E2689" i="78"/>
  <c r="E2688" i="78"/>
  <c r="E2687" i="78"/>
  <c r="E2686" i="78"/>
  <c r="E2685" i="78"/>
  <c r="E2684" i="78"/>
  <c r="E2683" i="78"/>
  <c r="E2682" i="78"/>
  <c r="E2681" i="78"/>
  <c r="E2680" i="78"/>
  <c r="E2679" i="78"/>
  <c r="E2678" i="78"/>
  <c r="E2677" i="78"/>
  <c r="E2676" i="78"/>
  <c r="E2675" i="78"/>
  <c r="E2674" i="78"/>
  <c r="E2673" i="78"/>
  <c r="E2672" i="78"/>
  <c r="E2671" i="78"/>
  <c r="E2670" i="78"/>
  <c r="E2669" i="78"/>
  <c r="E2668" i="78"/>
  <c r="E2667" i="78"/>
  <c r="E2666" i="78"/>
  <c r="E2665" i="78"/>
  <c r="E2664" i="78"/>
  <c r="E2663" i="78"/>
  <c r="E2662" i="78"/>
  <c r="E2661" i="78"/>
  <c r="E2660" i="78"/>
  <c r="E2659" i="78"/>
  <c r="E2658" i="78"/>
  <c r="E2657" i="78"/>
  <c r="E2656" i="78"/>
  <c r="E2655" i="78"/>
  <c r="E2654" i="78"/>
  <c r="E2653" i="78"/>
  <c r="E2652" i="78"/>
  <c r="E2651" i="78"/>
  <c r="E2650" i="78"/>
  <c r="E2649" i="78"/>
  <c r="E2648" i="78"/>
  <c r="E2647" i="78"/>
  <c r="E2646" i="78"/>
  <c r="E2645" i="78"/>
  <c r="E2644" i="78"/>
  <c r="E2643" i="78"/>
  <c r="E2642" i="78"/>
  <c r="E2641" i="78"/>
  <c r="E2640" i="78"/>
  <c r="E2639" i="78"/>
  <c r="E2638" i="78"/>
  <c r="E2637" i="78"/>
  <c r="E2636" i="78"/>
  <c r="E2635" i="78"/>
  <c r="E2634" i="78"/>
  <c r="E2633" i="78"/>
  <c r="E2632" i="78"/>
  <c r="E2631" i="78"/>
  <c r="E2630" i="78"/>
  <c r="E2629" i="78"/>
  <c r="E2628" i="78"/>
  <c r="E2627" i="78"/>
  <c r="E2626" i="78"/>
  <c r="E2625" i="78"/>
  <c r="E2624" i="78"/>
  <c r="E2623" i="78"/>
  <c r="E2622" i="78"/>
  <c r="E2621" i="78"/>
  <c r="E2620" i="78"/>
  <c r="E2619" i="78"/>
  <c r="E2618" i="78"/>
  <c r="E2617" i="78"/>
  <c r="E2616" i="78"/>
  <c r="E2615" i="78"/>
  <c r="E2614" i="78"/>
  <c r="E2613" i="78"/>
  <c r="E2612" i="78"/>
  <c r="E2611" i="78"/>
  <c r="E2610" i="78"/>
  <c r="E2609" i="78"/>
  <c r="E2608" i="78"/>
  <c r="E2607" i="78"/>
  <c r="E2606" i="78"/>
  <c r="E2605" i="78"/>
  <c r="E2604" i="78"/>
  <c r="E2603" i="78"/>
  <c r="E2602" i="78"/>
  <c r="E2601" i="78"/>
  <c r="E2600" i="78"/>
  <c r="E2599" i="78"/>
  <c r="E2598" i="78"/>
  <c r="E2597" i="78"/>
  <c r="E2596" i="78"/>
  <c r="E2595" i="78"/>
  <c r="E2594" i="78"/>
  <c r="E2593" i="78"/>
  <c r="E2592" i="78"/>
  <c r="E2591" i="78"/>
  <c r="E2590" i="78"/>
  <c r="E2589" i="78"/>
  <c r="E2588" i="78"/>
  <c r="E2587" i="78"/>
  <c r="E2586" i="78"/>
  <c r="E2585" i="78"/>
  <c r="E2584" i="78"/>
  <c r="E2583" i="78"/>
  <c r="E2582" i="78"/>
  <c r="E2581" i="78"/>
  <c r="E2580" i="78"/>
  <c r="E2579" i="78"/>
  <c r="E2578" i="78"/>
  <c r="E2577" i="78"/>
  <c r="E2576" i="78"/>
  <c r="E2575" i="78"/>
  <c r="E2574" i="78"/>
  <c r="E2573" i="78"/>
  <c r="E2572" i="78"/>
  <c r="E2571" i="78"/>
  <c r="E2570" i="78"/>
  <c r="E2569" i="78"/>
  <c r="E2568" i="78"/>
  <c r="E2567" i="78"/>
  <c r="E2566" i="78"/>
  <c r="E2565" i="78"/>
  <c r="E2564" i="78"/>
  <c r="E2563" i="78"/>
  <c r="E2562" i="78"/>
  <c r="E2561" i="78"/>
  <c r="E2560" i="78"/>
  <c r="E2559" i="78"/>
  <c r="E2558" i="78"/>
  <c r="E2557" i="78"/>
  <c r="E2556" i="78"/>
  <c r="E2555" i="78"/>
  <c r="E2554" i="78"/>
  <c r="E2553" i="78"/>
  <c r="E2552" i="78"/>
  <c r="E2551" i="78"/>
  <c r="E2550" i="78"/>
  <c r="E2549" i="78"/>
  <c r="E2548" i="78"/>
  <c r="E2547" i="78"/>
  <c r="E2546" i="78"/>
  <c r="E2545" i="78"/>
  <c r="E2544" i="78"/>
  <c r="E2543" i="78"/>
  <c r="E2542" i="78"/>
  <c r="E2541" i="78"/>
  <c r="E2540" i="78"/>
  <c r="E2539" i="78"/>
  <c r="E2538" i="78"/>
  <c r="E2537" i="78"/>
  <c r="E2536" i="78"/>
  <c r="E2535" i="78"/>
  <c r="E2534" i="78"/>
  <c r="E2533" i="78"/>
  <c r="E2532" i="78"/>
  <c r="E2531" i="78"/>
  <c r="E2530" i="78"/>
  <c r="E2529" i="78"/>
  <c r="E2528" i="78"/>
  <c r="E2527" i="78"/>
  <c r="E2526" i="78"/>
  <c r="E2525" i="78"/>
  <c r="E2524" i="78"/>
  <c r="E2523" i="78"/>
  <c r="E2522" i="78"/>
  <c r="E2521" i="78"/>
  <c r="E2520" i="78"/>
  <c r="E2519" i="78"/>
  <c r="E2518" i="78"/>
  <c r="E2517" i="78"/>
  <c r="E2516" i="78"/>
  <c r="E2515" i="78"/>
  <c r="E2514" i="78"/>
  <c r="E2513" i="78"/>
  <c r="E2512" i="78"/>
  <c r="E2511" i="78"/>
  <c r="E2510" i="78"/>
  <c r="E2509" i="78"/>
  <c r="E2508" i="78"/>
  <c r="E2507" i="78"/>
  <c r="E2506" i="78"/>
  <c r="E2505" i="78"/>
  <c r="E2504" i="78"/>
  <c r="E2503" i="78"/>
  <c r="E2502" i="78"/>
  <c r="E2501" i="78"/>
  <c r="E2500" i="78"/>
  <c r="E2499" i="78"/>
  <c r="E2498" i="78"/>
  <c r="E2497" i="78"/>
  <c r="E2496" i="78"/>
  <c r="E2495" i="78"/>
  <c r="E2494" i="78"/>
  <c r="E2493" i="78"/>
  <c r="E2492" i="78"/>
  <c r="E2491" i="78"/>
  <c r="E2490" i="78"/>
  <c r="E2489" i="78"/>
  <c r="E2488" i="78"/>
  <c r="E2487" i="78"/>
  <c r="E2486" i="78"/>
  <c r="E2485" i="78"/>
  <c r="E2484" i="78"/>
  <c r="E2483" i="78"/>
  <c r="E2482" i="78"/>
  <c r="E2481" i="78"/>
  <c r="E2480" i="78"/>
  <c r="E2479" i="78"/>
  <c r="E2478" i="78"/>
  <c r="E2477" i="78"/>
  <c r="E2476" i="78"/>
  <c r="E2475" i="78"/>
  <c r="E2474" i="78"/>
  <c r="E2473" i="78"/>
  <c r="E2472" i="78"/>
  <c r="E2471" i="78"/>
  <c r="E2470" i="78"/>
  <c r="E2469" i="78"/>
  <c r="E2468" i="78"/>
  <c r="E2467" i="78"/>
  <c r="E2466" i="78"/>
  <c r="E2465" i="78"/>
  <c r="E2464" i="78"/>
  <c r="E2463" i="78"/>
  <c r="E2462" i="78"/>
  <c r="E2461" i="78"/>
  <c r="E2460" i="78"/>
  <c r="E2459" i="78"/>
  <c r="E2458" i="78"/>
  <c r="E2457" i="78"/>
  <c r="E2456" i="78"/>
  <c r="E2455" i="78"/>
  <c r="E2454" i="78"/>
  <c r="E2453" i="78"/>
  <c r="E2452" i="78"/>
  <c r="E2451" i="78"/>
  <c r="E2450" i="78"/>
  <c r="E2449" i="78"/>
  <c r="E2448" i="78"/>
  <c r="E2447" i="78"/>
  <c r="E2446" i="78"/>
  <c r="E2445" i="78"/>
  <c r="E2444" i="78"/>
  <c r="E2443" i="78"/>
  <c r="E2442" i="78"/>
  <c r="E2441" i="78"/>
  <c r="E2440" i="78"/>
  <c r="E2439" i="78"/>
  <c r="E2438" i="78"/>
  <c r="E2437" i="78"/>
  <c r="E2436" i="78"/>
  <c r="E2435" i="78"/>
  <c r="E2434" i="78"/>
  <c r="E2433" i="78"/>
  <c r="E2432" i="78"/>
  <c r="E2431" i="78"/>
  <c r="E2430" i="78"/>
  <c r="E2429" i="78"/>
  <c r="E2428" i="78"/>
  <c r="E2427" i="78"/>
  <c r="E2426" i="78"/>
  <c r="E2425" i="78"/>
  <c r="E2424" i="78"/>
  <c r="E2423" i="78"/>
  <c r="E2422" i="78"/>
  <c r="E2421" i="78"/>
  <c r="E2420" i="78"/>
  <c r="E2419" i="78"/>
  <c r="E2418" i="78"/>
  <c r="E2417" i="78"/>
  <c r="E2416" i="78"/>
  <c r="E2415" i="78"/>
  <c r="E2414" i="78"/>
  <c r="E2413" i="78"/>
  <c r="E2412" i="78"/>
  <c r="E2411" i="78"/>
  <c r="E2410" i="78"/>
  <c r="E2409" i="78"/>
  <c r="E2408" i="78"/>
  <c r="E2407" i="78"/>
  <c r="E2406" i="78"/>
  <c r="E2405" i="78"/>
  <c r="E2404" i="78"/>
  <c r="E2403" i="78"/>
  <c r="E2402" i="78"/>
  <c r="E2401" i="78"/>
  <c r="E2400" i="78"/>
  <c r="E2399" i="78"/>
  <c r="E2398" i="78"/>
  <c r="E2397" i="78"/>
  <c r="E2396" i="78"/>
  <c r="E2395" i="78"/>
  <c r="E2394" i="78"/>
  <c r="E2393" i="78"/>
  <c r="E2392" i="78"/>
  <c r="E2391" i="78"/>
  <c r="E2390" i="78"/>
  <c r="E2389" i="78"/>
  <c r="E2388" i="78"/>
  <c r="E2387" i="78"/>
  <c r="E2386" i="78"/>
  <c r="E2385" i="78"/>
  <c r="E2384" i="78"/>
  <c r="E2383" i="78"/>
  <c r="E2382" i="78"/>
  <c r="E2381" i="78"/>
  <c r="E2380" i="78"/>
  <c r="E2379" i="78"/>
  <c r="E2378" i="78"/>
  <c r="E2377" i="78"/>
  <c r="E2376" i="78"/>
  <c r="E2375" i="78"/>
  <c r="E2374" i="78"/>
  <c r="E2373" i="78"/>
  <c r="E2372" i="78"/>
  <c r="E2371" i="78"/>
  <c r="E2370" i="78"/>
  <c r="E2369" i="78"/>
  <c r="E2368" i="78"/>
  <c r="E2367" i="78"/>
  <c r="E2366" i="78"/>
  <c r="E2365" i="78"/>
  <c r="E2364" i="78"/>
  <c r="E2363" i="78"/>
  <c r="E2362" i="78"/>
  <c r="E2361" i="78"/>
  <c r="E2360" i="78"/>
  <c r="E2359" i="78"/>
  <c r="E2358" i="78"/>
  <c r="E2357" i="78"/>
  <c r="E2356" i="78"/>
  <c r="E2355" i="78"/>
  <c r="E2354" i="78"/>
  <c r="E2353" i="78"/>
  <c r="E2352" i="78"/>
  <c r="E2351" i="78"/>
  <c r="E2350" i="78"/>
  <c r="E2349" i="78"/>
  <c r="E2348" i="78"/>
  <c r="E2347" i="78"/>
  <c r="E2346" i="78"/>
  <c r="E2345" i="78"/>
  <c r="E2344" i="78"/>
  <c r="E2343" i="78"/>
  <c r="E2342" i="78"/>
  <c r="E2341" i="78"/>
  <c r="E2340" i="78"/>
  <c r="E2339" i="78"/>
  <c r="E2338" i="78"/>
  <c r="E2337" i="78"/>
  <c r="E2336" i="78"/>
  <c r="E2335" i="78"/>
  <c r="E2334" i="78"/>
  <c r="E2333" i="78"/>
  <c r="E2332" i="78"/>
  <c r="E2331" i="78"/>
  <c r="E2330" i="78"/>
  <c r="E2329" i="78"/>
  <c r="E2328" i="78"/>
  <c r="E2327" i="78"/>
  <c r="E2326" i="78"/>
  <c r="E2325" i="78"/>
  <c r="E2324" i="78"/>
  <c r="E2323" i="78"/>
  <c r="E2322" i="78"/>
  <c r="E2321" i="78"/>
  <c r="E2320" i="78"/>
  <c r="E2319" i="78"/>
  <c r="E2318" i="78"/>
  <c r="E2317" i="78"/>
  <c r="E2316" i="78"/>
  <c r="E2315" i="78"/>
  <c r="E2314" i="78"/>
  <c r="E2313" i="78"/>
  <c r="E2312" i="78"/>
  <c r="E2311" i="78"/>
  <c r="E2310" i="78"/>
  <c r="E2309" i="78"/>
  <c r="E2308" i="78"/>
  <c r="E2307" i="78"/>
  <c r="E2306" i="78"/>
  <c r="E2305" i="78"/>
  <c r="E2304" i="78"/>
  <c r="E2303" i="78"/>
  <c r="E2302" i="78"/>
  <c r="E2301" i="78"/>
  <c r="E2300" i="78"/>
  <c r="E2299" i="78"/>
  <c r="E2298" i="78"/>
  <c r="E2297" i="78"/>
  <c r="E2296" i="78"/>
  <c r="E2295" i="78"/>
  <c r="E2294" i="78"/>
  <c r="E2293" i="78"/>
  <c r="E2292" i="78"/>
  <c r="E2291" i="78"/>
  <c r="E2290" i="78"/>
  <c r="E2289" i="78"/>
  <c r="E2288" i="78"/>
  <c r="E2287" i="78"/>
  <c r="E2286" i="78"/>
  <c r="E2285" i="78"/>
  <c r="E2284" i="78"/>
  <c r="E2283" i="78"/>
  <c r="E2282" i="78"/>
  <c r="E2281" i="78"/>
  <c r="E2280" i="78"/>
  <c r="E2279" i="78"/>
  <c r="E2278" i="78"/>
  <c r="E2277" i="78"/>
  <c r="E2276" i="78"/>
  <c r="E2275" i="78"/>
  <c r="E2274" i="78"/>
  <c r="E2273" i="78"/>
  <c r="E2272" i="78"/>
  <c r="E2271" i="78"/>
  <c r="E2270" i="78"/>
  <c r="E2269" i="78"/>
  <c r="E2268" i="78"/>
  <c r="E2267" i="78"/>
  <c r="E2266" i="78"/>
  <c r="E2265" i="78"/>
  <c r="E2264" i="78"/>
  <c r="E2263" i="78"/>
  <c r="E2262" i="78"/>
  <c r="E2261" i="78"/>
  <c r="E2260" i="78"/>
  <c r="E2259" i="78"/>
  <c r="E2258" i="78"/>
  <c r="E2257" i="78"/>
  <c r="E2256" i="78"/>
  <c r="E2255" i="78"/>
  <c r="E2254" i="78"/>
  <c r="E2253" i="78"/>
  <c r="E2252" i="78"/>
  <c r="E2251" i="78"/>
  <c r="E2250" i="78"/>
  <c r="E2249" i="78"/>
  <c r="E2248" i="78"/>
  <c r="E2247" i="78"/>
  <c r="E2246" i="78"/>
  <c r="E2245" i="78"/>
  <c r="E2244" i="78"/>
  <c r="E2243" i="78"/>
  <c r="E2242" i="78"/>
  <c r="E2241" i="78"/>
  <c r="E2240" i="78"/>
  <c r="E2239" i="78"/>
  <c r="E2238" i="78"/>
  <c r="E2237" i="78"/>
  <c r="E2236" i="78"/>
  <c r="E2235" i="78"/>
  <c r="E2234" i="78"/>
  <c r="E2233" i="78"/>
  <c r="E2232" i="78"/>
  <c r="E2231" i="78"/>
  <c r="E2230" i="78"/>
  <c r="E2229" i="78"/>
  <c r="E2228" i="78"/>
  <c r="E2227" i="78"/>
  <c r="E2226" i="78"/>
  <c r="E2225" i="78"/>
  <c r="E2224" i="78"/>
  <c r="E2223" i="78"/>
  <c r="E2222" i="78"/>
  <c r="E2221" i="78"/>
  <c r="E2220" i="78"/>
  <c r="E2219" i="78"/>
  <c r="E2218" i="78"/>
  <c r="E2217" i="78"/>
  <c r="E2216" i="78"/>
  <c r="E2215" i="78"/>
  <c r="E2214" i="78"/>
  <c r="E2213" i="78"/>
  <c r="E2212" i="78"/>
  <c r="E2211" i="78"/>
  <c r="E2210" i="78"/>
  <c r="E2209" i="78"/>
  <c r="E2208" i="78"/>
  <c r="E2207" i="78"/>
  <c r="E2206" i="78"/>
  <c r="E2205" i="78"/>
  <c r="E2204" i="78"/>
  <c r="E2203" i="78"/>
  <c r="E2202" i="78"/>
  <c r="E2201" i="78"/>
  <c r="E2200" i="78"/>
  <c r="E2199" i="78"/>
  <c r="E2198" i="78"/>
  <c r="E2197" i="78"/>
  <c r="E2196" i="78"/>
  <c r="E2195" i="78"/>
  <c r="E2194" i="78"/>
  <c r="E2193" i="78"/>
  <c r="E2192" i="78"/>
  <c r="E2191" i="78"/>
  <c r="E2190" i="78"/>
  <c r="E2189" i="78"/>
  <c r="E2188" i="78"/>
  <c r="E2187" i="78"/>
  <c r="E2186" i="78"/>
  <c r="E2185" i="78"/>
  <c r="E2184" i="78"/>
  <c r="E2183" i="78"/>
  <c r="E2182" i="78"/>
  <c r="E2181" i="78"/>
  <c r="E2180" i="78"/>
  <c r="E2179" i="78"/>
  <c r="E2178" i="78"/>
  <c r="E2177" i="78"/>
  <c r="E2176" i="78"/>
  <c r="E2175" i="78"/>
  <c r="E2174" i="78"/>
  <c r="E2173" i="78"/>
  <c r="E2172" i="78"/>
  <c r="E2171" i="78"/>
  <c r="E2170" i="78"/>
  <c r="E2169" i="78"/>
  <c r="E2168" i="78"/>
  <c r="E2167" i="78"/>
  <c r="E2166" i="78"/>
  <c r="E2165" i="78"/>
  <c r="E2164" i="78"/>
  <c r="E2163" i="78"/>
  <c r="E2162" i="78"/>
  <c r="E2161" i="78"/>
  <c r="E2160" i="78"/>
  <c r="E2159" i="78"/>
  <c r="E2158" i="78"/>
  <c r="E2157" i="78"/>
  <c r="E2156" i="78"/>
  <c r="E2155" i="78"/>
  <c r="E2154" i="78"/>
  <c r="E2153" i="78"/>
  <c r="E2152" i="78"/>
  <c r="E2151" i="78"/>
  <c r="E2150" i="78"/>
  <c r="E2149" i="78"/>
  <c r="E2148" i="78"/>
  <c r="E2147" i="78"/>
  <c r="E2146" i="78"/>
  <c r="E2145" i="78"/>
  <c r="E2144" i="78"/>
  <c r="E2143" i="78"/>
  <c r="E2142" i="78"/>
  <c r="E2141" i="78"/>
  <c r="E2140" i="78"/>
  <c r="E2139" i="78"/>
  <c r="E2138" i="78"/>
  <c r="E2137" i="78"/>
  <c r="E2136" i="78"/>
  <c r="E2135" i="78"/>
  <c r="E2134" i="78"/>
  <c r="E2133" i="78"/>
  <c r="E2132" i="78"/>
  <c r="E2131" i="78"/>
  <c r="E2130" i="78"/>
  <c r="E2129" i="78"/>
  <c r="E2128" i="78"/>
  <c r="E2127" i="78"/>
  <c r="E2126" i="78"/>
  <c r="E2125" i="78"/>
  <c r="E2124" i="78"/>
  <c r="E2123" i="78"/>
  <c r="E2122" i="78"/>
  <c r="E2121" i="78"/>
  <c r="E2120" i="78"/>
  <c r="E2119" i="78"/>
  <c r="E2118" i="78"/>
  <c r="E2117" i="78"/>
  <c r="E2116" i="78"/>
  <c r="E2115" i="78"/>
  <c r="E2114" i="78"/>
  <c r="E2113" i="78"/>
  <c r="E2112" i="78"/>
  <c r="E2111" i="78"/>
  <c r="E2110" i="78"/>
  <c r="E2109" i="78"/>
  <c r="E2108" i="78"/>
  <c r="E2107" i="78"/>
  <c r="E2106" i="78"/>
  <c r="E2105" i="78"/>
  <c r="E2104" i="78"/>
  <c r="E2103" i="78"/>
  <c r="E2102" i="78"/>
  <c r="E2101" i="78"/>
  <c r="E2100" i="78"/>
  <c r="E2099" i="78"/>
  <c r="E2098" i="78"/>
  <c r="E2097" i="78"/>
  <c r="E2096" i="78"/>
  <c r="E2095" i="78"/>
  <c r="E2094" i="78"/>
  <c r="E2093" i="78"/>
  <c r="E2092" i="78"/>
  <c r="E2091" i="78"/>
  <c r="E2090" i="78"/>
  <c r="E2089" i="78"/>
  <c r="E2088" i="78"/>
  <c r="E2087" i="78"/>
  <c r="E2086" i="78"/>
  <c r="E2085" i="78"/>
  <c r="E2084" i="78"/>
  <c r="E2083" i="78"/>
  <c r="E2082" i="78"/>
  <c r="E2081" i="78"/>
  <c r="E2080" i="78"/>
  <c r="E2079" i="78"/>
  <c r="E2078" i="78"/>
  <c r="E2077" i="78"/>
  <c r="E2076" i="78"/>
  <c r="E2075" i="78"/>
  <c r="E2074" i="78"/>
  <c r="E2073" i="78"/>
  <c r="E2072" i="78"/>
  <c r="E2071" i="78"/>
  <c r="E2070" i="78"/>
  <c r="E2069" i="78"/>
  <c r="E2068" i="78"/>
  <c r="E2067" i="78"/>
  <c r="E2066" i="78"/>
  <c r="E2065" i="78"/>
  <c r="E2064" i="78"/>
  <c r="E2063" i="78"/>
  <c r="E2062" i="78"/>
  <c r="E2061" i="78"/>
  <c r="E2060" i="78"/>
  <c r="E2059" i="78"/>
  <c r="E2058" i="78"/>
  <c r="E2057" i="78"/>
  <c r="E2056" i="78"/>
  <c r="E2055" i="78"/>
  <c r="E2054" i="78"/>
  <c r="E2053" i="78"/>
  <c r="E2052" i="78"/>
  <c r="E2051" i="78"/>
  <c r="E2050" i="78"/>
  <c r="E2049" i="78"/>
  <c r="E2048" i="78"/>
  <c r="E2047" i="78"/>
  <c r="E2046" i="78"/>
  <c r="E2045" i="78"/>
  <c r="E2044" i="78"/>
  <c r="E2043" i="78"/>
  <c r="E2042" i="78"/>
  <c r="E2041" i="78"/>
  <c r="E2040" i="78"/>
  <c r="E2039" i="78"/>
  <c r="E2038" i="78"/>
  <c r="E2037" i="78"/>
  <c r="E2036" i="78"/>
  <c r="E2035" i="78"/>
  <c r="E2034" i="78"/>
  <c r="E2033" i="78"/>
  <c r="E2032" i="78"/>
  <c r="E2031" i="78"/>
  <c r="E2030" i="78"/>
  <c r="E2029" i="78"/>
  <c r="E2028" i="78"/>
  <c r="E2027" i="78"/>
  <c r="E2026" i="78"/>
  <c r="E2025" i="78"/>
  <c r="E2024" i="78"/>
  <c r="E2023" i="78"/>
  <c r="E2022" i="78"/>
  <c r="E2021" i="78"/>
  <c r="E2020" i="78"/>
  <c r="E2019" i="78"/>
  <c r="E2018" i="78"/>
  <c r="E2017" i="78"/>
  <c r="E2016" i="78"/>
  <c r="E2015" i="78"/>
  <c r="E2014" i="78"/>
  <c r="E2013" i="78"/>
  <c r="E2012" i="78"/>
  <c r="E2011" i="78"/>
  <c r="E2010" i="78"/>
  <c r="E2009" i="78"/>
  <c r="E2008" i="78"/>
  <c r="E2007" i="78"/>
  <c r="E2006" i="78"/>
  <c r="E2005" i="78"/>
  <c r="E2004" i="78"/>
  <c r="E2003" i="78"/>
  <c r="E2002" i="78"/>
  <c r="E2001" i="78"/>
  <c r="E2000" i="78"/>
  <c r="E1999" i="78"/>
  <c r="E1998" i="78"/>
  <c r="E1997" i="78"/>
  <c r="E1996" i="78"/>
  <c r="E1995" i="78"/>
  <c r="E1994" i="78"/>
  <c r="E1993" i="78"/>
  <c r="E1992" i="78"/>
  <c r="E1991" i="78"/>
  <c r="E1990" i="78"/>
  <c r="E1989" i="78"/>
  <c r="E1988" i="78"/>
  <c r="E1987" i="78"/>
  <c r="E1986" i="78"/>
  <c r="E1985" i="78"/>
  <c r="E1984" i="78"/>
  <c r="E1983" i="78"/>
  <c r="E1982" i="78"/>
  <c r="E1981" i="78"/>
  <c r="E1980" i="78"/>
  <c r="E1979" i="78"/>
  <c r="E1978" i="78"/>
  <c r="E1977" i="78"/>
  <c r="E1976" i="78"/>
  <c r="E1975" i="78"/>
  <c r="E1974" i="78"/>
  <c r="E1973" i="78"/>
  <c r="E1972" i="78"/>
  <c r="E1971" i="78"/>
  <c r="E1970" i="78"/>
  <c r="E1969" i="78"/>
  <c r="E1968" i="78"/>
  <c r="E1967" i="78"/>
  <c r="E1966" i="78"/>
  <c r="E1965" i="78"/>
  <c r="E1964" i="78"/>
  <c r="E1963" i="78"/>
  <c r="E1962" i="78"/>
  <c r="E1961" i="78"/>
  <c r="E1960" i="78"/>
  <c r="E1959" i="78"/>
  <c r="E1958" i="78"/>
  <c r="E1957" i="78"/>
  <c r="E1956" i="78"/>
  <c r="E1955" i="78"/>
  <c r="E1954" i="78"/>
  <c r="E1953" i="78"/>
  <c r="E1952" i="78"/>
  <c r="E1951" i="78"/>
  <c r="E1950" i="78"/>
  <c r="E1949" i="78"/>
  <c r="E1948" i="78"/>
  <c r="E1947" i="78"/>
  <c r="E1946" i="78"/>
  <c r="E1945" i="78"/>
  <c r="E1944" i="78"/>
  <c r="E1943" i="78"/>
  <c r="E1942" i="78"/>
  <c r="E1941" i="78"/>
  <c r="E1940" i="78"/>
  <c r="E1939" i="78"/>
  <c r="E1938" i="78"/>
  <c r="E1937" i="78"/>
  <c r="E1936" i="78"/>
  <c r="E1935" i="78"/>
  <c r="E1934" i="78"/>
  <c r="E1933" i="78"/>
  <c r="E1932" i="78"/>
  <c r="E1931" i="78"/>
  <c r="E1930" i="78"/>
  <c r="E1929" i="78"/>
  <c r="E1928" i="78"/>
  <c r="E1927" i="78"/>
  <c r="E1926" i="78"/>
  <c r="E1925" i="78"/>
  <c r="E1924" i="78"/>
  <c r="E1923" i="78"/>
  <c r="E1922" i="78"/>
  <c r="E1921" i="78"/>
  <c r="E1920" i="78"/>
  <c r="E1919" i="78"/>
  <c r="E1918" i="78"/>
  <c r="E1917" i="78"/>
  <c r="E1916" i="78"/>
  <c r="E1915" i="78"/>
  <c r="E1914" i="78"/>
  <c r="E1913" i="78"/>
  <c r="E1912" i="78"/>
  <c r="E1911" i="78"/>
  <c r="E1910" i="78"/>
  <c r="E1909" i="78"/>
  <c r="E1908" i="78"/>
  <c r="E1907" i="78"/>
  <c r="E1906" i="78"/>
  <c r="E1905" i="78"/>
  <c r="E1904" i="78"/>
  <c r="E1903" i="78"/>
  <c r="E1902" i="78"/>
  <c r="E1901" i="78"/>
  <c r="E1900" i="78"/>
  <c r="E1899" i="78"/>
  <c r="E1898" i="78"/>
  <c r="E1897" i="78"/>
  <c r="E1896" i="78"/>
  <c r="E1895" i="78"/>
  <c r="E1894" i="78"/>
  <c r="E1893" i="78"/>
  <c r="E1892" i="78"/>
  <c r="E1891" i="78"/>
  <c r="E1890" i="78"/>
  <c r="E1889" i="78"/>
  <c r="E1888" i="78"/>
  <c r="E1887" i="78"/>
  <c r="E1886" i="78"/>
  <c r="E1885" i="78"/>
  <c r="E1884" i="78"/>
  <c r="E1883" i="78"/>
  <c r="E1882" i="78"/>
  <c r="E1881" i="78"/>
  <c r="E1880" i="78"/>
  <c r="E1879" i="78"/>
  <c r="E1878" i="78"/>
  <c r="E1877" i="78"/>
  <c r="E1876" i="78"/>
  <c r="E1875" i="78"/>
  <c r="E1874" i="78"/>
  <c r="E1873" i="78"/>
  <c r="E1872" i="78"/>
  <c r="E1871" i="78"/>
  <c r="E1870" i="78"/>
  <c r="E1869" i="78"/>
  <c r="E1868" i="78"/>
  <c r="E1867" i="78"/>
  <c r="E1866" i="78"/>
  <c r="E1865" i="78"/>
  <c r="E1864" i="78"/>
  <c r="E1863" i="78"/>
  <c r="E1862" i="78"/>
  <c r="E1861" i="78"/>
  <c r="E1860" i="78"/>
  <c r="E1859" i="78"/>
  <c r="E1858" i="78"/>
  <c r="E1857" i="78"/>
  <c r="E1856" i="78"/>
  <c r="E1855" i="78"/>
  <c r="E1854" i="78"/>
  <c r="E1853" i="78"/>
  <c r="E1852" i="78"/>
  <c r="E1851" i="78"/>
  <c r="E1850" i="78"/>
  <c r="E1849" i="78"/>
  <c r="E1848" i="78"/>
  <c r="E1847" i="78"/>
  <c r="E1846" i="78"/>
  <c r="E1845" i="78"/>
  <c r="E1844" i="78"/>
  <c r="E1843" i="78"/>
  <c r="E1842" i="78"/>
  <c r="E1841" i="78"/>
  <c r="E1840" i="78"/>
  <c r="E1839" i="78"/>
  <c r="E1838" i="78"/>
  <c r="E1837" i="78"/>
  <c r="E1836" i="78"/>
  <c r="E1835" i="78"/>
  <c r="E1834" i="78"/>
  <c r="E1833" i="78"/>
  <c r="E1832" i="78"/>
  <c r="E1831" i="78"/>
  <c r="E1830" i="78"/>
  <c r="E1829" i="78"/>
  <c r="E1828" i="78"/>
  <c r="E1827" i="78"/>
  <c r="E1826" i="78"/>
  <c r="E1825" i="78"/>
  <c r="E1824" i="78"/>
  <c r="E1823" i="78"/>
  <c r="E1822" i="78"/>
  <c r="E1821" i="78"/>
  <c r="E1820" i="78"/>
  <c r="E1819" i="78"/>
  <c r="E1818" i="78"/>
  <c r="E1817" i="78"/>
  <c r="E1816" i="78"/>
  <c r="E1815" i="78"/>
  <c r="E1814" i="78"/>
  <c r="E1813" i="78"/>
  <c r="E1812" i="78"/>
  <c r="E1811" i="78"/>
  <c r="E1810" i="78"/>
  <c r="E1809" i="78"/>
  <c r="E1808" i="78"/>
  <c r="E1807" i="78"/>
  <c r="E1806" i="78"/>
  <c r="E1805" i="78"/>
  <c r="E1804" i="78"/>
  <c r="E1803" i="78"/>
  <c r="E1802" i="78"/>
  <c r="E1801" i="78"/>
  <c r="E1800" i="78"/>
  <c r="E1799" i="78"/>
  <c r="E1798" i="78"/>
  <c r="E1797" i="78"/>
  <c r="E1796" i="78"/>
  <c r="E1795" i="78"/>
  <c r="E1794" i="78"/>
  <c r="E1793" i="78"/>
  <c r="E1792" i="78"/>
  <c r="E1791" i="78"/>
  <c r="E1790" i="78"/>
  <c r="E1789" i="78"/>
  <c r="E1788" i="78"/>
  <c r="E1787" i="78"/>
  <c r="E1786" i="78"/>
  <c r="E1785" i="78"/>
  <c r="E1784" i="78"/>
  <c r="E1783" i="78"/>
  <c r="E1782" i="78"/>
  <c r="E1781" i="78"/>
  <c r="E1780" i="78"/>
  <c r="E1779" i="78"/>
  <c r="E1778" i="78"/>
  <c r="E1777" i="78"/>
  <c r="E1776" i="78"/>
  <c r="E1775" i="78"/>
  <c r="E1774" i="78"/>
  <c r="E1773" i="78"/>
  <c r="E1772" i="78"/>
  <c r="E1771" i="78"/>
  <c r="E1770" i="78"/>
  <c r="E1769" i="78"/>
  <c r="E1768" i="78"/>
  <c r="E1767" i="78"/>
  <c r="E1766" i="78"/>
  <c r="E1765" i="78"/>
  <c r="E1764" i="78"/>
  <c r="E1763" i="78"/>
  <c r="E1762" i="78"/>
  <c r="E1761" i="78"/>
  <c r="E1760" i="78"/>
  <c r="E1759" i="78"/>
  <c r="E1758" i="78"/>
  <c r="E1757" i="78"/>
  <c r="E1756" i="78"/>
  <c r="E1755" i="78"/>
  <c r="E1754" i="78"/>
  <c r="E1753" i="78"/>
  <c r="E1752" i="78"/>
  <c r="E1751" i="78"/>
  <c r="E1750" i="78"/>
  <c r="E1749" i="78"/>
  <c r="E1748" i="78"/>
  <c r="E1747" i="78"/>
  <c r="E1746" i="78"/>
  <c r="E1745" i="78"/>
  <c r="E1744" i="78"/>
  <c r="E1743" i="78"/>
  <c r="E1742" i="78"/>
  <c r="E1741" i="78"/>
  <c r="E1740" i="78"/>
  <c r="E1739" i="78"/>
  <c r="E1738" i="78"/>
  <c r="E1737" i="78"/>
  <c r="E1736" i="78"/>
  <c r="E1735" i="78"/>
  <c r="E1734" i="78"/>
  <c r="E1733" i="78"/>
  <c r="E1732" i="78"/>
  <c r="E1731" i="78"/>
  <c r="E1730" i="78"/>
  <c r="E1729" i="78"/>
  <c r="E1728" i="78"/>
  <c r="E1727" i="78"/>
  <c r="E1726" i="78"/>
  <c r="E1725" i="78"/>
  <c r="E1724" i="78"/>
  <c r="E1723" i="78"/>
  <c r="E1722" i="78"/>
  <c r="E1721" i="78"/>
  <c r="E1720" i="78"/>
  <c r="E1719" i="78"/>
  <c r="E1718" i="78"/>
  <c r="E1717" i="78"/>
  <c r="E1716" i="78"/>
  <c r="E1715" i="78"/>
  <c r="E1714" i="78"/>
  <c r="E1713" i="78"/>
  <c r="E1712" i="78"/>
  <c r="E1711" i="78"/>
  <c r="E1710" i="78"/>
  <c r="E1709" i="78"/>
  <c r="E1708" i="78"/>
  <c r="E1707" i="78"/>
  <c r="E1706" i="78"/>
  <c r="E1705" i="78"/>
  <c r="E1704" i="78"/>
  <c r="E1703" i="78"/>
  <c r="E1702" i="78"/>
  <c r="E1701" i="78"/>
  <c r="E1700" i="78"/>
  <c r="E1699" i="78"/>
  <c r="E1698" i="78"/>
  <c r="E1697" i="78"/>
  <c r="E1696" i="78"/>
  <c r="E1695" i="78"/>
  <c r="E1694" i="78"/>
  <c r="E1693" i="78"/>
  <c r="E1692" i="78"/>
  <c r="E1691" i="78"/>
  <c r="E1690" i="78"/>
  <c r="E1689" i="78"/>
  <c r="E1688" i="78"/>
  <c r="E1687" i="78"/>
  <c r="E1686" i="78"/>
  <c r="E1685" i="78"/>
  <c r="E1684" i="78"/>
  <c r="E1683" i="78"/>
  <c r="E1682" i="78"/>
  <c r="E1681" i="78"/>
  <c r="E1680" i="78"/>
  <c r="E1679" i="78"/>
  <c r="E1678" i="78"/>
  <c r="E1677" i="78"/>
  <c r="E1676" i="78"/>
  <c r="E1675" i="78"/>
  <c r="E1674" i="78"/>
  <c r="E1673" i="78"/>
  <c r="E1672" i="78"/>
  <c r="E1671" i="78"/>
  <c r="E1670" i="78"/>
  <c r="E1669" i="78"/>
  <c r="E1668" i="78"/>
  <c r="E1667" i="78"/>
  <c r="E1666" i="78"/>
  <c r="E1665" i="78"/>
  <c r="E1664" i="78"/>
  <c r="E1663" i="78"/>
  <c r="E1662" i="78"/>
  <c r="E1661" i="78"/>
  <c r="E1660" i="78"/>
  <c r="E1659" i="78"/>
  <c r="E1658" i="78"/>
  <c r="E1657" i="78"/>
  <c r="E1656" i="78"/>
  <c r="E1655" i="78"/>
  <c r="E1654" i="78"/>
  <c r="E1653" i="78"/>
  <c r="E1652" i="78"/>
  <c r="E1651" i="78"/>
  <c r="E1650" i="78"/>
  <c r="E1649" i="78"/>
  <c r="E1648" i="78"/>
  <c r="E1647" i="78"/>
  <c r="E1646" i="78"/>
  <c r="E1645" i="78"/>
  <c r="E1644" i="78"/>
  <c r="E1643" i="78"/>
  <c r="E1642" i="78"/>
  <c r="E1641" i="78"/>
  <c r="E1640" i="78"/>
  <c r="E1639" i="78"/>
  <c r="E1638" i="78"/>
  <c r="E1637" i="78"/>
  <c r="E1636" i="78"/>
  <c r="E1635" i="78"/>
  <c r="E1634" i="78"/>
  <c r="E1633" i="78"/>
  <c r="E1632" i="78"/>
  <c r="E1631" i="78"/>
  <c r="E1630" i="78"/>
  <c r="E1629" i="78"/>
  <c r="E1628" i="78"/>
  <c r="E1627" i="78"/>
  <c r="E1626" i="78"/>
  <c r="E1625" i="78"/>
  <c r="E1624" i="78"/>
  <c r="E1623" i="78"/>
  <c r="E1622" i="78"/>
  <c r="E1621" i="78"/>
  <c r="E1620" i="78"/>
  <c r="E1619" i="78"/>
  <c r="E1618" i="78"/>
  <c r="E1617" i="78"/>
  <c r="E1616" i="78"/>
  <c r="E1615" i="78"/>
  <c r="E1614" i="78"/>
  <c r="E1613" i="78"/>
  <c r="E1612" i="78"/>
  <c r="E1611" i="78"/>
  <c r="E1610" i="78"/>
  <c r="E1609" i="78"/>
  <c r="E1608" i="78"/>
  <c r="E1607" i="78"/>
  <c r="E1606" i="78"/>
  <c r="E1605" i="78"/>
  <c r="E1604" i="78"/>
  <c r="E1603" i="78"/>
  <c r="E1602" i="78"/>
  <c r="E1601" i="78"/>
  <c r="E1600" i="78"/>
  <c r="E1599" i="78"/>
  <c r="E1598" i="78"/>
  <c r="E1597" i="78"/>
  <c r="E1596" i="78"/>
  <c r="E1595" i="78"/>
  <c r="E1594" i="78"/>
  <c r="E1593" i="78"/>
  <c r="E1592" i="78"/>
  <c r="E1591" i="78"/>
  <c r="E1590" i="78"/>
  <c r="E1589" i="78"/>
  <c r="E1588" i="78"/>
  <c r="E1587" i="78"/>
  <c r="E1586" i="78"/>
  <c r="E1585" i="78"/>
  <c r="E1584" i="78"/>
  <c r="E1583" i="78"/>
  <c r="E1582" i="78"/>
  <c r="E1581" i="78"/>
  <c r="E1580" i="78"/>
  <c r="E1579" i="78"/>
  <c r="E1578" i="78"/>
  <c r="E1577" i="78"/>
  <c r="E1576" i="78"/>
  <c r="E1575" i="78"/>
  <c r="E1574" i="78"/>
  <c r="E1573" i="78"/>
  <c r="E1572" i="78"/>
  <c r="E1571" i="78"/>
  <c r="E1570" i="78"/>
  <c r="E1569" i="78"/>
  <c r="E1568" i="78"/>
  <c r="E1567" i="78"/>
  <c r="E1566" i="78"/>
  <c r="E1565" i="78"/>
  <c r="E1564" i="78"/>
  <c r="E1563" i="78"/>
  <c r="E1562" i="78"/>
  <c r="E1561" i="78"/>
  <c r="E1560" i="78"/>
  <c r="E1559" i="78"/>
  <c r="E1558" i="78"/>
  <c r="E1557" i="78"/>
  <c r="E1556" i="78"/>
  <c r="E1555" i="78"/>
  <c r="E1554" i="78"/>
  <c r="E1553" i="78"/>
  <c r="E1552" i="78"/>
  <c r="E1551" i="78"/>
  <c r="E1550" i="78"/>
  <c r="E1549" i="78"/>
  <c r="E1548" i="78"/>
  <c r="E1547" i="78"/>
  <c r="E1546" i="78"/>
  <c r="E1545" i="78"/>
  <c r="E1544" i="78"/>
  <c r="E1543" i="78"/>
  <c r="E1542" i="78"/>
  <c r="E1541" i="78"/>
  <c r="E1540" i="78"/>
  <c r="E1539" i="78"/>
  <c r="E1538" i="78"/>
  <c r="E1537" i="78"/>
  <c r="E1536" i="78"/>
  <c r="E1535" i="78"/>
  <c r="E1534" i="78"/>
  <c r="E1533" i="78"/>
  <c r="E1532" i="78"/>
  <c r="E1531" i="78"/>
  <c r="E1530" i="78"/>
  <c r="E1529" i="78"/>
  <c r="E1528" i="78"/>
  <c r="E1527" i="78"/>
  <c r="E1526" i="78"/>
  <c r="E1525" i="78"/>
  <c r="E1524" i="78"/>
  <c r="E1523" i="78"/>
  <c r="E1522" i="78"/>
  <c r="E1521" i="78"/>
  <c r="E1520" i="78"/>
  <c r="E1519" i="78"/>
  <c r="E1518" i="78"/>
  <c r="E1517" i="78"/>
  <c r="E1516" i="78"/>
  <c r="E1515" i="78"/>
  <c r="E1514" i="78"/>
  <c r="E1513" i="78"/>
  <c r="E1512" i="78"/>
  <c r="E1511" i="78"/>
  <c r="E1510" i="78"/>
  <c r="E1509" i="78"/>
  <c r="E1508" i="78"/>
  <c r="E1507" i="78"/>
  <c r="E1506" i="78"/>
  <c r="E1505" i="78"/>
  <c r="E1504" i="78"/>
  <c r="E1503" i="78"/>
  <c r="E1502" i="78"/>
  <c r="E1501" i="78"/>
  <c r="E1500" i="78"/>
  <c r="E1499" i="78"/>
  <c r="E1498" i="78"/>
  <c r="E1497" i="78"/>
  <c r="E1496" i="78"/>
  <c r="E1495" i="78"/>
  <c r="E1494" i="78"/>
  <c r="E1493" i="78"/>
  <c r="E1492" i="78"/>
  <c r="E1491" i="78"/>
  <c r="E1490" i="78"/>
  <c r="E1489" i="78"/>
  <c r="E1488" i="78"/>
  <c r="E1487" i="78"/>
  <c r="E1486" i="78"/>
  <c r="E1485" i="78"/>
  <c r="E1484" i="78"/>
  <c r="E1483" i="78"/>
  <c r="E1482" i="78"/>
  <c r="E1481" i="78"/>
  <c r="E1480" i="78"/>
  <c r="E1479" i="78"/>
  <c r="E1478" i="78"/>
  <c r="E1477" i="78"/>
  <c r="E1476" i="78"/>
  <c r="E1475" i="78"/>
  <c r="E1474" i="78"/>
  <c r="E1473" i="78"/>
  <c r="E1472" i="78"/>
  <c r="E1471" i="78"/>
  <c r="E1470" i="78"/>
  <c r="E1469" i="78"/>
  <c r="E1468" i="78"/>
  <c r="E1467" i="78"/>
  <c r="E1466" i="78"/>
  <c r="E1465" i="78"/>
  <c r="E1464" i="78"/>
  <c r="E1463" i="78"/>
  <c r="E1462" i="78"/>
  <c r="E1461" i="78"/>
  <c r="E1460" i="78"/>
  <c r="E1459" i="78"/>
  <c r="E1458" i="78"/>
  <c r="E1457" i="78"/>
  <c r="E1456" i="78"/>
  <c r="E1455" i="78"/>
  <c r="E1454" i="78"/>
  <c r="E1453" i="78"/>
  <c r="E1452" i="78"/>
  <c r="E1451" i="78"/>
  <c r="E1450" i="78"/>
  <c r="E1449" i="78"/>
  <c r="E1448" i="78"/>
  <c r="E1447" i="78"/>
  <c r="E1446" i="78"/>
  <c r="E1445" i="78"/>
  <c r="E1444" i="78"/>
  <c r="E1443" i="78"/>
  <c r="E1442" i="78"/>
  <c r="E1441" i="78"/>
  <c r="E1440" i="78"/>
  <c r="E1439" i="78"/>
  <c r="E1438" i="78"/>
  <c r="E1437" i="78"/>
  <c r="E1436" i="78"/>
  <c r="E1435" i="78"/>
  <c r="E1434" i="78"/>
  <c r="E1433" i="78"/>
  <c r="E1432" i="78"/>
  <c r="E1431" i="78"/>
  <c r="E1430" i="78"/>
  <c r="E1429" i="78"/>
  <c r="E1428" i="78"/>
  <c r="E1427" i="78"/>
  <c r="E1426" i="78"/>
  <c r="E1425" i="78"/>
  <c r="E1424" i="78"/>
  <c r="E1423" i="78"/>
  <c r="E1422" i="78"/>
  <c r="E1421" i="78"/>
  <c r="E1420" i="78"/>
  <c r="E1419" i="78"/>
  <c r="E1418" i="78"/>
  <c r="E1417" i="78"/>
  <c r="E1416" i="78"/>
  <c r="E1415" i="78"/>
  <c r="E1414" i="78"/>
  <c r="E1413" i="78"/>
  <c r="E1412" i="78"/>
  <c r="E1411" i="78"/>
  <c r="E1410" i="78"/>
  <c r="E1409" i="78"/>
  <c r="E1408" i="78"/>
  <c r="E1407" i="78"/>
  <c r="E1406" i="78"/>
  <c r="E1405" i="78"/>
  <c r="E1404" i="78"/>
  <c r="E1403" i="78"/>
  <c r="E1402" i="78"/>
  <c r="E1401" i="78"/>
  <c r="E1400" i="78"/>
  <c r="E1399" i="78"/>
  <c r="E1398" i="78"/>
  <c r="E1397" i="78"/>
  <c r="E1396" i="78"/>
  <c r="E1395" i="78"/>
  <c r="E1394" i="78"/>
  <c r="E1393" i="78"/>
  <c r="E1392" i="78"/>
  <c r="E1391" i="78"/>
  <c r="E1390" i="78"/>
  <c r="E1389" i="78"/>
  <c r="E1388" i="78"/>
  <c r="E1387" i="78"/>
  <c r="E1386" i="78"/>
  <c r="E1385" i="78"/>
  <c r="E1384" i="78"/>
  <c r="E1383" i="78"/>
  <c r="E1382" i="78"/>
  <c r="E1381" i="78"/>
  <c r="E1380" i="78"/>
  <c r="E1379" i="78"/>
  <c r="E1378" i="78"/>
  <c r="E1377" i="78"/>
  <c r="E1376" i="78"/>
  <c r="E1375" i="78"/>
  <c r="E1374" i="78"/>
  <c r="E1373" i="78"/>
  <c r="E1372" i="78"/>
  <c r="E1371" i="78"/>
  <c r="E1370" i="78"/>
  <c r="E1369" i="78"/>
  <c r="E1368" i="78"/>
  <c r="E1367" i="78"/>
  <c r="E1366" i="78"/>
  <c r="E1365" i="78"/>
  <c r="E1364" i="78"/>
  <c r="E1363" i="78"/>
  <c r="E1362" i="78"/>
  <c r="E1361" i="78"/>
  <c r="E1360" i="78"/>
  <c r="E1359" i="78"/>
  <c r="E1358" i="78"/>
  <c r="E1357" i="78"/>
  <c r="E1356" i="78"/>
  <c r="E1355" i="78"/>
  <c r="E1354" i="78"/>
  <c r="E1353" i="78"/>
  <c r="E1352" i="78"/>
  <c r="E1351" i="78"/>
  <c r="E1350" i="78"/>
  <c r="E1349" i="78"/>
  <c r="E1348" i="78"/>
  <c r="E1347" i="78"/>
  <c r="E1346" i="78"/>
  <c r="E1345" i="78"/>
  <c r="E1344" i="78"/>
  <c r="E1343" i="78"/>
  <c r="E1342" i="78"/>
  <c r="E1341" i="78"/>
  <c r="E1340" i="78"/>
  <c r="E1339" i="78"/>
  <c r="E1338" i="78"/>
  <c r="E1337" i="78"/>
  <c r="E1336" i="78"/>
  <c r="E1335" i="78"/>
  <c r="E1334" i="78"/>
  <c r="E1333" i="78"/>
  <c r="E1332" i="78"/>
  <c r="E1331" i="78"/>
  <c r="E1330" i="78"/>
  <c r="E1329" i="78"/>
  <c r="E1328" i="78"/>
  <c r="E1327" i="78"/>
  <c r="E1326" i="78"/>
  <c r="E1325" i="78"/>
  <c r="E1324" i="78"/>
  <c r="E1323" i="78"/>
  <c r="E1322" i="78"/>
  <c r="E1321" i="78"/>
  <c r="E1320" i="78"/>
  <c r="E1319" i="78"/>
  <c r="E1318" i="78"/>
  <c r="E1317" i="78"/>
  <c r="E1316" i="78"/>
  <c r="E1315" i="78"/>
  <c r="E1314" i="78"/>
  <c r="E1313" i="78"/>
  <c r="E1312" i="78"/>
  <c r="E1311" i="78"/>
  <c r="E1310" i="78"/>
  <c r="E1309" i="78"/>
  <c r="E1308" i="78"/>
  <c r="E1307" i="78"/>
  <c r="E1306" i="78"/>
  <c r="E1305" i="78"/>
  <c r="E1304" i="78"/>
  <c r="E1303" i="78"/>
  <c r="E1302" i="78"/>
  <c r="E1301" i="78"/>
  <c r="E1300" i="78"/>
  <c r="E1299" i="78"/>
  <c r="E1298" i="78"/>
  <c r="E1297" i="78"/>
  <c r="E1296" i="78"/>
  <c r="E1295" i="78"/>
  <c r="E1294" i="78"/>
  <c r="E1293" i="78"/>
  <c r="E1292" i="78"/>
  <c r="E1291" i="78"/>
  <c r="E1290" i="78"/>
  <c r="E1289" i="78"/>
  <c r="E1288" i="78"/>
  <c r="E1287" i="78"/>
  <c r="E1286" i="78"/>
  <c r="E1285" i="78"/>
  <c r="E1284" i="78"/>
  <c r="E1283" i="78"/>
  <c r="E1282" i="78"/>
  <c r="E1281" i="78"/>
  <c r="E1280" i="78"/>
  <c r="E1279" i="78"/>
  <c r="E1278" i="78"/>
  <c r="E1277" i="78"/>
  <c r="E1276" i="78"/>
  <c r="E1275" i="78"/>
  <c r="E1274" i="78"/>
  <c r="E1273" i="78"/>
  <c r="E1272" i="78"/>
  <c r="E1271" i="78"/>
  <c r="E1270" i="78"/>
  <c r="E1269" i="78"/>
  <c r="E1268" i="78"/>
  <c r="E1267" i="78"/>
  <c r="E1266" i="78"/>
  <c r="E1265" i="78"/>
  <c r="E1264" i="78"/>
  <c r="E1263" i="78"/>
  <c r="E1262" i="78"/>
  <c r="E1261" i="78"/>
  <c r="E1260" i="78"/>
  <c r="E1259" i="78"/>
  <c r="E1258" i="78"/>
  <c r="E1257" i="78"/>
  <c r="E1256" i="78"/>
  <c r="E1255" i="78"/>
  <c r="E1254" i="78"/>
  <c r="E1253" i="78"/>
  <c r="E1252" i="78"/>
  <c r="E1251" i="78"/>
  <c r="E1250" i="78"/>
  <c r="E1249" i="78"/>
  <c r="E1248" i="78"/>
  <c r="E1247" i="78"/>
  <c r="E1246" i="78"/>
  <c r="E1245" i="78"/>
  <c r="E1244" i="78"/>
  <c r="E1243" i="78"/>
  <c r="E1242" i="78"/>
  <c r="E1241" i="78"/>
  <c r="E1240" i="78"/>
  <c r="E1239" i="78"/>
  <c r="E1238" i="78"/>
  <c r="E1237" i="78"/>
  <c r="E1236" i="78"/>
  <c r="E1235" i="78"/>
  <c r="E1234" i="78"/>
  <c r="E1233" i="78"/>
  <c r="E1232" i="78"/>
  <c r="E1231" i="78"/>
  <c r="E1230" i="78"/>
  <c r="E1229" i="78"/>
  <c r="E1228" i="78"/>
  <c r="E1227" i="78"/>
  <c r="E1226" i="78"/>
  <c r="E1225" i="78"/>
  <c r="E1224" i="78"/>
  <c r="E1223" i="78"/>
  <c r="E1222" i="78"/>
  <c r="E1221" i="78"/>
  <c r="E1220" i="78"/>
  <c r="E1219" i="78"/>
  <c r="E1218" i="78"/>
  <c r="E1217" i="78"/>
  <c r="E1216" i="78"/>
  <c r="E1215" i="78"/>
  <c r="E1214" i="78"/>
  <c r="E1213" i="78"/>
  <c r="E1212" i="78"/>
  <c r="E1211" i="78"/>
  <c r="E1210" i="78"/>
  <c r="E1209" i="78"/>
  <c r="E1208" i="78"/>
  <c r="E1207" i="78"/>
  <c r="E1206" i="78"/>
  <c r="E1205" i="78"/>
  <c r="E1204" i="78"/>
  <c r="E1203" i="78"/>
  <c r="E1202" i="78"/>
  <c r="E1201" i="78"/>
  <c r="E1200" i="78"/>
  <c r="E1199" i="78"/>
  <c r="E1198" i="78"/>
  <c r="E1197" i="78"/>
  <c r="E1196" i="78"/>
  <c r="E1195" i="78"/>
  <c r="E1194" i="78"/>
  <c r="E1193" i="78"/>
  <c r="E1192" i="78"/>
  <c r="E1191" i="78"/>
  <c r="E1190" i="78"/>
  <c r="E1189" i="78"/>
  <c r="E1188" i="78"/>
  <c r="E1187" i="78"/>
  <c r="E1186" i="78"/>
  <c r="E1185" i="78"/>
  <c r="E1184" i="78"/>
  <c r="E1183" i="78"/>
  <c r="E1182" i="78"/>
  <c r="E1181" i="78"/>
  <c r="E1180" i="78"/>
  <c r="E1179" i="78"/>
  <c r="E1178" i="78"/>
  <c r="E1177" i="78"/>
  <c r="E1176" i="78"/>
  <c r="E1175" i="78"/>
  <c r="E1174" i="78"/>
  <c r="E1173" i="78"/>
  <c r="E1172" i="78"/>
  <c r="E1171" i="78"/>
  <c r="E1170" i="78"/>
  <c r="E1169" i="78"/>
  <c r="E1168" i="78"/>
  <c r="E1167" i="78"/>
  <c r="E1166" i="78"/>
  <c r="E1165" i="78"/>
  <c r="E1164" i="78"/>
  <c r="E1163" i="78"/>
  <c r="E1162" i="78"/>
  <c r="E1161" i="78"/>
  <c r="E1160" i="78"/>
  <c r="E1159" i="78"/>
  <c r="E1158" i="78"/>
  <c r="E1157" i="78"/>
  <c r="E1156" i="78"/>
  <c r="E1155" i="78"/>
  <c r="E1154" i="78"/>
  <c r="E1153" i="78"/>
  <c r="E1152" i="78"/>
  <c r="E1151" i="78"/>
  <c r="E1150" i="78"/>
  <c r="E1149" i="78"/>
  <c r="E1148" i="78"/>
  <c r="E1147" i="78"/>
  <c r="E1146" i="78"/>
  <c r="E1145" i="78"/>
  <c r="E1144" i="78"/>
  <c r="E1143" i="78"/>
  <c r="E1142" i="78"/>
  <c r="E1141" i="78"/>
  <c r="E1140" i="78"/>
  <c r="E1139" i="78"/>
  <c r="E1138" i="78"/>
  <c r="E1137" i="78"/>
  <c r="E1136" i="78"/>
  <c r="E1135" i="78"/>
  <c r="E1134" i="78"/>
  <c r="E1133" i="78"/>
  <c r="E1132" i="78"/>
  <c r="E1131" i="78"/>
  <c r="E1130" i="78"/>
  <c r="E1129" i="78"/>
  <c r="E1128" i="78"/>
  <c r="E1127" i="78"/>
  <c r="E1126" i="78"/>
  <c r="E1125" i="78"/>
  <c r="E1124" i="78"/>
  <c r="E1123" i="78"/>
  <c r="E1122" i="78"/>
  <c r="E1121" i="78"/>
  <c r="E1120" i="78"/>
  <c r="E1119" i="78"/>
  <c r="E1118" i="78"/>
  <c r="E1117" i="78"/>
  <c r="E1116" i="78"/>
  <c r="E1115" i="78"/>
  <c r="E1114" i="78"/>
  <c r="E1113" i="78"/>
  <c r="E1112" i="78"/>
  <c r="E1111" i="78"/>
  <c r="E1110" i="78"/>
  <c r="E1109" i="78"/>
  <c r="E1108" i="78"/>
  <c r="E1107" i="78"/>
  <c r="E1106" i="78"/>
  <c r="E1105" i="78"/>
  <c r="E1104" i="78"/>
  <c r="E1103" i="78"/>
  <c r="E1102" i="78"/>
  <c r="E1101" i="78"/>
  <c r="E1100" i="78"/>
  <c r="E1099" i="78"/>
  <c r="E1098" i="78"/>
  <c r="E1097" i="78"/>
  <c r="E1096" i="78"/>
  <c r="E1095" i="78"/>
  <c r="E1094" i="78"/>
  <c r="E1093" i="78"/>
  <c r="E1092" i="78"/>
  <c r="E1091" i="78"/>
  <c r="E1090" i="78"/>
  <c r="E1089" i="78"/>
  <c r="E1088" i="78"/>
  <c r="E1087" i="78"/>
  <c r="E1086" i="78"/>
  <c r="E1085" i="78"/>
  <c r="E1084" i="78"/>
  <c r="E1083" i="78"/>
  <c r="E1082" i="78"/>
  <c r="E1081" i="78"/>
  <c r="E1080" i="78"/>
  <c r="E1079" i="78"/>
  <c r="E1078" i="78"/>
  <c r="E1077" i="78"/>
  <c r="E1076" i="78"/>
  <c r="E1075" i="78"/>
  <c r="E1074" i="78"/>
  <c r="E1073" i="78"/>
  <c r="E1072" i="78"/>
  <c r="E1071" i="78"/>
  <c r="E1070" i="78"/>
  <c r="E1069" i="78"/>
  <c r="E1068" i="78"/>
  <c r="E1067" i="78"/>
  <c r="E1066" i="78"/>
  <c r="E1065" i="78"/>
  <c r="E1064" i="78"/>
  <c r="E1063" i="78"/>
  <c r="E1062" i="78"/>
  <c r="E1061" i="78"/>
  <c r="E1060" i="78"/>
  <c r="E1059" i="78"/>
  <c r="E1058" i="78"/>
  <c r="E1057" i="78"/>
  <c r="E1056" i="78"/>
  <c r="E1055" i="78"/>
  <c r="E1054" i="78"/>
  <c r="E1053" i="78"/>
  <c r="E1052" i="78"/>
  <c r="E1051" i="78"/>
  <c r="E1050" i="78"/>
  <c r="E1049" i="78"/>
  <c r="E1048" i="78"/>
  <c r="E1047" i="78"/>
  <c r="E1046" i="78"/>
  <c r="E1045" i="78"/>
  <c r="E1044" i="78"/>
  <c r="E1043" i="78"/>
  <c r="E1042" i="78"/>
  <c r="E1041" i="78"/>
  <c r="E1040" i="78"/>
  <c r="E1039" i="78"/>
  <c r="E1038" i="78"/>
  <c r="E1037" i="78"/>
  <c r="E1036" i="78"/>
  <c r="E1035" i="78"/>
  <c r="E1034" i="78"/>
  <c r="E1033" i="78"/>
  <c r="E1032" i="78"/>
  <c r="E1031" i="78"/>
  <c r="E1030" i="78"/>
  <c r="E1029" i="78"/>
  <c r="E1028" i="78"/>
  <c r="E1027" i="78"/>
  <c r="E1026" i="78"/>
  <c r="E1025" i="78"/>
  <c r="E1024" i="78"/>
  <c r="E1023" i="78"/>
  <c r="E1022" i="78"/>
  <c r="E1021" i="78"/>
  <c r="E1020" i="78"/>
  <c r="E1019" i="78"/>
  <c r="E1018" i="78"/>
  <c r="E1017" i="78"/>
  <c r="E1016" i="78"/>
  <c r="E1015" i="78"/>
  <c r="E1014" i="78"/>
  <c r="E1013" i="78"/>
  <c r="E1012" i="78"/>
  <c r="E1011" i="78"/>
  <c r="E1010" i="78"/>
  <c r="E1009" i="78"/>
  <c r="E1008" i="78"/>
  <c r="E1007" i="78"/>
  <c r="E1006" i="78"/>
  <c r="E1005" i="78"/>
  <c r="E1004" i="78"/>
  <c r="E1003" i="78"/>
  <c r="E1002" i="78"/>
  <c r="E1001" i="78"/>
  <c r="E1000" i="78"/>
  <c r="E999" i="78"/>
  <c r="E998" i="78"/>
  <c r="E997" i="78"/>
  <c r="E996" i="78"/>
  <c r="E995" i="78"/>
  <c r="E994" i="78"/>
  <c r="E993" i="78"/>
  <c r="E992" i="78"/>
  <c r="E991" i="78"/>
  <c r="E990" i="78"/>
  <c r="E989" i="78"/>
  <c r="E988" i="78"/>
  <c r="E987" i="78"/>
  <c r="E986" i="78"/>
  <c r="E985" i="78"/>
  <c r="E984" i="78"/>
  <c r="E983" i="78"/>
  <c r="E982" i="78"/>
  <c r="E981" i="78"/>
  <c r="E980" i="78"/>
  <c r="E979" i="78"/>
  <c r="E978" i="78"/>
  <c r="E977" i="78"/>
  <c r="E976" i="78"/>
  <c r="E975" i="78"/>
  <c r="E974" i="78"/>
  <c r="E973" i="78"/>
  <c r="E972" i="78"/>
  <c r="E971" i="78"/>
  <c r="E970" i="78"/>
  <c r="E969" i="78"/>
  <c r="E968" i="78"/>
  <c r="E967" i="78"/>
  <c r="E966" i="78"/>
  <c r="E965" i="78"/>
  <c r="E964" i="78"/>
  <c r="E963" i="78"/>
  <c r="E962" i="78"/>
  <c r="E961" i="78"/>
  <c r="E960" i="78"/>
  <c r="E959" i="78"/>
  <c r="E958" i="78"/>
  <c r="E957" i="78"/>
  <c r="E956" i="78"/>
  <c r="E955" i="78"/>
  <c r="E954" i="78"/>
  <c r="E953" i="78"/>
  <c r="E952" i="78"/>
  <c r="E951" i="78"/>
  <c r="E950" i="78"/>
  <c r="E949" i="78"/>
  <c r="E948" i="78"/>
  <c r="E947" i="78"/>
  <c r="E946" i="78"/>
  <c r="E945" i="78"/>
  <c r="E944" i="78"/>
  <c r="E943" i="78"/>
  <c r="E942" i="78"/>
  <c r="E941" i="78"/>
  <c r="E940" i="78"/>
  <c r="E939" i="78"/>
  <c r="E938" i="78"/>
  <c r="E937" i="78"/>
  <c r="E936" i="78"/>
  <c r="E935" i="78"/>
  <c r="E934" i="78"/>
  <c r="E933" i="78"/>
  <c r="E932" i="78"/>
  <c r="E931" i="78"/>
  <c r="E930" i="78"/>
  <c r="E929" i="78"/>
  <c r="E928" i="78"/>
  <c r="E927" i="78"/>
  <c r="E926" i="78"/>
  <c r="E925" i="78"/>
  <c r="E924" i="78"/>
  <c r="E923" i="78"/>
  <c r="E922" i="78"/>
  <c r="E921" i="78"/>
  <c r="E920" i="78"/>
  <c r="E919" i="78"/>
  <c r="E918" i="78"/>
  <c r="E917" i="78"/>
  <c r="E916" i="78"/>
  <c r="E915" i="78"/>
  <c r="E914" i="78"/>
  <c r="E913" i="78"/>
  <c r="E912" i="78"/>
  <c r="E911" i="78"/>
  <c r="E910" i="78"/>
  <c r="E909" i="78"/>
  <c r="E908" i="78"/>
  <c r="E907" i="78"/>
  <c r="E906" i="78"/>
  <c r="E905" i="78"/>
  <c r="E904" i="78"/>
  <c r="E903" i="78"/>
  <c r="E902" i="78"/>
  <c r="E901" i="78"/>
  <c r="E900" i="78"/>
  <c r="E899" i="78"/>
  <c r="E898" i="78"/>
  <c r="E897" i="78"/>
  <c r="E896" i="78"/>
  <c r="E895" i="78"/>
  <c r="E894" i="78"/>
  <c r="E893" i="78"/>
  <c r="E892" i="78"/>
  <c r="E891" i="78"/>
  <c r="E890" i="78"/>
  <c r="E889" i="78"/>
  <c r="E888" i="78"/>
  <c r="E887" i="78"/>
  <c r="E886" i="78"/>
  <c r="E885" i="78"/>
  <c r="E884" i="78"/>
  <c r="E883" i="78"/>
  <c r="E882" i="78"/>
  <c r="E881" i="78"/>
  <c r="E880" i="78"/>
  <c r="E879" i="78"/>
  <c r="E878" i="78"/>
  <c r="E877" i="78"/>
  <c r="E876" i="78"/>
  <c r="E875" i="78"/>
  <c r="E874" i="78"/>
  <c r="E873" i="78"/>
  <c r="E872" i="78"/>
  <c r="E871" i="78"/>
  <c r="E870" i="78"/>
  <c r="E869" i="78"/>
  <c r="E868" i="78"/>
  <c r="E867" i="78"/>
  <c r="E866" i="78"/>
  <c r="E865" i="78"/>
  <c r="E864" i="78"/>
  <c r="E863" i="78"/>
  <c r="E862" i="78"/>
  <c r="E861" i="78"/>
  <c r="E860" i="78"/>
  <c r="E859" i="78"/>
  <c r="E858" i="78"/>
  <c r="E857" i="78"/>
  <c r="E856" i="78"/>
  <c r="E855" i="78"/>
  <c r="E854" i="78"/>
  <c r="E853" i="78"/>
  <c r="E852" i="78"/>
  <c r="E851" i="78"/>
  <c r="E850" i="78"/>
  <c r="E849" i="78"/>
  <c r="E848" i="78"/>
  <c r="E847" i="78"/>
  <c r="E846" i="78"/>
  <c r="E845" i="78"/>
  <c r="E844" i="78"/>
  <c r="E843" i="78"/>
  <c r="E842" i="78"/>
  <c r="E841" i="78"/>
  <c r="E840" i="78"/>
  <c r="E839" i="78"/>
  <c r="E838" i="78"/>
  <c r="E837" i="78"/>
  <c r="E836" i="78"/>
  <c r="E835" i="78"/>
  <c r="E834" i="78"/>
  <c r="E833" i="78"/>
  <c r="E832" i="78"/>
  <c r="E831" i="78"/>
  <c r="E830" i="78"/>
  <c r="E829" i="78"/>
  <c r="E828" i="78"/>
  <c r="E827" i="78"/>
  <c r="E826" i="78"/>
  <c r="E825" i="78"/>
  <c r="E824" i="78"/>
  <c r="E823" i="78"/>
  <c r="E822" i="78"/>
  <c r="E821" i="78"/>
  <c r="E820" i="78"/>
  <c r="E819" i="78"/>
  <c r="E818" i="78"/>
  <c r="E817" i="78"/>
  <c r="E816" i="78"/>
  <c r="E815" i="78"/>
  <c r="E814" i="78"/>
  <c r="E813" i="78"/>
  <c r="E812" i="78"/>
  <c r="E811" i="78"/>
  <c r="E810" i="78"/>
  <c r="E809" i="78"/>
  <c r="E808" i="78"/>
  <c r="E807" i="78"/>
  <c r="E806" i="78"/>
  <c r="E805" i="78"/>
  <c r="E804" i="78"/>
  <c r="E803" i="78"/>
  <c r="E802" i="78"/>
  <c r="E801" i="78"/>
  <c r="E800" i="78"/>
  <c r="E799" i="78"/>
  <c r="E798" i="78"/>
  <c r="E797" i="78"/>
  <c r="E796" i="78"/>
  <c r="E795" i="78"/>
  <c r="E794" i="78"/>
  <c r="E793" i="78"/>
  <c r="E792" i="78"/>
  <c r="E791" i="78"/>
  <c r="E790" i="78"/>
  <c r="E789" i="78"/>
  <c r="E788" i="78"/>
  <c r="E787" i="78"/>
  <c r="E786" i="78"/>
  <c r="E785" i="78"/>
  <c r="E784" i="78"/>
  <c r="E783" i="78"/>
  <c r="E782" i="78"/>
  <c r="E781" i="78"/>
  <c r="E780" i="78"/>
  <c r="E779" i="78"/>
  <c r="E778" i="78"/>
  <c r="E777" i="78"/>
  <c r="E776" i="78"/>
  <c r="E775" i="78"/>
  <c r="E774" i="78"/>
  <c r="E773" i="78"/>
  <c r="E772" i="78"/>
  <c r="E771" i="78"/>
  <c r="E770" i="78"/>
  <c r="E769" i="78"/>
  <c r="E768" i="78"/>
  <c r="E767" i="78"/>
  <c r="E766" i="78"/>
  <c r="E765" i="78"/>
  <c r="E764" i="78"/>
  <c r="E763" i="78"/>
  <c r="E762" i="78"/>
  <c r="E761" i="78"/>
  <c r="E760" i="78"/>
  <c r="E759" i="78"/>
  <c r="E758" i="78"/>
  <c r="E757" i="78"/>
  <c r="E756" i="78"/>
  <c r="E755" i="78"/>
  <c r="E754" i="78"/>
  <c r="E753" i="78"/>
  <c r="E752" i="78"/>
  <c r="E751" i="78"/>
  <c r="E750" i="78"/>
  <c r="E749" i="78"/>
  <c r="E748" i="78"/>
  <c r="E747" i="78"/>
  <c r="E746" i="78"/>
  <c r="E745" i="78"/>
  <c r="E744" i="78"/>
  <c r="E743" i="78"/>
  <c r="E742" i="78"/>
  <c r="E741" i="78"/>
  <c r="E740" i="78"/>
  <c r="E739" i="78"/>
  <c r="E738" i="78"/>
  <c r="E737" i="78"/>
  <c r="E736" i="78"/>
  <c r="E735" i="78"/>
  <c r="E734" i="78"/>
  <c r="E733" i="78"/>
  <c r="E732" i="78"/>
  <c r="E731" i="78"/>
  <c r="E730" i="78"/>
  <c r="E729" i="78"/>
  <c r="E728" i="78"/>
  <c r="E727" i="78"/>
  <c r="E726" i="78"/>
  <c r="E725" i="78"/>
  <c r="E724" i="78"/>
  <c r="E723" i="78"/>
  <c r="E722" i="78"/>
  <c r="E721" i="78"/>
  <c r="E720" i="78"/>
  <c r="E719" i="78"/>
  <c r="E718" i="78"/>
  <c r="E717" i="78"/>
  <c r="E716" i="78"/>
  <c r="E715" i="78"/>
  <c r="E714" i="78"/>
  <c r="E713" i="78"/>
  <c r="E712" i="78"/>
  <c r="E711" i="78"/>
  <c r="E710" i="78"/>
  <c r="E709" i="78"/>
  <c r="E708" i="78"/>
  <c r="E707" i="78"/>
  <c r="E706" i="78"/>
  <c r="E705" i="78"/>
  <c r="E704" i="78"/>
  <c r="E703" i="78"/>
  <c r="E702" i="78"/>
  <c r="E701" i="78"/>
  <c r="E700" i="78"/>
  <c r="E699" i="78"/>
  <c r="E698" i="78"/>
  <c r="E697" i="78"/>
  <c r="E696" i="78"/>
  <c r="E695" i="78"/>
  <c r="E694" i="78"/>
  <c r="E693" i="78"/>
  <c r="E692" i="78"/>
  <c r="E691" i="78"/>
  <c r="E690" i="78"/>
  <c r="E689" i="78"/>
  <c r="E688" i="78"/>
  <c r="E687" i="78"/>
  <c r="E686" i="78"/>
  <c r="E685" i="78"/>
  <c r="E684" i="78"/>
  <c r="E683" i="78"/>
  <c r="E682" i="78"/>
  <c r="E681" i="78"/>
  <c r="E680" i="78"/>
  <c r="E679" i="78"/>
  <c r="E678" i="78"/>
  <c r="E677" i="78"/>
  <c r="E676" i="78"/>
  <c r="E675" i="78"/>
  <c r="E674" i="78"/>
  <c r="E673" i="78"/>
  <c r="E672" i="78"/>
  <c r="E671" i="78"/>
  <c r="E670" i="78"/>
  <c r="E669" i="78"/>
  <c r="E668" i="78"/>
  <c r="E667" i="78"/>
  <c r="E666" i="78"/>
  <c r="E665" i="78"/>
  <c r="E664" i="78"/>
  <c r="E663" i="78"/>
  <c r="E662" i="78"/>
  <c r="E661" i="78"/>
  <c r="E660" i="78"/>
  <c r="E659" i="78"/>
  <c r="E658" i="78"/>
  <c r="E657" i="78"/>
  <c r="E656" i="78"/>
  <c r="E655" i="78"/>
  <c r="E654" i="78"/>
  <c r="E653" i="78"/>
  <c r="E652" i="78"/>
  <c r="E651" i="78"/>
  <c r="E650" i="78"/>
  <c r="E649" i="78"/>
  <c r="E648" i="78"/>
  <c r="E647" i="78"/>
  <c r="E646" i="78"/>
  <c r="E645" i="78"/>
  <c r="E644" i="78"/>
  <c r="E643" i="78"/>
  <c r="E642" i="78"/>
  <c r="E641" i="78"/>
  <c r="E640" i="78"/>
  <c r="E639" i="78"/>
  <c r="E638" i="78"/>
  <c r="E637" i="78"/>
  <c r="E636" i="78"/>
  <c r="E635" i="78"/>
  <c r="E634" i="78"/>
  <c r="E633" i="78"/>
  <c r="E632" i="78"/>
  <c r="E631" i="78"/>
  <c r="E630" i="78"/>
  <c r="E629" i="78"/>
  <c r="E628" i="78"/>
  <c r="E627" i="78"/>
  <c r="E626" i="78"/>
  <c r="E625" i="78"/>
  <c r="E624" i="78"/>
  <c r="E623" i="78"/>
  <c r="E622" i="78"/>
  <c r="E621" i="78"/>
  <c r="E620" i="78"/>
  <c r="E619" i="78"/>
  <c r="E618" i="78"/>
  <c r="E617" i="78"/>
  <c r="E616" i="78"/>
  <c r="E615" i="78"/>
  <c r="E614" i="78"/>
  <c r="E613" i="78"/>
  <c r="E612" i="78"/>
  <c r="E611" i="78"/>
  <c r="E610" i="78"/>
  <c r="E609" i="78"/>
  <c r="E608" i="78"/>
  <c r="E607" i="78"/>
  <c r="E606" i="78"/>
  <c r="E605" i="78"/>
  <c r="E604" i="78"/>
  <c r="E603" i="78"/>
  <c r="E602" i="78"/>
  <c r="E601" i="78"/>
  <c r="E600" i="78"/>
  <c r="E599" i="78"/>
  <c r="E598" i="78"/>
  <c r="E597" i="78"/>
  <c r="E596" i="78"/>
  <c r="E595" i="78"/>
  <c r="E594" i="78"/>
  <c r="E593" i="78"/>
  <c r="E592" i="78"/>
  <c r="E591" i="78"/>
  <c r="E590" i="78"/>
  <c r="E589" i="78"/>
  <c r="E588" i="78"/>
  <c r="E587" i="78"/>
  <c r="E586" i="78"/>
  <c r="E585" i="78"/>
  <c r="E584" i="78"/>
  <c r="E583" i="78"/>
  <c r="E582" i="78"/>
  <c r="E581" i="78"/>
  <c r="E580" i="78"/>
  <c r="E579" i="78"/>
  <c r="E578" i="78"/>
  <c r="E577" i="78"/>
  <c r="E576" i="78"/>
  <c r="E575" i="78"/>
  <c r="E574" i="78"/>
  <c r="E573" i="78"/>
  <c r="E572" i="78"/>
  <c r="E571" i="78"/>
  <c r="E570" i="78"/>
  <c r="E569" i="78"/>
  <c r="E568" i="78"/>
  <c r="E567" i="78"/>
  <c r="E566" i="78"/>
  <c r="E565" i="78"/>
  <c r="E564" i="78"/>
  <c r="E563" i="78"/>
  <c r="E562" i="78"/>
  <c r="E561" i="78"/>
  <c r="E560" i="78"/>
  <c r="E559" i="78"/>
  <c r="E558" i="78"/>
  <c r="E557" i="78"/>
  <c r="E556" i="78"/>
  <c r="E555" i="78"/>
  <c r="E554" i="78"/>
  <c r="E553" i="78"/>
  <c r="E552" i="78"/>
  <c r="E551" i="78"/>
  <c r="E550" i="78"/>
  <c r="E549" i="78"/>
  <c r="E548" i="78"/>
  <c r="E547" i="78"/>
  <c r="E546" i="78"/>
  <c r="E545" i="78"/>
  <c r="E544" i="78"/>
  <c r="E543" i="78"/>
  <c r="E542" i="78"/>
  <c r="E541" i="78"/>
  <c r="E540" i="78"/>
  <c r="E539" i="78"/>
  <c r="E538" i="78"/>
  <c r="E537" i="78"/>
  <c r="E536" i="78"/>
  <c r="E535" i="78"/>
  <c r="E534" i="78"/>
  <c r="E533" i="78"/>
  <c r="E532" i="78"/>
  <c r="E531" i="78"/>
  <c r="E530" i="78"/>
  <c r="E529" i="78"/>
  <c r="E528" i="78"/>
  <c r="E527" i="78"/>
  <c r="E526" i="78"/>
  <c r="E525" i="78"/>
  <c r="E524" i="78"/>
  <c r="E523" i="78"/>
  <c r="E522" i="78"/>
  <c r="E521" i="78"/>
  <c r="E520" i="78"/>
  <c r="E519" i="78"/>
  <c r="E518" i="78"/>
  <c r="E517" i="78"/>
  <c r="E516" i="78"/>
  <c r="E515" i="78"/>
  <c r="E514" i="78"/>
  <c r="E513" i="78"/>
  <c r="E512" i="78"/>
  <c r="E511" i="78"/>
  <c r="E510" i="78"/>
  <c r="E509" i="78"/>
  <c r="E508" i="78"/>
  <c r="E507" i="78"/>
  <c r="E506" i="78"/>
  <c r="E505" i="78"/>
  <c r="E504" i="78"/>
  <c r="E503" i="78"/>
  <c r="E502" i="78"/>
  <c r="E501" i="78"/>
  <c r="E500" i="78"/>
  <c r="E499" i="78"/>
  <c r="E498" i="78"/>
  <c r="E497" i="78"/>
  <c r="E496" i="78"/>
  <c r="E495" i="78"/>
  <c r="E494" i="78"/>
  <c r="E493" i="78"/>
  <c r="E492" i="78"/>
  <c r="E491" i="78"/>
  <c r="E490" i="78"/>
  <c r="E489" i="78"/>
  <c r="E488" i="78"/>
  <c r="E487" i="78"/>
  <c r="E486" i="78"/>
  <c r="E485" i="78"/>
  <c r="E484" i="78"/>
  <c r="E483" i="78"/>
  <c r="E482" i="78"/>
  <c r="E481" i="78"/>
  <c r="E480" i="78"/>
  <c r="E479" i="78"/>
  <c r="E478" i="78"/>
  <c r="E477" i="78"/>
  <c r="E476" i="78"/>
  <c r="E475" i="78"/>
  <c r="E474" i="78"/>
  <c r="E473" i="78"/>
  <c r="E472" i="78"/>
  <c r="E471" i="78"/>
  <c r="E470" i="78"/>
  <c r="E469" i="78"/>
  <c r="E468" i="78"/>
  <c r="E467" i="78"/>
  <c r="E466" i="78"/>
  <c r="E465" i="78"/>
  <c r="E464" i="78"/>
  <c r="E463" i="78"/>
  <c r="E462" i="78"/>
  <c r="E461" i="78"/>
  <c r="E460" i="78"/>
  <c r="E459" i="78"/>
  <c r="E458" i="78"/>
  <c r="E457" i="78"/>
  <c r="E456" i="78"/>
  <c r="E455" i="78"/>
  <c r="E454" i="78"/>
  <c r="E453" i="78"/>
  <c r="E452" i="78"/>
  <c r="E451" i="78"/>
  <c r="E450" i="78"/>
  <c r="E449" i="78"/>
  <c r="E448" i="78"/>
  <c r="E447" i="78"/>
  <c r="E446" i="78"/>
  <c r="E445" i="78"/>
  <c r="E444" i="78"/>
  <c r="E443" i="78"/>
  <c r="E442" i="78"/>
  <c r="E441" i="78"/>
  <c r="E440" i="78"/>
  <c r="E439" i="78"/>
  <c r="E438" i="78"/>
  <c r="E437" i="78"/>
  <c r="E436" i="78"/>
  <c r="E435" i="78"/>
  <c r="E434" i="78"/>
  <c r="E433" i="78"/>
  <c r="E432" i="78"/>
  <c r="E431" i="78"/>
  <c r="E430" i="78"/>
  <c r="E429" i="78"/>
  <c r="E428" i="78"/>
  <c r="E427" i="78"/>
  <c r="E426" i="78"/>
  <c r="E425" i="78"/>
  <c r="E424" i="78"/>
  <c r="E423" i="78"/>
  <c r="E422" i="78"/>
  <c r="E421" i="78"/>
  <c r="E420" i="78"/>
  <c r="E419" i="78"/>
  <c r="E418" i="78"/>
  <c r="E417" i="78"/>
  <c r="E416" i="78"/>
  <c r="E415" i="78"/>
  <c r="E414" i="78"/>
  <c r="E413" i="78"/>
  <c r="E412" i="78"/>
  <c r="E411" i="78"/>
  <c r="E410" i="78"/>
  <c r="E409" i="78"/>
  <c r="E408" i="78"/>
  <c r="E407" i="78"/>
  <c r="E406" i="78"/>
  <c r="E405" i="78"/>
  <c r="E404" i="78"/>
  <c r="E403" i="78"/>
  <c r="E402" i="78"/>
  <c r="E401" i="78"/>
  <c r="E400" i="78"/>
  <c r="E399" i="78"/>
  <c r="E398" i="78"/>
  <c r="E397" i="78"/>
  <c r="E396" i="78"/>
  <c r="E395" i="78"/>
  <c r="E394" i="78"/>
  <c r="E393" i="78"/>
  <c r="E392" i="78"/>
  <c r="E391" i="78"/>
  <c r="E390" i="78"/>
  <c r="E389" i="78"/>
  <c r="E388" i="78"/>
  <c r="E387" i="78"/>
  <c r="E386" i="78"/>
  <c r="E385" i="78"/>
  <c r="E384" i="78"/>
  <c r="E383" i="78"/>
  <c r="E382" i="78"/>
  <c r="E381" i="78"/>
  <c r="E380" i="78"/>
  <c r="E379" i="78"/>
  <c r="E378" i="78"/>
  <c r="E377" i="78"/>
  <c r="E376" i="78"/>
  <c r="E375" i="78"/>
  <c r="E374" i="78"/>
  <c r="E373" i="78"/>
  <c r="E372" i="78"/>
  <c r="E371" i="78"/>
  <c r="E370" i="78"/>
  <c r="E369" i="78"/>
  <c r="E368" i="78"/>
  <c r="E367" i="78"/>
  <c r="E366" i="78"/>
  <c r="E365" i="78"/>
  <c r="E364" i="78"/>
  <c r="E363" i="78"/>
  <c r="E362" i="78"/>
  <c r="E361" i="78"/>
  <c r="E360" i="78"/>
  <c r="E359" i="78"/>
  <c r="E358" i="78"/>
  <c r="E357" i="78"/>
  <c r="E356" i="78"/>
  <c r="E355" i="78"/>
  <c r="E354" i="78"/>
  <c r="E353" i="78"/>
  <c r="E352" i="78"/>
  <c r="E351" i="78"/>
  <c r="E350" i="78"/>
  <c r="E349" i="78"/>
  <c r="E348" i="78"/>
  <c r="E347" i="78"/>
  <c r="E346" i="78"/>
  <c r="E345" i="78"/>
  <c r="E344" i="78"/>
  <c r="E343" i="78"/>
  <c r="E342" i="78"/>
  <c r="E341" i="78"/>
  <c r="E340" i="78"/>
  <c r="E339" i="78"/>
  <c r="E338" i="78"/>
  <c r="E337" i="78"/>
  <c r="E336" i="78"/>
  <c r="E335" i="78"/>
  <c r="E334" i="78"/>
  <c r="E333" i="78"/>
  <c r="E332" i="78"/>
  <c r="E331" i="78"/>
  <c r="E330" i="78"/>
  <c r="E329" i="78"/>
  <c r="E328" i="78"/>
  <c r="E327" i="78"/>
  <c r="E326" i="78"/>
  <c r="E325" i="78"/>
  <c r="E324" i="78"/>
  <c r="E323" i="78"/>
  <c r="E322" i="78"/>
  <c r="E321" i="78"/>
  <c r="E320" i="78"/>
  <c r="E319" i="78"/>
  <c r="E318" i="78"/>
  <c r="E317" i="78"/>
  <c r="E316" i="78"/>
  <c r="E315" i="78"/>
  <c r="E314" i="78"/>
  <c r="E313" i="78"/>
  <c r="E312" i="78"/>
  <c r="E311" i="78"/>
  <c r="E310" i="78"/>
  <c r="E309" i="78"/>
  <c r="E308" i="78"/>
  <c r="E307" i="78"/>
  <c r="E306" i="78"/>
  <c r="E305" i="78"/>
  <c r="E304" i="78"/>
  <c r="E303" i="78"/>
  <c r="E302" i="78"/>
  <c r="E301" i="78"/>
  <c r="E300" i="78"/>
  <c r="E299" i="78"/>
  <c r="E298" i="78"/>
  <c r="E297" i="78"/>
  <c r="E296" i="78"/>
  <c r="E295" i="78"/>
  <c r="E294" i="78"/>
  <c r="E293" i="78"/>
  <c r="E292" i="78"/>
  <c r="E291" i="78"/>
  <c r="E290" i="78"/>
  <c r="E289" i="78"/>
  <c r="E288" i="78"/>
  <c r="E287" i="78"/>
  <c r="E286" i="78"/>
  <c r="E285" i="78"/>
  <c r="E284" i="78"/>
  <c r="E283" i="78"/>
  <c r="E282" i="78"/>
  <c r="E281" i="78"/>
  <c r="E280" i="78"/>
  <c r="E279" i="78"/>
  <c r="E278" i="78"/>
  <c r="E277" i="78"/>
  <c r="E276" i="78"/>
  <c r="E275" i="78"/>
  <c r="E274" i="78"/>
  <c r="E273" i="78"/>
  <c r="E272" i="78"/>
  <c r="E271" i="78"/>
  <c r="E270" i="78"/>
  <c r="E269" i="78"/>
  <c r="E268" i="78"/>
  <c r="E267" i="78"/>
  <c r="E266" i="78"/>
  <c r="E265" i="78"/>
  <c r="E264" i="78"/>
  <c r="E263" i="78"/>
  <c r="E262" i="78"/>
  <c r="E261" i="78"/>
  <c r="E260" i="78"/>
  <c r="E259" i="78"/>
  <c r="E258" i="78"/>
  <c r="E257" i="78"/>
  <c r="E256" i="78"/>
  <c r="E255" i="78"/>
  <c r="E254" i="78"/>
  <c r="E253" i="78"/>
  <c r="E252" i="78"/>
  <c r="E251" i="78"/>
  <c r="E250" i="78"/>
  <c r="E249" i="78"/>
  <c r="E248" i="78"/>
  <c r="E247" i="78"/>
  <c r="E246" i="78"/>
  <c r="E245" i="78"/>
  <c r="E244" i="78"/>
  <c r="E243" i="78"/>
  <c r="E242" i="78"/>
  <c r="E241" i="78"/>
  <c r="E240" i="78"/>
  <c r="E239" i="78"/>
  <c r="E238" i="78"/>
  <c r="E237" i="78"/>
  <c r="E236" i="78"/>
  <c r="E235" i="78"/>
  <c r="E234" i="78"/>
  <c r="E233" i="78"/>
  <c r="E232" i="78"/>
  <c r="E231" i="78"/>
  <c r="E230" i="78"/>
  <c r="E229" i="78"/>
  <c r="E228" i="78"/>
  <c r="E227" i="78"/>
  <c r="E226" i="78"/>
  <c r="E225" i="78"/>
  <c r="E224" i="78"/>
  <c r="E223" i="78"/>
  <c r="E222" i="78"/>
  <c r="E221" i="78"/>
  <c r="E220" i="78"/>
  <c r="E219" i="78"/>
  <c r="E218" i="78"/>
  <c r="E217" i="78"/>
  <c r="E216" i="78"/>
  <c r="E215" i="78"/>
  <c r="E214" i="78"/>
  <c r="E213" i="78"/>
  <c r="E212" i="78"/>
  <c r="E211" i="78"/>
  <c r="E210" i="78"/>
  <c r="E209" i="78"/>
  <c r="E208" i="78"/>
  <c r="E207" i="78"/>
  <c r="E206" i="78"/>
  <c r="E205" i="78"/>
  <c r="E204" i="78"/>
  <c r="E203" i="78"/>
  <c r="E202" i="78"/>
  <c r="E201" i="78"/>
  <c r="E200" i="78"/>
  <c r="E199" i="78"/>
  <c r="E198" i="78"/>
  <c r="E197" i="78"/>
  <c r="E196" i="78"/>
  <c r="E195" i="78"/>
  <c r="E194" i="78"/>
  <c r="E193" i="78"/>
  <c r="E192" i="78"/>
  <c r="E191" i="78"/>
  <c r="E190" i="78"/>
  <c r="E189" i="78"/>
  <c r="E188" i="78"/>
  <c r="E187" i="78"/>
  <c r="E186" i="78"/>
  <c r="E185" i="78"/>
  <c r="E184" i="78"/>
  <c r="E183" i="78"/>
  <c r="E182" i="78"/>
  <c r="E181" i="78"/>
  <c r="E180" i="78"/>
  <c r="E179" i="78"/>
  <c r="E178" i="78"/>
  <c r="E177" i="78"/>
  <c r="E176" i="78"/>
  <c r="E175" i="78"/>
  <c r="E174" i="78"/>
  <c r="E173" i="78"/>
  <c r="E172" i="78"/>
  <c r="E171" i="78"/>
  <c r="E170" i="78"/>
  <c r="E169" i="78"/>
  <c r="E168" i="78"/>
  <c r="E167" i="78"/>
  <c r="E166" i="78"/>
  <c r="E165" i="78"/>
  <c r="E164" i="78"/>
  <c r="E163" i="78"/>
  <c r="E162" i="78"/>
  <c r="E161" i="78"/>
  <c r="E160" i="78"/>
  <c r="E159" i="78"/>
  <c r="E158" i="78"/>
  <c r="E157" i="78"/>
  <c r="E156" i="78"/>
  <c r="E155" i="78"/>
  <c r="E154" i="78"/>
  <c r="E153" i="78"/>
  <c r="E152" i="78"/>
  <c r="E151" i="78"/>
  <c r="E150" i="78"/>
  <c r="E149" i="78"/>
  <c r="E148" i="78"/>
  <c r="E147" i="78"/>
  <c r="E146" i="78"/>
  <c r="E145" i="78"/>
  <c r="E144" i="78"/>
  <c r="E143" i="78"/>
  <c r="E142" i="78"/>
  <c r="E141" i="78"/>
  <c r="E140" i="78"/>
  <c r="E139" i="78"/>
  <c r="E138" i="78"/>
  <c r="E137" i="78"/>
  <c r="E136" i="78"/>
  <c r="E135" i="78"/>
  <c r="E134" i="78"/>
  <c r="E133" i="78"/>
  <c r="E132" i="78"/>
  <c r="E131" i="78"/>
  <c r="E130" i="78"/>
  <c r="E129" i="78"/>
  <c r="E128" i="78"/>
  <c r="E127" i="78"/>
  <c r="E126" i="78"/>
  <c r="E125" i="78"/>
  <c r="E124" i="78"/>
  <c r="E123" i="78"/>
  <c r="E122" i="78"/>
  <c r="E121" i="78"/>
  <c r="E120" i="78"/>
  <c r="E119" i="78"/>
  <c r="E118" i="78"/>
  <c r="E117" i="78"/>
  <c r="E116" i="78"/>
  <c r="E115" i="78"/>
  <c r="E114" i="78"/>
  <c r="E113" i="78"/>
  <c r="E112" i="78"/>
  <c r="E111" i="78"/>
  <c r="E110" i="78"/>
  <c r="E109" i="78"/>
  <c r="E108" i="78"/>
  <c r="E107" i="78"/>
  <c r="E106" i="78"/>
  <c r="E105" i="78"/>
  <c r="E104" i="78"/>
  <c r="E103" i="78"/>
  <c r="E102" i="78"/>
  <c r="E101" i="78"/>
  <c r="E100" i="78"/>
  <c r="E99" i="78"/>
  <c r="E98" i="78"/>
  <c r="E97" i="78"/>
  <c r="E96" i="78"/>
  <c r="E95" i="78"/>
  <c r="E94" i="78"/>
  <c r="E93" i="78"/>
  <c r="E92" i="78"/>
  <c r="E91" i="78"/>
  <c r="E90" i="78"/>
  <c r="E89" i="78"/>
  <c r="E88" i="78"/>
  <c r="E87" i="78"/>
  <c r="E86" i="78"/>
  <c r="E85" i="78"/>
  <c r="E84" i="78"/>
  <c r="E83" i="78"/>
  <c r="E82" i="78"/>
  <c r="E81" i="78"/>
  <c r="E80" i="78"/>
  <c r="E79" i="78"/>
  <c r="E78" i="78"/>
  <c r="E77" i="78"/>
  <c r="E76" i="78"/>
  <c r="E75" i="78"/>
  <c r="E74" i="78"/>
  <c r="E73" i="78"/>
  <c r="E72" i="78"/>
  <c r="E71" i="78"/>
  <c r="E70" i="78"/>
  <c r="E69" i="78"/>
  <c r="E68" i="78"/>
  <c r="E67" i="78"/>
  <c r="E66" i="78"/>
  <c r="E65" i="78"/>
  <c r="E64" i="78"/>
  <c r="E63" i="78"/>
  <c r="E62" i="78"/>
  <c r="E61" i="78"/>
  <c r="E60" i="78"/>
  <c r="E59" i="78"/>
  <c r="E58" i="78"/>
  <c r="E57" i="78"/>
  <c r="E56" i="78"/>
  <c r="E55" i="78"/>
  <c r="E54" i="78"/>
  <c r="E53" i="78"/>
  <c r="E52" i="78"/>
  <c r="E51" i="78"/>
  <c r="E50" i="78"/>
  <c r="E49" i="78"/>
  <c r="E48" i="78"/>
  <c r="E47" i="78"/>
  <c r="E46" i="78"/>
  <c r="E45" i="78"/>
  <c r="E44" i="78"/>
  <c r="E43" i="78"/>
  <c r="E42" i="78"/>
  <c r="E41" i="78"/>
  <c r="E40" i="78"/>
  <c r="E39" i="78"/>
  <c r="E38" i="78"/>
  <c r="E37" i="78"/>
  <c r="E36" i="78"/>
  <c r="E35" i="78"/>
  <c r="E34" i="78"/>
  <c r="E33" i="78"/>
  <c r="E32" i="78"/>
  <c r="E31" i="78"/>
  <c r="E30" i="78"/>
  <c r="E29" i="78"/>
  <c r="E28" i="78"/>
  <c r="E27" i="78"/>
  <c r="E26" i="78"/>
  <c r="E25" i="78"/>
  <c r="E24" i="78"/>
  <c r="E23" i="78"/>
  <c r="E22" i="78"/>
  <c r="E21" i="78"/>
  <c r="E20" i="78"/>
  <c r="E19" i="78"/>
  <c r="E18" i="78"/>
  <c r="E17" i="78"/>
  <c r="E16" i="78"/>
  <c r="E15" i="78"/>
  <c r="E14" i="78"/>
  <c r="E13" i="78"/>
  <c r="H40" i="32"/>
  <c r="H27" i="32"/>
  <c r="H157" i="32"/>
  <c r="H144" i="32"/>
  <c r="H131" i="32"/>
  <c r="H118" i="32"/>
  <c r="H105" i="32"/>
  <c r="H92" i="32"/>
  <c r="H79" i="32"/>
  <c r="H66" i="32"/>
  <c r="H53" i="32"/>
  <c r="H14" i="32"/>
  <c r="E721" i="32"/>
  <c r="E513" i="32"/>
  <c r="E872" i="32"/>
  <c r="E839" i="32"/>
  <c r="E257" i="32"/>
  <c r="E21" i="32"/>
  <c r="E84" i="32"/>
  <c r="E246" i="32"/>
  <c r="E209" i="32"/>
  <c r="E201" i="32"/>
  <c r="E235" i="32"/>
  <c r="E215" i="32"/>
  <c r="E17" i="32"/>
  <c r="E253" i="32"/>
  <c r="E25" i="32"/>
  <c r="E248" i="32"/>
  <c r="E230" i="32"/>
  <c r="E81" i="32"/>
  <c r="E178" i="32"/>
  <c r="E210" i="32"/>
  <c r="E223" i="32"/>
  <c r="E142" i="32"/>
  <c r="E216" i="32"/>
  <c r="E219" i="32"/>
  <c r="E240" i="32"/>
  <c r="E44" i="32"/>
  <c r="E190" i="32"/>
  <c r="E232" i="32"/>
  <c r="E244" i="32"/>
  <c r="E71" i="32"/>
  <c r="E93" i="32"/>
  <c r="E236" i="32"/>
  <c r="E237" i="32"/>
  <c r="E233" i="32"/>
  <c r="E222" i="32"/>
  <c r="E92" i="32"/>
  <c r="E80" i="32"/>
  <c r="E41" i="32"/>
  <c r="E170" i="32"/>
  <c r="E14" i="32"/>
  <c r="E67" i="32"/>
  <c r="E221" i="32"/>
  <c r="E15" i="32"/>
  <c r="E181" i="32"/>
  <c r="E167" i="32"/>
  <c r="E72" i="32"/>
  <c r="E99" i="32"/>
  <c r="E89" i="32"/>
  <c r="E100" i="32"/>
  <c r="E191" i="32"/>
  <c r="E175" i="32"/>
  <c r="E68" i="32"/>
  <c r="E186" i="32"/>
  <c r="E138" i="32"/>
  <c r="E90" i="32"/>
  <c r="E106" i="32"/>
  <c r="E225" i="32"/>
  <c r="E199" i="32"/>
  <c r="E95" i="32"/>
  <c r="E171" i="32"/>
  <c r="E185" i="32"/>
  <c r="E227" i="32"/>
  <c r="E86" i="32"/>
  <c r="E24" i="32"/>
  <c r="E212" i="32"/>
  <c r="E166" i="32"/>
  <c r="E33" i="32"/>
  <c r="E27" i="32"/>
  <c r="E392" i="32"/>
  <c r="E468" i="32"/>
  <c r="E378" i="32"/>
  <c r="E492" i="32"/>
  <c r="E469" i="32"/>
  <c r="E451" i="32"/>
  <c r="E475" i="32"/>
  <c r="E483" i="32"/>
  <c r="E474" i="32"/>
  <c r="E473" i="32"/>
  <c r="E480" i="32"/>
  <c r="E471" i="32"/>
  <c r="E472" i="32"/>
  <c r="E486" i="32"/>
  <c r="E487" i="32"/>
  <c r="E482" i="32"/>
  <c r="E493" i="32"/>
  <c r="E293" i="32"/>
  <c r="E413" i="32"/>
  <c r="E444" i="32"/>
  <c r="E347" i="32"/>
  <c r="E382" i="32"/>
  <c r="E435" i="32"/>
  <c r="E428" i="32"/>
  <c r="E262" i="32"/>
  <c r="E335" i="32"/>
  <c r="E326" i="32"/>
  <c r="E459" i="32"/>
  <c r="E494" i="32"/>
  <c r="E279" i="32"/>
  <c r="E437" i="32"/>
  <c r="E285" i="32"/>
  <c r="E404" i="32"/>
  <c r="E489" i="32"/>
  <c r="E450" i="32"/>
  <c r="E385" i="32"/>
  <c r="E374" i="32"/>
  <c r="E266" i="32"/>
  <c r="E334" i="32"/>
  <c r="E322" i="32"/>
  <c r="E425" i="32"/>
  <c r="E260" i="32"/>
  <c r="E431" i="32"/>
  <c r="E383" i="32"/>
  <c r="E292" i="32"/>
  <c r="E414" i="32"/>
  <c r="E417" i="32"/>
  <c r="E313" i="32"/>
  <c r="E331" i="32"/>
  <c r="E332" i="32"/>
  <c r="E275" i="32"/>
  <c r="E384" i="32"/>
  <c r="E267" i="32"/>
  <c r="E301" i="32"/>
  <c r="E375" i="32"/>
  <c r="E423" i="32"/>
  <c r="E317" i="32"/>
  <c r="E352" i="32"/>
  <c r="E290" i="32"/>
  <c r="E462" i="32"/>
  <c r="E379" i="32"/>
  <c r="E328" i="32"/>
  <c r="E306" i="32"/>
  <c r="E269" i="32"/>
  <c r="E270" i="32"/>
  <c r="E323" i="32"/>
  <c r="E314" i="32"/>
  <c r="E373" i="32"/>
  <c r="E329" i="32"/>
  <c r="E339" i="32"/>
  <c r="E272" i="32"/>
  <c r="E264" i="32"/>
  <c r="E349" i="32"/>
  <c r="E401" i="32"/>
  <c r="E403" i="32"/>
  <c r="E299" i="32"/>
  <c r="E453" i="32"/>
  <c r="E371" i="32"/>
  <c r="E265" i="32"/>
  <c r="E461" i="32"/>
  <c r="E327" i="32"/>
  <c r="E261" i="32"/>
  <c r="E324" i="32"/>
  <c r="E381" i="32"/>
  <c r="E268" i="32"/>
  <c r="E300" i="32"/>
  <c r="E286" i="32"/>
  <c r="E281" i="32"/>
  <c r="E479" i="32"/>
  <c r="E336" i="32"/>
  <c r="E400" i="32"/>
  <c r="E370" i="32"/>
  <c r="E372" i="32"/>
  <c r="E464" i="32"/>
  <c r="E303" i="32"/>
  <c r="E455" i="32"/>
  <c r="E424" i="32"/>
  <c r="E330" i="32"/>
  <c r="E430" i="32"/>
  <c r="E271" i="32"/>
  <c r="E342" i="32"/>
  <c r="E396" i="32"/>
  <c r="E408" i="32"/>
  <c r="E495" i="32"/>
  <c r="E481" i="32"/>
  <c r="E454" i="32"/>
  <c r="E443" i="32"/>
  <c r="E467" i="32"/>
  <c r="E310" i="32"/>
  <c r="E263" i="32"/>
  <c r="E282" i="32"/>
  <c r="E273" i="32"/>
  <c r="E456" i="32"/>
  <c r="E307" i="32"/>
  <c r="E449" i="32"/>
  <c r="E421" i="32"/>
  <c r="E350" i="32"/>
  <c r="E351" i="32"/>
  <c r="E429" i="32"/>
  <c r="E348" i="32"/>
  <c r="E259" i="32"/>
  <c r="E418" i="32"/>
  <c r="E341" i="32"/>
  <c r="E274" i="32"/>
  <c r="E368" i="32"/>
  <c r="E422" i="32"/>
  <c r="E458" i="32"/>
  <c r="E360" i="32"/>
  <c r="E447" i="32"/>
  <c r="E433" i="32"/>
  <c r="E297" i="32"/>
  <c r="E278" i="32"/>
  <c r="E305" i="32"/>
  <c r="E363" i="32"/>
  <c r="E377" i="32"/>
  <c r="E337" i="32"/>
  <c r="E343" i="32"/>
  <c r="E315" i="32"/>
  <c r="E340" i="32"/>
  <c r="E397" i="32"/>
  <c r="E291" i="32"/>
  <c r="E410" i="32"/>
  <c r="E389" i="32"/>
  <c r="E353" i="32"/>
  <c r="E390" i="32"/>
  <c r="E369" i="32"/>
  <c r="E419" i="32"/>
  <c r="E366" i="32"/>
  <c r="E325" i="32"/>
  <c r="E476" i="32"/>
  <c r="E376" i="32"/>
  <c r="E420" i="32"/>
  <c r="E415" i="32"/>
  <c r="E405" i="32"/>
  <c r="E391" i="32"/>
  <c r="E393" i="32"/>
  <c r="E465" i="32"/>
  <c r="E398" i="32"/>
  <c r="E409" i="32"/>
  <c r="E399" i="32"/>
  <c r="E406" i="32"/>
  <c r="E308" i="32"/>
  <c r="E427" i="32"/>
  <c r="E477" i="32"/>
  <c r="E416" i="32"/>
  <c r="E442" i="32"/>
  <c r="E446" i="32"/>
  <c r="E452" i="32"/>
  <c r="E294" i="32"/>
  <c r="E466" i="32"/>
  <c r="E445" i="32"/>
  <c r="E284" i="32"/>
  <c r="E287" i="32"/>
  <c r="E356" i="32"/>
  <c r="E283" i="32"/>
  <c r="E316" i="32"/>
  <c r="E344" i="32"/>
  <c r="E463" i="32"/>
  <c r="E302" i="32"/>
  <c r="E478" i="32"/>
  <c r="E484" i="32"/>
  <c r="E345" i="32"/>
  <c r="E387" i="32"/>
  <c r="E359" i="32"/>
  <c r="E426" i="32"/>
  <c r="E346" i="32"/>
  <c r="E338" i="32"/>
  <c r="E432" i="32"/>
  <c r="E312" i="32"/>
  <c r="E364" i="32"/>
  <c r="E304" i="32"/>
  <c r="E357" i="32"/>
  <c r="E309" i="32"/>
  <c r="E321" i="32"/>
  <c r="E411" i="32"/>
  <c r="E298" i="32"/>
  <c r="E386" i="32"/>
  <c r="E318" i="32"/>
  <c r="E319" i="32"/>
  <c r="E460" i="32"/>
  <c r="E470" i="32"/>
  <c r="E365" i="32"/>
  <c r="E457" i="32"/>
  <c r="E395" i="32"/>
  <c r="E439" i="32"/>
  <c r="E354" i="32"/>
  <c r="E289" i="32"/>
  <c r="E367" i="32"/>
  <c r="E380" i="32"/>
  <c r="E394" i="32"/>
  <c r="E333" i="32"/>
  <c r="E488" i="32"/>
  <c r="E288" i="32"/>
  <c r="E311" i="32"/>
  <c r="E490" i="32"/>
  <c r="E485" i="32"/>
  <c r="E407" i="32"/>
  <c r="E296" i="32"/>
  <c r="E448" i="32"/>
  <c r="E438" i="32"/>
  <c r="E402" i="32"/>
  <c r="E412" i="32"/>
  <c r="E436" i="32"/>
  <c r="E358" i="32"/>
  <c r="E434" i="32"/>
  <c r="E440" i="32"/>
  <c r="E361" i="32"/>
  <c r="E441" i="32"/>
  <c r="E295" i="32"/>
  <c r="E276" i="32"/>
  <c r="E355" i="32"/>
  <c r="E320" i="32"/>
  <c r="E491" i="32"/>
  <c r="E280" i="32"/>
  <c r="E277" i="32"/>
  <c r="E388" i="32"/>
  <c r="E362" i="32"/>
  <c r="E239" i="32"/>
  <c r="E252" i="32"/>
  <c r="E75" i="32"/>
  <c r="E13" i="32"/>
  <c r="E46" i="32"/>
  <c r="E109" i="32"/>
  <c r="E174" i="32"/>
  <c r="E173" i="32"/>
  <c r="E96" i="32"/>
  <c r="E94" i="32"/>
  <c r="E101" i="32"/>
  <c r="E217" i="32"/>
  <c r="E192" i="32"/>
  <c r="E182" i="32"/>
  <c r="E113" i="32"/>
  <c r="E154" i="32"/>
  <c r="E220" i="32"/>
  <c r="E224" i="32"/>
  <c r="E144" i="32"/>
  <c r="E228" i="32"/>
  <c r="E49" i="32"/>
  <c r="E150" i="32"/>
  <c r="E23" i="32"/>
  <c r="E179" i="32"/>
  <c r="E131" i="32"/>
  <c r="E241" i="32"/>
  <c r="E196" i="32"/>
  <c r="E249" i="32"/>
  <c r="E140" i="32"/>
  <c r="E157" i="32"/>
  <c r="E160" i="32"/>
  <c r="E243" i="32"/>
  <c r="E161" i="32"/>
  <c r="E258" i="32"/>
  <c r="E203" i="32"/>
  <c r="E184" i="32"/>
  <c r="E39" i="32"/>
  <c r="E250" i="32"/>
  <c r="E29" i="32"/>
  <c r="E172" i="32"/>
  <c r="E183" i="32"/>
  <c r="E107" i="32"/>
  <c r="E108" i="32"/>
  <c r="E231" i="32"/>
  <c r="E245" i="32"/>
  <c r="E18" i="32"/>
  <c r="E111" i="32"/>
  <c r="E82" i="32"/>
  <c r="E180" i="32"/>
  <c r="E26" i="32"/>
  <c r="E19" i="32"/>
  <c r="E117" i="32"/>
  <c r="E159" i="32"/>
  <c r="E20" i="32"/>
  <c r="E48" i="32"/>
  <c r="E251" i="32"/>
  <c r="E70" i="32"/>
  <c r="E141" i="32"/>
  <c r="E76" i="32"/>
  <c r="E155" i="32"/>
  <c r="E102" i="32"/>
  <c r="E35" i="32"/>
  <c r="E50" i="32"/>
  <c r="E169" i="32"/>
  <c r="E110" i="32"/>
  <c r="E139" i="32"/>
  <c r="E103" i="32"/>
  <c r="E47" i="32"/>
  <c r="E149" i="32"/>
  <c r="E120" i="32"/>
  <c r="E79" i="32"/>
  <c r="E74" i="32"/>
  <c r="E145" i="32"/>
  <c r="E123" i="32"/>
  <c r="E30" i="32"/>
  <c r="E64" i="32"/>
  <c r="E43" i="32"/>
  <c r="E31" i="32"/>
  <c r="E254" i="32"/>
  <c r="E42" i="32"/>
  <c r="E83" i="32"/>
  <c r="E91" i="32"/>
  <c r="E187" i="32"/>
  <c r="E188" i="32"/>
  <c r="E189" i="32"/>
  <c r="E226" i="32"/>
  <c r="E55" i="32"/>
  <c r="E114" i="32"/>
  <c r="E143" i="32"/>
  <c r="E242" i="32"/>
  <c r="E115" i="32"/>
  <c r="E152" i="32"/>
  <c r="E126" i="32"/>
  <c r="E151" i="32"/>
  <c r="E208" i="32"/>
  <c r="E148" i="32"/>
  <c r="E119" i="32"/>
  <c r="E121" i="32"/>
  <c r="E122" i="32"/>
  <c r="E87" i="32"/>
  <c r="E163" i="32"/>
  <c r="E133" i="32"/>
  <c r="E197" i="32"/>
  <c r="E194" i="32"/>
  <c r="E147" i="32"/>
  <c r="E88" i="32"/>
  <c r="E56" i="32"/>
  <c r="E57" i="32"/>
  <c r="E58" i="32"/>
  <c r="E59" i="32"/>
  <c r="E60" i="32"/>
  <c r="E61" i="32"/>
  <c r="E77" i="32"/>
  <c r="E132" i="32"/>
  <c r="E238" i="32"/>
  <c r="E78" i="32"/>
  <c r="E62" i="32"/>
  <c r="E247" i="32"/>
  <c r="E53" i="32"/>
  <c r="E195" i="32"/>
  <c r="E176" i="32"/>
  <c r="E200" i="32"/>
  <c r="E162" i="32"/>
  <c r="E69" i="32"/>
  <c r="E234" i="32"/>
  <c r="E207" i="32"/>
  <c r="E146" i="32"/>
  <c r="E65" i="32"/>
  <c r="E112" i="32"/>
  <c r="E97" i="32"/>
  <c r="E156" i="32"/>
  <c r="E85" i="32"/>
  <c r="E136" i="32"/>
  <c r="E32" i="32"/>
  <c r="E193" i="32"/>
  <c r="E165" i="32"/>
  <c r="E38" i="32"/>
  <c r="E98" i="32"/>
  <c r="E211" i="32"/>
  <c r="E116" i="32"/>
  <c r="E51" i="32"/>
  <c r="E118" i="32"/>
  <c r="E229" i="32"/>
  <c r="E953" i="32"/>
  <c r="E954" i="32"/>
  <c r="E955" i="32"/>
  <c r="E956" i="32"/>
  <c r="E957" i="32"/>
  <c r="E958" i="32"/>
  <c r="E959" i="32"/>
  <c r="E960" i="32"/>
  <c r="E961" i="32"/>
  <c r="E962" i="32"/>
  <c r="E963" i="32"/>
  <c r="E964" i="32"/>
  <c r="E965" i="32"/>
  <c r="E966" i="32"/>
  <c r="E967" i="32"/>
  <c r="E968" i="32"/>
  <c r="E969" i="32"/>
  <c r="E970" i="32"/>
  <c r="E971" i="32"/>
  <c r="E972" i="32"/>
  <c r="E973" i="32"/>
  <c r="E974" i="32"/>
  <c r="E975" i="32"/>
  <c r="E976" i="32"/>
  <c r="E977" i="32"/>
  <c r="E978" i="32"/>
  <c r="E979" i="32"/>
  <c r="E980" i="32"/>
  <c r="E981" i="32"/>
  <c r="E982" i="32"/>
  <c r="E983" i="32"/>
  <c r="E984" i="32"/>
  <c r="E985" i="32"/>
  <c r="E986" i="32"/>
  <c r="E987" i="32"/>
  <c r="E988" i="32"/>
  <c r="E989" i="32"/>
  <c r="E990" i="32"/>
  <c r="E991" i="32"/>
  <c r="E992" i="32"/>
  <c r="E993" i="32"/>
  <c r="E994" i="32"/>
  <c r="E995" i="32"/>
  <c r="E996" i="32"/>
  <c r="E997" i="32"/>
  <c r="E998" i="32"/>
  <c r="E999" i="32"/>
  <c r="E1000" i="32"/>
  <c r="E1001" i="32"/>
  <c r="E1002" i="32"/>
  <c r="E1003" i="32"/>
  <c r="E1004" i="32"/>
  <c r="E1005" i="32"/>
  <c r="E1006" i="32"/>
  <c r="E1007" i="32"/>
  <c r="E1008" i="32"/>
  <c r="E1009" i="32"/>
  <c r="E1010" i="32"/>
  <c r="E1011" i="32"/>
  <c r="E1012" i="32"/>
  <c r="E1013" i="32"/>
  <c r="E1014" i="32"/>
  <c r="E1015" i="32"/>
  <c r="E1016" i="32"/>
  <c r="E1017" i="32"/>
  <c r="E1018" i="32"/>
  <c r="E1019" i="32"/>
  <c r="E1020" i="32"/>
  <c r="E1021" i="32"/>
  <c r="E1022" i="32"/>
  <c r="E1023" i="32"/>
  <c r="E1024" i="32"/>
  <c r="E1025" i="32"/>
  <c r="E1026" i="32"/>
  <c r="E1027" i="32"/>
  <c r="E1028" i="32"/>
  <c r="E1029" i="32"/>
  <c r="E1030" i="32"/>
  <c r="E1031" i="32"/>
  <c r="E1032" i="32"/>
  <c r="E1033" i="32"/>
  <c r="E1034" i="32"/>
  <c r="E1035" i="32"/>
  <c r="E1036" i="32"/>
  <c r="E1037" i="32"/>
  <c r="E1038" i="32"/>
  <c r="E1039" i="32"/>
  <c r="E1040" i="32"/>
  <c r="E1041" i="32"/>
  <c r="E1042" i="32"/>
  <c r="E1043" i="32"/>
  <c r="E1044" i="32"/>
  <c r="E1045" i="32"/>
  <c r="E1046" i="32"/>
  <c r="E1047" i="32"/>
  <c r="E1048" i="32"/>
  <c r="E1049" i="32"/>
  <c r="E1050" i="32"/>
  <c r="E1051" i="32"/>
  <c r="E1052" i="32"/>
  <c r="E1053" i="32"/>
  <c r="E1054" i="32"/>
  <c r="E1055" i="32"/>
  <c r="E1056" i="32"/>
  <c r="E1057" i="32"/>
  <c r="E1058" i="32"/>
  <c r="E1059" i="32"/>
  <c r="E1060" i="32"/>
  <c r="E1061" i="32"/>
  <c r="E1062" i="32"/>
  <c r="E1063" i="32"/>
  <c r="E1064" i="32"/>
  <c r="E1065" i="32"/>
  <c r="E1066" i="32"/>
  <c r="E1067" i="32"/>
  <c r="E1068" i="32"/>
  <c r="E1069" i="32"/>
  <c r="E1070" i="32"/>
  <c r="E1071" i="32"/>
  <c r="E1072" i="32"/>
  <c r="E1073" i="32"/>
  <c r="E1074" i="32"/>
  <c r="E1075" i="32"/>
  <c r="E1076" i="32"/>
  <c r="E1077" i="32"/>
  <c r="E1078" i="32"/>
  <c r="E1079" i="32"/>
  <c r="E1080" i="32"/>
  <c r="E1081" i="32"/>
  <c r="E1082" i="32"/>
  <c r="E1083" i="32"/>
  <c r="E1084" i="32"/>
  <c r="E1085" i="32"/>
  <c r="E1086" i="32"/>
  <c r="E1087" i="32"/>
  <c r="E1088" i="32"/>
  <c r="E1089" i="32"/>
  <c r="E1090" i="32"/>
  <c r="E1091" i="32"/>
  <c r="E1092" i="32"/>
  <c r="E1093" i="32"/>
  <c r="E1094" i="32"/>
  <c r="E1095" i="32"/>
  <c r="E1096" i="32"/>
  <c r="E1097" i="32"/>
  <c r="E1098" i="32"/>
  <c r="E1099" i="32"/>
  <c r="E1100" i="32"/>
  <c r="E1101" i="32"/>
  <c r="E1102" i="32"/>
  <c r="E1103" i="32"/>
  <c r="E1104" i="32"/>
  <c r="E1105" i="32"/>
  <c r="E1106" i="32"/>
  <c r="E1107" i="32"/>
  <c r="E1108" i="32"/>
  <c r="E1109" i="32"/>
  <c r="E1110" i="32"/>
  <c r="E1111" i="32"/>
  <c r="E1112" i="32"/>
  <c r="E1113" i="32"/>
  <c r="E1114" i="32"/>
  <c r="E1115" i="32"/>
  <c r="E1116" i="32"/>
  <c r="E1117" i="32"/>
  <c r="E1118" i="32"/>
  <c r="E1119" i="32"/>
  <c r="E1120" i="32"/>
  <c r="E1121" i="32"/>
  <c r="E1122" i="32"/>
  <c r="E1123" i="32"/>
  <c r="E1124" i="32"/>
  <c r="E1125" i="32"/>
  <c r="E1126" i="32"/>
  <c r="E1127" i="32"/>
  <c r="E1128" i="32"/>
  <c r="E1129" i="32"/>
  <c r="E1130" i="32"/>
  <c r="E1131" i="32"/>
  <c r="E1132" i="32"/>
  <c r="E1133" i="32"/>
  <c r="E1134" i="32"/>
  <c r="E1135" i="32"/>
  <c r="E1136" i="32"/>
  <c r="E1137" i="32"/>
  <c r="E1138" i="32"/>
  <c r="E1139" i="32"/>
  <c r="E1140" i="32"/>
  <c r="E1141" i="32"/>
  <c r="E1142" i="32"/>
  <c r="E1143" i="32"/>
  <c r="E1144" i="32"/>
  <c r="E1145" i="32"/>
  <c r="E1146" i="32"/>
  <c r="E1147" i="32"/>
  <c r="E1148" i="32"/>
  <c r="E1149" i="32"/>
  <c r="E1150" i="32"/>
  <c r="E1151" i="32"/>
  <c r="E1152" i="32"/>
  <c r="E1153" i="32"/>
  <c r="E1154" i="32"/>
  <c r="E1155" i="32"/>
  <c r="E1156" i="32"/>
  <c r="E1157" i="32"/>
  <c r="E1158" i="32"/>
  <c r="E1159" i="32"/>
  <c r="E1160" i="32"/>
  <c r="E1161" i="32"/>
  <c r="E1162" i="32"/>
  <c r="E1163" i="32"/>
  <c r="E1164" i="32"/>
  <c r="E1165" i="32"/>
  <c r="E1166" i="32"/>
  <c r="E1167" i="32"/>
  <c r="E1168" i="32"/>
  <c r="E1169" i="32"/>
  <c r="E1170" i="32"/>
  <c r="E1171" i="32"/>
  <c r="E1172" i="32"/>
  <c r="E1173" i="32"/>
  <c r="E1174" i="32"/>
  <c r="E1175" i="32"/>
  <c r="E1176" i="32"/>
  <c r="E1177" i="32"/>
  <c r="E1178" i="32"/>
  <c r="E1179" i="32"/>
  <c r="E1180" i="32"/>
  <c r="E1181" i="32"/>
  <c r="E1182" i="32"/>
  <c r="E1183" i="32"/>
  <c r="E1184" i="32"/>
  <c r="E1185" i="32"/>
  <c r="E1186" i="32"/>
  <c r="E1187" i="32"/>
  <c r="E1188" i="32"/>
  <c r="E1189" i="32"/>
  <c r="E1190" i="32"/>
  <c r="E1191" i="32"/>
  <c r="E1192" i="32"/>
  <c r="E1193" i="32"/>
  <c r="E1194" i="32"/>
  <c r="E1195" i="32"/>
  <c r="E1196" i="32"/>
  <c r="E1197" i="32"/>
  <c r="E1198" i="32"/>
  <c r="E1199" i="32"/>
  <c r="E1200" i="32"/>
  <c r="E1201" i="32"/>
  <c r="E1202" i="32"/>
  <c r="E1203" i="32"/>
  <c r="E1204" i="32"/>
  <c r="E1205" i="32"/>
  <c r="E1206" i="32"/>
  <c r="E1207" i="32"/>
  <c r="E1208" i="32"/>
  <c r="E1209" i="32"/>
  <c r="E1210" i="32"/>
  <c r="E1211" i="32"/>
  <c r="E1212" i="32"/>
  <c r="E1213" i="32"/>
  <c r="E1214" i="32"/>
  <c r="E1215" i="32"/>
  <c r="E1216" i="32"/>
  <c r="E1217" i="32"/>
  <c r="E1218" i="32"/>
  <c r="E1219" i="32"/>
  <c r="E1220" i="32"/>
  <c r="E1221" i="32"/>
  <c r="E1222" i="32"/>
  <c r="E1223" i="32"/>
  <c r="E1224" i="32"/>
  <c r="E1225" i="32"/>
  <c r="E1226" i="32"/>
  <c r="E1227" i="32"/>
  <c r="E1228" i="32"/>
  <c r="E1229" i="32"/>
  <c r="E1230" i="32"/>
  <c r="E1231" i="32"/>
  <c r="E1232" i="32"/>
  <c r="E1233" i="32"/>
  <c r="E1234" i="32"/>
  <c r="E1235" i="32"/>
  <c r="E1236" i="32"/>
  <c r="E1237" i="32"/>
  <c r="E1238" i="32"/>
  <c r="E1239" i="32"/>
  <c r="E1240" i="32"/>
  <c r="E1241" i="32"/>
  <c r="E1242" i="32"/>
  <c r="E1243" i="32"/>
  <c r="E1244" i="32"/>
  <c r="E1245" i="32"/>
  <c r="E1246" i="32"/>
  <c r="E1247" i="32"/>
  <c r="E1248" i="32"/>
  <c r="E1249" i="32"/>
  <c r="E1250" i="32"/>
  <c r="E1251" i="32"/>
  <c r="E1252" i="32"/>
  <c r="E1253" i="32"/>
  <c r="E1254" i="32"/>
  <c r="E1255" i="32"/>
  <c r="E1256" i="32"/>
  <c r="E1257" i="32"/>
  <c r="E1258" i="32"/>
  <c r="E1259" i="32"/>
  <c r="E1260" i="32"/>
  <c r="E1261" i="32"/>
  <c r="E1262" i="32"/>
  <c r="E1263" i="32"/>
  <c r="E1264" i="32"/>
  <c r="E1265" i="32"/>
  <c r="E1266" i="32"/>
  <c r="E1267" i="32"/>
  <c r="E1268" i="32"/>
  <c r="E1269" i="32"/>
  <c r="E1270" i="32"/>
  <c r="E1271" i="32"/>
  <c r="E1272" i="32"/>
  <c r="E1273" i="32"/>
  <c r="E1274" i="32"/>
  <c r="E1275" i="32"/>
  <c r="E1276" i="32"/>
  <c r="E1277" i="32"/>
  <c r="E1278" i="32"/>
  <c r="E1279" i="32"/>
  <c r="E1280" i="32"/>
  <c r="E1281" i="32"/>
  <c r="E1282" i="32"/>
  <c r="E1283" i="32"/>
  <c r="E1284" i="32"/>
  <c r="E1285" i="32"/>
  <c r="E1286" i="32"/>
  <c r="E1287" i="32"/>
  <c r="E1288" i="32"/>
  <c r="E1289" i="32"/>
  <c r="E1290" i="32"/>
  <c r="E1291" i="32"/>
  <c r="E1292" i="32"/>
  <c r="E1293" i="32"/>
  <c r="E1294" i="32"/>
  <c r="E1295" i="32"/>
  <c r="E1296" i="32"/>
  <c r="E1297" i="32"/>
  <c r="E1298" i="32"/>
  <c r="E1299" i="32"/>
  <c r="E1300" i="32"/>
  <c r="E1301" i="32"/>
  <c r="E1302" i="32"/>
  <c r="E1303" i="32"/>
  <c r="E1304" i="32"/>
  <c r="E1305" i="32"/>
  <c r="E1306" i="32"/>
  <c r="E1307" i="32"/>
  <c r="E1308" i="32"/>
  <c r="E1309" i="32"/>
  <c r="E1310" i="32"/>
  <c r="E1311" i="32"/>
  <c r="E1312" i="32"/>
  <c r="E1313" i="32"/>
  <c r="E1314" i="32"/>
  <c r="E1315" i="32"/>
  <c r="E1316" i="32"/>
  <c r="E1317" i="32"/>
  <c r="E1318" i="32"/>
  <c r="E1319" i="32"/>
  <c r="E1320" i="32"/>
  <c r="E1321" i="32"/>
  <c r="E1322" i="32"/>
  <c r="E1323" i="32"/>
  <c r="E1324" i="32"/>
  <c r="E1325" i="32"/>
  <c r="E1326" i="32"/>
  <c r="E1327" i="32"/>
  <c r="E1328" i="32"/>
  <c r="E1329" i="32"/>
  <c r="E1330" i="32"/>
  <c r="E1331" i="32"/>
  <c r="E1332" i="32"/>
  <c r="E1333" i="32"/>
  <c r="E1334" i="32"/>
  <c r="E1335" i="32"/>
  <c r="E1336" i="32"/>
  <c r="E1337" i="32"/>
  <c r="E1338" i="32"/>
  <c r="E1339" i="32"/>
  <c r="E1340" i="32"/>
  <c r="E1341" i="32"/>
  <c r="E1342" i="32"/>
  <c r="E1343" i="32"/>
  <c r="E1344" i="32"/>
  <c r="E1345" i="32"/>
  <c r="E1346" i="32"/>
  <c r="E1347" i="32"/>
  <c r="E1348" i="32"/>
  <c r="E1349" i="32"/>
  <c r="E1350" i="32"/>
  <c r="E1351" i="32"/>
  <c r="E1352" i="32"/>
  <c r="E1353" i="32"/>
  <c r="E1354" i="32"/>
  <c r="E1355" i="32"/>
  <c r="E1356" i="32"/>
  <c r="E1357" i="32"/>
  <c r="E1358" i="32"/>
  <c r="E1359" i="32"/>
  <c r="E1360" i="32"/>
  <c r="E1361" i="32"/>
  <c r="E1362" i="32"/>
  <c r="E1363" i="32"/>
  <c r="E1364" i="32"/>
  <c r="E1365" i="32"/>
  <c r="E1366" i="32"/>
  <c r="E1367" i="32"/>
  <c r="E1368" i="32"/>
  <c r="E1369" i="32"/>
  <c r="E1370" i="32"/>
  <c r="E1371" i="32"/>
  <c r="E1372" i="32"/>
  <c r="E1373" i="32"/>
  <c r="E1374" i="32"/>
  <c r="E1375" i="32"/>
  <c r="E1376" i="32"/>
  <c r="E1377" i="32"/>
  <c r="E1378" i="32"/>
  <c r="E1379" i="32"/>
  <c r="E1380" i="32"/>
  <c r="E1381" i="32"/>
  <c r="E1382" i="32"/>
  <c r="E1383" i="32"/>
  <c r="E1384" i="32"/>
  <c r="E1385" i="32"/>
  <c r="E1386" i="32"/>
  <c r="E1387" i="32"/>
  <c r="E1388" i="32"/>
  <c r="E1389" i="32"/>
  <c r="E1390" i="32"/>
  <c r="E1391" i="32"/>
  <c r="E1392" i="32"/>
  <c r="E1393" i="32"/>
  <c r="E1394" i="32"/>
  <c r="E1395" i="32"/>
  <c r="E1396" i="32"/>
  <c r="E1397" i="32"/>
  <c r="E1398" i="32"/>
  <c r="E1399" i="32"/>
  <c r="E1400" i="32"/>
  <c r="E1401" i="32"/>
  <c r="E1402" i="32"/>
  <c r="E1403" i="32"/>
  <c r="E1404" i="32"/>
  <c r="E1405" i="32"/>
  <c r="E1406" i="32"/>
  <c r="E1407" i="32"/>
  <c r="E1408" i="32"/>
  <c r="E1409" i="32"/>
  <c r="E1410" i="32"/>
  <c r="E1411" i="32"/>
  <c r="E1412" i="32"/>
  <c r="E1413" i="32"/>
  <c r="E1414" i="32"/>
  <c r="E1415" i="32"/>
  <c r="E1416" i="32"/>
  <c r="E1417" i="32"/>
  <c r="E1418" i="32"/>
  <c r="E1419" i="32"/>
  <c r="E1420" i="32"/>
  <c r="E1421" i="32"/>
  <c r="E1422" i="32"/>
  <c r="E1423" i="32"/>
  <c r="E1424" i="32"/>
  <c r="E1425" i="32"/>
  <c r="E1426" i="32"/>
  <c r="E1427" i="32"/>
  <c r="E1428" i="32"/>
  <c r="E1429" i="32"/>
  <c r="E1430" i="32"/>
  <c r="E1431" i="32"/>
  <c r="E1432" i="32"/>
  <c r="E1433" i="32"/>
  <c r="E1434" i="32"/>
  <c r="E1435" i="32"/>
  <c r="E1436" i="32"/>
  <c r="E1437" i="32"/>
  <c r="E1438" i="32"/>
  <c r="E1439" i="32"/>
  <c r="E1440" i="32"/>
  <c r="E1441" i="32"/>
  <c r="E1442" i="32"/>
  <c r="E1443" i="32"/>
  <c r="E1444" i="32"/>
  <c r="E1445" i="32"/>
  <c r="E1446" i="32"/>
  <c r="E1447" i="32"/>
  <c r="E1448" i="32"/>
  <c r="E1449" i="32"/>
  <c r="E1450" i="32"/>
  <c r="E1451" i="32"/>
  <c r="E1452" i="32"/>
  <c r="E1453" i="32"/>
  <c r="E1454" i="32"/>
  <c r="E1455" i="32"/>
  <c r="E1456" i="32"/>
  <c r="E1457" i="32"/>
  <c r="E1458" i="32"/>
  <c r="E1459" i="32"/>
  <c r="E1460" i="32"/>
  <c r="E1461" i="32"/>
  <c r="E1462" i="32"/>
  <c r="E1463" i="32"/>
  <c r="E1464" i="32"/>
  <c r="E1465" i="32"/>
  <c r="E1466" i="32"/>
  <c r="E1467" i="32"/>
  <c r="E1468" i="32"/>
  <c r="E1469" i="32"/>
  <c r="E1470" i="32"/>
  <c r="E1471" i="32"/>
  <c r="E1472" i="32"/>
  <c r="E1473" i="32"/>
  <c r="E1474" i="32"/>
  <c r="E1475" i="32"/>
  <c r="E1476" i="32"/>
  <c r="E1477" i="32"/>
  <c r="E1478" i="32"/>
  <c r="E1479" i="32"/>
  <c r="E1480" i="32"/>
  <c r="E1481" i="32"/>
  <c r="E1482" i="32"/>
  <c r="E1483" i="32"/>
  <c r="E1484" i="32"/>
  <c r="E1485" i="32"/>
  <c r="E1486" i="32"/>
  <c r="E1487" i="32"/>
  <c r="E1488" i="32"/>
  <c r="E1489" i="32"/>
  <c r="E1490" i="32"/>
  <c r="E1491" i="32"/>
  <c r="E1492" i="32"/>
  <c r="E1493" i="32"/>
  <c r="E1494" i="32"/>
  <c r="E1495" i="32"/>
  <c r="E1496" i="32"/>
  <c r="E1497" i="32"/>
  <c r="E1498" i="32"/>
  <c r="E1499" i="32"/>
  <c r="E1500" i="32"/>
  <c r="E1501" i="32"/>
  <c r="E1502" i="32"/>
  <c r="E1503" i="32"/>
  <c r="E1504" i="32"/>
  <c r="E1505" i="32"/>
  <c r="E1506" i="32"/>
  <c r="E1507" i="32"/>
  <c r="E1508" i="32"/>
  <c r="E1509" i="32"/>
  <c r="E1510" i="32"/>
  <c r="E1511" i="32"/>
  <c r="E1512" i="32"/>
  <c r="E1513" i="32"/>
  <c r="E1514" i="32"/>
  <c r="E1515" i="32"/>
  <c r="E1516" i="32"/>
  <c r="E1517" i="32"/>
  <c r="E1518" i="32"/>
  <c r="E1519" i="32"/>
  <c r="E1520" i="32"/>
  <c r="E1521" i="32"/>
  <c r="E1522" i="32"/>
  <c r="E1523" i="32"/>
  <c r="E1524" i="32"/>
  <c r="E1525" i="32"/>
  <c r="E1526" i="32"/>
  <c r="E1527" i="32"/>
  <c r="E1528" i="32"/>
  <c r="E1529" i="32"/>
  <c r="E1530" i="32"/>
  <c r="E1531" i="32"/>
  <c r="E1532" i="32"/>
  <c r="E1533" i="32"/>
  <c r="E1534" i="32"/>
  <c r="E1535" i="32"/>
  <c r="E1536" i="32"/>
  <c r="E1537" i="32"/>
  <c r="E1538" i="32"/>
  <c r="E1539" i="32"/>
  <c r="E1540" i="32"/>
  <c r="E1541" i="32"/>
  <c r="E1542" i="32"/>
  <c r="E1543" i="32"/>
  <c r="E1544" i="32"/>
  <c r="E1545" i="32"/>
  <c r="E1546" i="32"/>
  <c r="E1547" i="32"/>
  <c r="E1548" i="32"/>
  <c r="E1549" i="32"/>
  <c r="E1550" i="32"/>
  <c r="E1551" i="32"/>
  <c r="E1552" i="32"/>
  <c r="E1553" i="32"/>
  <c r="E1554" i="32"/>
  <c r="E1555" i="32"/>
  <c r="E1556" i="32"/>
  <c r="E1557" i="32"/>
  <c r="E1558" i="32"/>
  <c r="E1559" i="32"/>
  <c r="E1560" i="32"/>
  <c r="E1561" i="32"/>
  <c r="E1562" i="32"/>
  <c r="E1563" i="32"/>
  <c r="E1564" i="32"/>
  <c r="E1565" i="32"/>
  <c r="E1566" i="32"/>
  <c r="E1567" i="32"/>
  <c r="E1568" i="32"/>
  <c r="E1569" i="32"/>
  <c r="E1570" i="32"/>
  <c r="E1571" i="32"/>
  <c r="E1572" i="32"/>
  <c r="E1573" i="32"/>
  <c r="E1574" i="32"/>
  <c r="E1575" i="32"/>
  <c r="E1576" i="32"/>
  <c r="E1577" i="32"/>
  <c r="E1578" i="32"/>
  <c r="E1579" i="32"/>
  <c r="E1580" i="32"/>
  <c r="E1581" i="32"/>
  <c r="E1582" i="32"/>
  <c r="E1583" i="32"/>
  <c r="E1584" i="32"/>
  <c r="E1585" i="32"/>
  <c r="E1586" i="32"/>
  <c r="E1587" i="32"/>
  <c r="E1588" i="32"/>
  <c r="E1589" i="32"/>
  <c r="E1590" i="32"/>
  <c r="E1591" i="32"/>
  <c r="E1592" i="32"/>
  <c r="E1593" i="32"/>
  <c r="E1594" i="32"/>
  <c r="E1595" i="32"/>
  <c r="E1596" i="32"/>
  <c r="E1597" i="32"/>
  <c r="E1598" i="32"/>
  <c r="E1599" i="32"/>
  <c r="E1600" i="32"/>
  <c r="E1601" i="32"/>
  <c r="E1602" i="32"/>
  <c r="E1603" i="32"/>
  <c r="E1604" i="32"/>
  <c r="E1605" i="32"/>
  <c r="E1606" i="32"/>
  <c r="E1607" i="32"/>
  <c r="E1608" i="32"/>
  <c r="E1609" i="32"/>
  <c r="E1610" i="32"/>
  <c r="E1611" i="32"/>
  <c r="E1612" i="32"/>
  <c r="E1613" i="32"/>
  <c r="E1614" i="32"/>
  <c r="E1615" i="32"/>
  <c r="E1616" i="32"/>
  <c r="E1617" i="32"/>
  <c r="E1618" i="32"/>
  <c r="E1619" i="32"/>
  <c r="E1620" i="32"/>
  <c r="E1621" i="32"/>
  <c r="E1622" i="32"/>
  <c r="E1623" i="32"/>
  <c r="E1624" i="32"/>
  <c r="E1625" i="32"/>
  <c r="E1626" i="32"/>
  <c r="E1627" i="32"/>
  <c r="E1628" i="32"/>
  <c r="E1629" i="32"/>
  <c r="E1630" i="32"/>
  <c r="E1631" i="32"/>
  <c r="E1632" i="32"/>
  <c r="E1633" i="32"/>
  <c r="E1634" i="32"/>
  <c r="E1635" i="32"/>
  <c r="E1636" i="32"/>
  <c r="E1637" i="32"/>
  <c r="E1638" i="32"/>
  <c r="E1639" i="32"/>
  <c r="E1640" i="32"/>
  <c r="E1641" i="32"/>
  <c r="E1642" i="32"/>
  <c r="E1643" i="32"/>
  <c r="E1644" i="32"/>
  <c r="E1645" i="32"/>
  <c r="E1646" i="32"/>
  <c r="E1647" i="32"/>
  <c r="E1648" i="32"/>
  <c r="E1649" i="32"/>
  <c r="E1650" i="32"/>
  <c r="E1651" i="32"/>
  <c r="E1652" i="32"/>
  <c r="E1653" i="32"/>
  <c r="E1654" i="32"/>
  <c r="E1655" i="32"/>
  <c r="E1656" i="32"/>
  <c r="E1657" i="32"/>
  <c r="E1658" i="32"/>
  <c r="E1659" i="32"/>
  <c r="E1660" i="32"/>
  <c r="E1661" i="32"/>
  <c r="E1662" i="32"/>
  <c r="E1663" i="32"/>
  <c r="E1664" i="32"/>
  <c r="E1665" i="32"/>
  <c r="E1666" i="32"/>
  <c r="E1667" i="32"/>
  <c r="E1668" i="32"/>
  <c r="E1669" i="32"/>
  <c r="E1670" i="32"/>
  <c r="E1671" i="32"/>
  <c r="E1672" i="32"/>
  <c r="E1673" i="32"/>
  <c r="E1674" i="32"/>
  <c r="E1675" i="32"/>
  <c r="E1676" i="32"/>
  <c r="E1677" i="32"/>
  <c r="E1678" i="32"/>
  <c r="E1679" i="32"/>
  <c r="E1680" i="32"/>
  <c r="E1681" i="32"/>
  <c r="E1682" i="32"/>
  <c r="E1683" i="32"/>
  <c r="E1684" i="32"/>
  <c r="E1685" i="32"/>
  <c r="E1686" i="32"/>
  <c r="E1687" i="32"/>
  <c r="E1688" i="32"/>
  <c r="E1689" i="32"/>
  <c r="E1690" i="32"/>
  <c r="E1691" i="32"/>
  <c r="E1692" i="32"/>
  <c r="E1693" i="32"/>
  <c r="E1694" i="32"/>
  <c r="E1695" i="32"/>
  <c r="E1696" i="32"/>
  <c r="E1697" i="32"/>
  <c r="E1698" i="32"/>
  <c r="E1699" i="32"/>
  <c r="E1700" i="32"/>
  <c r="E1701" i="32"/>
  <c r="E1702" i="32"/>
  <c r="E1703" i="32"/>
  <c r="E1704" i="32"/>
  <c r="E1705" i="32"/>
  <c r="E1706" i="32"/>
  <c r="E1707" i="32"/>
  <c r="E1708" i="32"/>
  <c r="E1709" i="32"/>
  <c r="E1710" i="32"/>
  <c r="E1711" i="32"/>
  <c r="E1712" i="32"/>
  <c r="E1713" i="32"/>
  <c r="E1714" i="32"/>
  <c r="E1715" i="32"/>
  <c r="E1716" i="32"/>
  <c r="E1717" i="32"/>
  <c r="E1718" i="32"/>
  <c r="E1719" i="32"/>
  <c r="E1720" i="32"/>
  <c r="E1721" i="32"/>
  <c r="E1722" i="32"/>
  <c r="E1723" i="32"/>
  <c r="E1724" i="32"/>
  <c r="E1725" i="32"/>
  <c r="E1726" i="32"/>
  <c r="E1727" i="32"/>
  <c r="E1728" i="32"/>
  <c r="E1729" i="32"/>
  <c r="E1730" i="32"/>
  <c r="E1731" i="32"/>
  <c r="E1732" i="32"/>
  <c r="E1733" i="32"/>
  <c r="E1734" i="32"/>
  <c r="E1735" i="32"/>
  <c r="E1736" i="32"/>
  <c r="E1737" i="32"/>
  <c r="E1738" i="32"/>
  <c r="E1739" i="32"/>
  <c r="E1740" i="32"/>
  <c r="E1741" i="32"/>
  <c r="E1742" i="32"/>
  <c r="E1743" i="32"/>
  <c r="E1744" i="32"/>
  <c r="E1745" i="32"/>
  <c r="E1746" i="32"/>
  <c r="E1747" i="32"/>
  <c r="E1748" i="32"/>
  <c r="E1749" i="32"/>
  <c r="E1750" i="32"/>
  <c r="E1751" i="32"/>
  <c r="E1752" i="32"/>
  <c r="E1753" i="32"/>
  <c r="E1754" i="32"/>
  <c r="E1755" i="32"/>
  <c r="E1756" i="32"/>
  <c r="E1757" i="32"/>
  <c r="E1758" i="32"/>
  <c r="E1759" i="32"/>
  <c r="E1760" i="32"/>
  <c r="E1761" i="32"/>
  <c r="E1762" i="32"/>
  <c r="E1763" i="32"/>
  <c r="E1764" i="32"/>
  <c r="E1765" i="32"/>
  <c r="E1766" i="32"/>
  <c r="E1767" i="32"/>
  <c r="E1768" i="32"/>
  <c r="E1769" i="32"/>
  <c r="E1770" i="32"/>
  <c r="E1771" i="32"/>
  <c r="E1772" i="32"/>
  <c r="E1773" i="32"/>
  <c r="E1774" i="32"/>
  <c r="E1775" i="32"/>
  <c r="E1776" i="32"/>
  <c r="E1777" i="32"/>
  <c r="E1778" i="32"/>
  <c r="E1779" i="32"/>
  <c r="E1780" i="32"/>
  <c r="E1781" i="32"/>
  <c r="E1782" i="32"/>
  <c r="E1783" i="32"/>
  <c r="E1784" i="32"/>
  <c r="E1785" i="32"/>
  <c r="E1786" i="32"/>
  <c r="E1787" i="32"/>
  <c r="E1788" i="32"/>
  <c r="E1789" i="32"/>
  <c r="E1790" i="32"/>
  <c r="E1791" i="32"/>
  <c r="E1792" i="32"/>
  <c r="E1793" i="32"/>
  <c r="E1794" i="32"/>
  <c r="E1795" i="32"/>
  <c r="E1796" i="32"/>
  <c r="E1797" i="32"/>
  <c r="E1798" i="32"/>
  <c r="E1799" i="32"/>
  <c r="E1800" i="32"/>
  <c r="E1801" i="32"/>
  <c r="E1802" i="32"/>
  <c r="E1803" i="32"/>
  <c r="E1804" i="32"/>
  <c r="E1805" i="32"/>
  <c r="E1806" i="32"/>
  <c r="E1807" i="32"/>
  <c r="E1808" i="32"/>
  <c r="E1809" i="32"/>
  <c r="E1810" i="32"/>
  <c r="E1811" i="32"/>
  <c r="E1812" i="32"/>
  <c r="E1813" i="32"/>
  <c r="E1814" i="32"/>
  <c r="E1815" i="32"/>
  <c r="E1816" i="32"/>
  <c r="E1817" i="32"/>
  <c r="E1818" i="32"/>
  <c r="E1819" i="32"/>
  <c r="E1820" i="32"/>
  <c r="E1821" i="32"/>
  <c r="E1822" i="32"/>
  <c r="E1823" i="32"/>
  <c r="E1824" i="32"/>
  <c r="E1825" i="32"/>
  <c r="E1826" i="32"/>
  <c r="E1827" i="32"/>
  <c r="E1828" i="32"/>
  <c r="E1829" i="32"/>
  <c r="E1830" i="32"/>
  <c r="E1831" i="32"/>
  <c r="E1832" i="32"/>
  <c r="E1833" i="32"/>
  <c r="E1834" i="32"/>
  <c r="E1835" i="32"/>
  <c r="E1836" i="32"/>
  <c r="E1837" i="32"/>
  <c r="E1838" i="32"/>
  <c r="E1839" i="32"/>
  <c r="E1840" i="32"/>
  <c r="E1841" i="32"/>
  <c r="E1842" i="32"/>
  <c r="E1843" i="32"/>
  <c r="E1844" i="32"/>
  <c r="E1845" i="32"/>
  <c r="E1846" i="32"/>
  <c r="E1847" i="32"/>
  <c r="E1848" i="32"/>
  <c r="E1849" i="32"/>
  <c r="E1850" i="32"/>
  <c r="E1851" i="32"/>
  <c r="E1852" i="32"/>
  <c r="E1853" i="32"/>
  <c r="E1854" i="32"/>
  <c r="E1855" i="32"/>
  <c r="E1856" i="32"/>
  <c r="E1857" i="32"/>
  <c r="E1858" i="32"/>
  <c r="E1859" i="32"/>
  <c r="E1860" i="32"/>
  <c r="E1861" i="32"/>
  <c r="E1862" i="32"/>
  <c r="E1863" i="32"/>
  <c r="E1864" i="32"/>
  <c r="E1865" i="32"/>
  <c r="E1866" i="32"/>
  <c r="E1867" i="32"/>
  <c r="E1868" i="32"/>
  <c r="E1869" i="32"/>
  <c r="E1870" i="32"/>
  <c r="E1871" i="32"/>
  <c r="E1872" i="32"/>
  <c r="E1873" i="32"/>
  <c r="E1874" i="32"/>
  <c r="E1875" i="32"/>
  <c r="E1876" i="32"/>
  <c r="E1877" i="32"/>
  <c r="E1878" i="32"/>
  <c r="E1879" i="32"/>
  <c r="E1880" i="32"/>
  <c r="E1881" i="32"/>
  <c r="E1882" i="32"/>
  <c r="E1883" i="32"/>
  <c r="E1884" i="32"/>
  <c r="E1885" i="32"/>
  <c r="E1886" i="32"/>
  <c r="E1887" i="32"/>
  <c r="E1888" i="32"/>
  <c r="E1889" i="32"/>
  <c r="E1890" i="32"/>
  <c r="E1891" i="32"/>
  <c r="E1892" i="32"/>
  <c r="E1893" i="32"/>
  <c r="E1894" i="32"/>
  <c r="E1895" i="32"/>
  <c r="E1896" i="32"/>
  <c r="E1897" i="32"/>
  <c r="E1898" i="32"/>
  <c r="E1899" i="32"/>
  <c r="E1900" i="32"/>
  <c r="E1901" i="32"/>
  <c r="E1902" i="32"/>
  <c r="E1903" i="32"/>
  <c r="E1904" i="32"/>
  <c r="E1905" i="32"/>
  <c r="E1906" i="32"/>
  <c r="E1907" i="32"/>
  <c r="E1908" i="32"/>
  <c r="E1909" i="32"/>
  <c r="E1910" i="32"/>
  <c r="E1911" i="32"/>
  <c r="E1912" i="32"/>
  <c r="E1913" i="32"/>
  <c r="E1914" i="32"/>
  <c r="E1915" i="32"/>
  <c r="E1916" i="32"/>
  <c r="E1917" i="32"/>
  <c r="E1918" i="32"/>
  <c r="E1919" i="32"/>
  <c r="E1920" i="32"/>
  <c r="E1921" i="32"/>
  <c r="E1922" i="32"/>
  <c r="E1923" i="32"/>
  <c r="E1924" i="32"/>
  <c r="E1925" i="32"/>
  <c r="E1926" i="32"/>
  <c r="E1927" i="32"/>
  <c r="E1928" i="32"/>
  <c r="E1929" i="32"/>
  <c r="E1930" i="32"/>
  <c r="E1931" i="32"/>
  <c r="E1932" i="32"/>
  <c r="E1933" i="32"/>
  <c r="E1934" i="32"/>
  <c r="E1935" i="32"/>
  <c r="E1936" i="32"/>
  <c r="E1937" i="32"/>
  <c r="E1938" i="32"/>
  <c r="E1939" i="32"/>
  <c r="E1940" i="32"/>
  <c r="E1941" i="32"/>
  <c r="E1942" i="32"/>
  <c r="E1943" i="32"/>
  <c r="E1944" i="32"/>
  <c r="E1945" i="32"/>
  <c r="E1946" i="32"/>
  <c r="E1947" i="32"/>
  <c r="E1948" i="32"/>
  <c r="E1949" i="32"/>
  <c r="E1950" i="32"/>
  <c r="E1951" i="32"/>
  <c r="E1952" i="32"/>
  <c r="E1953" i="32"/>
  <c r="E1954" i="32"/>
  <c r="E1955" i="32"/>
  <c r="E1956" i="32"/>
  <c r="E1957" i="32"/>
  <c r="E1958" i="32"/>
  <c r="E1959" i="32"/>
  <c r="E1960" i="32"/>
  <c r="E1961" i="32"/>
  <c r="E1962" i="32"/>
  <c r="E1963" i="32"/>
  <c r="E1964" i="32"/>
  <c r="E1965" i="32"/>
  <c r="E1966" i="32"/>
  <c r="E1967" i="32"/>
  <c r="E1968" i="32"/>
  <c r="E1969" i="32"/>
  <c r="E1970" i="32"/>
  <c r="E1971" i="32"/>
  <c r="E1972" i="32"/>
  <c r="E1973" i="32"/>
  <c r="E1974" i="32"/>
  <c r="E1975" i="32"/>
  <c r="E1976" i="32"/>
  <c r="E1977" i="32"/>
  <c r="E1978" i="32"/>
  <c r="E1979" i="32"/>
  <c r="E1980" i="32"/>
  <c r="E1981" i="32"/>
  <c r="E1982" i="32"/>
  <c r="E1983" i="32"/>
  <c r="E1984" i="32"/>
  <c r="E1985" i="32"/>
  <c r="E1986" i="32"/>
  <c r="E1987" i="32"/>
  <c r="E1988" i="32"/>
  <c r="E1989" i="32"/>
  <c r="E1990" i="32"/>
  <c r="E1991" i="32"/>
  <c r="E1992" i="32"/>
  <c r="E1993" i="32"/>
  <c r="E1994" i="32"/>
  <c r="E1995" i="32"/>
  <c r="E1996" i="32"/>
  <c r="E1997" i="32"/>
  <c r="E1998" i="32"/>
  <c r="E1999" i="32"/>
  <c r="E2000" i="32"/>
  <c r="E2001" i="32"/>
  <c r="E2002" i="32"/>
  <c r="E2003" i="32"/>
  <c r="E2004" i="32"/>
  <c r="E2005" i="32"/>
  <c r="E2006" i="32"/>
  <c r="E2007" i="32"/>
  <c r="E2008" i="32"/>
  <c r="E2009" i="32"/>
  <c r="E2010" i="32"/>
  <c r="E2011" i="32"/>
  <c r="E2012" i="32"/>
  <c r="E2013" i="32"/>
  <c r="E2014" i="32"/>
  <c r="E2015" i="32"/>
  <c r="E2016" i="32"/>
  <c r="E2017" i="32"/>
  <c r="E2018" i="32"/>
  <c r="E2019" i="32"/>
  <c r="E2020" i="32"/>
  <c r="E2021" i="32"/>
  <c r="E2022" i="32"/>
  <c r="E2023" i="32"/>
  <c r="E2024" i="32"/>
  <c r="E2025" i="32"/>
  <c r="E2026" i="32"/>
  <c r="E2027" i="32"/>
  <c r="E2028" i="32"/>
  <c r="E2029" i="32"/>
  <c r="E2030" i="32"/>
  <c r="E2031" i="32"/>
  <c r="E2032" i="32"/>
  <c r="E2033" i="32"/>
  <c r="E2034" i="32"/>
  <c r="E2035" i="32"/>
  <c r="E2036" i="32"/>
  <c r="E2037" i="32"/>
  <c r="E2038" i="32"/>
  <c r="E2039" i="32"/>
  <c r="E2040" i="32"/>
  <c r="E2041" i="32"/>
  <c r="E2042" i="32"/>
  <c r="E2043" i="32"/>
  <c r="E2044" i="32"/>
  <c r="E2045" i="32"/>
  <c r="E2046" i="32"/>
  <c r="E2047" i="32"/>
  <c r="E2048" i="32"/>
  <c r="E2049" i="32"/>
  <c r="E2050" i="32"/>
  <c r="E2051" i="32"/>
  <c r="E2052" i="32"/>
  <c r="E2053" i="32"/>
  <c r="E2054" i="32"/>
  <c r="E2055" i="32"/>
  <c r="E2056" i="32"/>
  <c r="E2057" i="32"/>
  <c r="E2058" i="32"/>
  <c r="E2059" i="32"/>
  <c r="E2060" i="32"/>
  <c r="E2061" i="32"/>
  <c r="E2062" i="32"/>
  <c r="E2063" i="32"/>
  <c r="E2064" i="32"/>
  <c r="E2065" i="32"/>
  <c r="E2066" i="32"/>
  <c r="E2067" i="32"/>
  <c r="E2068" i="32"/>
  <c r="E2069" i="32"/>
  <c r="E2070" i="32"/>
  <c r="E2071" i="32"/>
  <c r="E2072" i="32"/>
  <c r="E2073" i="32"/>
  <c r="E2074" i="32"/>
  <c r="E2075" i="32"/>
  <c r="E2076" i="32"/>
  <c r="E2077" i="32"/>
  <c r="E2078" i="32"/>
  <c r="E2079" i="32"/>
  <c r="E2080" i="32"/>
  <c r="E2081" i="32"/>
  <c r="E2082" i="32"/>
  <c r="E2083" i="32"/>
  <c r="E2084" i="32"/>
  <c r="E2085" i="32"/>
  <c r="E2086" i="32"/>
  <c r="E2087" i="32"/>
  <c r="E2088" i="32"/>
  <c r="E2089" i="32"/>
  <c r="E2090" i="32"/>
  <c r="E2091" i="32"/>
  <c r="E2092" i="32"/>
  <c r="E2093" i="32"/>
  <c r="E2094" i="32"/>
  <c r="E2095" i="32"/>
  <c r="E2096" i="32"/>
  <c r="E2097" i="32"/>
  <c r="E2098" i="32"/>
  <c r="E2099" i="32"/>
  <c r="E2100" i="32"/>
  <c r="E2101" i="32"/>
  <c r="E2102" i="32"/>
  <c r="E2103" i="32"/>
  <c r="E2104" i="32"/>
  <c r="E2105" i="32"/>
  <c r="E2106" i="32"/>
  <c r="E2107" i="32"/>
  <c r="E2108" i="32"/>
  <c r="E2109" i="32"/>
  <c r="E2110" i="32"/>
  <c r="E2111" i="32"/>
  <c r="E2112" i="32"/>
  <c r="E2113" i="32"/>
  <c r="E2114" i="32"/>
  <c r="E2115" i="32"/>
  <c r="E2116" i="32"/>
  <c r="E2117" i="32"/>
  <c r="E2118" i="32"/>
  <c r="E2119" i="32"/>
  <c r="E2120" i="32"/>
  <c r="E2121" i="32"/>
  <c r="E2122" i="32"/>
  <c r="E2123" i="32"/>
  <c r="E2124" i="32"/>
  <c r="E2125" i="32"/>
  <c r="E2126" i="32"/>
  <c r="E2127" i="32"/>
  <c r="E2128" i="32"/>
  <c r="E2129" i="32"/>
  <c r="E2130" i="32"/>
  <c r="E2131" i="32"/>
  <c r="E2132" i="32"/>
  <c r="E2133" i="32"/>
  <c r="E2134" i="32"/>
  <c r="E2135" i="32"/>
  <c r="E2136" i="32"/>
  <c r="E2137" i="32"/>
  <c r="E2138" i="32"/>
  <c r="E2139" i="32"/>
  <c r="E2140" i="32"/>
  <c r="E2141" i="32"/>
  <c r="E2142" i="32"/>
  <c r="E2143" i="32"/>
  <c r="E2144" i="32"/>
  <c r="E2145" i="32"/>
  <c r="E2146" i="32"/>
  <c r="E2147" i="32"/>
  <c r="E2148" i="32"/>
  <c r="E2149" i="32"/>
  <c r="E2150" i="32"/>
  <c r="E2151" i="32"/>
  <c r="E2152" i="32"/>
  <c r="E2153" i="32"/>
  <c r="E2154" i="32"/>
  <c r="E2155" i="32"/>
  <c r="E2156" i="32"/>
  <c r="E2157" i="32"/>
  <c r="E2158" i="32"/>
  <c r="E2159" i="32"/>
  <c r="E2160" i="32"/>
  <c r="E2161" i="32"/>
  <c r="E2162" i="32"/>
  <c r="E2163" i="32"/>
  <c r="E2164" i="32"/>
  <c r="E2165" i="32"/>
  <c r="E2166" i="32"/>
  <c r="E2167" i="32"/>
  <c r="E2168" i="32"/>
  <c r="E2169" i="32"/>
  <c r="E2170" i="32"/>
  <c r="E2171" i="32"/>
  <c r="E2172" i="32"/>
  <c r="E2173" i="32"/>
  <c r="E2174" i="32"/>
  <c r="E2175" i="32"/>
  <c r="E2176" i="32"/>
  <c r="E2177" i="32"/>
  <c r="E2178" i="32"/>
  <c r="E2179" i="32"/>
  <c r="E2180" i="32"/>
  <c r="E2181" i="32"/>
  <c r="E2182" i="32"/>
  <c r="E2183" i="32"/>
  <c r="E2184" i="32"/>
  <c r="E2185" i="32"/>
  <c r="E2186" i="32"/>
  <c r="E2187" i="32"/>
  <c r="E2188" i="32"/>
  <c r="E2189" i="32"/>
  <c r="E2190" i="32"/>
  <c r="E2191" i="32"/>
  <c r="E2192" i="32"/>
  <c r="E2193" i="32"/>
  <c r="E2194" i="32"/>
  <c r="E2195" i="32"/>
  <c r="E2196" i="32"/>
  <c r="E2197" i="32"/>
  <c r="E2198" i="32"/>
  <c r="E2199" i="32"/>
  <c r="E2200" i="32"/>
  <c r="E2201" i="32"/>
  <c r="E2202" i="32"/>
  <c r="E2203" i="32"/>
  <c r="E2204" i="32"/>
  <c r="E2205" i="32"/>
  <c r="E2206" i="32"/>
  <c r="E2207" i="32"/>
  <c r="E2208" i="32"/>
  <c r="E2209" i="32"/>
  <c r="E2210" i="32"/>
  <c r="E2211" i="32"/>
  <c r="E2212" i="32"/>
  <c r="E2213" i="32"/>
  <c r="E2214" i="32"/>
  <c r="E2215" i="32"/>
  <c r="E2216" i="32"/>
  <c r="E2217" i="32"/>
  <c r="E2218" i="32"/>
  <c r="E2219" i="32"/>
  <c r="E2220" i="32"/>
  <c r="E2221" i="32"/>
  <c r="E2222" i="32"/>
  <c r="E2223" i="32"/>
  <c r="E2224" i="32"/>
  <c r="E2225" i="32"/>
  <c r="E2226" i="32"/>
  <c r="E2227" i="32"/>
  <c r="E2228" i="32"/>
  <c r="E2229" i="32"/>
  <c r="E2230" i="32"/>
  <c r="E2231" i="32"/>
  <c r="E2232" i="32"/>
  <c r="E2233" i="32"/>
  <c r="E2234" i="32"/>
  <c r="E2235" i="32"/>
  <c r="E2236" i="32"/>
  <c r="E2237" i="32"/>
  <c r="E2238" i="32"/>
  <c r="E2239" i="32"/>
  <c r="E2240" i="32"/>
  <c r="E2241" i="32"/>
  <c r="E2242" i="32"/>
  <c r="E2243" i="32"/>
  <c r="E2244" i="32"/>
  <c r="E2245" i="32"/>
  <c r="E2246" i="32"/>
  <c r="E2247" i="32"/>
  <c r="E2248" i="32"/>
  <c r="E2249" i="32"/>
  <c r="E2250" i="32"/>
  <c r="E2251" i="32"/>
  <c r="E2252" i="32"/>
  <c r="E2253" i="32"/>
  <c r="E2254" i="32"/>
  <c r="E2255" i="32"/>
  <c r="E2256" i="32"/>
  <c r="E2257" i="32"/>
  <c r="E2258" i="32"/>
  <c r="E2259" i="32"/>
  <c r="E2260" i="32"/>
  <c r="E2261" i="32"/>
  <c r="E2262" i="32"/>
  <c r="E2263" i="32"/>
  <c r="E2264" i="32"/>
  <c r="E2265" i="32"/>
  <c r="E2266" i="32"/>
  <c r="E2267" i="32"/>
  <c r="E2268" i="32"/>
  <c r="E2269" i="32"/>
  <c r="E2270" i="32"/>
  <c r="E2271" i="32"/>
  <c r="E2272" i="32"/>
  <c r="E2273" i="32"/>
  <c r="E2274" i="32"/>
  <c r="E2275" i="32"/>
  <c r="E2276" i="32"/>
  <c r="E2277" i="32"/>
  <c r="E2278" i="32"/>
  <c r="E2279" i="32"/>
  <c r="E2280" i="32"/>
  <c r="E2281" i="32"/>
  <c r="E2282" i="32"/>
  <c r="E2283" i="32"/>
  <c r="E2284" i="32"/>
  <c r="E2285" i="32"/>
  <c r="E2286" i="32"/>
  <c r="E2287" i="32"/>
  <c r="E2288" i="32"/>
  <c r="E2289" i="32"/>
  <c r="E2290" i="32"/>
  <c r="E2291" i="32"/>
  <c r="E2292" i="32"/>
  <c r="E2293" i="32"/>
  <c r="E2294" i="32"/>
  <c r="E2295" i="32"/>
  <c r="E2296" i="32"/>
  <c r="E2297" i="32"/>
  <c r="E2298" i="32"/>
  <c r="E2299" i="32"/>
  <c r="E2300" i="32"/>
  <c r="E2301" i="32"/>
  <c r="E2302" i="32"/>
  <c r="E2303" i="32"/>
  <c r="E2304" i="32"/>
  <c r="E2305" i="32"/>
  <c r="E2306" i="32"/>
  <c r="E2307" i="32"/>
  <c r="E2308" i="32"/>
  <c r="E2309" i="32"/>
  <c r="E2310" i="32"/>
  <c r="E2311" i="32"/>
  <c r="E2312" i="32"/>
  <c r="E2313" i="32"/>
  <c r="E2314" i="32"/>
  <c r="E2315" i="32"/>
  <c r="E2316" i="32"/>
  <c r="E2317" i="32"/>
  <c r="E2318" i="32"/>
  <c r="E2319" i="32"/>
  <c r="E2320" i="32"/>
  <c r="E2321" i="32"/>
  <c r="E2322" i="32"/>
  <c r="E2323" i="32"/>
  <c r="E2324" i="32"/>
  <c r="E2325" i="32"/>
  <c r="E2326" i="32"/>
  <c r="E2327" i="32"/>
  <c r="E2328" i="32"/>
  <c r="E2329" i="32"/>
  <c r="E2330" i="32"/>
  <c r="E2331" i="32"/>
  <c r="E2332" i="32"/>
  <c r="E2333" i="32"/>
  <c r="E2334" i="32"/>
  <c r="E2335" i="32"/>
  <c r="E2336" i="32"/>
  <c r="E2337" i="32"/>
  <c r="E2338" i="32"/>
  <c r="E2339" i="32"/>
  <c r="E2340" i="32"/>
  <c r="E2341" i="32"/>
  <c r="E2342" i="32"/>
  <c r="E2343" i="32"/>
  <c r="E2344" i="32"/>
  <c r="E2345" i="32"/>
  <c r="E2346" i="32"/>
  <c r="E2347" i="32"/>
  <c r="E2348" i="32"/>
  <c r="E2349" i="32"/>
  <c r="E2350" i="32"/>
  <c r="E2351" i="32"/>
  <c r="E2352" i="32"/>
  <c r="E2353" i="32"/>
  <c r="E2354" i="32"/>
  <c r="E2355" i="32"/>
  <c r="E2356" i="32"/>
  <c r="E2357" i="32"/>
  <c r="E2358" i="32"/>
  <c r="E2359" i="32"/>
  <c r="E2360" i="32"/>
  <c r="E2361" i="32"/>
  <c r="E2362" i="32"/>
  <c r="E2363" i="32"/>
  <c r="E2364" i="32"/>
  <c r="E2365" i="32"/>
  <c r="E2366" i="32"/>
  <c r="E2367" i="32"/>
  <c r="E2368" i="32"/>
  <c r="E2369" i="32"/>
  <c r="E2370" i="32"/>
  <c r="E2371" i="32"/>
  <c r="E2372" i="32"/>
  <c r="E2373" i="32"/>
  <c r="E2374" i="32"/>
  <c r="E2375" i="32"/>
  <c r="E2376" i="32"/>
  <c r="E2377" i="32"/>
  <c r="E2378" i="32"/>
  <c r="E2379" i="32"/>
  <c r="E2380" i="32"/>
  <c r="E2381" i="32"/>
  <c r="E2382" i="32"/>
  <c r="E2383" i="32"/>
  <c r="E2384" i="32"/>
  <c r="E2385" i="32"/>
  <c r="E2386" i="32"/>
  <c r="E2387" i="32"/>
  <c r="E2388" i="32"/>
  <c r="E2389" i="32"/>
  <c r="E2390" i="32"/>
  <c r="E2391" i="32"/>
  <c r="E2392" i="32"/>
  <c r="E2393" i="32"/>
  <c r="E2394" i="32"/>
  <c r="E2395" i="32"/>
  <c r="E2396" i="32"/>
  <c r="E2397" i="32"/>
  <c r="E2398" i="32"/>
  <c r="E2399" i="32"/>
  <c r="E2400" i="32"/>
  <c r="E2401" i="32"/>
  <c r="E2402" i="32"/>
  <c r="E2403" i="32"/>
  <c r="E2404" i="32"/>
  <c r="E2405" i="32"/>
  <c r="E2406" i="32"/>
  <c r="E2407" i="32"/>
  <c r="E2408" i="32"/>
  <c r="E2409" i="32"/>
  <c r="E2410" i="32"/>
  <c r="E2411" i="32"/>
  <c r="E2412" i="32"/>
  <c r="E2413" i="32"/>
  <c r="E2414" i="32"/>
  <c r="E2415" i="32"/>
  <c r="E2416" i="32"/>
  <c r="E2417" i="32"/>
  <c r="E2418" i="32"/>
  <c r="E2419" i="32"/>
  <c r="E2420" i="32"/>
  <c r="E2421" i="32"/>
  <c r="E2422" i="32"/>
  <c r="E2423" i="32"/>
  <c r="E2424" i="32"/>
  <c r="E2425" i="32"/>
  <c r="E2426" i="32"/>
  <c r="E2427" i="32"/>
  <c r="E2428" i="32"/>
  <c r="E2429" i="32"/>
  <c r="E2430" i="32"/>
  <c r="E2431" i="32"/>
  <c r="E2432" i="32"/>
  <c r="E2433" i="32"/>
  <c r="E2434" i="32"/>
  <c r="E2435" i="32"/>
  <c r="E2436" i="32"/>
  <c r="E2437" i="32"/>
  <c r="E2438" i="32"/>
  <c r="E2439" i="32"/>
  <c r="E2440" i="32"/>
  <c r="E2441" i="32"/>
  <c r="E2442" i="32"/>
  <c r="E2443" i="32"/>
  <c r="E2444" i="32"/>
  <c r="E2445" i="32"/>
  <c r="E2446" i="32"/>
  <c r="E2447" i="32"/>
  <c r="E2448" i="32"/>
  <c r="E2449" i="32"/>
  <c r="E2450" i="32"/>
  <c r="E2451" i="32"/>
  <c r="E2452" i="32"/>
  <c r="E2453" i="32"/>
  <c r="E2454" i="32"/>
  <c r="E2455" i="32"/>
  <c r="E2456" i="32"/>
  <c r="E2457" i="32"/>
  <c r="E2458" i="32"/>
  <c r="E2459" i="32"/>
  <c r="E2460" i="32"/>
  <c r="E2461" i="32"/>
  <c r="E2462" i="32"/>
  <c r="E2463" i="32"/>
  <c r="E2464" i="32"/>
  <c r="E2465" i="32"/>
  <c r="E2466" i="32"/>
  <c r="E2467" i="32"/>
  <c r="E2468" i="32"/>
  <c r="E2469" i="32"/>
  <c r="E2470" i="32"/>
  <c r="E2471" i="32"/>
  <c r="E2472" i="32"/>
  <c r="E2473" i="32"/>
  <c r="E2474" i="32"/>
  <c r="E2475" i="32"/>
  <c r="E2476" i="32"/>
  <c r="E2477" i="32"/>
  <c r="E2478" i="32"/>
  <c r="E2479" i="32"/>
  <c r="E2480" i="32"/>
  <c r="E2481" i="32"/>
  <c r="E2482" i="32"/>
  <c r="E2483" i="32"/>
  <c r="E2484" i="32"/>
  <c r="E2485" i="32"/>
  <c r="E2486" i="32"/>
  <c r="E2487" i="32"/>
  <c r="E2488" i="32"/>
  <c r="E2489" i="32"/>
  <c r="E2490" i="32"/>
  <c r="E2491" i="32"/>
  <c r="E2492" i="32"/>
  <c r="E2493" i="32"/>
  <c r="E2494" i="32"/>
  <c r="E2495" i="32"/>
  <c r="E2496" i="32"/>
  <c r="E2497" i="32"/>
  <c r="E2498" i="32"/>
  <c r="E2499" i="32"/>
  <c r="E2500" i="32"/>
  <c r="E2501" i="32"/>
  <c r="E2502" i="32"/>
  <c r="E2503" i="32"/>
  <c r="E2504" i="32"/>
  <c r="E2505" i="32"/>
  <c r="E2506" i="32"/>
  <c r="E2507" i="32"/>
  <c r="E2508" i="32"/>
  <c r="E2509" i="32"/>
  <c r="E2510" i="32"/>
  <c r="E2511" i="32"/>
  <c r="E2512" i="32"/>
  <c r="E2513" i="32"/>
  <c r="E2514" i="32"/>
  <c r="E2515" i="32"/>
  <c r="E2516" i="32"/>
  <c r="E2517" i="32"/>
  <c r="E2518" i="32"/>
  <c r="E2519" i="32"/>
  <c r="E2520" i="32"/>
  <c r="E2521" i="32"/>
  <c r="E2522" i="32"/>
  <c r="E2523" i="32"/>
  <c r="E2524" i="32"/>
  <c r="E2525" i="32"/>
  <c r="E2526" i="32"/>
  <c r="E2527" i="32"/>
  <c r="E2528" i="32"/>
  <c r="E2529" i="32"/>
  <c r="E2530" i="32"/>
  <c r="E2531" i="32"/>
  <c r="E2532" i="32"/>
  <c r="E2533" i="32"/>
  <c r="E2534" i="32"/>
  <c r="E2535" i="32"/>
  <c r="E2536" i="32"/>
  <c r="E2537" i="32"/>
  <c r="E2538" i="32"/>
  <c r="E2539" i="32"/>
  <c r="E2540" i="32"/>
  <c r="E2541" i="32"/>
  <c r="E2542" i="32"/>
  <c r="E2543" i="32"/>
  <c r="E2544" i="32"/>
  <c r="E2545" i="32"/>
  <c r="E2546" i="32"/>
  <c r="E2547" i="32"/>
  <c r="E2548" i="32"/>
  <c r="E2549" i="32"/>
  <c r="E2550" i="32"/>
  <c r="E2551" i="32"/>
  <c r="E2552" i="32"/>
  <c r="E2553" i="32"/>
  <c r="E2554" i="32"/>
  <c r="E2555" i="32"/>
  <c r="E2556" i="32"/>
  <c r="E2557" i="32"/>
  <c r="E2558" i="32"/>
  <c r="E2559" i="32"/>
  <c r="E2560" i="32"/>
  <c r="E2561" i="32"/>
  <c r="E2562" i="32"/>
  <c r="E2563" i="32"/>
  <c r="E2564" i="32"/>
  <c r="E2565" i="32"/>
  <c r="E2566" i="32"/>
  <c r="E2567" i="32"/>
  <c r="E2568" i="32"/>
  <c r="E2569" i="32"/>
  <c r="E2570" i="32"/>
  <c r="E2571" i="32"/>
  <c r="E2572" i="32"/>
  <c r="E2573" i="32"/>
  <c r="E2574" i="32"/>
  <c r="E2575" i="32"/>
  <c r="E2576" i="32"/>
  <c r="E2577" i="32"/>
  <c r="E2578" i="32"/>
  <c r="E2579" i="32"/>
  <c r="E2580" i="32"/>
  <c r="E2581" i="32"/>
  <c r="E2582" i="32"/>
  <c r="E2583" i="32"/>
  <c r="E2584" i="32"/>
  <c r="E2585" i="32"/>
  <c r="E2586" i="32"/>
  <c r="E2587" i="32"/>
  <c r="E2588" i="32"/>
  <c r="E2589" i="32"/>
  <c r="E2590" i="32"/>
  <c r="E2591" i="32"/>
  <c r="E2592" i="32"/>
  <c r="E2593" i="32"/>
  <c r="E2594" i="32"/>
  <c r="E2595" i="32"/>
  <c r="E2596" i="32"/>
  <c r="E2597" i="32"/>
  <c r="E2598" i="32"/>
  <c r="E2599" i="32"/>
  <c r="E2600" i="32"/>
  <c r="E2601" i="32"/>
  <c r="E2602" i="32"/>
  <c r="E2603" i="32"/>
  <c r="E2604" i="32"/>
  <c r="E2605" i="32"/>
  <c r="E2606" i="32"/>
  <c r="E2607" i="32"/>
  <c r="E2608" i="32"/>
  <c r="E2609" i="32"/>
  <c r="E2610" i="32"/>
  <c r="E2611" i="32"/>
  <c r="E2612" i="32"/>
  <c r="E2613" i="32"/>
  <c r="E2614" i="32"/>
  <c r="E2615" i="32"/>
  <c r="E2616" i="32"/>
  <c r="E2617" i="32"/>
  <c r="E2618" i="32"/>
  <c r="E2619" i="32"/>
  <c r="E2620" i="32"/>
  <c r="E2621" i="32"/>
  <c r="E2622" i="32"/>
  <c r="E2623" i="32"/>
  <c r="E2624" i="32"/>
  <c r="E2625" i="32"/>
  <c r="E2626" i="32"/>
  <c r="E2627" i="32"/>
  <c r="E2628" i="32"/>
  <c r="E2629" i="32"/>
  <c r="E2630" i="32"/>
  <c r="E2631" i="32"/>
  <c r="E2632" i="32"/>
  <c r="E2633" i="32"/>
  <c r="E2634" i="32"/>
  <c r="E2635" i="32"/>
  <c r="E2636" i="32"/>
  <c r="E2637" i="32"/>
  <c r="E2638" i="32"/>
  <c r="E2639" i="32"/>
  <c r="E2640" i="32"/>
  <c r="E2641" i="32"/>
  <c r="E2642" i="32"/>
  <c r="E2643" i="32"/>
  <c r="E2644" i="32"/>
  <c r="E2645" i="32"/>
  <c r="E2646" i="32"/>
  <c r="E2647" i="32"/>
  <c r="E2648" i="32"/>
  <c r="E2649" i="32"/>
  <c r="E2650" i="32"/>
  <c r="E2651" i="32"/>
  <c r="E2652" i="32"/>
  <c r="E2653" i="32"/>
  <c r="E2654" i="32"/>
  <c r="E2655" i="32"/>
  <c r="E2656" i="32"/>
  <c r="E2657" i="32"/>
  <c r="E2658" i="32"/>
  <c r="E2659" i="32"/>
  <c r="E2660" i="32"/>
  <c r="E2661" i="32"/>
  <c r="E2662" i="32"/>
  <c r="E2663" i="32"/>
  <c r="E2664" i="32"/>
  <c r="E2665" i="32"/>
  <c r="E2666" i="32"/>
  <c r="E2667" i="32"/>
  <c r="E2668" i="32"/>
  <c r="E2669" i="32"/>
  <c r="E2670" i="32"/>
  <c r="E2671" i="32"/>
  <c r="E2672" i="32"/>
  <c r="E2673" i="32"/>
  <c r="E2674" i="32"/>
  <c r="E2675" i="32"/>
  <c r="E2676" i="32"/>
  <c r="E2677" i="32"/>
  <c r="E2678" i="32"/>
  <c r="E2679" i="32"/>
  <c r="E2680" i="32"/>
  <c r="E2681" i="32"/>
  <c r="E2682" i="32"/>
  <c r="E2683" i="32"/>
  <c r="E2684" i="32"/>
  <c r="E2685" i="32"/>
  <c r="E2686" i="32"/>
  <c r="E2687" i="32"/>
  <c r="E2688" i="32"/>
  <c r="E2689" i="32"/>
  <c r="E2690" i="32"/>
  <c r="E2691" i="32"/>
  <c r="E2692" i="32"/>
  <c r="E2693" i="32"/>
  <c r="E2694" i="32"/>
  <c r="E2695" i="32"/>
  <c r="E2696" i="32"/>
  <c r="E2697" i="32"/>
  <c r="E2698" i="32"/>
  <c r="E2699" i="32"/>
  <c r="E2700" i="32"/>
  <c r="E2701" i="32"/>
  <c r="E2702" i="32"/>
  <c r="E2703" i="32"/>
  <c r="E2704" i="32"/>
  <c r="E2705" i="32"/>
  <c r="E2706" i="32"/>
  <c r="E2707" i="32"/>
  <c r="E2708" i="32"/>
  <c r="E2709" i="32"/>
  <c r="E2710" i="32"/>
  <c r="E2711" i="32"/>
  <c r="E2712" i="32"/>
  <c r="E2713" i="32"/>
  <c r="E2714" i="32"/>
  <c r="E2715" i="32"/>
  <c r="E2716" i="32"/>
  <c r="E2717" i="32"/>
  <c r="E2718" i="32"/>
  <c r="E2719" i="32"/>
  <c r="E2720" i="32"/>
  <c r="E2721" i="32"/>
  <c r="E2722" i="32"/>
  <c r="E2723" i="32"/>
  <c r="E2724" i="32"/>
  <c r="E2725" i="32"/>
  <c r="E2726" i="32"/>
  <c r="E2727" i="32"/>
  <c r="E2728" i="32"/>
  <c r="E2729" i="32"/>
  <c r="E2730" i="32"/>
  <c r="E2731" i="32"/>
  <c r="E2732" i="32"/>
  <c r="E2733" i="32"/>
  <c r="E2734" i="32"/>
  <c r="E2735" i="32"/>
  <c r="E2736" i="32"/>
  <c r="E2737" i="32"/>
  <c r="E2738" i="32"/>
  <c r="E2739" i="32"/>
  <c r="E2740" i="32"/>
  <c r="E2741" i="32"/>
  <c r="E2742" i="32"/>
  <c r="E2743" i="32"/>
  <c r="E2744" i="32"/>
  <c r="E2745" i="32"/>
  <c r="E2746" i="32"/>
  <c r="E2747" i="32"/>
  <c r="E2748" i="32"/>
  <c r="E2749" i="32"/>
  <c r="E2750" i="32"/>
  <c r="E2751" i="32"/>
  <c r="E2752" i="32"/>
  <c r="E2753" i="32"/>
  <c r="E2754" i="32"/>
  <c r="E2755" i="32"/>
  <c r="E2756" i="32"/>
  <c r="E2757" i="32"/>
  <c r="E2758" i="32"/>
  <c r="E2759" i="32"/>
  <c r="E2760" i="32"/>
  <c r="E2761" i="32"/>
  <c r="E2762" i="32"/>
  <c r="E2763" i="32"/>
  <c r="E2764" i="32"/>
  <c r="E2765" i="32"/>
  <c r="E2766" i="32"/>
  <c r="E2767" i="32"/>
  <c r="E2768" i="32"/>
  <c r="E2769" i="32"/>
  <c r="E2770" i="32"/>
  <c r="E2771" i="32"/>
  <c r="E2772" i="32"/>
  <c r="E2773" i="32"/>
  <c r="E2774" i="32"/>
  <c r="E2775" i="32"/>
  <c r="E2776" i="32"/>
  <c r="E2777" i="32"/>
  <c r="E2778" i="32"/>
  <c r="E2779" i="32"/>
  <c r="E2780" i="32"/>
  <c r="E2781" i="32"/>
  <c r="E2782" i="32"/>
  <c r="E2783" i="32"/>
  <c r="E2784" i="32"/>
  <c r="E2785" i="32"/>
  <c r="E2786" i="32"/>
  <c r="E2787" i="32"/>
  <c r="E2788" i="32"/>
  <c r="E2789" i="32"/>
  <c r="E2790" i="32"/>
  <c r="E2791" i="32"/>
  <c r="E2792" i="32"/>
  <c r="E2793" i="32"/>
  <c r="E2794" i="32"/>
  <c r="E2795" i="32"/>
  <c r="E2796" i="32"/>
  <c r="E2797" i="32"/>
  <c r="E2798" i="32"/>
  <c r="E2799" i="32"/>
  <c r="E2800" i="32"/>
  <c r="E2801" i="32"/>
  <c r="E2802" i="32"/>
  <c r="E2803" i="32"/>
  <c r="E2804" i="32"/>
  <c r="E2805" i="32"/>
  <c r="E2806" i="32"/>
  <c r="E2807" i="32"/>
  <c r="E2808" i="32"/>
  <c r="E2809" i="32"/>
  <c r="E2810" i="32"/>
  <c r="E2811" i="32"/>
  <c r="E2812" i="32"/>
  <c r="E2813" i="32"/>
  <c r="E2814" i="32"/>
  <c r="E2815" i="32"/>
  <c r="E2816" i="32"/>
  <c r="E2817" i="32"/>
  <c r="E2818" i="32"/>
  <c r="E2819" i="32"/>
  <c r="E2820" i="32"/>
  <c r="E2821" i="32"/>
  <c r="E2822" i="32"/>
  <c r="E2823" i="32"/>
  <c r="E2824" i="32"/>
  <c r="E2825" i="32"/>
  <c r="E2826" i="32"/>
  <c r="E2827" i="32"/>
  <c r="E2828" i="32"/>
  <c r="E2829" i="32"/>
  <c r="E2830" i="32"/>
  <c r="E2831" i="32"/>
  <c r="E2832" i="32"/>
  <c r="E2833" i="32"/>
  <c r="E2834" i="32"/>
  <c r="E2835" i="32"/>
  <c r="E2836" i="32"/>
  <c r="E2837" i="32"/>
  <c r="E2838" i="32"/>
  <c r="E2839" i="32"/>
  <c r="E2840" i="32"/>
  <c r="E2841" i="32"/>
  <c r="E2842" i="32"/>
  <c r="E2843" i="32"/>
  <c r="E2844" i="32"/>
  <c r="E2845" i="32"/>
  <c r="E2846" i="32"/>
  <c r="E2847" i="32"/>
  <c r="E2848" i="32"/>
  <c r="E2849" i="32"/>
  <c r="E2850" i="32"/>
  <c r="E2851" i="32"/>
  <c r="E2852" i="32"/>
  <c r="E2853" i="32"/>
  <c r="E2854" i="32"/>
  <c r="E2855" i="32"/>
  <c r="E2856" i="32"/>
  <c r="E2857" i="32"/>
  <c r="E2858" i="32"/>
  <c r="E2859" i="32"/>
  <c r="E2860" i="32"/>
  <c r="E2861" i="32"/>
  <c r="E2862" i="32"/>
  <c r="E2863" i="32"/>
  <c r="E2864" i="32"/>
  <c r="E2865" i="32"/>
  <c r="E2866" i="32"/>
  <c r="E2867" i="32"/>
  <c r="E2868" i="32"/>
  <c r="E2869" i="32"/>
  <c r="E2870" i="32"/>
  <c r="E2871" i="32"/>
  <c r="E2872" i="32"/>
  <c r="E2873" i="32"/>
  <c r="E2874" i="32"/>
  <c r="E2875" i="32"/>
  <c r="E2876" i="32"/>
  <c r="E2877" i="32"/>
  <c r="E2878" i="32"/>
  <c r="E2879" i="32"/>
  <c r="E2880" i="32"/>
  <c r="E2881" i="32"/>
  <c r="E2882" i="32"/>
  <c r="E2883" i="32"/>
  <c r="E2884" i="32"/>
  <c r="E2885" i="32"/>
  <c r="E2886" i="32"/>
  <c r="E2887" i="32"/>
  <c r="E2888" i="32"/>
  <c r="E2889" i="32"/>
  <c r="E2890" i="32"/>
  <c r="E2891" i="32"/>
  <c r="E2892" i="32"/>
  <c r="E2893" i="32"/>
  <c r="E2894" i="32"/>
  <c r="E2895" i="32"/>
  <c r="E2896" i="32"/>
  <c r="E2897" i="32"/>
  <c r="E2898" i="32"/>
  <c r="E2899" i="32"/>
  <c r="E2900" i="32"/>
  <c r="E2901" i="32"/>
  <c r="E2902" i="32"/>
  <c r="E2903" i="32"/>
  <c r="E2904" i="32"/>
  <c r="E2905" i="32"/>
  <c r="E2906" i="32"/>
  <c r="E2907" i="32"/>
  <c r="E2908" i="32"/>
  <c r="E2909" i="32"/>
  <c r="E2910" i="32"/>
  <c r="E2911" i="32"/>
  <c r="E2912" i="32"/>
  <c r="E2913" i="32"/>
  <c r="E2914" i="32"/>
  <c r="E2915" i="32"/>
  <c r="E2916" i="32"/>
  <c r="E2917" i="32"/>
  <c r="E2918" i="32"/>
  <c r="E2919" i="32"/>
  <c r="E2920" i="32"/>
  <c r="E2921" i="32"/>
  <c r="E2922" i="32"/>
  <c r="E2923" i="32"/>
  <c r="E2924" i="32"/>
  <c r="E2925" i="32"/>
  <c r="E2926" i="32"/>
  <c r="E2927" i="32"/>
  <c r="E2928" i="32"/>
  <c r="E2929" i="32"/>
  <c r="E2930" i="32"/>
  <c r="E2931" i="32"/>
  <c r="E2932" i="32"/>
  <c r="E2933" i="32"/>
  <c r="E2934" i="32"/>
  <c r="E2935" i="32"/>
  <c r="E2936" i="32"/>
  <c r="E2937" i="32"/>
  <c r="E2938" i="32"/>
  <c r="E2939" i="32"/>
  <c r="E2940" i="32"/>
  <c r="E2941" i="32"/>
  <c r="E2942" i="32"/>
  <c r="E2943" i="32"/>
  <c r="E2944" i="32"/>
  <c r="E2945" i="32"/>
  <c r="E2946" i="32"/>
  <c r="E2947" i="32"/>
  <c r="E2948" i="32"/>
  <c r="E2949" i="32"/>
  <c r="E2950" i="32"/>
  <c r="E2951" i="32"/>
  <c r="E2952" i="32"/>
  <c r="E2953" i="32"/>
  <c r="E2954" i="32"/>
  <c r="E2955" i="32"/>
  <c r="E2956" i="32"/>
  <c r="E2957" i="32"/>
  <c r="E2958" i="32"/>
  <c r="E2959" i="32"/>
  <c r="E2960" i="32"/>
  <c r="E2961" i="32"/>
  <c r="E2962" i="32"/>
  <c r="E2963" i="32"/>
  <c r="E2964" i="32"/>
  <c r="E2965" i="32"/>
  <c r="E2966" i="32"/>
  <c r="E2967" i="32"/>
  <c r="E2968" i="32"/>
  <c r="E2969" i="32"/>
  <c r="E2970" i="32"/>
  <c r="E2971" i="32"/>
  <c r="E2972" i="32"/>
  <c r="E2973" i="32"/>
  <c r="E2974" i="32"/>
  <c r="E2975" i="32"/>
  <c r="E2976" i="32"/>
  <c r="E2977" i="32"/>
  <c r="E2978" i="32"/>
  <c r="E2979" i="32"/>
  <c r="E2980" i="32"/>
  <c r="E2981" i="32"/>
  <c r="E2982" i="32"/>
  <c r="E2983" i="32"/>
  <c r="E2984" i="32"/>
  <c r="E2985" i="32"/>
  <c r="E2986" i="32"/>
  <c r="E2987" i="32"/>
  <c r="E2988" i="32"/>
  <c r="E2989" i="32"/>
  <c r="E2990" i="32"/>
  <c r="E2991" i="32"/>
  <c r="E2992" i="32"/>
  <c r="E2993" i="32"/>
  <c r="E2994" i="32"/>
  <c r="E2995" i="32"/>
  <c r="E2996" i="32"/>
  <c r="E2997" i="32"/>
  <c r="E2998" i="32"/>
  <c r="E2999" i="32"/>
  <c r="E3000" i="32"/>
  <c r="E3001" i="32"/>
  <c r="E3002" i="32"/>
  <c r="E3003" i="32"/>
  <c r="E3004" i="32"/>
  <c r="E3005" i="32"/>
  <c r="E3006" i="32"/>
  <c r="E3007" i="32"/>
  <c r="E3008" i="32"/>
  <c r="E3009" i="32"/>
  <c r="E3010" i="32"/>
  <c r="E3011" i="32"/>
  <c r="E3012" i="32"/>
  <c r="E3013" i="32"/>
  <c r="E3014" i="32"/>
  <c r="E3015" i="32"/>
  <c r="E3016" i="32"/>
  <c r="E3017" i="32"/>
  <c r="E3018" i="32"/>
  <c r="E3019" i="32"/>
  <c r="E3020" i="32"/>
  <c r="E3021" i="32"/>
  <c r="E3022" i="32"/>
  <c r="E3023" i="32"/>
  <c r="E3024" i="32"/>
  <c r="E3025" i="32"/>
  <c r="E3026" i="32"/>
  <c r="E3027" i="32"/>
  <c r="E3028" i="32"/>
  <c r="E3029" i="32"/>
  <c r="E3030" i="32"/>
  <c r="E3031" i="32"/>
  <c r="E3032" i="32"/>
  <c r="E3033" i="32"/>
  <c r="E3034" i="32"/>
  <c r="E3035" i="32"/>
  <c r="E3036" i="32"/>
  <c r="E3037" i="32"/>
  <c r="E3038" i="32"/>
  <c r="E3039" i="32"/>
  <c r="E3040" i="32"/>
  <c r="E3041" i="32"/>
  <c r="E3042" i="32"/>
  <c r="E3043" i="32"/>
  <c r="E3044" i="32"/>
  <c r="E3045" i="32"/>
  <c r="E3046" i="32"/>
  <c r="E3047" i="32"/>
  <c r="E3048" i="32"/>
  <c r="E3049" i="32"/>
  <c r="E3050" i="32"/>
  <c r="E3051" i="32"/>
  <c r="E3052" i="32"/>
  <c r="E3053" i="32"/>
  <c r="E3054" i="32"/>
  <c r="E3055" i="32"/>
  <c r="E3056" i="32"/>
  <c r="E3057" i="32"/>
  <c r="E3058" i="32"/>
  <c r="E3059" i="32"/>
  <c r="E3060" i="32"/>
  <c r="E3061" i="32"/>
  <c r="E3062" i="32"/>
  <c r="E3063" i="32"/>
  <c r="E3064" i="32"/>
  <c r="E3065" i="32"/>
  <c r="E3066" i="32"/>
  <c r="E3067" i="32"/>
  <c r="E3068" i="32"/>
  <c r="E3069" i="32"/>
  <c r="E3070" i="32"/>
  <c r="E3071" i="32"/>
  <c r="E3072" i="32"/>
  <c r="E3073" i="32"/>
  <c r="E3074" i="32"/>
  <c r="E3075" i="32"/>
  <c r="E3076" i="32"/>
  <c r="E3077" i="32"/>
  <c r="E3078" i="32"/>
  <c r="E3079" i="32"/>
  <c r="E3080" i="32"/>
  <c r="E3081" i="32"/>
  <c r="E3082" i="32"/>
  <c r="E3083" i="32"/>
  <c r="E3084" i="32"/>
  <c r="E3085" i="32"/>
  <c r="E3086" i="32"/>
  <c r="E3087" i="32"/>
  <c r="E3088" i="32"/>
  <c r="E3089" i="32"/>
  <c r="E3090" i="32"/>
  <c r="E3091" i="32"/>
  <c r="E3092" i="32"/>
  <c r="E3093" i="32"/>
  <c r="E3094" i="32"/>
  <c r="E3095" i="32"/>
  <c r="E3096" i="32"/>
  <c r="E3097" i="32"/>
  <c r="E3098" i="32"/>
  <c r="E3099" i="32"/>
  <c r="E3100" i="32"/>
  <c r="E3101" i="32"/>
  <c r="E3102" i="32"/>
  <c r="E3103" i="32"/>
  <c r="E3104" i="32"/>
  <c r="E3105" i="32"/>
  <c r="E3106" i="32"/>
  <c r="E3107" i="32"/>
  <c r="E3108" i="32"/>
  <c r="E3109" i="32"/>
  <c r="E3110" i="32"/>
  <c r="E3111" i="32"/>
  <c r="E3112" i="32"/>
  <c r="E3113" i="32"/>
  <c r="E3114" i="32"/>
  <c r="E3115" i="32"/>
  <c r="E3116" i="32"/>
  <c r="E3117" i="32"/>
  <c r="E3118" i="32"/>
  <c r="E3119" i="32"/>
  <c r="E3120" i="32"/>
  <c r="E3121" i="32"/>
  <c r="E3122" i="32"/>
  <c r="E3123" i="32"/>
  <c r="E3124" i="32"/>
  <c r="E3125" i="32"/>
  <c r="E3126" i="32"/>
  <c r="E3127" i="32"/>
  <c r="E3128" i="32"/>
  <c r="E3129" i="32"/>
  <c r="E3130" i="32"/>
  <c r="E3131" i="32"/>
  <c r="E3132" i="32"/>
  <c r="E3133" i="32"/>
  <c r="E3134" i="32"/>
  <c r="E3135" i="32"/>
  <c r="E3136" i="32"/>
  <c r="E3137" i="32"/>
  <c r="E3138" i="32"/>
  <c r="E3139" i="32"/>
  <c r="E3140" i="32"/>
  <c r="E3141" i="32"/>
  <c r="E3142" i="32"/>
  <c r="E3143" i="32"/>
  <c r="E3144" i="32"/>
  <c r="E3145" i="32"/>
  <c r="E3146" i="32"/>
  <c r="E3147" i="32"/>
  <c r="E3148" i="32"/>
  <c r="E3149" i="32"/>
  <c r="E3150" i="32"/>
  <c r="E3151" i="32"/>
  <c r="E3152" i="32"/>
  <c r="E3153" i="32"/>
  <c r="E3154" i="32"/>
  <c r="E3155" i="32"/>
  <c r="E3156" i="32"/>
  <c r="E3157" i="32"/>
  <c r="E3158" i="32"/>
  <c r="E3159" i="32"/>
  <c r="E3160" i="32"/>
  <c r="E3161" i="32"/>
  <c r="E3162" i="32"/>
  <c r="E3163" i="32"/>
  <c r="E3164" i="32"/>
  <c r="E3165" i="32"/>
  <c r="E3166" i="32"/>
  <c r="E3167" i="32"/>
  <c r="E3168" i="32"/>
  <c r="E3169" i="32"/>
  <c r="E3170" i="32"/>
  <c r="E3171" i="32"/>
  <c r="E3172" i="32"/>
  <c r="E3173" i="32"/>
  <c r="E3174" i="32"/>
  <c r="E3175" i="32"/>
  <c r="E3176" i="32"/>
  <c r="E3177" i="32"/>
  <c r="E3178" i="32"/>
  <c r="E3179" i="32"/>
  <c r="E3180" i="32"/>
  <c r="E3181" i="32"/>
  <c r="E3182" i="32"/>
  <c r="E3183" i="32"/>
  <c r="E3184" i="32"/>
  <c r="E3185" i="32"/>
  <c r="E3186" i="32"/>
  <c r="E3187" i="32"/>
  <c r="E3188" i="32"/>
  <c r="E3189" i="32"/>
  <c r="E3190" i="32"/>
  <c r="E3191" i="32"/>
  <c r="E3192" i="32"/>
  <c r="E3193" i="32"/>
  <c r="E3194" i="32"/>
  <c r="E3195" i="32"/>
  <c r="E3196" i="32"/>
  <c r="E3197" i="32"/>
  <c r="E3198" i="32"/>
  <c r="E3199" i="32"/>
  <c r="E3200" i="32"/>
  <c r="E3201" i="32"/>
  <c r="E3202" i="32"/>
  <c r="E3203" i="32"/>
  <c r="E3204" i="32"/>
  <c r="E3205" i="32"/>
  <c r="E3206" i="32"/>
  <c r="E3207" i="32"/>
  <c r="E3208" i="32"/>
  <c r="E3209" i="32"/>
  <c r="E3210" i="32"/>
  <c r="E3211" i="32"/>
  <c r="E3212" i="32"/>
  <c r="E3213" i="32"/>
  <c r="E3214" i="32"/>
  <c r="E3215" i="32"/>
  <c r="E3216" i="32"/>
  <c r="E3217" i="32"/>
  <c r="E3218" i="32"/>
  <c r="E3219" i="32"/>
  <c r="E3220" i="32"/>
  <c r="E3221" i="32"/>
  <c r="E3222" i="32"/>
  <c r="E3223" i="32"/>
  <c r="E3224" i="32"/>
  <c r="E3225" i="32"/>
  <c r="E3226" i="32"/>
  <c r="E3227" i="32"/>
  <c r="E3228" i="32"/>
  <c r="E3229" i="32"/>
  <c r="E3230" i="32"/>
  <c r="E3231" i="32"/>
  <c r="E3232" i="32"/>
  <c r="E3233" i="32"/>
  <c r="E3234" i="32"/>
  <c r="E3235" i="32"/>
  <c r="E3236" i="32"/>
  <c r="E3237" i="32"/>
  <c r="E3238" i="32"/>
  <c r="E3239" i="32"/>
  <c r="E3240" i="32"/>
  <c r="E3241" i="32"/>
  <c r="E3242" i="32"/>
  <c r="E3243" i="32"/>
  <c r="E3244" i="32"/>
  <c r="E3245" i="32"/>
  <c r="E3246" i="32"/>
  <c r="E3247" i="32"/>
  <c r="E3248" i="32"/>
  <c r="E3249" i="32"/>
  <c r="E3250" i="32"/>
  <c r="E3251" i="32"/>
  <c r="E3252" i="32"/>
  <c r="E3253" i="32"/>
  <c r="E3254" i="32"/>
  <c r="E3255" i="32"/>
  <c r="E3256" i="32"/>
  <c r="E3257" i="32"/>
  <c r="E3258" i="32"/>
  <c r="E3259" i="32"/>
  <c r="E3260" i="32"/>
  <c r="E3261" i="32"/>
  <c r="E3262" i="32"/>
  <c r="E3263" i="32"/>
  <c r="E3264" i="32"/>
  <c r="E3265" i="32"/>
  <c r="E3266" i="32"/>
  <c r="E3267" i="32"/>
  <c r="E3268" i="32"/>
  <c r="E3269" i="32"/>
  <c r="E3270" i="32"/>
  <c r="E3271" i="32"/>
  <c r="E3272" i="32"/>
  <c r="E3273" i="32"/>
  <c r="E3274" i="32"/>
  <c r="E3275" i="32"/>
  <c r="E3276" i="32"/>
  <c r="E3277" i="32"/>
  <c r="E3278" i="32"/>
  <c r="E3279" i="32"/>
  <c r="E3280" i="32"/>
  <c r="E3281" i="32"/>
  <c r="E3282" i="32"/>
  <c r="E3283" i="32"/>
  <c r="E3284" i="32"/>
  <c r="E3285" i="32"/>
  <c r="E3286" i="32"/>
  <c r="E3287" i="32"/>
  <c r="E3288" i="32"/>
  <c r="E3289" i="32"/>
  <c r="E3290" i="32"/>
  <c r="E3291" i="32"/>
  <c r="E3292" i="32"/>
  <c r="E3293" i="32"/>
  <c r="E3294" i="32"/>
  <c r="E3295" i="32"/>
  <c r="E3296" i="32"/>
  <c r="E3297" i="32"/>
  <c r="E3298" i="32"/>
  <c r="E3299" i="32"/>
  <c r="E3300" i="32"/>
  <c r="E3301" i="32"/>
  <c r="E3302" i="32"/>
  <c r="E3303" i="32"/>
  <c r="E3304" i="32"/>
  <c r="E3305" i="32"/>
  <c r="E3306" i="32"/>
  <c r="E3307" i="32"/>
  <c r="E3308" i="32"/>
  <c r="E3309" i="32"/>
  <c r="E3310" i="32"/>
  <c r="E3311" i="32"/>
  <c r="E3312" i="32"/>
  <c r="E3313" i="32"/>
  <c r="E3314" i="32"/>
  <c r="E3315" i="32"/>
  <c r="E3316" i="32"/>
  <c r="E3317" i="32"/>
  <c r="E3318" i="32"/>
  <c r="E3319" i="32"/>
  <c r="E3320" i="32"/>
  <c r="E3321" i="32"/>
  <c r="E3322" i="32"/>
  <c r="E3323" i="32"/>
  <c r="E3324" i="32"/>
  <c r="E3325" i="32"/>
  <c r="E3326" i="32"/>
  <c r="E3327" i="32"/>
  <c r="E3328" i="32"/>
  <c r="E3329" i="32"/>
  <c r="E3330" i="32"/>
  <c r="E3331" i="32"/>
  <c r="E3332" i="32"/>
  <c r="E3333" i="32"/>
  <c r="E3334" i="32"/>
  <c r="E3335" i="32"/>
  <c r="E3336" i="32"/>
  <c r="E3337" i="32"/>
  <c r="E3338" i="32"/>
  <c r="E3339" i="32"/>
  <c r="E3340" i="32"/>
  <c r="E3341" i="32"/>
  <c r="E3342" i="32"/>
  <c r="E3343" i="32"/>
  <c r="E3344" i="32"/>
  <c r="E3345" i="32"/>
  <c r="E3346" i="32"/>
  <c r="E3347" i="32"/>
  <c r="E3348" i="32"/>
  <c r="E3349" i="32"/>
  <c r="E3350" i="32"/>
  <c r="E3351" i="32"/>
  <c r="E3352" i="32"/>
  <c r="E3353" i="32"/>
  <c r="E3354" i="32"/>
  <c r="E3355" i="32"/>
  <c r="E3356" i="32"/>
  <c r="E3357" i="32"/>
  <c r="E3358" i="32"/>
  <c r="E3359" i="32"/>
  <c r="E3360" i="32"/>
  <c r="E3361" i="32"/>
  <c r="E3362" i="32"/>
  <c r="E3363" i="32"/>
  <c r="E3364" i="32"/>
  <c r="E3365" i="32"/>
  <c r="E3366" i="32"/>
  <c r="E3367" i="32"/>
  <c r="E3368" i="32"/>
  <c r="E3369" i="32"/>
  <c r="E3370" i="32"/>
  <c r="E3371" i="32"/>
  <c r="E3372" i="32"/>
  <c r="E3373" i="32"/>
  <c r="E3374" i="32"/>
  <c r="E3375" i="32"/>
  <c r="E3376" i="32"/>
  <c r="E3377" i="32"/>
  <c r="E3378" i="32"/>
  <c r="E3379" i="32"/>
  <c r="E3380" i="32"/>
  <c r="E3381" i="32"/>
  <c r="E3382" i="32"/>
  <c r="E3383" i="32"/>
  <c r="E3384" i="32"/>
  <c r="E3385" i="32"/>
  <c r="E3386" i="32"/>
  <c r="E3387" i="32"/>
  <c r="E3388" i="32"/>
  <c r="E3389" i="32"/>
  <c r="E3390" i="32"/>
  <c r="E3391" i="32"/>
  <c r="E3392" i="32"/>
  <c r="E3393" i="32"/>
  <c r="E3394" i="32"/>
  <c r="E3395" i="32"/>
  <c r="E3396" i="32"/>
  <c r="E3397" i="32"/>
  <c r="E3398" i="32"/>
  <c r="E3399" i="32"/>
  <c r="E3400" i="32"/>
  <c r="E3401" i="32"/>
  <c r="E3402" i="32"/>
  <c r="E3403" i="32"/>
  <c r="E3404" i="32"/>
  <c r="E3405" i="32"/>
  <c r="E3406" i="32"/>
  <c r="E3407" i="32"/>
  <c r="E3408" i="32"/>
  <c r="E3409" i="32"/>
  <c r="E3410" i="32"/>
  <c r="E3411" i="32"/>
  <c r="E3412" i="32"/>
  <c r="E3413" i="32"/>
  <c r="E3414" i="32"/>
  <c r="E3415" i="32"/>
  <c r="E3416" i="32"/>
  <c r="E3417" i="32"/>
  <c r="E3418" i="32"/>
  <c r="E3419" i="32"/>
  <c r="E3420" i="32"/>
  <c r="E3421" i="32"/>
  <c r="E3422" i="32"/>
  <c r="E3423" i="32"/>
  <c r="E3424" i="32"/>
  <c r="E3425" i="32"/>
  <c r="E3426" i="32"/>
  <c r="E3427" i="32"/>
  <c r="E3428" i="32"/>
  <c r="E3429" i="32"/>
  <c r="E3430" i="32"/>
  <c r="E3431" i="32"/>
  <c r="E3432" i="32"/>
  <c r="E3433" i="32"/>
  <c r="E3434" i="32"/>
  <c r="E3435" i="32"/>
  <c r="E3436" i="32"/>
  <c r="E3437" i="32"/>
  <c r="E3438" i="32"/>
  <c r="E3439" i="32"/>
  <c r="E3440" i="32"/>
  <c r="E3441" i="32"/>
  <c r="E3442" i="32"/>
  <c r="E3443" i="32"/>
  <c r="E3444" i="32"/>
  <c r="E3445" i="32"/>
  <c r="E3446" i="32"/>
  <c r="E3447" i="32"/>
  <c r="E3448" i="32"/>
  <c r="E3449" i="32"/>
  <c r="E3450" i="32"/>
  <c r="E3451" i="32"/>
  <c r="E3452" i="32"/>
  <c r="E3453" i="32"/>
  <c r="E3454" i="32"/>
  <c r="E3455" i="32"/>
  <c r="E3456" i="32"/>
  <c r="E3457" i="32"/>
  <c r="E3458" i="32"/>
  <c r="E3459" i="32"/>
  <c r="E3460" i="32"/>
  <c r="E3461" i="32"/>
  <c r="E3462" i="32"/>
  <c r="E3463" i="32"/>
  <c r="E3464" i="32"/>
  <c r="E3465" i="32"/>
  <c r="E3466" i="32"/>
  <c r="E3467" i="32"/>
  <c r="E3468" i="32"/>
  <c r="E3469" i="32"/>
  <c r="E3470" i="32"/>
  <c r="E3471" i="32"/>
  <c r="E3472" i="32"/>
  <c r="E3473" i="32"/>
  <c r="E3474" i="32"/>
  <c r="E3475" i="32"/>
  <c r="E3476" i="32"/>
  <c r="E3477" i="32"/>
  <c r="E3478" i="32"/>
  <c r="E3479" i="32"/>
  <c r="E3480" i="32"/>
  <c r="E3481" i="32"/>
  <c r="E3482" i="32"/>
  <c r="E3483" i="32"/>
  <c r="E3484" i="32"/>
  <c r="E3485" i="32"/>
  <c r="E3486" i="32"/>
  <c r="E3487" i="32"/>
  <c r="E3488" i="32"/>
  <c r="E3489" i="32"/>
  <c r="E3490" i="32"/>
  <c r="E3491" i="32"/>
  <c r="E3492" i="32"/>
  <c r="E3493" i="32"/>
  <c r="E3494" i="32"/>
  <c r="E3495" i="32"/>
  <c r="E3496" i="32"/>
  <c r="E3497" i="32"/>
  <c r="E3498" i="32"/>
  <c r="E3499" i="32"/>
  <c r="E3500" i="32"/>
  <c r="E3501" i="32"/>
  <c r="E3502" i="32"/>
  <c r="E3503" i="32"/>
  <c r="E3504" i="32"/>
  <c r="E3505" i="32"/>
  <c r="E3506" i="32"/>
  <c r="E3507" i="32"/>
  <c r="E3508" i="32"/>
  <c r="E3509" i="32"/>
  <c r="E3510" i="32"/>
  <c r="E3511" i="32"/>
  <c r="E3512" i="32"/>
  <c r="E3513" i="32"/>
  <c r="E3514" i="32"/>
  <c r="E3515" i="32"/>
  <c r="E3516" i="32"/>
  <c r="E3517" i="32"/>
  <c r="E3518" i="32"/>
  <c r="E3519" i="32"/>
  <c r="E3520" i="32"/>
  <c r="E3521" i="32"/>
  <c r="E3522" i="32"/>
  <c r="E3523" i="32"/>
  <c r="E3524" i="32"/>
  <c r="E3525" i="32"/>
  <c r="E3526" i="32"/>
  <c r="E3527" i="32"/>
  <c r="E3528" i="32"/>
  <c r="E3529" i="32"/>
  <c r="E3530" i="32"/>
  <c r="E3531" i="32"/>
  <c r="E3532" i="32"/>
  <c r="E3533" i="32"/>
  <c r="E3534" i="32"/>
  <c r="E3535" i="32"/>
  <c r="E3536" i="32"/>
  <c r="E3537" i="32"/>
  <c r="E3538" i="32"/>
  <c r="E3539" i="32"/>
  <c r="E3540" i="32"/>
  <c r="E3541" i="32"/>
  <c r="E3542" i="32"/>
  <c r="E3543" i="32"/>
  <c r="E3544" i="32"/>
  <c r="E3545" i="32"/>
  <c r="E3546" i="32"/>
  <c r="E3547" i="32"/>
  <c r="E3548" i="32"/>
  <c r="E3549" i="32"/>
  <c r="E3550" i="32"/>
  <c r="E3551" i="32"/>
  <c r="E3552" i="32"/>
  <c r="E3553" i="32"/>
  <c r="E3554" i="32"/>
  <c r="E3555" i="32"/>
  <c r="E3556" i="32"/>
  <c r="E3557" i="32"/>
  <c r="E3558" i="32"/>
  <c r="E3559" i="32"/>
  <c r="E3560" i="32"/>
  <c r="E3561" i="32"/>
  <c r="E3562" i="32"/>
  <c r="E3563" i="32"/>
  <c r="E3564" i="32"/>
  <c r="E3565" i="32"/>
  <c r="E3566" i="32"/>
  <c r="E3567" i="32"/>
  <c r="E3568" i="32"/>
  <c r="E3569" i="32"/>
  <c r="E3570" i="32"/>
  <c r="E3571" i="32"/>
  <c r="E3572" i="32"/>
  <c r="E3573" i="32"/>
  <c r="E3574" i="32"/>
  <c r="E3575" i="32"/>
  <c r="E3576" i="32"/>
  <c r="E3577" i="32"/>
  <c r="E3578" i="32"/>
  <c r="E3579" i="32"/>
  <c r="E3580" i="32"/>
  <c r="E3581" i="32"/>
  <c r="E3582" i="32"/>
  <c r="E3583" i="32"/>
  <c r="E3584" i="32"/>
  <c r="E3585" i="32"/>
  <c r="E3586" i="32"/>
  <c r="E3587" i="32"/>
  <c r="E3588" i="32"/>
  <c r="E3589" i="32"/>
  <c r="E3590" i="32"/>
  <c r="E3591" i="32"/>
  <c r="E3592" i="32"/>
  <c r="E3593" i="32"/>
  <c r="E3594" i="32"/>
  <c r="E3595" i="32"/>
  <c r="E3596" i="32"/>
  <c r="E3597" i="32"/>
  <c r="E3598" i="32"/>
  <c r="E3599" i="32"/>
  <c r="E3600" i="32"/>
  <c r="E3601" i="32"/>
  <c r="E3602" i="32"/>
  <c r="E3603" i="32"/>
  <c r="E3604" i="32"/>
  <c r="E3605" i="32"/>
  <c r="E3606" i="32"/>
  <c r="E3607" i="32"/>
  <c r="E3608" i="32"/>
  <c r="E3609" i="32"/>
  <c r="E3610" i="32"/>
  <c r="E3611" i="32"/>
  <c r="E3612" i="32"/>
  <c r="E3613" i="32"/>
  <c r="E3614" i="32"/>
  <c r="E3615" i="32"/>
  <c r="E3616" i="32"/>
  <c r="E3617" i="32"/>
  <c r="E3618" i="32"/>
  <c r="E3619" i="32"/>
  <c r="E3620" i="32"/>
  <c r="E3621" i="32"/>
  <c r="E3622" i="32"/>
  <c r="E3623" i="32"/>
  <c r="E3624" i="32"/>
  <c r="E3625" i="32"/>
  <c r="E3626" i="32"/>
  <c r="E3627" i="32"/>
  <c r="E3628" i="32"/>
  <c r="E3629" i="32"/>
  <c r="E3630" i="32"/>
  <c r="E3631" i="32"/>
  <c r="E3632" i="32"/>
  <c r="E3633" i="32"/>
  <c r="E3634" i="32"/>
  <c r="E3635" i="32"/>
  <c r="E3636" i="32"/>
  <c r="E3637" i="32"/>
  <c r="E3638" i="32"/>
  <c r="E3639" i="32"/>
  <c r="E3640" i="32"/>
  <c r="E3641" i="32"/>
  <c r="E3642" i="32"/>
  <c r="E3643" i="32"/>
  <c r="E3644" i="32"/>
  <c r="E3645" i="32"/>
  <c r="E3646" i="32"/>
  <c r="E3647" i="32"/>
  <c r="E3648" i="32"/>
  <c r="E3649" i="32"/>
  <c r="E3650" i="32"/>
  <c r="E3651" i="32"/>
  <c r="E3652" i="32"/>
  <c r="E3653" i="32"/>
  <c r="E3654" i="32"/>
  <c r="E3655" i="32"/>
  <c r="E3656" i="32"/>
  <c r="E3657" i="32"/>
  <c r="E3658" i="32"/>
  <c r="E3659" i="32"/>
  <c r="E3660" i="32"/>
  <c r="E3661" i="32"/>
  <c r="E3662" i="32"/>
  <c r="E3663" i="32"/>
  <c r="E3664" i="32"/>
  <c r="E3665" i="32"/>
  <c r="E3666" i="32"/>
  <c r="E3667" i="32"/>
  <c r="E3668" i="32"/>
  <c r="E3669" i="32"/>
  <c r="E3670" i="32"/>
  <c r="E3671" i="32"/>
  <c r="E3672" i="32"/>
  <c r="E3673" i="32"/>
  <c r="E3674" i="32"/>
  <c r="E3675" i="32"/>
  <c r="E3676" i="32"/>
  <c r="E3677" i="32"/>
  <c r="E3678" i="32"/>
  <c r="E3679" i="32"/>
  <c r="E3680" i="32"/>
  <c r="E3681" i="32"/>
  <c r="E3682" i="32"/>
  <c r="E3683" i="32"/>
  <c r="E3684" i="32"/>
  <c r="E3685" i="32"/>
  <c r="E3686" i="32"/>
  <c r="E3687" i="32"/>
  <c r="E3688" i="32"/>
  <c r="E3689" i="32"/>
  <c r="E3690" i="32"/>
  <c r="E3691" i="32"/>
  <c r="E3692" i="32"/>
  <c r="E3693" i="32"/>
  <c r="E3694" i="32"/>
  <c r="E3695" i="32"/>
  <c r="E3696" i="32"/>
  <c r="E3697" i="32"/>
  <c r="E3698" i="32"/>
  <c r="E3699" i="32"/>
  <c r="E3700" i="32"/>
  <c r="E3701" i="32"/>
  <c r="E3702" i="32"/>
  <c r="E3703" i="32"/>
  <c r="E3704" i="32"/>
  <c r="E3705" i="32"/>
  <c r="E3706" i="32"/>
  <c r="E3707" i="32"/>
  <c r="E3708" i="32"/>
  <c r="E3709" i="32"/>
  <c r="E3710" i="32"/>
  <c r="E3711" i="32"/>
  <c r="E3712" i="32"/>
  <c r="E3713" i="32"/>
  <c r="E3714" i="32"/>
  <c r="E3715" i="32"/>
  <c r="E3716" i="32"/>
  <c r="E3717" i="32"/>
  <c r="E3718" i="32"/>
  <c r="E3719" i="32"/>
  <c r="E3720" i="32"/>
  <c r="E3721" i="32"/>
  <c r="E3722" i="32"/>
  <c r="E3723" i="32"/>
  <c r="E3724" i="32"/>
  <c r="E3725" i="32"/>
  <c r="E3726" i="32"/>
  <c r="E3727" i="32"/>
  <c r="E3728" i="32"/>
  <c r="E3729" i="32"/>
  <c r="E3730" i="32"/>
  <c r="E3731" i="32"/>
  <c r="E3732" i="32"/>
  <c r="E3733" i="32"/>
  <c r="E3734" i="32"/>
  <c r="E3735" i="32"/>
  <c r="E3736" i="32"/>
  <c r="E3737" i="32"/>
  <c r="E3738" i="32"/>
  <c r="E3739" i="32"/>
  <c r="E3740" i="32"/>
  <c r="E3741" i="32"/>
  <c r="E3742" i="32"/>
  <c r="E3743" i="32"/>
  <c r="E3744" i="32"/>
  <c r="E3745" i="32"/>
  <c r="E3746" i="32"/>
  <c r="E3747" i="32"/>
  <c r="E3748" i="32"/>
  <c r="E3749" i="32"/>
  <c r="E3750" i="32"/>
  <c r="E3751" i="32"/>
  <c r="E3752" i="32"/>
  <c r="E3753" i="32"/>
  <c r="E3754" i="32"/>
  <c r="E3755" i="32"/>
  <c r="E3756" i="32"/>
  <c r="E3757" i="32"/>
  <c r="E3758" i="32"/>
  <c r="E3759" i="32"/>
  <c r="E3760" i="32"/>
  <c r="E3761" i="32"/>
  <c r="E3762" i="32"/>
  <c r="E3763" i="32"/>
  <c r="E3764" i="32"/>
  <c r="E3765" i="32"/>
  <c r="E3766" i="32"/>
  <c r="E3767" i="32"/>
  <c r="E3768" i="32"/>
  <c r="E3769" i="32"/>
  <c r="E3770" i="32"/>
  <c r="E3771" i="32"/>
  <c r="E3772" i="32"/>
  <c r="E3773" i="32"/>
  <c r="E3774" i="32"/>
  <c r="E3775" i="32"/>
  <c r="E3776" i="32"/>
  <c r="E3777" i="32"/>
  <c r="E3778" i="32"/>
  <c r="E3779" i="32"/>
  <c r="E3780" i="32"/>
  <c r="E3781" i="32"/>
  <c r="E3782" i="32"/>
  <c r="E3783" i="32"/>
  <c r="E3784" i="32"/>
  <c r="E3785" i="32"/>
  <c r="E3786" i="32"/>
  <c r="E3787" i="32"/>
  <c r="E3788" i="32"/>
  <c r="E3789" i="32"/>
  <c r="E3790" i="32"/>
  <c r="E3791" i="32"/>
  <c r="E3792" i="32"/>
  <c r="E3793" i="32"/>
  <c r="E3794" i="32"/>
  <c r="E3795" i="32"/>
  <c r="E3796" i="32"/>
  <c r="E3797" i="32"/>
  <c r="E3798" i="32"/>
  <c r="E3799" i="32"/>
  <c r="E3800" i="32"/>
  <c r="E3801" i="32"/>
  <c r="E3802" i="32"/>
  <c r="E3803" i="32"/>
  <c r="E3804" i="32"/>
  <c r="E3805" i="32"/>
  <c r="E3806" i="32"/>
  <c r="E3807" i="32"/>
  <c r="E3808" i="32"/>
  <c r="E3809" i="32"/>
  <c r="E3810" i="32"/>
  <c r="E3811" i="32"/>
  <c r="E3812" i="32"/>
  <c r="E3813" i="32"/>
  <c r="E3814" i="32"/>
  <c r="E3815" i="32"/>
  <c r="E3816" i="32"/>
  <c r="E3817" i="32"/>
  <c r="E3818" i="32"/>
  <c r="E3819" i="32"/>
  <c r="E3820" i="32"/>
  <c r="E3821" i="32"/>
  <c r="E3822" i="32"/>
  <c r="E3823" i="32"/>
  <c r="E3824" i="32"/>
  <c r="E3825" i="32"/>
  <c r="E3826" i="32"/>
  <c r="E3827" i="32"/>
  <c r="E3828" i="32"/>
  <c r="E3829" i="32"/>
  <c r="E3830" i="32"/>
  <c r="E3831" i="32"/>
  <c r="E3832" i="32"/>
  <c r="E3833" i="32"/>
  <c r="E3834" i="32"/>
  <c r="E3835" i="32"/>
  <c r="E3836" i="32"/>
  <c r="E3837" i="32"/>
  <c r="E3838" i="32"/>
  <c r="E3839" i="32"/>
  <c r="E3840" i="32"/>
  <c r="E3841" i="32"/>
  <c r="E3842" i="32"/>
  <c r="E3843" i="32"/>
  <c r="E3844" i="32"/>
  <c r="E3845" i="32"/>
  <c r="E3846" i="32"/>
  <c r="E3847" i="32"/>
  <c r="E3848" i="32"/>
  <c r="E3849" i="32"/>
  <c r="E3850" i="32"/>
  <c r="E3851" i="32"/>
  <c r="E3852" i="32"/>
  <c r="E3853" i="32"/>
  <c r="E3854" i="32"/>
  <c r="E3855" i="32"/>
  <c r="E3856" i="32"/>
  <c r="E3857" i="32"/>
  <c r="E3858" i="32"/>
  <c r="E3859" i="32"/>
  <c r="E3860" i="32"/>
  <c r="E3861" i="32"/>
  <c r="E3862" i="32"/>
  <c r="E3863" i="32"/>
  <c r="E3864" i="32"/>
  <c r="E3865" i="32"/>
  <c r="E3866" i="32"/>
  <c r="E3867" i="32"/>
  <c r="E3868" i="32"/>
  <c r="E3869" i="32"/>
  <c r="E3870" i="32"/>
  <c r="E3871" i="32"/>
  <c r="E3872" i="32"/>
  <c r="E3873" i="32"/>
  <c r="E3874" i="32"/>
  <c r="E3875" i="32"/>
  <c r="E3876" i="32"/>
  <c r="E3877" i="32"/>
  <c r="E3878" i="32"/>
  <c r="E3879" i="32"/>
  <c r="E3880" i="32"/>
  <c r="E3881" i="32"/>
  <c r="E3882" i="32"/>
  <c r="E3883" i="32"/>
  <c r="E3884" i="32"/>
  <c r="E3885" i="32"/>
  <c r="E3886" i="32"/>
  <c r="E3887" i="32"/>
  <c r="E3888" i="32"/>
  <c r="E3889" i="32"/>
  <c r="E3890" i="32"/>
  <c r="E3891" i="32"/>
  <c r="E3892" i="32"/>
  <c r="E3893" i="32"/>
  <c r="E3894" i="32"/>
  <c r="E3895" i="32"/>
  <c r="E3896" i="32"/>
  <c r="E3897" i="32"/>
  <c r="E3898" i="32"/>
  <c r="E3899" i="32"/>
  <c r="E3900" i="32"/>
  <c r="E3901" i="32"/>
  <c r="E3902" i="32"/>
  <c r="E3903" i="32"/>
  <c r="E3904" i="32"/>
  <c r="E3905" i="32"/>
  <c r="E3906" i="32"/>
  <c r="E3907" i="32"/>
  <c r="E3908" i="32"/>
  <c r="E3909" i="32"/>
  <c r="E3910" i="32"/>
  <c r="E3911" i="32"/>
  <c r="E3912" i="32"/>
  <c r="E3913" i="32"/>
  <c r="E3914" i="32"/>
  <c r="E3915" i="32"/>
  <c r="E3916" i="32"/>
  <c r="E3917" i="32"/>
  <c r="E3918" i="32"/>
  <c r="E3919" i="32"/>
  <c r="E3920" i="32"/>
  <c r="E3921" i="32"/>
  <c r="E3922" i="32"/>
  <c r="E3923" i="32"/>
  <c r="E3924" i="32"/>
  <c r="E3925" i="32"/>
  <c r="E3926" i="32"/>
  <c r="E3927" i="32"/>
  <c r="E3928" i="32"/>
  <c r="E3929" i="32"/>
  <c r="E3930" i="32"/>
  <c r="E3931" i="32"/>
  <c r="E3932" i="32"/>
  <c r="E3933" i="32"/>
  <c r="E3934" i="32"/>
  <c r="E3935" i="32"/>
  <c r="E3936" i="32"/>
  <c r="E3937" i="32"/>
  <c r="E3938" i="32"/>
  <c r="E3939" i="32"/>
  <c r="E3940" i="32"/>
  <c r="E3941" i="32"/>
  <c r="E3942" i="32"/>
  <c r="E3943" i="32"/>
  <c r="E3944" i="32"/>
  <c r="E3945" i="32"/>
  <c r="E3946" i="32"/>
  <c r="E3947" i="32"/>
  <c r="E3948" i="32"/>
  <c r="E3949" i="32"/>
  <c r="E3950" i="32"/>
  <c r="E3951" i="32"/>
  <c r="E3952" i="32"/>
  <c r="E3953" i="32"/>
  <c r="E3954" i="32"/>
  <c r="E3955" i="32"/>
  <c r="E3956" i="32"/>
  <c r="E3957" i="32"/>
  <c r="E3958" i="32"/>
  <c r="E3959" i="32"/>
  <c r="E3960" i="32"/>
  <c r="E3961" i="32"/>
  <c r="E3962" i="32"/>
  <c r="E3963" i="32"/>
  <c r="E3964" i="32"/>
  <c r="E3965" i="32"/>
  <c r="E3966" i="32"/>
  <c r="E3967" i="32"/>
  <c r="E3968" i="32"/>
  <c r="E3969" i="32"/>
  <c r="E3970" i="32"/>
  <c r="E3971" i="32"/>
  <c r="E3972" i="32"/>
  <c r="E3973" i="32"/>
  <c r="E3974" i="32"/>
  <c r="E3975" i="32"/>
  <c r="E3976" i="32"/>
  <c r="E3977" i="32"/>
  <c r="E3978" i="32"/>
  <c r="E3979" i="32"/>
  <c r="E3980" i="32"/>
  <c r="E3981" i="32"/>
  <c r="E3982" i="32"/>
  <c r="E3983" i="32"/>
  <c r="E3984" i="32"/>
  <c r="E3985" i="32"/>
  <c r="E3986" i="32"/>
  <c r="E3987" i="32"/>
  <c r="E3988" i="32"/>
  <c r="E3989" i="32"/>
  <c r="E3990" i="32"/>
  <c r="E3991" i="32"/>
  <c r="E3992" i="32"/>
  <c r="E3993" i="32"/>
  <c r="E3994" i="32"/>
  <c r="E3995" i="32"/>
  <c r="E3996" i="32"/>
  <c r="E3997" i="32"/>
  <c r="E3998" i="32"/>
  <c r="E3999" i="32"/>
  <c r="E4000" i="32"/>
  <c r="E4001" i="32"/>
  <c r="E4002" i="32"/>
  <c r="E4003" i="32"/>
  <c r="E4004" i="32"/>
  <c r="E4005" i="32"/>
  <c r="E4006" i="32"/>
  <c r="E4007" i="32"/>
  <c r="E4008" i="32"/>
  <c r="E4009" i="32"/>
  <c r="E4010" i="32"/>
  <c r="E4011" i="32"/>
  <c r="E4012" i="32"/>
  <c r="E4013" i="32"/>
  <c r="E4014" i="32"/>
  <c r="E4015" i="32"/>
  <c r="E4016" i="32"/>
  <c r="E4017" i="32"/>
  <c r="E4018" i="32"/>
  <c r="E4019" i="32"/>
  <c r="E4020" i="32"/>
  <c r="E4021" i="32"/>
  <c r="E4022" i="32"/>
  <c r="E4023" i="32"/>
  <c r="E4024" i="32"/>
  <c r="E4025" i="32"/>
  <c r="E4026" i="32"/>
  <c r="E4027" i="32"/>
  <c r="E4028" i="32"/>
  <c r="E4029" i="32"/>
  <c r="E4030" i="32"/>
  <c r="E4031" i="32"/>
  <c r="E4032" i="32"/>
  <c r="E4033" i="32"/>
  <c r="E4034" i="32"/>
  <c r="E4035" i="32"/>
  <c r="E4036" i="32"/>
  <c r="E4037" i="32"/>
  <c r="E4038" i="32"/>
  <c r="E4039" i="32"/>
  <c r="E4040" i="32"/>
  <c r="E4041" i="32"/>
  <c r="E4042" i="32"/>
  <c r="E4043" i="32"/>
  <c r="E4044" i="32"/>
  <c r="E4045" i="32"/>
  <c r="E4046" i="32"/>
  <c r="E4047" i="32"/>
  <c r="E4048" i="32"/>
  <c r="E4049" i="32"/>
  <c r="E4050" i="32"/>
  <c r="E4051" i="32"/>
  <c r="E4052" i="32"/>
  <c r="E4053" i="32"/>
  <c r="E4054" i="32"/>
  <c r="E4055" i="32"/>
  <c r="E4056" i="32"/>
  <c r="E4057" i="32"/>
  <c r="E4058" i="32"/>
  <c r="E4059" i="32"/>
  <c r="E4060" i="32"/>
  <c r="E4061" i="32"/>
  <c r="E4062" i="32"/>
  <c r="E4063" i="32"/>
  <c r="E4064" i="32"/>
  <c r="E4065" i="32"/>
  <c r="E4066" i="32"/>
  <c r="E4067" i="32"/>
  <c r="E4068" i="32"/>
  <c r="E4069" i="32"/>
  <c r="E4070" i="32"/>
  <c r="E4071" i="32"/>
  <c r="E4072" i="32"/>
  <c r="E4073" i="32"/>
  <c r="E4074" i="32"/>
  <c r="E4075" i="32"/>
  <c r="E4076" i="32"/>
  <c r="E4077" i="32"/>
  <c r="E4078" i="32"/>
  <c r="E4079" i="32"/>
  <c r="E4080" i="32"/>
  <c r="E4081" i="32"/>
  <c r="E4082" i="32"/>
  <c r="E4083" i="32"/>
  <c r="E4084" i="32"/>
  <c r="E4085" i="32"/>
  <c r="E4086" i="32"/>
  <c r="E4087" i="32"/>
  <c r="E4088" i="32"/>
  <c r="E4089" i="32"/>
  <c r="E4090" i="32"/>
  <c r="E4091" i="32"/>
  <c r="E4092" i="32"/>
  <c r="E4093" i="32"/>
  <c r="E4094" i="32"/>
  <c r="E4095" i="32"/>
  <c r="E4096" i="32"/>
  <c r="E4097" i="32"/>
  <c r="E4098" i="32"/>
  <c r="E4099" i="32"/>
  <c r="E4100" i="32"/>
  <c r="E4101" i="32"/>
  <c r="E4102" i="32"/>
  <c r="E4103" i="32"/>
  <c r="E4104" i="32"/>
  <c r="E4105" i="32"/>
  <c r="E4106" i="32"/>
  <c r="E4107" i="32"/>
  <c r="E4108" i="32"/>
  <c r="E4109" i="32"/>
  <c r="E4110" i="32"/>
  <c r="E4111" i="32"/>
  <c r="E4112" i="32"/>
  <c r="E4113" i="32"/>
  <c r="E4114" i="32"/>
  <c r="E4115" i="32"/>
  <c r="E4116" i="32"/>
  <c r="E4117" i="32"/>
  <c r="E4118" i="32"/>
  <c r="E4119" i="32"/>
  <c r="E4120" i="32"/>
  <c r="E4121" i="32"/>
  <c r="E4122" i="32"/>
  <c r="E4123" i="32"/>
  <c r="E4124" i="32"/>
  <c r="E4125" i="32"/>
  <c r="E4126" i="32"/>
  <c r="E4127" i="32"/>
  <c r="E4128" i="32"/>
  <c r="E4129" i="32"/>
  <c r="E4130" i="32"/>
  <c r="E4131" i="32"/>
  <c r="E4132" i="32"/>
  <c r="E4133" i="32"/>
  <c r="E4134" i="32"/>
  <c r="E4135" i="32"/>
  <c r="E4136" i="32"/>
  <c r="E4137" i="32"/>
  <c r="E4138" i="32"/>
  <c r="E4139" i="32"/>
  <c r="E4140" i="32"/>
  <c r="E4141" i="32"/>
  <c r="E4142" i="32"/>
  <c r="E4143" i="32"/>
  <c r="E4144" i="32"/>
  <c r="E4145" i="32"/>
  <c r="E4146" i="32"/>
  <c r="E4147" i="32"/>
  <c r="E4148" i="32"/>
  <c r="E4149" i="32"/>
  <c r="E4150" i="32"/>
  <c r="E4151" i="32"/>
  <c r="E4152" i="32"/>
  <c r="E4153" i="32"/>
  <c r="E4154" i="32"/>
  <c r="E4155" i="32"/>
  <c r="E4156" i="32"/>
  <c r="E4157" i="32"/>
  <c r="E4158" i="32"/>
  <c r="E4159" i="32"/>
  <c r="E4160" i="32"/>
  <c r="E4161" i="32"/>
  <c r="E4162" i="32"/>
  <c r="E4163" i="32"/>
  <c r="E4164" i="32"/>
  <c r="E4165" i="32"/>
  <c r="E4166" i="32"/>
  <c r="E4167" i="32"/>
  <c r="E4168" i="32"/>
  <c r="E4169" i="32"/>
  <c r="E4170" i="32"/>
  <c r="E4171" i="32"/>
  <c r="E4172" i="32"/>
  <c r="E4173" i="32"/>
  <c r="E4174" i="32"/>
  <c r="E4175" i="32"/>
  <c r="E4176" i="32"/>
  <c r="E4177" i="32"/>
  <c r="E4178" i="32"/>
  <c r="E4179" i="32"/>
  <c r="E4180" i="32"/>
  <c r="E4181" i="32"/>
  <c r="E4182" i="32"/>
  <c r="E4183" i="32"/>
  <c r="E4184" i="32"/>
  <c r="E4185" i="32"/>
  <c r="E4186" i="32"/>
  <c r="E4187" i="32"/>
  <c r="E4188" i="32"/>
  <c r="E4189" i="32"/>
  <c r="E4190" i="32"/>
  <c r="E4191" i="32"/>
  <c r="E4192" i="32"/>
  <c r="E4193" i="32"/>
  <c r="E4194" i="32"/>
  <c r="E4195" i="32"/>
  <c r="E4196" i="32"/>
  <c r="E4197" i="32"/>
  <c r="E4198" i="32"/>
  <c r="E4199" i="32"/>
  <c r="E4200" i="32"/>
  <c r="E4201" i="32"/>
  <c r="E4202" i="32"/>
  <c r="E4203" i="32"/>
  <c r="E4204" i="32"/>
  <c r="E4205" i="32"/>
  <c r="E4206" i="32"/>
  <c r="E4207" i="32"/>
  <c r="E4208" i="32"/>
  <c r="E4209" i="32"/>
  <c r="E4210" i="32"/>
  <c r="E4211" i="32"/>
  <c r="E4212" i="32"/>
  <c r="E4213" i="32"/>
  <c r="E4214" i="32"/>
  <c r="E4215" i="32"/>
  <c r="E4216" i="32"/>
  <c r="E4217" i="32"/>
  <c r="E4218" i="32"/>
  <c r="E4219" i="32"/>
  <c r="E4220" i="32"/>
  <c r="E4221" i="32"/>
  <c r="E4222" i="32"/>
  <c r="E4223" i="32"/>
  <c r="E4224" i="32"/>
  <c r="E4225" i="32"/>
  <c r="E4226" i="32"/>
  <c r="E4227" i="32"/>
  <c r="E4228" i="32"/>
  <c r="E4229" i="32"/>
  <c r="E4230" i="32"/>
  <c r="E4231" i="32"/>
  <c r="E4232" i="32"/>
  <c r="E4233" i="32"/>
  <c r="E4234" i="32"/>
  <c r="E4235" i="32"/>
  <c r="E4236" i="32"/>
  <c r="E4237" i="32"/>
  <c r="E4238" i="32"/>
  <c r="E4239" i="32"/>
  <c r="E4240" i="32"/>
  <c r="E4241" i="32"/>
  <c r="E4242" i="32"/>
  <c r="E4243" i="32"/>
  <c r="E4244" i="32"/>
  <c r="E4245" i="32"/>
  <c r="E4246" i="32"/>
  <c r="E4247" i="32"/>
  <c r="E4248" i="32"/>
  <c r="E4249" i="32"/>
  <c r="E4250" i="32"/>
  <c r="E4251" i="32"/>
  <c r="E4252" i="32"/>
  <c r="E4253" i="32"/>
  <c r="E4254" i="32"/>
  <c r="E4255" i="32"/>
  <c r="E4256" i="32"/>
  <c r="E4257" i="32"/>
  <c r="E4258" i="32"/>
  <c r="E4259" i="32"/>
  <c r="E4260" i="32"/>
  <c r="E4261" i="32"/>
  <c r="E4262" i="32"/>
  <c r="E4263" i="32"/>
  <c r="E4264" i="32"/>
  <c r="E4265" i="32"/>
  <c r="E4266" i="32"/>
  <c r="E4267" i="32"/>
  <c r="E4268" i="32"/>
  <c r="E4269" i="32"/>
  <c r="E4270" i="32"/>
  <c r="E4271" i="32"/>
  <c r="E4272" i="32"/>
  <c r="E4273" i="32"/>
  <c r="E4274" i="32"/>
  <c r="E4275" i="32"/>
  <c r="E4276" i="32"/>
  <c r="E4277" i="32"/>
  <c r="E4278" i="32"/>
  <c r="E4279" i="32"/>
  <c r="E4280" i="32"/>
  <c r="E4281" i="32"/>
  <c r="E4282" i="32"/>
  <c r="E4283" i="32"/>
  <c r="E4284" i="32"/>
  <c r="E4285" i="32"/>
  <c r="E4286" i="32"/>
  <c r="E4287" i="32"/>
  <c r="E4288" i="32"/>
  <c r="E4289" i="32"/>
  <c r="E4290" i="32"/>
  <c r="E4291" i="32"/>
  <c r="E4292" i="32"/>
  <c r="E4293" i="32"/>
  <c r="E4294" i="32"/>
  <c r="E4295" i="32"/>
  <c r="E4296" i="32"/>
  <c r="E4297" i="32"/>
  <c r="E4298" i="32"/>
  <c r="E4299" i="32"/>
  <c r="E4300" i="32"/>
  <c r="E4301" i="32"/>
  <c r="E4302" i="32"/>
  <c r="E4303" i="32"/>
  <c r="E4304" i="32"/>
  <c r="E4305" i="32"/>
  <c r="E4306" i="32"/>
  <c r="E4307" i="32"/>
  <c r="E4308" i="32"/>
  <c r="E4309" i="32"/>
  <c r="E4310" i="32"/>
  <c r="E4311" i="32"/>
  <c r="E4312" i="32"/>
  <c r="E4313" i="32"/>
  <c r="E4314" i="32"/>
  <c r="E4315" i="32"/>
  <c r="E4316" i="32"/>
  <c r="E4317" i="32"/>
  <c r="E4318" i="32"/>
  <c r="E4319" i="32"/>
  <c r="E4320" i="32"/>
  <c r="E4321" i="32"/>
  <c r="E4322" i="32"/>
  <c r="E4323" i="32"/>
  <c r="E4324" i="32"/>
  <c r="E4325" i="32"/>
  <c r="E4326" i="32"/>
  <c r="E4327" i="32"/>
  <c r="E4328" i="32"/>
  <c r="E4329" i="32"/>
  <c r="E4330" i="32"/>
  <c r="E4331" i="32"/>
  <c r="E4332" i="32"/>
  <c r="E4333" i="32"/>
  <c r="E4334" i="32"/>
  <c r="E4335" i="32"/>
  <c r="E4336" i="32"/>
  <c r="E4337" i="32"/>
  <c r="E4338" i="32"/>
  <c r="E4339" i="32"/>
  <c r="E4340" i="32"/>
  <c r="E4341" i="32"/>
  <c r="E4342" i="32"/>
  <c r="E4343" i="32"/>
  <c r="E4344" i="32"/>
  <c r="E4345" i="32"/>
  <c r="E4346" i="32"/>
  <c r="E4347" i="32"/>
  <c r="E4348" i="32"/>
  <c r="E4349" i="32"/>
  <c r="E4350" i="32"/>
  <c r="E4351" i="32"/>
  <c r="E4352" i="32"/>
  <c r="E4353" i="32"/>
  <c r="E4354" i="32"/>
  <c r="E4355" i="32"/>
  <c r="E4356" i="32"/>
  <c r="E4357" i="32"/>
  <c r="E4358" i="32"/>
  <c r="E4359" i="32"/>
  <c r="E4360" i="32"/>
  <c r="E4361" i="32"/>
  <c r="E4362" i="32"/>
  <c r="E4363" i="32"/>
  <c r="E4364" i="32"/>
  <c r="E4365" i="32"/>
  <c r="E4366" i="32"/>
  <c r="E4367" i="32"/>
  <c r="E4368" i="32"/>
  <c r="E4369" i="32"/>
  <c r="E4370" i="32"/>
  <c r="E4371" i="32"/>
  <c r="E4372" i="32"/>
  <c r="E4373" i="32"/>
  <c r="E4374" i="32"/>
  <c r="E4375" i="32"/>
  <c r="E4376" i="32"/>
  <c r="E4377" i="32"/>
  <c r="E4378" i="32"/>
  <c r="E4379" i="32"/>
  <c r="E4380" i="32"/>
  <c r="E4381" i="32"/>
  <c r="E4382" i="32"/>
  <c r="E4383" i="32"/>
  <c r="E4384" i="32"/>
  <c r="E4385" i="32"/>
  <c r="E4386" i="32"/>
  <c r="E4387" i="32"/>
  <c r="E4388" i="32"/>
  <c r="E4389" i="32"/>
  <c r="E4390" i="32"/>
  <c r="E4391" i="32"/>
  <c r="E4392" i="32"/>
  <c r="E4393" i="32"/>
  <c r="E4394" i="32"/>
  <c r="E4395" i="32"/>
  <c r="E4396" i="32"/>
  <c r="E4397" i="32"/>
  <c r="E4398" i="32"/>
  <c r="E4399" i="32"/>
  <c r="E4400" i="32"/>
  <c r="E4401" i="32"/>
  <c r="E4402" i="32"/>
  <c r="E4403" i="32"/>
  <c r="E4404" i="32"/>
  <c r="E4405" i="32"/>
  <c r="E4406" i="32"/>
  <c r="E4407" i="32"/>
  <c r="E4408" i="32"/>
  <c r="E4409" i="32"/>
  <c r="E4410" i="32"/>
  <c r="E4411" i="32"/>
  <c r="E4412" i="32"/>
  <c r="E4413" i="32"/>
  <c r="E4414" i="32"/>
  <c r="E4415" i="32"/>
  <c r="E4416" i="32"/>
  <c r="E4417" i="32"/>
  <c r="E4418" i="32"/>
  <c r="E4419" i="32"/>
  <c r="E4420" i="32"/>
  <c r="E4421" i="32"/>
  <c r="E4422" i="32"/>
  <c r="E4423" i="32"/>
  <c r="E4424" i="32"/>
  <c r="E4425" i="32"/>
  <c r="E4426" i="32"/>
  <c r="E4427" i="32"/>
  <c r="E4428" i="32"/>
  <c r="E4429" i="32"/>
  <c r="E4430" i="32"/>
  <c r="E4431" i="32"/>
  <c r="E4432" i="32"/>
  <c r="E4433" i="32"/>
  <c r="E4434" i="32"/>
  <c r="E4435" i="32"/>
  <c r="E4436" i="32"/>
  <c r="E4437" i="32"/>
  <c r="E4438" i="32"/>
  <c r="E4439" i="32"/>
  <c r="E4440" i="32"/>
  <c r="E4441" i="32"/>
  <c r="E4442" i="32"/>
  <c r="E4443" i="32"/>
  <c r="E4444" i="32"/>
  <c r="E4445" i="32"/>
  <c r="E4446" i="32"/>
  <c r="E4447" i="32"/>
  <c r="E4448" i="32"/>
  <c r="E4449" i="32"/>
  <c r="E4450" i="32"/>
  <c r="E4451" i="32"/>
  <c r="E4452" i="32"/>
  <c r="E4453" i="32"/>
  <c r="E4454" i="32"/>
  <c r="E4455" i="32"/>
  <c r="E4456" i="32"/>
  <c r="E4457" i="32"/>
  <c r="E4458" i="32"/>
  <c r="E4459" i="32"/>
  <c r="E4460" i="32"/>
  <c r="E4461" i="32"/>
  <c r="E4462" i="32"/>
  <c r="E4463" i="32"/>
  <c r="E4464" i="32"/>
  <c r="E4465" i="32"/>
  <c r="E4466" i="32"/>
  <c r="E4467" i="32"/>
  <c r="E4468" i="32"/>
  <c r="E4469" i="32"/>
  <c r="E4470" i="32"/>
  <c r="E4471" i="32"/>
  <c r="E4472" i="32"/>
  <c r="E4473" i="32"/>
  <c r="E4474" i="32"/>
  <c r="E4475" i="32"/>
  <c r="E4476" i="32"/>
  <c r="E4477" i="32"/>
  <c r="E4478" i="32"/>
  <c r="E4479" i="32"/>
  <c r="E4480" i="32"/>
  <c r="E4481" i="32"/>
  <c r="E4482" i="32"/>
  <c r="E4483" i="32"/>
  <c r="E4484" i="32"/>
  <c r="E4485" i="32"/>
  <c r="E4486" i="32"/>
  <c r="E4487" i="32"/>
  <c r="E4488" i="32"/>
  <c r="E4489" i="32"/>
  <c r="E4490" i="32"/>
  <c r="E4491" i="32"/>
  <c r="E4492" i="32"/>
  <c r="E4493" i="32"/>
  <c r="E4494" i="32"/>
  <c r="E4495" i="32"/>
  <c r="E4496" i="32"/>
  <c r="E4497" i="32"/>
  <c r="E4498" i="32"/>
  <c r="E4499" i="32"/>
  <c r="E4500" i="32"/>
  <c r="E4501" i="32"/>
  <c r="E4502" i="32"/>
  <c r="E4503" i="32"/>
  <c r="E4504" i="32"/>
  <c r="E4505" i="32"/>
  <c r="E4506" i="32"/>
  <c r="E4507" i="32"/>
  <c r="E4508" i="32"/>
  <c r="E4509" i="32"/>
  <c r="E4510" i="32"/>
  <c r="E4511" i="32"/>
  <c r="E4512" i="32"/>
  <c r="E4513" i="32"/>
  <c r="E4514" i="32"/>
  <c r="E4515" i="32"/>
  <c r="E4516" i="32"/>
  <c r="E4517" i="32"/>
  <c r="E4518" i="32"/>
  <c r="E4519" i="32"/>
  <c r="E4520" i="32"/>
  <c r="E4521" i="32"/>
  <c r="E4522" i="32"/>
  <c r="E4523" i="32"/>
  <c r="E4524" i="32"/>
  <c r="E4525" i="32"/>
  <c r="E4526" i="32"/>
  <c r="E4527" i="32"/>
  <c r="E4528" i="32"/>
  <c r="E4529" i="32"/>
  <c r="E4530" i="32"/>
  <c r="E4531" i="32"/>
  <c r="E4532" i="32"/>
  <c r="E4533" i="32"/>
  <c r="E4534" i="32"/>
  <c r="E4535" i="32"/>
  <c r="E4536" i="32"/>
  <c r="E4537" i="32"/>
  <c r="E4538" i="32"/>
  <c r="E4539" i="32"/>
  <c r="E4540" i="32"/>
  <c r="E4541" i="32"/>
  <c r="E4542" i="32"/>
  <c r="E4543" i="32"/>
  <c r="E4544" i="32"/>
  <c r="E4545" i="32"/>
  <c r="E4546" i="32"/>
  <c r="E4547" i="32"/>
  <c r="E4548" i="32"/>
  <c r="E4549" i="32"/>
  <c r="E4550" i="32"/>
  <c r="E4551" i="32"/>
  <c r="E4552" i="32"/>
  <c r="E4553" i="32"/>
  <c r="E4554" i="32"/>
  <c r="E4555" i="32"/>
  <c r="E4556" i="32"/>
  <c r="E4557" i="32"/>
  <c r="E4558" i="32"/>
  <c r="E4559" i="32"/>
  <c r="E4560" i="32"/>
  <c r="E4561" i="32"/>
  <c r="E4562" i="32"/>
  <c r="E4563" i="32"/>
  <c r="E4564" i="32"/>
  <c r="E4565" i="32"/>
  <c r="E4566" i="32"/>
  <c r="E4567" i="32"/>
  <c r="E4568" i="32"/>
  <c r="E4569" i="32"/>
  <c r="E4570" i="32"/>
  <c r="E4571" i="32"/>
  <c r="E4572" i="32"/>
  <c r="E4573" i="32"/>
  <c r="E4574" i="32"/>
  <c r="E4575" i="32"/>
  <c r="E4576" i="32"/>
  <c r="E4577" i="32"/>
  <c r="E4578" i="32"/>
  <c r="E4579" i="32"/>
  <c r="E4580" i="32"/>
  <c r="E4581" i="32"/>
  <c r="E4582" i="32"/>
  <c r="E4583" i="32"/>
  <c r="E4584" i="32"/>
  <c r="E4585" i="32"/>
  <c r="E4586" i="32"/>
  <c r="E4587" i="32"/>
  <c r="E4588" i="32"/>
  <c r="E4589" i="32"/>
  <c r="E4590" i="32"/>
  <c r="E4591" i="32"/>
  <c r="E4592" i="32"/>
  <c r="E4593" i="32"/>
  <c r="E4594" i="32"/>
  <c r="E4595" i="32"/>
  <c r="E4596" i="32"/>
  <c r="E4597" i="32"/>
  <c r="E4598" i="32"/>
  <c r="E4599" i="32"/>
  <c r="E4600" i="32"/>
  <c r="E4601" i="32"/>
  <c r="E4602" i="32"/>
  <c r="E4603" i="32"/>
  <c r="E4604" i="32"/>
  <c r="E4605" i="32"/>
  <c r="E4606" i="32"/>
  <c r="E4607" i="32"/>
  <c r="E4608" i="32"/>
  <c r="E4609" i="32"/>
  <c r="E4610" i="32"/>
  <c r="E4611" i="32"/>
  <c r="E4612" i="32"/>
  <c r="E4613" i="32"/>
  <c r="E4614" i="32"/>
  <c r="E4615" i="32"/>
  <c r="E4616" i="32"/>
  <c r="E4617" i="32"/>
  <c r="E4618" i="32"/>
  <c r="E4619" i="32"/>
  <c r="E4620" i="32"/>
  <c r="E4621" i="32"/>
  <c r="E4622" i="32"/>
  <c r="E4623" i="32"/>
  <c r="E4624" i="32"/>
  <c r="E4625" i="32"/>
  <c r="E4626" i="32"/>
  <c r="E4627" i="32"/>
  <c r="E4628" i="32"/>
  <c r="E4629" i="32"/>
  <c r="E4630" i="32"/>
  <c r="E4631" i="32"/>
  <c r="E4632" i="32"/>
  <c r="E4633" i="32"/>
  <c r="E4634" i="32"/>
  <c r="E4635" i="32"/>
  <c r="E4636" i="32"/>
  <c r="E4637" i="32"/>
  <c r="E4638" i="32"/>
  <c r="E4639" i="32"/>
  <c r="E4640" i="32"/>
  <c r="E4641" i="32"/>
  <c r="E4642" i="32"/>
  <c r="E4643" i="32"/>
  <c r="E4644" i="32"/>
  <c r="E4645" i="32"/>
  <c r="E4646" i="32"/>
  <c r="E4647" i="32"/>
  <c r="E4648" i="32"/>
  <c r="E4649" i="32"/>
  <c r="E4650" i="32"/>
  <c r="E4651" i="32"/>
  <c r="E4652" i="32"/>
  <c r="E4653" i="32"/>
  <c r="E4654" i="32"/>
  <c r="E4655" i="32"/>
  <c r="E4656" i="32"/>
  <c r="E4657" i="32"/>
  <c r="E4658" i="32"/>
  <c r="E4659" i="32"/>
  <c r="E4660" i="32"/>
  <c r="E4661" i="32"/>
  <c r="E4662" i="32"/>
  <c r="E4663" i="32"/>
  <c r="E4664" i="32"/>
  <c r="E4665" i="32"/>
  <c r="E4666" i="32"/>
  <c r="E4667" i="32"/>
  <c r="E4668" i="32"/>
  <c r="E4669" i="32"/>
  <c r="E4670" i="32"/>
  <c r="E4671" i="32"/>
  <c r="E4672" i="32"/>
  <c r="E4673" i="32"/>
  <c r="E4674" i="32"/>
  <c r="E4675" i="32"/>
  <c r="E4676" i="32"/>
  <c r="E4677" i="32"/>
  <c r="E4678" i="32"/>
  <c r="E4679" i="32"/>
  <c r="E4680" i="32"/>
  <c r="E4681" i="32"/>
  <c r="E4682" i="32"/>
  <c r="E4683" i="32"/>
  <c r="E4684" i="32"/>
  <c r="E4685" i="32"/>
  <c r="E4686" i="32"/>
  <c r="E4687" i="32"/>
  <c r="E4688" i="32"/>
  <c r="E4689" i="32"/>
  <c r="E4690" i="32"/>
  <c r="E4691" i="32"/>
  <c r="E4692" i="32"/>
  <c r="E4693" i="32"/>
  <c r="E4694" i="32"/>
  <c r="E4695" i="32"/>
  <c r="E4696" i="32"/>
  <c r="E4697" i="32"/>
  <c r="E4698" i="32"/>
  <c r="E4699" i="32"/>
  <c r="E4700" i="32"/>
  <c r="E4701" i="32"/>
  <c r="E4702" i="32"/>
  <c r="E4703" i="32"/>
  <c r="E4704" i="32"/>
  <c r="E4705" i="32"/>
  <c r="E4706" i="32"/>
  <c r="E4707" i="32"/>
  <c r="E4708" i="32"/>
  <c r="E4709" i="32"/>
  <c r="E4710" i="32"/>
  <c r="E4711" i="32"/>
  <c r="E4712" i="32"/>
  <c r="E4713" i="32"/>
  <c r="E4714" i="32"/>
  <c r="E4715" i="32"/>
  <c r="E4716" i="32"/>
  <c r="E4717" i="32"/>
  <c r="E4718" i="32"/>
  <c r="E4719" i="32"/>
  <c r="E4720" i="32"/>
  <c r="E4721" i="32"/>
  <c r="E4722" i="32"/>
  <c r="E4723" i="32"/>
  <c r="E4724" i="32"/>
  <c r="E4725" i="32"/>
  <c r="E4726" i="32"/>
  <c r="E4727" i="32"/>
  <c r="E4728" i="32"/>
  <c r="E4729" i="32"/>
  <c r="E4730" i="32"/>
  <c r="E4731" i="32"/>
  <c r="E4732" i="32"/>
  <c r="E4733" i="32"/>
  <c r="E4734" i="32"/>
  <c r="E4735" i="32"/>
  <c r="E4736" i="32"/>
  <c r="E4737" i="32"/>
  <c r="E4738" i="32"/>
  <c r="E4739" i="32"/>
  <c r="E4740" i="32"/>
  <c r="E4741" i="32"/>
  <c r="E4742" i="32"/>
  <c r="E4743" i="32"/>
  <c r="E4744" i="32"/>
  <c r="E4745" i="32"/>
  <c r="E4746" i="32"/>
  <c r="E4747" i="32"/>
  <c r="E4748" i="32"/>
  <c r="E4749" i="32"/>
  <c r="E4750" i="32"/>
  <c r="E4751" i="32"/>
  <c r="E4752" i="32"/>
  <c r="E4753" i="32"/>
  <c r="E4754" i="32"/>
  <c r="E4755" i="32"/>
  <c r="E4756" i="32"/>
  <c r="E4757" i="32"/>
  <c r="E4758" i="32"/>
  <c r="E4759" i="32"/>
  <c r="E4760" i="32"/>
  <c r="E4761" i="32"/>
  <c r="E4762" i="32"/>
  <c r="E4763" i="32"/>
  <c r="E4764" i="32"/>
  <c r="E4765" i="32"/>
  <c r="E4766" i="32"/>
  <c r="E4767" i="32"/>
  <c r="E4768" i="32"/>
  <c r="E4769" i="32"/>
  <c r="E4770" i="32"/>
  <c r="E4771" i="32"/>
  <c r="E4772" i="32"/>
  <c r="E4773" i="32"/>
  <c r="E4774" i="32"/>
  <c r="E4775" i="32"/>
  <c r="E4776" i="32"/>
  <c r="E4777" i="32"/>
  <c r="E4778" i="32"/>
  <c r="E4779" i="32"/>
  <c r="E4780" i="32"/>
  <c r="E4781" i="32"/>
  <c r="E4782" i="32"/>
  <c r="E4783" i="32"/>
  <c r="E4784" i="32"/>
  <c r="E4785" i="32"/>
  <c r="E4786" i="32"/>
  <c r="E4787" i="32"/>
  <c r="E4788" i="32"/>
  <c r="E4789" i="32"/>
  <c r="E4790" i="32"/>
  <c r="E4791" i="32"/>
  <c r="E4792" i="32"/>
  <c r="E4793" i="32"/>
  <c r="E4794" i="32"/>
  <c r="E4795" i="32"/>
  <c r="E4796" i="32"/>
  <c r="E4797" i="32"/>
  <c r="E4798" i="32"/>
  <c r="E4799" i="32"/>
  <c r="E4800" i="32"/>
  <c r="E4801" i="32"/>
  <c r="E4802" i="32"/>
  <c r="E4803" i="32"/>
  <c r="E4804" i="32"/>
  <c r="E4805" i="32"/>
  <c r="E4806" i="32"/>
  <c r="E4807" i="32"/>
  <c r="E4808" i="32"/>
  <c r="E4809" i="32"/>
  <c r="E4810" i="32"/>
  <c r="E4811" i="32"/>
  <c r="E4812" i="32"/>
  <c r="E4813" i="32"/>
  <c r="E4814" i="32"/>
  <c r="E4815" i="32"/>
  <c r="E4816" i="32"/>
  <c r="E4817" i="32"/>
  <c r="E4818" i="32"/>
  <c r="E4819" i="32"/>
  <c r="E4820" i="32"/>
  <c r="E4821" i="32"/>
  <c r="E4822" i="32"/>
  <c r="E4823" i="32"/>
  <c r="E4824" i="32"/>
  <c r="E4825" i="32"/>
  <c r="E4826" i="32"/>
  <c r="E4827" i="32"/>
  <c r="E4828" i="32"/>
  <c r="E4829" i="32"/>
  <c r="E4830" i="32"/>
  <c r="E4831" i="32"/>
  <c r="E4832" i="32"/>
  <c r="E4833" i="32"/>
  <c r="E4834" i="32"/>
  <c r="E4835" i="32"/>
  <c r="E4836" i="32"/>
  <c r="E4837" i="32"/>
  <c r="E4838" i="32"/>
  <c r="E4839" i="32"/>
  <c r="E4840" i="32"/>
  <c r="E4841" i="32"/>
  <c r="E4842" i="32"/>
  <c r="E4843" i="32"/>
  <c r="E4844" i="32"/>
  <c r="E4845" i="32"/>
  <c r="E4846" i="32"/>
  <c r="E4847" i="32"/>
  <c r="E4848" i="32"/>
  <c r="E4849" i="32"/>
  <c r="E4850" i="32"/>
  <c r="E4851" i="32"/>
  <c r="E4852" i="32"/>
  <c r="E4853" i="32"/>
  <c r="E4854" i="32"/>
  <c r="E4855" i="32"/>
  <c r="E4856" i="32"/>
  <c r="E4857" i="32"/>
  <c r="E4858" i="32"/>
  <c r="E4859" i="32"/>
  <c r="E4860" i="32"/>
  <c r="E4861" i="32"/>
  <c r="E4862" i="32"/>
  <c r="E4863" i="32"/>
  <c r="E4864" i="32"/>
  <c r="E4865" i="32"/>
  <c r="E4866" i="32"/>
  <c r="E4867" i="32"/>
  <c r="E4868" i="32"/>
  <c r="E4869" i="32"/>
  <c r="E4870" i="32"/>
  <c r="E4871" i="32"/>
  <c r="E4872" i="32"/>
  <c r="E4873" i="32"/>
  <c r="E4874" i="32"/>
  <c r="E4875" i="32"/>
  <c r="E4876" i="32"/>
  <c r="E4877" i="32"/>
  <c r="E4878" i="32"/>
  <c r="E4879" i="32"/>
  <c r="E4880" i="32"/>
  <c r="E4881" i="32"/>
  <c r="E4882" i="32"/>
  <c r="E4883" i="32"/>
  <c r="E4884" i="32"/>
  <c r="E4885" i="32"/>
  <c r="E4886" i="32"/>
  <c r="E4887" i="32"/>
  <c r="E4888" i="32"/>
  <c r="E4889" i="32"/>
  <c r="E4890" i="32"/>
  <c r="E4891" i="32"/>
  <c r="E4892" i="32"/>
  <c r="E4893" i="32"/>
  <c r="E4894" i="32"/>
  <c r="E4895" i="32"/>
  <c r="E4896" i="32"/>
  <c r="E4897" i="32"/>
  <c r="E4898" i="32"/>
  <c r="E4899" i="32"/>
  <c r="E4900" i="32"/>
  <c r="E4901" i="32"/>
  <c r="E4902" i="32"/>
  <c r="E4903" i="32"/>
  <c r="E4904" i="32"/>
  <c r="E4905" i="32"/>
  <c r="E4906" i="32"/>
  <c r="E4907" i="32"/>
  <c r="E4908" i="32"/>
  <c r="E4909" i="32"/>
  <c r="E4910" i="32"/>
  <c r="E4911" i="32"/>
  <c r="E4912" i="32"/>
  <c r="E4913" i="32"/>
  <c r="E4914" i="32"/>
  <c r="E4915" i="32"/>
  <c r="E4916" i="32"/>
  <c r="E4917" i="32"/>
  <c r="E4918" i="32"/>
  <c r="E4919" i="32"/>
  <c r="E4920" i="32"/>
  <c r="E4921" i="32"/>
  <c r="E4922" i="32"/>
  <c r="E4923" i="32"/>
  <c r="E4924" i="32"/>
  <c r="E4925" i="32"/>
  <c r="E4926" i="32"/>
  <c r="E4927" i="32"/>
  <c r="E4928" i="32"/>
  <c r="E4929" i="32"/>
  <c r="E4930" i="32"/>
  <c r="E4931" i="32"/>
  <c r="E4932" i="32"/>
  <c r="E4933" i="32"/>
  <c r="E4934" i="32"/>
  <c r="E4935" i="32"/>
  <c r="E4936" i="32"/>
  <c r="E4937" i="32"/>
  <c r="E4938" i="32"/>
  <c r="E4939" i="32"/>
  <c r="E4940" i="32"/>
  <c r="E4941" i="32"/>
  <c r="E4942" i="32"/>
  <c r="E4943" i="32"/>
  <c r="E4944" i="32"/>
  <c r="E4945" i="32"/>
  <c r="E4946" i="32"/>
  <c r="E4947" i="32"/>
  <c r="E4948" i="32"/>
  <c r="E4949" i="32"/>
  <c r="E4950" i="32"/>
  <c r="E4951" i="32"/>
  <c r="E4952" i="32"/>
  <c r="E4953" i="32"/>
  <c r="E4954" i="32"/>
  <c r="E4955" i="32"/>
  <c r="E4956" i="32"/>
  <c r="E4957" i="32"/>
  <c r="E4958" i="32"/>
  <c r="E4959" i="32"/>
  <c r="E4960" i="32"/>
  <c r="E4961" i="32"/>
  <c r="E4962" i="32"/>
  <c r="E4963" i="32"/>
  <c r="E4964" i="32"/>
  <c r="E4965" i="32"/>
  <c r="E4966" i="32"/>
  <c r="E4967" i="32"/>
  <c r="E4968" i="32"/>
  <c r="E4969" i="32"/>
  <c r="E4970" i="32"/>
  <c r="E4971" i="32"/>
  <c r="E4972" i="32"/>
  <c r="E4973" i="32"/>
  <c r="E4974" i="32"/>
  <c r="E4975" i="32"/>
  <c r="E4976" i="32"/>
  <c r="E4977" i="32"/>
  <c r="E4978" i="32"/>
  <c r="E4979" i="32"/>
  <c r="E4980" i="32"/>
  <c r="E4981" i="32"/>
  <c r="E4982" i="32"/>
  <c r="E4983" i="32"/>
  <c r="E4984" i="32"/>
  <c r="E4985" i="32"/>
  <c r="E4986" i="32"/>
  <c r="E4987" i="32"/>
  <c r="E4988" i="32"/>
  <c r="E4989" i="32"/>
  <c r="E4990" i="32"/>
  <c r="E4991" i="32"/>
  <c r="E4992" i="32"/>
  <c r="E4993" i="32"/>
  <c r="E4994" i="32"/>
  <c r="E4995" i="32"/>
  <c r="E4996" i="32"/>
  <c r="E4997" i="32"/>
  <c r="E4998" i="32"/>
  <c r="E4999" i="32"/>
  <c r="E5000" i="32"/>
  <c r="E5001" i="32"/>
  <c r="E5002" i="32"/>
  <c r="E5003" i="32"/>
  <c r="E5004" i="32"/>
  <c r="E5005" i="32"/>
  <c r="E5006" i="32"/>
  <c r="E5007" i="32"/>
  <c r="E5008" i="32"/>
  <c r="E5009" i="32"/>
  <c r="E5010" i="32"/>
  <c r="E5011" i="32"/>
  <c r="E5012" i="32"/>
  <c r="E5013" i="32"/>
  <c r="E5014" i="32"/>
  <c r="E5015" i="32"/>
  <c r="E5016" i="32"/>
  <c r="E5017" i="32"/>
  <c r="E5018" i="32"/>
  <c r="E5019" i="32"/>
  <c r="E5020" i="32"/>
  <c r="E5021" i="32"/>
  <c r="E5022" i="32"/>
  <c r="E5023" i="32"/>
  <c r="E5024" i="32"/>
  <c r="E5025" i="32"/>
  <c r="E5026" i="32"/>
  <c r="E5027" i="32"/>
  <c r="E5028" i="32"/>
  <c r="E5029" i="32"/>
  <c r="E5030" i="32"/>
  <c r="E5031" i="32"/>
  <c r="E5032" i="32"/>
  <c r="E5033" i="32"/>
  <c r="E5034" i="32"/>
  <c r="E5035" i="32"/>
  <c r="E5036" i="32"/>
  <c r="E5037" i="32"/>
  <c r="E5038" i="32"/>
  <c r="E5039" i="32"/>
  <c r="E5040" i="32"/>
  <c r="E5041" i="32"/>
  <c r="E5042" i="32"/>
  <c r="E5043" i="32"/>
  <c r="E5044" i="32"/>
  <c r="E5045" i="32"/>
  <c r="E5046" i="32"/>
  <c r="E5047" i="32"/>
  <c r="E5048" i="32"/>
  <c r="E5049" i="32"/>
  <c r="E5050" i="32"/>
  <c r="E5051" i="32"/>
  <c r="E5052" i="32"/>
  <c r="E5053" i="32"/>
  <c r="E5054" i="32"/>
  <c r="E5055" i="32"/>
  <c r="E5056" i="32"/>
  <c r="E5057" i="32"/>
  <c r="E5058" i="32"/>
  <c r="E5059" i="32"/>
  <c r="E5060" i="32"/>
  <c r="E5061" i="32"/>
  <c r="E5062" i="32"/>
  <c r="E5063" i="32"/>
  <c r="E5064" i="32"/>
  <c r="E5065" i="32"/>
  <c r="E5066" i="32"/>
  <c r="E5067" i="32"/>
  <c r="E5068" i="32"/>
  <c r="E5069" i="32"/>
  <c r="E5070" i="32"/>
  <c r="E5071" i="32"/>
  <c r="E5072" i="32"/>
  <c r="E5073" i="32"/>
  <c r="E5074" i="32"/>
  <c r="E5075" i="32"/>
  <c r="E5076" i="32"/>
  <c r="E5077" i="32"/>
  <c r="E5078" i="32"/>
  <c r="E5079" i="32"/>
  <c r="E5080" i="32"/>
  <c r="E5081" i="32"/>
  <c r="E5082" i="32"/>
  <c r="E5083" i="32"/>
  <c r="E5084" i="32"/>
  <c r="E5085" i="32"/>
  <c r="E5086" i="32"/>
  <c r="E5087" i="32"/>
  <c r="E5088" i="32"/>
  <c r="E5089" i="32"/>
  <c r="E5090" i="32"/>
  <c r="E5091" i="32"/>
  <c r="E5092" i="32"/>
  <c r="E5093" i="32"/>
  <c r="E5094" i="32"/>
  <c r="E5095" i="32"/>
  <c r="E5096" i="32"/>
  <c r="E5097" i="32"/>
  <c r="E5098" i="32"/>
  <c r="E5099" i="32"/>
  <c r="E5100" i="32"/>
  <c r="E5101" i="32"/>
  <c r="E5102" i="32"/>
  <c r="E5103" i="32"/>
  <c r="E5104" i="32"/>
  <c r="E5105" i="32"/>
  <c r="E5106" i="32"/>
  <c r="E5107" i="32"/>
  <c r="E5108" i="32"/>
  <c r="E5109" i="32"/>
  <c r="E5110" i="32"/>
  <c r="E5111" i="32"/>
  <c r="E5112" i="32"/>
  <c r="E5113" i="32"/>
  <c r="E5114" i="32"/>
  <c r="E5115" i="32"/>
  <c r="E5116" i="32"/>
  <c r="E5117" i="32"/>
  <c r="E5118" i="32"/>
  <c r="E5119" i="32"/>
  <c r="E5120" i="32"/>
  <c r="E5121" i="32"/>
  <c r="E5122" i="32"/>
  <c r="E5123" i="32"/>
  <c r="E5124" i="32"/>
  <c r="E5125" i="32"/>
  <c r="E5126" i="32"/>
  <c r="E5127" i="32"/>
  <c r="E5128" i="32"/>
  <c r="E5129" i="32"/>
  <c r="E5130" i="32"/>
  <c r="E5131" i="32"/>
  <c r="E5132" i="32"/>
  <c r="E5133" i="32"/>
  <c r="E5134" i="32"/>
  <c r="E5135" i="32"/>
  <c r="E5136" i="32"/>
  <c r="E5137" i="32"/>
  <c r="E5138" i="32"/>
  <c r="E5139" i="32"/>
  <c r="E5140" i="32"/>
  <c r="E5141" i="32"/>
  <c r="E5142" i="32"/>
  <c r="E5143" i="32"/>
  <c r="E5144" i="32"/>
  <c r="E5145" i="32"/>
  <c r="E5146" i="32"/>
  <c r="E5147" i="32"/>
  <c r="E5148" i="32"/>
  <c r="E5149" i="32"/>
  <c r="E5150" i="32"/>
  <c r="E5151" i="32"/>
  <c r="E5152" i="32"/>
  <c r="E5153" i="32"/>
  <c r="E5154" i="32"/>
  <c r="E5155" i="32"/>
  <c r="E5156" i="32"/>
  <c r="E5157" i="32"/>
  <c r="E5158" i="32"/>
  <c r="E5159" i="32"/>
  <c r="E5160" i="32"/>
  <c r="E5161" i="32"/>
  <c r="E5162" i="32"/>
  <c r="E5163" i="32"/>
  <c r="E5164" i="32"/>
  <c r="E5165" i="32"/>
  <c r="E5166" i="32"/>
  <c r="E5167" i="32"/>
  <c r="E5168" i="32"/>
  <c r="E5169" i="32"/>
  <c r="E5170" i="32"/>
  <c r="E5171" i="32"/>
  <c r="E5172" i="32"/>
  <c r="E5173" i="32"/>
  <c r="E5174" i="32"/>
  <c r="E5175" i="32"/>
  <c r="E5176" i="32"/>
  <c r="E5177" i="32"/>
  <c r="E5178" i="32"/>
  <c r="E5179" i="32"/>
  <c r="E5180" i="32"/>
  <c r="E5181" i="32"/>
  <c r="E5182" i="32"/>
  <c r="E5183" i="32"/>
  <c r="E5184" i="32"/>
  <c r="E5185" i="32"/>
  <c r="E5186" i="32"/>
  <c r="E5187" i="32"/>
  <c r="E5188" i="32"/>
  <c r="E5189" i="32"/>
  <c r="E5190" i="32"/>
  <c r="E5191" i="32"/>
  <c r="E5192" i="32"/>
  <c r="E5193" i="32"/>
  <c r="E5194" i="32"/>
  <c r="E5195" i="32"/>
  <c r="E5196" i="32"/>
  <c r="E5197" i="32"/>
  <c r="E5198" i="32"/>
  <c r="E5199" i="32"/>
  <c r="E5200" i="32"/>
  <c r="E5201" i="32"/>
  <c r="E5202" i="32"/>
  <c r="E5203" i="32"/>
  <c r="E5204" i="32"/>
  <c r="E5205" i="32"/>
  <c r="E5206" i="32"/>
  <c r="E5207" i="32"/>
  <c r="E5208" i="32"/>
  <c r="E5209" i="32"/>
  <c r="E5210" i="32"/>
  <c r="E5211" i="32"/>
  <c r="E5212" i="32"/>
  <c r="E5213" i="32"/>
  <c r="E5214" i="32"/>
  <c r="E5215" i="32"/>
  <c r="E5216" i="32"/>
  <c r="E5217" i="32"/>
  <c r="E5218" i="32"/>
  <c r="E5219" i="32"/>
  <c r="E5220" i="32"/>
  <c r="E5221" i="32"/>
  <c r="E5222" i="32"/>
  <c r="E5223" i="32"/>
  <c r="E5224" i="32"/>
  <c r="E5225" i="32"/>
  <c r="E5226" i="32"/>
  <c r="E5227" i="32"/>
  <c r="E5228" i="32"/>
  <c r="E5229" i="32"/>
  <c r="E5230" i="32"/>
  <c r="E5231" i="32"/>
  <c r="E5232" i="32"/>
  <c r="E5233" i="32"/>
  <c r="E5234" i="32"/>
  <c r="E5235" i="32"/>
  <c r="E5236" i="32"/>
  <c r="E5237" i="32"/>
  <c r="E5238" i="32"/>
  <c r="E5239" i="32"/>
  <c r="E5240" i="32"/>
  <c r="E5241" i="32"/>
  <c r="E5242" i="32"/>
  <c r="E5243" i="32"/>
  <c r="E5244" i="32"/>
  <c r="E5245" i="32"/>
  <c r="E5246" i="32"/>
  <c r="E5247" i="32"/>
  <c r="E5248" i="32"/>
  <c r="E5249" i="32"/>
  <c r="E5250" i="32"/>
  <c r="E5251" i="32"/>
  <c r="E5252" i="32"/>
  <c r="E5253" i="32"/>
  <c r="E5254" i="32"/>
  <c r="E5255" i="32"/>
  <c r="E5256" i="32"/>
  <c r="E5257" i="32"/>
  <c r="E5258" i="32"/>
  <c r="E5259" i="32"/>
  <c r="E5260" i="32"/>
  <c r="E5261" i="32"/>
  <c r="E5262" i="32"/>
  <c r="E5263" i="32"/>
  <c r="E5264" i="32"/>
  <c r="E5265" i="32"/>
  <c r="E5266" i="32"/>
  <c r="E5267" i="32"/>
  <c r="E5268" i="32"/>
  <c r="E5269" i="32"/>
  <c r="E5270" i="32"/>
  <c r="E5271" i="32"/>
  <c r="E5272" i="32"/>
  <c r="E5273" i="32"/>
  <c r="E5274" i="32"/>
  <c r="E5275" i="32"/>
  <c r="E5276" i="32"/>
  <c r="E5277" i="32"/>
  <c r="E5278" i="32"/>
  <c r="E5279" i="32"/>
  <c r="E5280" i="32"/>
  <c r="E5281" i="32"/>
  <c r="E5282" i="32"/>
  <c r="E5283" i="32"/>
  <c r="E5284" i="32"/>
  <c r="E5285" i="32"/>
  <c r="E5286" i="32"/>
  <c r="E5287" i="32"/>
  <c r="E5288" i="32"/>
  <c r="E5289" i="32"/>
  <c r="E5290" i="32"/>
  <c r="E5291" i="32"/>
  <c r="E5292" i="32"/>
  <c r="E5293" i="32"/>
  <c r="E5294" i="32"/>
  <c r="E5295" i="32"/>
  <c r="E5296" i="32"/>
  <c r="E5297" i="32"/>
  <c r="E5298" i="32"/>
  <c r="E5299" i="32"/>
  <c r="E5300" i="32"/>
  <c r="E5301" i="32"/>
  <c r="E5302" i="32"/>
  <c r="E5303" i="32"/>
  <c r="E5304" i="32"/>
  <c r="E5305" i="32"/>
  <c r="E5306" i="32"/>
  <c r="E5307" i="32"/>
  <c r="E5308" i="32"/>
  <c r="E5309" i="32"/>
  <c r="E5310" i="32"/>
  <c r="E5311" i="32"/>
  <c r="E5312" i="32"/>
  <c r="E5313" i="32"/>
  <c r="E5314" i="32"/>
  <c r="E5315" i="32"/>
  <c r="E5316" i="32"/>
  <c r="E5317" i="32"/>
  <c r="E5318" i="32"/>
  <c r="E5319" i="32"/>
  <c r="E5320" i="32"/>
  <c r="E5321" i="32"/>
  <c r="E5322" i="32"/>
  <c r="E5323" i="32"/>
  <c r="E5324" i="32"/>
  <c r="E5325" i="32"/>
  <c r="E5326" i="32"/>
  <c r="E5327" i="32"/>
  <c r="E5328" i="32"/>
  <c r="E5329" i="32"/>
  <c r="E5330" i="32"/>
  <c r="E5331" i="32"/>
  <c r="E5332" i="32"/>
  <c r="E5333" i="32"/>
  <c r="E5334" i="32"/>
  <c r="E5335" i="32"/>
  <c r="E5336" i="32"/>
  <c r="E5337" i="32"/>
  <c r="E5338" i="32"/>
  <c r="E5339" i="32"/>
  <c r="E5340" i="32"/>
  <c r="E5341" i="32"/>
  <c r="E5342" i="32"/>
  <c r="E5343" i="32"/>
  <c r="E5344" i="32"/>
  <c r="E5345" i="32"/>
  <c r="E5346" i="32"/>
  <c r="E5347" i="32"/>
  <c r="E5348" i="32"/>
  <c r="E5349" i="32"/>
  <c r="E5350" i="32"/>
  <c r="E5351" i="32"/>
  <c r="E5352" i="32"/>
  <c r="E5353" i="32"/>
  <c r="E5354" i="32"/>
  <c r="E5355" i="32"/>
  <c r="E5356" i="32"/>
  <c r="E5357" i="32"/>
  <c r="E5358" i="32"/>
  <c r="E5359" i="32"/>
  <c r="E5360" i="32"/>
  <c r="E5361" i="32"/>
  <c r="E5362" i="32"/>
  <c r="E5363" i="32"/>
  <c r="E5364" i="32"/>
  <c r="E5365" i="32"/>
  <c r="E5366" i="32"/>
  <c r="E5367" i="32"/>
  <c r="E5368" i="32"/>
  <c r="E5369" i="32"/>
  <c r="E5370" i="32"/>
  <c r="E5371" i="32"/>
  <c r="E5372" i="32"/>
  <c r="E5373" i="32"/>
  <c r="E5374" i="32"/>
  <c r="E5375" i="32"/>
  <c r="E5376" i="32"/>
  <c r="E5377" i="32"/>
  <c r="E5378" i="32"/>
  <c r="E5379" i="32"/>
  <c r="E5380" i="32"/>
  <c r="E5381" i="32"/>
  <c r="E5382" i="32"/>
  <c r="E5383" i="32"/>
  <c r="E5384" i="32"/>
  <c r="E5385" i="32"/>
  <c r="E5386" i="32"/>
  <c r="E5387" i="32"/>
  <c r="E5388" i="32"/>
  <c r="E5389" i="32"/>
  <c r="E5390" i="32"/>
  <c r="E5391" i="32"/>
  <c r="E5392" i="32"/>
  <c r="E5393" i="32"/>
  <c r="E5394" i="32"/>
  <c r="E5395" i="32"/>
  <c r="E5396" i="32"/>
  <c r="E5397" i="32"/>
  <c r="E5398" i="32"/>
  <c r="E5399" i="32"/>
  <c r="E5400" i="32"/>
  <c r="E5401" i="32"/>
  <c r="E5402" i="32"/>
  <c r="E5403" i="32"/>
  <c r="E5404" i="32"/>
  <c r="E5405" i="32"/>
  <c r="E5406" i="32"/>
  <c r="E5407" i="32"/>
  <c r="E5408" i="32"/>
  <c r="E5409" i="32"/>
  <c r="E5410" i="32"/>
  <c r="E5411" i="32"/>
  <c r="E5412" i="32"/>
  <c r="E5413" i="32"/>
  <c r="E5414" i="32"/>
  <c r="E5415" i="32"/>
  <c r="E5416" i="32"/>
  <c r="E5417" i="32"/>
  <c r="E5418" i="32"/>
  <c r="E5419" i="32"/>
  <c r="E5420" i="32"/>
  <c r="E5421" i="32"/>
  <c r="E5422" i="32"/>
  <c r="E5423" i="32"/>
  <c r="E5424" i="32"/>
  <c r="E5425" i="32"/>
  <c r="E5426" i="32"/>
  <c r="E5427" i="32"/>
  <c r="E5428" i="32"/>
  <c r="E5429" i="32"/>
  <c r="E5430" i="32"/>
  <c r="E5431" i="32"/>
  <c r="E5432" i="32"/>
  <c r="E5433" i="32"/>
  <c r="E5434" i="32"/>
  <c r="E5435" i="32"/>
  <c r="E5436" i="32"/>
  <c r="E5437" i="32"/>
  <c r="E5438" i="32"/>
  <c r="E5439" i="32"/>
  <c r="E5440" i="32"/>
  <c r="E5441" i="32"/>
  <c r="E5442" i="32"/>
  <c r="E5443" i="32"/>
  <c r="E5444" i="32"/>
  <c r="E5445" i="32"/>
  <c r="E5446" i="32"/>
  <c r="E5447" i="32"/>
  <c r="E5448" i="32"/>
  <c r="E5449" i="32"/>
  <c r="E5450" i="32"/>
  <c r="E5451" i="32"/>
  <c r="E5452" i="32"/>
  <c r="E5453" i="32"/>
  <c r="E5454" i="32"/>
  <c r="E5455" i="32"/>
  <c r="E5456" i="32"/>
  <c r="E5457" i="32"/>
  <c r="E5458" i="32"/>
  <c r="E5459" i="32"/>
  <c r="E5460" i="32"/>
  <c r="E5461" i="32"/>
  <c r="E5462" i="32"/>
  <c r="E5463" i="32"/>
  <c r="E5464" i="32"/>
  <c r="E5465" i="32"/>
  <c r="E5466" i="32"/>
  <c r="E5467" i="32"/>
  <c r="E5468" i="32"/>
  <c r="E5469" i="32"/>
  <c r="E5470" i="32"/>
  <c r="E5471" i="32"/>
  <c r="E5472" i="32"/>
  <c r="E5473" i="32"/>
  <c r="E5474" i="32"/>
  <c r="E5475" i="32"/>
  <c r="E5476" i="32"/>
  <c r="E5477" i="32"/>
  <c r="E5478" i="32"/>
  <c r="E5479" i="32"/>
  <c r="E5480" i="32"/>
  <c r="E5481" i="32"/>
  <c r="E5482" i="32"/>
  <c r="E5483" i="32"/>
  <c r="E5484" i="32"/>
  <c r="E5485" i="32"/>
  <c r="E5486" i="32"/>
  <c r="E5487" i="32"/>
  <c r="E5488" i="32"/>
  <c r="E5489" i="32"/>
  <c r="E5490" i="32"/>
  <c r="E5491" i="32"/>
  <c r="E5492" i="32"/>
  <c r="E5493" i="32"/>
  <c r="E5494" i="32"/>
  <c r="E5495" i="32"/>
  <c r="E5496" i="32"/>
  <c r="E5497" i="32"/>
  <c r="E5498" i="32"/>
  <c r="E5499" i="32"/>
  <c r="E5500" i="32"/>
  <c r="E5501" i="32"/>
  <c r="E5502" i="32"/>
  <c r="E5503" i="32"/>
  <c r="E5504" i="32"/>
  <c r="E5505" i="32"/>
  <c r="E5506" i="32"/>
  <c r="E5507" i="32"/>
  <c r="E5508" i="32"/>
  <c r="E5509" i="32"/>
  <c r="E5510" i="32"/>
  <c r="E5511" i="32"/>
  <c r="E5512" i="32"/>
  <c r="E5513" i="32"/>
  <c r="E5514" i="32"/>
  <c r="E5515" i="32"/>
  <c r="E5516" i="32"/>
  <c r="E5517" i="32"/>
  <c r="E5518" i="32"/>
  <c r="E5519" i="32"/>
  <c r="E5520" i="32"/>
  <c r="E5521" i="32"/>
  <c r="E5522" i="32"/>
  <c r="E5523" i="32"/>
  <c r="E5524" i="32"/>
  <c r="E5525" i="32"/>
  <c r="E5526" i="32"/>
  <c r="E5527" i="32"/>
  <c r="E5528" i="32"/>
  <c r="E5529" i="32"/>
  <c r="E5530" i="32"/>
  <c r="E5531" i="32"/>
  <c r="E5532" i="32"/>
  <c r="E5533" i="32"/>
  <c r="E5534" i="32"/>
  <c r="E5535" i="32"/>
  <c r="E5536" i="32"/>
  <c r="E5537" i="32"/>
  <c r="E5538" i="32"/>
  <c r="E5539" i="32"/>
  <c r="E5540" i="32"/>
  <c r="E5541" i="32"/>
  <c r="E5542" i="32"/>
  <c r="E5543" i="32"/>
  <c r="E5544" i="32"/>
  <c r="E5545" i="32"/>
  <c r="E5546" i="32"/>
  <c r="E5547" i="32"/>
  <c r="E5548" i="32"/>
  <c r="E5549" i="32"/>
  <c r="E5550" i="32"/>
  <c r="E5551" i="32"/>
  <c r="E5552" i="32"/>
  <c r="E5553" i="32"/>
  <c r="E5554" i="32"/>
  <c r="E5555" i="32"/>
  <c r="E5556" i="32"/>
  <c r="E5557" i="32"/>
  <c r="E5558" i="32"/>
  <c r="E5559" i="32"/>
  <c r="E5560" i="32"/>
  <c r="E5561" i="32"/>
  <c r="E5562" i="32"/>
  <c r="E5563" i="32"/>
  <c r="E5564" i="32"/>
  <c r="E5565" i="32"/>
  <c r="E5566" i="32"/>
  <c r="E5567" i="32"/>
  <c r="E5568" i="32"/>
  <c r="E5569" i="32"/>
  <c r="E5570" i="32"/>
  <c r="E5571" i="32"/>
  <c r="E5572" i="32"/>
  <c r="E5573" i="32"/>
  <c r="E5574" i="32"/>
  <c r="E5575" i="32"/>
  <c r="E5576" i="32"/>
  <c r="E5577" i="32"/>
  <c r="E5578" i="32"/>
  <c r="E5579" i="32"/>
  <c r="E5580" i="32"/>
  <c r="E5581" i="32"/>
  <c r="E5582" i="32"/>
  <c r="E5583" i="32"/>
  <c r="E5584" i="32"/>
  <c r="E5585" i="32"/>
  <c r="E5586" i="32"/>
  <c r="E5587" i="32"/>
  <c r="E5588" i="32"/>
  <c r="E5589" i="32"/>
  <c r="E5590" i="32"/>
  <c r="E5591" i="32"/>
  <c r="E5592" i="32"/>
  <c r="E5593" i="32"/>
  <c r="E5594" i="32"/>
  <c r="E5595" i="32"/>
  <c r="E5596" i="32"/>
  <c r="E5597" i="32"/>
  <c r="E5598" i="32"/>
  <c r="E5599" i="32"/>
  <c r="E5600" i="32"/>
  <c r="E5601" i="32"/>
  <c r="E5602" i="32"/>
  <c r="E5603" i="32"/>
  <c r="E5604" i="32"/>
  <c r="E5605" i="32"/>
  <c r="E5606" i="32"/>
  <c r="E5607" i="32"/>
  <c r="E5608" i="32"/>
  <c r="E5609" i="32"/>
  <c r="E5610" i="32"/>
  <c r="E5611" i="32"/>
  <c r="E5612" i="32"/>
  <c r="E5613" i="32"/>
  <c r="E5614" i="32"/>
  <c r="E5615" i="32"/>
  <c r="E5616" i="32"/>
  <c r="E5617" i="32"/>
  <c r="E5618" i="32"/>
  <c r="E5619" i="32"/>
  <c r="E5620" i="32"/>
  <c r="E5621" i="32"/>
  <c r="E5622" i="32"/>
  <c r="E5623" i="32"/>
  <c r="E5624" i="32"/>
  <c r="E5625" i="32"/>
  <c r="E5626" i="32"/>
  <c r="E5627" i="32"/>
  <c r="E5628" i="32"/>
  <c r="E5629" i="32"/>
  <c r="E5630" i="32"/>
  <c r="E5631" i="32"/>
  <c r="E5632" i="32"/>
  <c r="E5633" i="32"/>
  <c r="E5634" i="32"/>
  <c r="E5635" i="32"/>
  <c r="E5636" i="32"/>
  <c r="E5637" i="32"/>
  <c r="E5638" i="32"/>
  <c r="E5639" i="32"/>
  <c r="E5640" i="32"/>
  <c r="E5641" i="32"/>
  <c r="E5642" i="32"/>
  <c r="E5643" i="32"/>
  <c r="E5644" i="32"/>
  <c r="E5645" i="32"/>
  <c r="E5646" i="32"/>
  <c r="E5647" i="32"/>
  <c r="E5648" i="32"/>
  <c r="E5649" i="32"/>
  <c r="E5650" i="32"/>
  <c r="E5651" i="32"/>
  <c r="E5652" i="32"/>
  <c r="E5653" i="32"/>
  <c r="E5654" i="32"/>
  <c r="E5655" i="32"/>
  <c r="E5656" i="32"/>
  <c r="E5657" i="32"/>
  <c r="E5658" i="32"/>
  <c r="E5659" i="32"/>
  <c r="E5660" i="32"/>
  <c r="E5661" i="32"/>
  <c r="E5662" i="32"/>
  <c r="E5663" i="32"/>
  <c r="E5664" i="32"/>
  <c r="E5665" i="32"/>
  <c r="E5666" i="32"/>
  <c r="E5667" i="32"/>
  <c r="E5668" i="32"/>
  <c r="E5669" i="32"/>
  <c r="E5670" i="32"/>
  <c r="E5671" i="32"/>
  <c r="E5672" i="32"/>
  <c r="E5673" i="32"/>
  <c r="E5674" i="32"/>
  <c r="E5675" i="32"/>
  <c r="E5676" i="32"/>
  <c r="E5677" i="32"/>
  <c r="E5678" i="32"/>
  <c r="E5679" i="32"/>
  <c r="E5680" i="32"/>
  <c r="E5681" i="32"/>
  <c r="E5682" i="32"/>
  <c r="E5683" i="32"/>
  <c r="E5684" i="32"/>
  <c r="E5685" i="32"/>
  <c r="E5686" i="32"/>
  <c r="E5687" i="32"/>
  <c r="E5688" i="32"/>
  <c r="E5689" i="32"/>
  <c r="E5690" i="32"/>
  <c r="E5691" i="32"/>
  <c r="E5692" i="32"/>
  <c r="E5693" i="32"/>
  <c r="E5694" i="32"/>
  <c r="E5695" i="32"/>
  <c r="E5696" i="32"/>
  <c r="E5697" i="32"/>
  <c r="E5698" i="32"/>
  <c r="E5699" i="32"/>
  <c r="E5700" i="32"/>
  <c r="E5701" i="32"/>
  <c r="E5702" i="32"/>
  <c r="E5703" i="32"/>
  <c r="E5704" i="32"/>
  <c r="E5705" i="32"/>
  <c r="E5706" i="32"/>
  <c r="E5707" i="32"/>
  <c r="E5708" i="32"/>
  <c r="E5709" i="32"/>
  <c r="E5710" i="32"/>
  <c r="E5711" i="32"/>
  <c r="E5712" i="32"/>
  <c r="E5713" i="32"/>
  <c r="E5714" i="32"/>
  <c r="E5715" i="32"/>
  <c r="E5716" i="32"/>
  <c r="E5717" i="32"/>
  <c r="E5718" i="32"/>
  <c r="E5719" i="32"/>
  <c r="E5720" i="32"/>
  <c r="E5721" i="32"/>
  <c r="E5722" i="32"/>
  <c r="E5723" i="32"/>
  <c r="E5724" i="32"/>
  <c r="E5725" i="32"/>
  <c r="E5726" i="32"/>
  <c r="E5727" i="32"/>
  <c r="E5728" i="32"/>
  <c r="E5729" i="32"/>
  <c r="E5730" i="32"/>
  <c r="E5731" i="32"/>
  <c r="E5732" i="32"/>
  <c r="E5733" i="32"/>
  <c r="E5734" i="32"/>
  <c r="E5735" i="32"/>
  <c r="E5736" i="32"/>
  <c r="E5737" i="32"/>
  <c r="E5738" i="32"/>
  <c r="E5739" i="32"/>
  <c r="E5740" i="32"/>
  <c r="E5741" i="32"/>
  <c r="E5742" i="32"/>
  <c r="E5743" i="32"/>
  <c r="E5744" i="32"/>
  <c r="E5745" i="32"/>
  <c r="E5746" i="32"/>
  <c r="E5747" i="32"/>
  <c r="E5748" i="32"/>
  <c r="E5749" i="32"/>
  <c r="E5750" i="32"/>
  <c r="E5751" i="32"/>
  <c r="E5752" i="32"/>
  <c r="E5753" i="32"/>
  <c r="E5754" i="32"/>
  <c r="E5755" i="32"/>
  <c r="E5756" i="32"/>
  <c r="E5757" i="32"/>
  <c r="E5758" i="32"/>
  <c r="E5759" i="32"/>
  <c r="E5760" i="32"/>
  <c r="E5761" i="32"/>
  <c r="E5762" i="32"/>
  <c r="E5763" i="32"/>
  <c r="E5764" i="32"/>
  <c r="E5765" i="32"/>
  <c r="E5766" i="32"/>
  <c r="E5767" i="32"/>
  <c r="E5768" i="32"/>
  <c r="E5769" i="32"/>
  <c r="E5770" i="32"/>
  <c r="E5771" i="32"/>
  <c r="E5772" i="32"/>
  <c r="E5773" i="32"/>
  <c r="E5774" i="32"/>
  <c r="E5775" i="32"/>
  <c r="E5776" i="32"/>
  <c r="E5777" i="32"/>
  <c r="E5778" i="32"/>
  <c r="E5779" i="32"/>
  <c r="E5780" i="32"/>
  <c r="E5781" i="32"/>
  <c r="E5782" i="32"/>
  <c r="E5783" i="32"/>
  <c r="E5784" i="32"/>
  <c r="E5785" i="32"/>
  <c r="E5786" i="32"/>
  <c r="E5787" i="32"/>
  <c r="E5788" i="32"/>
  <c r="E5789" i="32"/>
  <c r="E5790" i="32"/>
  <c r="E5791" i="32"/>
  <c r="E5792" i="32"/>
  <c r="E5793" i="32"/>
  <c r="E5794" i="32"/>
  <c r="E5795" i="32"/>
  <c r="E5796" i="32"/>
  <c r="E5797" i="32"/>
  <c r="E5798" i="32"/>
  <c r="E5799" i="32"/>
  <c r="E5800" i="32"/>
  <c r="E5801" i="32"/>
  <c r="E5802" i="32"/>
  <c r="E5803" i="32"/>
  <c r="E5804" i="32"/>
  <c r="E5805" i="32"/>
  <c r="E5806" i="32"/>
  <c r="E5807" i="32"/>
  <c r="E5808" i="32"/>
  <c r="E5809" i="32"/>
  <c r="E5810" i="32"/>
  <c r="E5811" i="32"/>
  <c r="E5812" i="32"/>
  <c r="E5813" i="32"/>
  <c r="E5814" i="32"/>
  <c r="E5815" i="32"/>
  <c r="E5816" i="32"/>
  <c r="E5817" i="32"/>
  <c r="E5818" i="32"/>
  <c r="E5819" i="32"/>
  <c r="E5820" i="32"/>
  <c r="E5821" i="32"/>
  <c r="E5822" i="32"/>
  <c r="E5823" i="32"/>
  <c r="E5824" i="32"/>
  <c r="E5825" i="32"/>
  <c r="E5826" i="32"/>
  <c r="E5827" i="32"/>
  <c r="E5828" i="32"/>
  <c r="E5829" i="32"/>
  <c r="E5830" i="32"/>
  <c r="E5831" i="32"/>
  <c r="E5832" i="32"/>
  <c r="E5833" i="32"/>
  <c r="E5834" i="32"/>
  <c r="E5835" i="32"/>
  <c r="E5836" i="32"/>
  <c r="E5837" i="32"/>
  <c r="E5838" i="32"/>
  <c r="E5839" i="32"/>
  <c r="E5840" i="32"/>
  <c r="E5841" i="32"/>
  <c r="E5842" i="32"/>
  <c r="E5843" i="32"/>
  <c r="E5844" i="32"/>
  <c r="E5845" i="32"/>
  <c r="E5846" i="32"/>
  <c r="E5847" i="32"/>
  <c r="E5848" i="32"/>
  <c r="E5849" i="32"/>
  <c r="E5850" i="32"/>
  <c r="E5851" i="32"/>
  <c r="E5852" i="32"/>
  <c r="E5853" i="32"/>
  <c r="E5854" i="32"/>
  <c r="E5855" i="32"/>
  <c r="E5856" i="32"/>
  <c r="E5857" i="32"/>
  <c r="E5858" i="32"/>
  <c r="E5859" i="32"/>
  <c r="E5860" i="32"/>
  <c r="E5861" i="32"/>
  <c r="E5862" i="32"/>
  <c r="E5863" i="32"/>
  <c r="E5864" i="32"/>
  <c r="E5865" i="32"/>
  <c r="E5866" i="32"/>
  <c r="E5867" i="32"/>
  <c r="E5868" i="32"/>
  <c r="E5869" i="32"/>
  <c r="E5870" i="32"/>
  <c r="E5871" i="32"/>
  <c r="E5872" i="32"/>
  <c r="E5873" i="32"/>
  <c r="E5874" i="32"/>
  <c r="E5875" i="32"/>
  <c r="E5876" i="32"/>
  <c r="E5877" i="32"/>
  <c r="E5878" i="32"/>
  <c r="E5879" i="32"/>
  <c r="E5880" i="32"/>
  <c r="E5881" i="32"/>
  <c r="E5882" i="32"/>
  <c r="E5883" i="32"/>
  <c r="E5884" i="32"/>
  <c r="E5885" i="32"/>
  <c r="E5886" i="32"/>
  <c r="E5887" i="32"/>
  <c r="E5888" i="32"/>
  <c r="E5889" i="32"/>
  <c r="E5890" i="32"/>
  <c r="E5891" i="32"/>
  <c r="E5892" i="32"/>
  <c r="E5893" i="32"/>
  <c r="E5894" i="32"/>
  <c r="E5895" i="32"/>
  <c r="E5896" i="32"/>
  <c r="E5897" i="32"/>
  <c r="E5898" i="32"/>
  <c r="E5899" i="32"/>
  <c r="E5900" i="32"/>
  <c r="E5901" i="32"/>
  <c r="E5902" i="32"/>
  <c r="E5903" i="32"/>
  <c r="E5904" i="32"/>
  <c r="E5905" i="32"/>
  <c r="E5906" i="32"/>
  <c r="E5907" i="32"/>
  <c r="E5908" i="32"/>
  <c r="E5909" i="32"/>
  <c r="E5910" i="32"/>
  <c r="E5911" i="32"/>
  <c r="E5912" i="32"/>
  <c r="E5913" i="32"/>
  <c r="E5914" i="32"/>
  <c r="E5915" i="32"/>
  <c r="E5916" i="32"/>
  <c r="E5917" i="32"/>
  <c r="E5918" i="32"/>
  <c r="E5919" i="32"/>
  <c r="E5920" i="32"/>
  <c r="E5921" i="32"/>
  <c r="E5922" i="32"/>
  <c r="E5923" i="32"/>
  <c r="E5924" i="32"/>
  <c r="E5925" i="32"/>
  <c r="E5926" i="32"/>
  <c r="E5927" i="32"/>
  <c r="E5928" i="32"/>
  <c r="E5929" i="32"/>
  <c r="E5930" i="32"/>
  <c r="E5931" i="32"/>
  <c r="E5932" i="32"/>
  <c r="E5933" i="32"/>
  <c r="E5934" i="32"/>
  <c r="E5935" i="32"/>
  <c r="E5936" i="32"/>
  <c r="E5937" i="32"/>
  <c r="E5938" i="32"/>
  <c r="E5939" i="32"/>
  <c r="E5940" i="32"/>
  <c r="E5941" i="32"/>
  <c r="E5942" i="32"/>
  <c r="E5943" i="32"/>
  <c r="E5944" i="32"/>
  <c r="E5945" i="32"/>
  <c r="E5946" i="32"/>
  <c r="E5947" i="32"/>
  <c r="E5948" i="32"/>
  <c r="E5949" i="32"/>
  <c r="E5950" i="32"/>
  <c r="E5951" i="32"/>
  <c r="E5952" i="32"/>
  <c r="E5953" i="32"/>
  <c r="E5954" i="32"/>
  <c r="E5955" i="32"/>
  <c r="E5956" i="32"/>
  <c r="E5957" i="32"/>
  <c r="E5958" i="32"/>
  <c r="E5959" i="32"/>
  <c r="E5960" i="32"/>
  <c r="E5961" i="32"/>
  <c r="E5962" i="32"/>
  <c r="E5963" i="32"/>
  <c r="E5964" i="32"/>
  <c r="E5965" i="32"/>
  <c r="E5966" i="32"/>
  <c r="E5967" i="32"/>
  <c r="E5968" i="32"/>
  <c r="E5969" i="32"/>
  <c r="E5970" i="32"/>
  <c r="E5971" i="32"/>
  <c r="E5972" i="32"/>
  <c r="E5973" i="32"/>
  <c r="E5974" i="32"/>
  <c r="E5975" i="32"/>
  <c r="E5976" i="32"/>
  <c r="E5977" i="32"/>
  <c r="E5978" i="32"/>
  <c r="E5979" i="32"/>
  <c r="E5980" i="32"/>
  <c r="E5981" i="32"/>
  <c r="E5982" i="32"/>
  <c r="E5983" i="32"/>
  <c r="E5984" i="32"/>
  <c r="E5985" i="32"/>
  <c r="E5986" i="32"/>
  <c r="E5987" i="32"/>
  <c r="E5988" i="32"/>
  <c r="E5989" i="32"/>
  <c r="E5990" i="32"/>
  <c r="E5991" i="32"/>
  <c r="E5992" i="32"/>
  <c r="E5993" i="32"/>
  <c r="E5994" i="32"/>
  <c r="E5995" i="32"/>
  <c r="E5996" i="32"/>
  <c r="E5997" i="32"/>
  <c r="E5998" i="32"/>
  <c r="E5999" i="32"/>
  <c r="E6000" i="32"/>
  <c r="E6001" i="32"/>
  <c r="E6002" i="32"/>
  <c r="E6003" i="32"/>
  <c r="E6004" i="32"/>
  <c r="E6005" i="32"/>
  <c r="E6006" i="32"/>
  <c r="E6007" i="32"/>
  <c r="E6008" i="32"/>
  <c r="E6009" i="32"/>
  <c r="E6010" i="32"/>
  <c r="E6011" i="32"/>
  <c r="E6012" i="32"/>
  <c r="E6013" i="32"/>
  <c r="E6014" i="32"/>
  <c r="E6015" i="32"/>
  <c r="E6016" i="32"/>
  <c r="E6017" i="32"/>
  <c r="E6018" i="32"/>
  <c r="E6019" i="32"/>
  <c r="E6020" i="32"/>
  <c r="E6021" i="32"/>
  <c r="E6022" i="32"/>
  <c r="E6023" i="32"/>
  <c r="E6024" i="32"/>
  <c r="E6025" i="32"/>
  <c r="E6026" i="32"/>
  <c r="E6027" i="32"/>
  <c r="E6028" i="32"/>
  <c r="E6029" i="32"/>
  <c r="E6030" i="32"/>
  <c r="E6031" i="32"/>
  <c r="E6032" i="32"/>
  <c r="E6033" i="32"/>
  <c r="E6034" i="32"/>
  <c r="E6035" i="32"/>
  <c r="E6036" i="32"/>
  <c r="E6037" i="32"/>
  <c r="E6038" i="32"/>
  <c r="E6039" i="32"/>
  <c r="E6040" i="32"/>
  <c r="E6041" i="32"/>
  <c r="E6042" i="32"/>
  <c r="E6043" i="32"/>
  <c r="E6044" i="32"/>
  <c r="E6045" i="32"/>
  <c r="E6046" i="32"/>
  <c r="E6047" i="32"/>
  <c r="E6048" i="32"/>
  <c r="E6049" i="32"/>
  <c r="E6050" i="32"/>
  <c r="E6051" i="32"/>
  <c r="E6052" i="32"/>
  <c r="E6053" i="32"/>
  <c r="E6054" i="32"/>
  <c r="E6055" i="32"/>
  <c r="E6056" i="32"/>
  <c r="E6057" i="32"/>
  <c r="E6058" i="32"/>
  <c r="E6059" i="32"/>
  <c r="E6060" i="32"/>
  <c r="E6061" i="32"/>
  <c r="E6062" i="32"/>
  <c r="E6063" i="32"/>
  <c r="E6064" i="32"/>
  <c r="E6065" i="32"/>
  <c r="E6066" i="32"/>
  <c r="E6067" i="32"/>
  <c r="E6068" i="32"/>
  <c r="E6069" i="32"/>
  <c r="E6070" i="32"/>
  <c r="E6071" i="32"/>
  <c r="E6072" i="32"/>
  <c r="E6073" i="32"/>
  <c r="E6074" i="32"/>
  <c r="E6075" i="32"/>
  <c r="E6076" i="32"/>
  <c r="E6077" i="32"/>
  <c r="E6078" i="32"/>
  <c r="E6079" i="32"/>
  <c r="E6080" i="32"/>
  <c r="E6081" i="32"/>
  <c r="E6082" i="32"/>
  <c r="E6083" i="32"/>
  <c r="E6084" i="32"/>
  <c r="E6085" i="32"/>
  <c r="E6086" i="32"/>
  <c r="E6087" i="32"/>
  <c r="E6088" i="32"/>
  <c r="E6089" i="32"/>
  <c r="E6090" i="32"/>
  <c r="E6091" i="32"/>
  <c r="E6092" i="32"/>
  <c r="E6093" i="32"/>
  <c r="E6094" i="32"/>
  <c r="E6095" i="32"/>
  <c r="E6096" i="32"/>
  <c r="E6097" i="32"/>
  <c r="E6098" i="32"/>
  <c r="E6099" i="32"/>
  <c r="E6100" i="32"/>
  <c r="E6101" i="32"/>
  <c r="E6102" i="32"/>
  <c r="E6103" i="32"/>
  <c r="E6104" i="32"/>
  <c r="E6105" i="32"/>
  <c r="E6106" i="32"/>
  <c r="E6107" i="32"/>
  <c r="E6108" i="32"/>
  <c r="E6109" i="32"/>
  <c r="E6110" i="32"/>
  <c r="E6111" i="32"/>
  <c r="E6112" i="32"/>
  <c r="E6113" i="32"/>
  <c r="E6114" i="32"/>
  <c r="E6115" i="32"/>
  <c r="E6116" i="32"/>
  <c r="E6117" i="32"/>
  <c r="E6118" i="32"/>
  <c r="E6119" i="32"/>
  <c r="E6120" i="32"/>
  <c r="E6121" i="32"/>
  <c r="E6122" i="32"/>
  <c r="E6123" i="32"/>
  <c r="E6124" i="32"/>
  <c r="E6125" i="32"/>
  <c r="E6126" i="32"/>
  <c r="E6127" i="32"/>
  <c r="E6128" i="32"/>
  <c r="E6129" i="32"/>
  <c r="E6130" i="32"/>
  <c r="E6131" i="32"/>
  <c r="E6132" i="32"/>
  <c r="E6133" i="32"/>
  <c r="E6134" i="32"/>
  <c r="E6135" i="32"/>
  <c r="E6136" i="32"/>
  <c r="E6137" i="32"/>
  <c r="E6138" i="32"/>
  <c r="E6139" i="32"/>
  <c r="E6140" i="32"/>
  <c r="E6141" i="32"/>
  <c r="E6142" i="32"/>
  <c r="E6143" i="32"/>
  <c r="E6144" i="32"/>
  <c r="E6145" i="32"/>
  <c r="E6146" i="32"/>
  <c r="E6147" i="32"/>
  <c r="E6148" i="32"/>
  <c r="E6149" i="32"/>
  <c r="E6150" i="32"/>
  <c r="E6151" i="32"/>
  <c r="E6152" i="32"/>
  <c r="E6153" i="32"/>
  <c r="E6154" i="32"/>
  <c r="E6155" i="32"/>
  <c r="E6156" i="32"/>
  <c r="E6157" i="32"/>
  <c r="E6158" i="32"/>
  <c r="E6159" i="32"/>
  <c r="E6160" i="32"/>
  <c r="E6161" i="32"/>
  <c r="E6162" i="32"/>
  <c r="E6163" i="32"/>
  <c r="E6164" i="32"/>
  <c r="E6165" i="32"/>
  <c r="E6166" i="32"/>
  <c r="E6167" i="32"/>
  <c r="E6168" i="32"/>
  <c r="E6169" i="32"/>
  <c r="E6170" i="32"/>
  <c r="E6171" i="32"/>
  <c r="E6172" i="32"/>
  <c r="E6173" i="32"/>
  <c r="E6174" i="32"/>
  <c r="E6175" i="32"/>
  <c r="E6176" i="32"/>
  <c r="E6177" i="32"/>
  <c r="E6178" i="32"/>
  <c r="E6179" i="32"/>
  <c r="E6180" i="32"/>
  <c r="E6181" i="32"/>
  <c r="E6182" i="32"/>
  <c r="E6183" i="32"/>
  <c r="E6184" i="32"/>
  <c r="E6185" i="32"/>
  <c r="E6186" i="32"/>
  <c r="E6187" i="32"/>
  <c r="E6188" i="32"/>
  <c r="E6189" i="32"/>
  <c r="E6190" i="32"/>
  <c r="E6191" i="32"/>
  <c r="E6192" i="32"/>
  <c r="E6193" i="32"/>
  <c r="E6194" i="32"/>
  <c r="E6195" i="32"/>
  <c r="E6196" i="32"/>
  <c r="E6197" i="32"/>
  <c r="E6198" i="32"/>
  <c r="E6199" i="32"/>
  <c r="E6200" i="32"/>
  <c r="E6201" i="32"/>
  <c r="E6202" i="32"/>
  <c r="E6203" i="32"/>
  <c r="E6204" i="32"/>
  <c r="E6205" i="32"/>
  <c r="E6206" i="32"/>
  <c r="E6207" i="32"/>
  <c r="E6208" i="32"/>
  <c r="E6209" i="32"/>
  <c r="E6210" i="32"/>
  <c r="E6211" i="32"/>
  <c r="E6212" i="32"/>
  <c r="E6213" i="32"/>
  <c r="E6214" i="32"/>
  <c r="E6215" i="32"/>
  <c r="E6216" i="32"/>
  <c r="E6217" i="32"/>
  <c r="E6218" i="32"/>
  <c r="E6219" i="32"/>
  <c r="E6220" i="32"/>
  <c r="E6221" i="32"/>
  <c r="E6222" i="32"/>
  <c r="E6223" i="32"/>
  <c r="E6224" i="32"/>
  <c r="E6225" i="32"/>
  <c r="E6226" i="32"/>
  <c r="E6227" i="32"/>
  <c r="E6228" i="32"/>
  <c r="E6229" i="32"/>
  <c r="E6230" i="32"/>
  <c r="E6231" i="32"/>
  <c r="E6232" i="32"/>
  <c r="E6233" i="32"/>
  <c r="E6234" i="32"/>
  <c r="E6235" i="32"/>
  <c r="E6236" i="32"/>
  <c r="E6237" i="32"/>
  <c r="E6238" i="32"/>
  <c r="E6239" i="32"/>
  <c r="E6240" i="32"/>
  <c r="E6241" i="32"/>
  <c r="E6242" i="32"/>
  <c r="E6243" i="32"/>
  <c r="E6244" i="32"/>
  <c r="E6245" i="32"/>
  <c r="E6246" i="32"/>
  <c r="E6247" i="32"/>
  <c r="E6248" i="32"/>
  <c r="E6249" i="32"/>
  <c r="E6250" i="32"/>
  <c r="E6251" i="32"/>
  <c r="E6252" i="32"/>
  <c r="E6253" i="32"/>
  <c r="E6254" i="32"/>
  <c r="E6255" i="32"/>
  <c r="E6256" i="32"/>
  <c r="E6257" i="32"/>
  <c r="E6258" i="32"/>
  <c r="E6259" i="32"/>
  <c r="E6260" i="32"/>
  <c r="E6261" i="32"/>
  <c r="E6262" i="32"/>
  <c r="E6263" i="32"/>
  <c r="E6264" i="32"/>
  <c r="E6265" i="32"/>
  <c r="E6266" i="32"/>
  <c r="E6267" i="32"/>
  <c r="E6268" i="32"/>
  <c r="E6269" i="32"/>
  <c r="E6270" i="32"/>
  <c r="E6271" i="32"/>
  <c r="E6272" i="32"/>
  <c r="E6273" i="32"/>
  <c r="E6274" i="32"/>
  <c r="E6275" i="32"/>
  <c r="E6276" i="32"/>
  <c r="E6277" i="32"/>
  <c r="E6278" i="32"/>
  <c r="E6279" i="32"/>
  <c r="E6280" i="32"/>
  <c r="E6281" i="32"/>
  <c r="E6282" i="32"/>
  <c r="E6283" i="32"/>
  <c r="E6284" i="32"/>
  <c r="E6285" i="32"/>
  <c r="E6286" i="32"/>
  <c r="E6287" i="32"/>
  <c r="E6288" i="32"/>
  <c r="E6289" i="32"/>
  <c r="E6290" i="32"/>
  <c r="E6291" i="32"/>
  <c r="E6292" i="32"/>
  <c r="E6293" i="32"/>
  <c r="E6294" i="32"/>
  <c r="E6295" i="32"/>
  <c r="E6296" i="32"/>
  <c r="E6297" i="32"/>
  <c r="E6298" i="32"/>
  <c r="E6299" i="32"/>
  <c r="E6300" i="32"/>
  <c r="E6301" i="32"/>
  <c r="E6302" i="32"/>
  <c r="E6303" i="32"/>
  <c r="E6304" i="32"/>
  <c r="E6305" i="32"/>
  <c r="E6306" i="32"/>
  <c r="E6307" i="32"/>
  <c r="E6308" i="32"/>
  <c r="E6309" i="32"/>
  <c r="E6310" i="32"/>
  <c r="E6311" i="32"/>
  <c r="E6312" i="32"/>
  <c r="E6313" i="32"/>
  <c r="E6314" i="32"/>
  <c r="E6315" i="32"/>
  <c r="E6316" i="32"/>
  <c r="E6317" i="32"/>
  <c r="E6318" i="32"/>
  <c r="E6319" i="32"/>
  <c r="E6320" i="32"/>
  <c r="E6321" i="32"/>
  <c r="E6322" i="32"/>
  <c r="E6323" i="32"/>
  <c r="E6324" i="32"/>
  <c r="E6325" i="32"/>
  <c r="E6326" i="32"/>
  <c r="E6327" i="32"/>
  <c r="E6328" i="32"/>
  <c r="E6329" i="32"/>
  <c r="E6330" i="32"/>
  <c r="E6331" i="32"/>
  <c r="E6332" i="32"/>
  <c r="E6333" i="32"/>
  <c r="E6334" i="32"/>
  <c r="E6335" i="32"/>
  <c r="E6336" i="32"/>
  <c r="E6337" i="32"/>
  <c r="E6338" i="32"/>
  <c r="E6339" i="32"/>
  <c r="E6340" i="32"/>
  <c r="E6341" i="32"/>
  <c r="E6342" i="32"/>
  <c r="E6343" i="32"/>
  <c r="E6344" i="32"/>
  <c r="E6345" i="32"/>
  <c r="E6346" i="32"/>
  <c r="E6347" i="32"/>
  <c r="E6348" i="32"/>
  <c r="E6349" i="32"/>
  <c r="E6350" i="32"/>
  <c r="E6351" i="32"/>
  <c r="E6352" i="32"/>
  <c r="E6353" i="32"/>
  <c r="E6354" i="32"/>
  <c r="E6355" i="32"/>
  <c r="E6356" i="32"/>
  <c r="E6357" i="32"/>
  <c r="E6358" i="32"/>
  <c r="E6359" i="32"/>
  <c r="E6360" i="32"/>
  <c r="E6361" i="32"/>
  <c r="E6362" i="32"/>
  <c r="E6363" i="32"/>
  <c r="E6364" i="32"/>
  <c r="E6365" i="32"/>
  <c r="E6366" i="32"/>
  <c r="E6367" i="32"/>
  <c r="E6368" i="32"/>
  <c r="E6369" i="32"/>
  <c r="E6370" i="32"/>
  <c r="E6371" i="32"/>
  <c r="E6372" i="32"/>
  <c r="E6373" i="32"/>
  <c r="E6374" i="32"/>
  <c r="E6375" i="32"/>
  <c r="E6376" i="32"/>
  <c r="E6377" i="32"/>
  <c r="E6378" i="32"/>
  <c r="E6379" i="32"/>
  <c r="E6380" i="32"/>
  <c r="E6381" i="32"/>
  <c r="E6382" i="32"/>
  <c r="E6383" i="32"/>
  <c r="E6384" i="32"/>
  <c r="E6385" i="32"/>
  <c r="E6386" i="32"/>
  <c r="E6387" i="32"/>
  <c r="E6388" i="32"/>
  <c r="E6389" i="32"/>
  <c r="E6390" i="32"/>
  <c r="E6391" i="32"/>
  <c r="E6392" i="32"/>
  <c r="E6393" i="32"/>
  <c r="E6394" i="32"/>
  <c r="E6395" i="32"/>
  <c r="E6396" i="32"/>
  <c r="E6397" i="32"/>
  <c r="E6398" i="32"/>
  <c r="E6399" i="32"/>
  <c r="E6400" i="32"/>
  <c r="E6401" i="32"/>
  <c r="E6402" i="32"/>
  <c r="E6403" i="32"/>
  <c r="E6404" i="32"/>
  <c r="E6405" i="32"/>
  <c r="E6406" i="32"/>
  <c r="E6407" i="32"/>
  <c r="E6408" i="32"/>
  <c r="E6409" i="32"/>
  <c r="E6410" i="32"/>
  <c r="E6411" i="32"/>
  <c r="E6412" i="32"/>
  <c r="E6413" i="32"/>
  <c r="E6414" i="32"/>
  <c r="E6415" i="32"/>
  <c r="E6416" i="32"/>
  <c r="E6417" i="32"/>
  <c r="E6418" i="32"/>
  <c r="E6419" i="32"/>
  <c r="E6420" i="32"/>
  <c r="E6421" i="32"/>
  <c r="E6422" i="32"/>
  <c r="E6423" i="32"/>
  <c r="E6424" i="32"/>
  <c r="E6425" i="32"/>
  <c r="E6426" i="32"/>
  <c r="E6427" i="32"/>
  <c r="E6428" i="32"/>
  <c r="E6429" i="32"/>
  <c r="E6430" i="32"/>
  <c r="E6431" i="32"/>
  <c r="E6432" i="32"/>
  <c r="E6433" i="32"/>
  <c r="E6434" i="32"/>
  <c r="E6435" i="32"/>
  <c r="E6436" i="32"/>
  <c r="E6437" i="32"/>
  <c r="E6438" i="32"/>
  <c r="E6439" i="32"/>
  <c r="E6440" i="32"/>
  <c r="E6441" i="32"/>
  <c r="E6442" i="32"/>
  <c r="E6443" i="32"/>
  <c r="E6444" i="32"/>
  <c r="E6445" i="32"/>
  <c r="E6446" i="32"/>
  <c r="E6447" i="32"/>
  <c r="E6448" i="32"/>
  <c r="E6449" i="32"/>
  <c r="E6450" i="32"/>
  <c r="E6451" i="32"/>
  <c r="E6452" i="32"/>
  <c r="E6453" i="32"/>
  <c r="E6454" i="32"/>
  <c r="E6455" i="32"/>
  <c r="E6456" i="32"/>
  <c r="E6457" i="32"/>
  <c r="E6458" i="32"/>
  <c r="E6459" i="32"/>
  <c r="E6460" i="32"/>
  <c r="E6461" i="32"/>
  <c r="E6462" i="32"/>
  <c r="E6463" i="32"/>
  <c r="E6464" i="32"/>
  <c r="E6465" i="32"/>
  <c r="E6466" i="32"/>
  <c r="E6467" i="32"/>
  <c r="E6468" i="32"/>
  <c r="E6469" i="32"/>
  <c r="E6470" i="32"/>
  <c r="E6471" i="32"/>
  <c r="E6472" i="32"/>
  <c r="E6473" i="32"/>
  <c r="E6474" i="32"/>
  <c r="E6475" i="32"/>
  <c r="E6476" i="32"/>
  <c r="E6477" i="32"/>
  <c r="E6478" i="32"/>
  <c r="E6479" i="32"/>
  <c r="E6480" i="32"/>
  <c r="E6481" i="32"/>
  <c r="E6482" i="32"/>
  <c r="E6483" i="32"/>
  <c r="E6484" i="32"/>
  <c r="E6485" i="32"/>
  <c r="E6486" i="32"/>
  <c r="E6487" i="32"/>
  <c r="E6488" i="32"/>
  <c r="E6489" i="32"/>
  <c r="E6490" i="32"/>
  <c r="E6491" i="32"/>
  <c r="E6492" i="32"/>
  <c r="E6493" i="32"/>
  <c r="E6494" i="32"/>
  <c r="E6495" i="32"/>
  <c r="E6496" i="32"/>
  <c r="E6497" i="32"/>
  <c r="E6498" i="32"/>
  <c r="E6499" i="32"/>
  <c r="E6500" i="32"/>
  <c r="E6501" i="32"/>
  <c r="E6502" i="32"/>
  <c r="E6503" i="32"/>
  <c r="E6504" i="32"/>
  <c r="E6505" i="32"/>
  <c r="E6506" i="32"/>
  <c r="E6507" i="32"/>
  <c r="E6508" i="32"/>
  <c r="E6509" i="32"/>
  <c r="E6510" i="32"/>
  <c r="E6511" i="32"/>
  <c r="E6512" i="32"/>
  <c r="E6513" i="32"/>
  <c r="E6514" i="32"/>
  <c r="E6515" i="32"/>
  <c r="E6516" i="32"/>
  <c r="E6517" i="32"/>
  <c r="E6518" i="32"/>
  <c r="E6519" i="32"/>
  <c r="E6520" i="32"/>
  <c r="E6521" i="32"/>
  <c r="E6522" i="32"/>
  <c r="E6523" i="32"/>
  <c r="E6524" i="32"/>
  <c r="E6525" i="32"/>
  <c r="E6526" i="32"/>
  <c r="E6527" i="32"/>
  <c r="E6528" i="32"/>
  <c r="E6529" i="32"/>
  <c r="E6530" i="32"/>
  <c r="E6531" i="32"/>
  <c r="E6532" i="32"/>
  <c r="E6533" i="32"/>
  <c r="E6534" i="32"/>
  <c r="E6535" i="32"/>
  <c r="E6536" i="32"/>
  <c r="E6537" i="32"/>
  <c r="E6538" i="32"/>
  <c r="E6539" i="32"/>
  <c r="E6540" i="32"/>
  <c r="E6541" i="32"/>
  <c r="E6542" i="32"/>
  <c r="E6543" i="32"/>
  <c r="E6544" i="32"/>
  <c r="E6545" i="32"/>
  <c r="E6546" i="32"/>
  <c r="E6547" i="32"/>
  <c r="E6548" i="32"/>
  <c r="E6549" i="32"/>
  <c r="E6550" i="32"/>
  <c r="E6551" i="32"/>
  <c r="E6552" i="32"/>
  <c r="E6553" i="32"/>
  <c r="E6554" i="32"/>
  <c r="E6555" i="32"/>
  <c r="E6556" i="32"/>
  <c r="E6557" i="32"/>
  <c r="E6558" i="32"/>
  <c r="E6559" i="32"/>
  <c r="E6560" i="32"/>
  <c r="E6561" i="32"/>
  <c r="E6562" i="32"/>
  <c r="E6563" i="32"/>
  <c r="E6564" i="32"/>
  <c r="E6565" i="32"/>
  <c r="E6566" i="32"/>
  <c r="E6567" i="32"/>
  <c r="E6568" i="32"/>
  <c r="E6569" i="32"/>
  <c r="E6570" i="32"/>
  <c r="E6571" i="32"/>
  <c r="E6572" i="32"/>
  <c r="E6573" i="32"/>
  <c r="E6574" i="32"/>
  <c r="E6575" i="32"/>
  <c r="E6576" i="32"/>
  <c r="E6577" i="32"/>
  <c r="E6578" i="32"/>
  <c r="E6579" i="32"/>
  <c r="E6580" i="32"/>
  <c r="E6581" i="32"/>
  <c r="E6582" i="32"/>
  <c r="E6583" i="32"/>
  <c r="E6584" i="32"/>
  <c r="E6585" i="32"/>
  <c r="E6586" i="32"/>
  <c r="E6587" i="32"/>
  <c r="E6588" i="32"/>
  <c r="E6589" i="32"/>
  <c r="E6590" i="32"/>
  <c r="E6591" i="32"/>
  <c r="E6592" i="32"/>
  <c r="E6593" i="32"/>
  <c r="E6594" i="32"/>
  <c r="E6595" i="32"/>
  <c r="E6596" i="32"/>
  <c r="E6597" i="32"/>
  <c r="E6598" i="32"/>
  <c r="E6599" i="32"/>
  <c r="E6600" i="32"/>
  <c r="E6601" i="32"/>
  <c r="E6602" i="32"/>
  <c r="E6603" i="32"/>
  <c r="E6604" i="32"/>
  <c r="E6605" i="32"/>
  <c r="E6606" i="32"/>
  <c r="E6607" i="32"/>
  <c r="E6608" i="32"/>
  <c r="E6609" i="32"/>
  <c r="E6610" i="32"/>
  <c r="E6611" i="32"/>
  <c r="E6612" i="32"/>
  <c r="E6613" i="32"/>
  <c r="E6614" i="32"/>
  <c r="E6615" i="32"/>
  <c r="E6616" i="32"/>
  <c r="E6617" i="32"/>
  <c r="E6618" i="32"/>
  <c r="E6619" i="32"/>
  <c r="E6620" i="32"/>
  <c r="E6621" i="32"/>
  <c r="E6622" i="32"/>
  <c r="E6623" i="32"/>
  <c r="E6624" i="32"/>
  <c r="E6625" i="32"/>
  <c r="E6626" i="32"/>
  <c r="E6627" i="32"/>
  <c r="E6628" i="32"/>
  <c r="E6629" i="32"/>
  <c r="E6630" i="32"/>
  <c r="E6631" i="32"/>
  <c r="E6632" i="32"/>
  <c r="E6633" i="32"/>
  <c r="E6634" i="32"/>
  <c r="E6635" i="32"/>
  <c r="E6636" i="32"/>
  <c r="E6637" i="32"/>
  <c r="E6638" i="32"/>
  <c r="E6639" i="32"/>
  <c r="E6640" i="32"/>
  <c r="E6641" i="32"/>
  <c r="E6642" i="32"/>
  <c r="E6643" i="32"/>
  <c r="E6644" i="32"/>
  <c r="E6645" i="32"/>
  <c r="E6646" i="32"/>
  <c r="E6647" i="32"/>
  <c r="E6648" i="32"/>
  <c r="E6649" i="32"/>
  <c r="E6650" i="32"/>
  <c r="E6651" i="32"/>
  <c r="E6652" i="32"/>
  <c r="E6653" i="32"/>
  <c r="E6654" i="32"/>
  <c r="E6655" i="32"/>
  <c r="E6656" i="32"/>
  <c r="E6657" i="32"/>
  <c r="E6658" i="32"/>
  <c r="E6659" i="32"/>
  <c r="E6660" i="32"/>
  <c r="E6661" i="32"/>
  <c r="E6662" i="32"/>
  <c r="E6663" i="32"/>
  <c r="E6664" i="32"/>
  <c r="E6665" i="32"/>
  <c r="E6666" i="32"/>
  <c r="E6667" i="32"/>
  <c r="E6668" i="32"/>
  <c r="E6669" i="32"/>
  <c r="E6670" i="32"/>
  <c r="E6671" i="32"/>
  <c r="E6672" i="32"/>
  <c r="E6673" i="32"/>
  <c r="E6674" i="32"/>
  <c r="E6675" i="32"/>
  <c r="E6676" i="32"/>
  <c r="E6677" i="32"/>
  <c r="E6678" i="32"/>
  <c r="E6679" i="32"/>
  <c r="E6680" i="32"/>
  <c r="E6681" i="32"/>
  <c r="E6682" i="32"/>
  <c r="E6683" i="32"/>
  <c r="E6684" i="32"/>
  <c r="E6685" i="32"/>
  <c r="E6686" i="32"/>
  <c r="E6687" i="32"/>
  <c r="E6688" i="32"/>
  <c r="E6689" i="32"/>
  <c r="E6690" i="32"/>
  <c r="E6691" i="32"/>
  <c r="E6692" i="32"/>
  <c r="E6693" i="32"/>
  <c r="E6694" i="32"/>
  <c r="E6695" i="32"/>
  <c r="E6696" i="32"/>
  <c r="E6697" i="32"/>
  <c r="E6698" i="32"/>
  <c r="E6699" i="32"/>
  <c r="E6700" i="32"/>
  <c r="E6701" i="32"/>
  <c r="E6702" i="32"/>
  <c r="E6703" i="32"/>
  <c r="E6704" i="32"/>
  <c r="E6705" i="32"/>
  <c r="E6706" i="32"/>
  <c r="E6707" i="32"/>
  <c r="E6708" i="32"/>
  <c r="E6709" i="32"/>
  <c r="E6710" i="32"/>
  <c r="E6711" i="32"/>
  <c r="E6712" i="32"/>
  <c r="E6713" i="32"/>
  <c r="E6714" i="32"/>
  <c r="E6715" i="32"/>
  <c r="E6716" i="32"/>
  <c r="E6717" i="32"/>
  <c r="E6718" i="32"/>
  <c r="E6719" i="32"/>
  <c r="E6720" i="32"/>
  <c r="E6721" i="32"/>
  <c r="E6722" i="32"/>
  <c r="E6723" i="32"/>
  <c r="E6724" i="32"/>
  <c r="E6725" i="32"/>
  <c r="E6726" i="32"/>
  <c r="E6727" i="32"/>
  <c r="E6728" i="32"/>
  <c r="E6729" i="32"/>
  <c r="E6730" i="32"/>
  <c r="E6731" i="32"/>
  <c r="E6732" i="32"/>
  <c r="E6733" i="32"/>
  <c r="E6734" i="32"/>
  <c r="E6735" i="32"/>
  <c r="E6736" i="32"/>
  <c r="E6737" i="32"/>
  <c r="E6738" i="32"/>
  <c r="E6739" i="32"/>
  <c r="E6740" i="32"/>
  <c r="E6741" i="32"/>
  <c r="E6742" i="32"/>
  <c r="E6743" i="32"/>
  <c r="E6744" i="32"/>
  <c r="E6745" i="32"/>
  <c r="E6746" i="32"/>
  <c r="E6747" i="32"/>
  <c r="E6748" i="32"/>
  <c r="E6749" i="32"/>
  <c r="E6750" i="32"/>
  <c r="E6751" i="32"/>
  <c r="E6752" i="32"/>
  <c r="E6753" i="32"/>
  <c r="E6754" i="32"/>
  <c r="E6755" i="32"/>
  <c r="E6756" i="32"/>
  <c r="E6757" i="32"/>
  <c r="E6758" i="32"/>
  <c r="E6759" i="32"/>
  <c r="E6760" i="32"/>
  <c r="E6761" i="32"/>
  <c r="E6762" i="32"/>
  <c r="E6763" i="32"/>
  <c r="E6764" i="32"/>
  <c r="E6765" i="32"/>
  <c r="E6766" i="32"/>
  <c r="E6767" i="32"/>
  <c r="E6768" i="32"/>
  <c r="E6769" i="32"/>
  <c r="E6770" i="32"/>
  <c r="E6771" i="32"/>
  <c r="E6772" i="32"/>
  <c r="E6773" i="32"/>
  <c r="E6774" i="32"/>
  <c r="E6775" i="32"/>
  <c r="E6776" i="32"/>
  <c r="E6777" i="32"/>
  <c r="E6778" i="32"/>
  <c r="E6779" i="32"/>
  <c r="E6780" i="32"/>
  <c r="E6781" i="32"/>
  <c r="E6782" i="32"/>
  <c r="E6783" i="32"/>
  <c r="E6784" i="32"/>
  <c r="E6785" i="32"/>
  <c r="E6786" i="32"/>
  <c r="E6787" i="32"/>
  <c r="E6788" i="32"/>
  <c r="E6789" i="32"/>
  <c r="E6790" i="32"/>
  <c r="E6791" i="32"/>
  <c r="E6792" i="32"/>
  <c r="E6793" i="32"/>
  <c r="E6794" i="32"/>
  <c r="E6795" i="32"/>
  <c r="E6796" i="32"/>
  <c r="E6797" i="32"/>
  <c r="E6798" i="32"/>
  <c r="E6799" i="32"/>
  <c r="E6800" i="32"/>
  <c r="E6801" i="32"/>
  <c r="E6802" i="32"/>
  <c r="E6803" i="32"/>
  <c r="E6804" i="32"/>
  <c r="E6805" i="32"/>
  <c r="E6806" i="32"/>
  <c r="E6807" i="32"/>
  <c r="E6808" i="32"/>
  <c r="E6809" i="32"/>
  <c r="E6810" i="32"/>
  <c r="E6811" i="32"/>
  <c r="E6812" i="32"/>
  <c r="E6813" i="32"/>
  <c r="E6814" i="32"/>
  <c r="E6815" i="32"/>
  <c r="E6816" i="32"/>
  <c r="E6817" i="32"/>
  <c r="E6818" i="32"/>
  <c r="E6819" i="32"/>
  <c r="E6820" i="32"/>
  <c r="E6821" i="32"/>
  <c r="E6822" i="32"/>
  <c r="E6823" i="32"/>
  <c r="E6824" i="32"/>
  <c r="E6825" i="32"/>
  <c r="E6826" i="32"/>
  <c r="E6827" i="32"/>
  <c r="E6828" i="32"/>
  <c r="E6829" i="32"/>
  <c r="E6830" i="32"/>
  <c r="E6831" i="32"/>
  <c r="E6832" i="32"/>
  <c r="E6833" i="32"/>
  <c r="E6834" i="32"/>
  <c r="E6835" i="32"/>
  <c r="E6836" i="32"/>
  <c r="E6837" i="32"/>
  <c r="E6838" i="32"/>
  <c r="E6839" i="32"/>
  <c r="E6840" i="32"/>
  <c r="E6841" i="32"/>
  <c r="E6842" i="32"/>
  <c r="E6843" i="32"/>
  <c r="E6844" i="32"/>
  <c r="E6845" i="32"/>
  <c r="E6846" i="32"/>
  <c r="E6847" i="32"/>
  <c r="E6848" i="32"/>
  <c r="E6849" i="32"/>
  <c r="E6850" i="32"/>
  <c r="E6851" i="32"/>
  <c r="E6852" i="32"/>
  <c r="E6853" i="32"/>
  <c r="E6854" i="32"/>
  <c r="E6855" i="32"/>
  <c r="E6856" i="32"/>
  <c r="E6857" i="32"/>
  <c r="E6858" i="32"/>
  <c r="E6859" i="32"/>
  <c r="E6860" i="32"/>
  <c r="E6861" i="32"/>
  <c r="E6862" i="32"/>
  <c r="E6863" i="32"/>
  <c r="E6864" i="32"/>
  <c r="E6865" i="32"/>
  <c r="E6866" i="32"/>
  <c r="E6867" i="32"/>
  <c r="E6868" i="32"/>
  <c r="E6869" i="32"/>
  <c r="E6870" i="32"/>
  <c r="E6871" i="32"/>
  <c r="E6872" i="32"/>
  <c r="E6873" i="32"/>
  <c r="E6874" i="32"/>
  <c r="E6875" i="32"/>
  <c r="E6876" i="32"/>
  <c r="E6877" i="32"/>
  <c r="E6878" i="32"/>
  <c r="E6879" i="32"/>
  <c r="E6880" i="32"/>
  <c r="E6881" i="32"/>
  <c r="E6882" i="32"/>
  <c r="E6883" i="32"/>
  <c r="E6884" i="32"/>
  <c r="E6885" i="32"/>
  <c r="E6886" i="32"/>
  <c r="E6887" i="32"/>
  <c r="E6888" i="32"/>
  <c r="E6889" i="32"/>
  <c r="E6890" i="32"/>
  <c r="E6891" i="32"/>
  <c r="E6892" i="32"/>
  <c r="E6893" i="32"/>
  <c r="E6894" i="32"/>
  <c r="E6895" i="32"/>
  <c r="E6896" i="32"/>
  <c r="E6897" i="32"/>
  <c r="E158" i="32"/>
  <c r="E36" i="32"/>
  <c r="E256" i="32"/>
  <c r="E177" i="32"/>
  <c r="E137" i="32"/>
  <c r="E214" i="32"/>
  <c r="E63" i="32"/>
  <c r="E45" i="32"/>
  <c r="E130" i="32"/>
  <c r="E73" i="32"/>
  <c r="E202" i="32"/>
  <c r="E204" i="32"/>
  <c r="E37" i="32"/>
  <c r="E124" i="32"/>
  <c r="E255" i="32"/>
  <c r="E104" i="32"/>
  <c r="E168" i="32"/>
  <c r="E129" i="32"/>
  <c r="E105" i="32"/>
  <c r="E127" i="32"/>
  <c r="E66" i="32"/>
  <c r="E28" i="32"/>
  <c r="E34" i="32"/>
  <c r="E40" i="32"/>
  <c r="E135" i="32"/>
  <c r="E128" i="32"/>
  <c r="E16" i="32"/>
  <c r="E52" i="32"/>
  <c r="E218" i="32"/>
  <c r="E213" i="32"/>
  <c r="E125" i="32"/>
  <c r="E164" i="32"/>
  <c r="E153" i="32"/>
  <c r="E22" i="32"/>
  <c r="E198" i="32"/>
  <c r="E134" i="32"/>
  <c r="E54" i="32"/>
  <c r="E206" i="32"/>
  <c r="E205" i="32"/>
  <c r="E869" i="32"/>
  <c r="E564" i="32"/>
  <c r="E570" i="32"/>
  <c r="E565" i="32"/>
  <c r="E771" i="32"/>
  <c r="E868" i="32"/>
  <c r="E791" i="32"/>
  <c r="E569" i="32"/>
  <c r="E603" i="32"/>
  <c r="E873" i="32"/>
  <c r="E848" i="32"/>
  <c r="E663" i="32"/>
  <c r="E743" i="32"/>
  <c r="E744" i="32"/>
  <c r="E574" i="32"/>
  <c r="E590" i="32"/>
  <c r="E708" i="32"/>
  <c r="E700" i="32"/>
  <c r="E764" i="32"/>
  <c r="E760" i="32"/>
  <c r="E861" i="32"/>
  <c r="E862" i="32"/>
  <c r="E531" i="32"/>
  <c r="E543" i="32"/>
  <c r="E853" i="32"/>
  <c r="E693" i="32"/>
  <c r="E893" i="32"/>
  <c r="E929" i="32"/>
  <c r="E689" i="32"/>
  <c r="E779" i="32"/>
  <c r="E922" i="32"/>
  <c r="E824" i="32"/>
  <c r="E538" i="32"/>
  <c r="E637" i="32"/>
  <c r="E736" i="32"/>
  <c r="E737" i="32"/>
  <c r="E941" i="32"/>
  <c r="E636" i="32"/>
  <c r="E732" i="32"/>
  <c r="E816" i="32"/>
  <c r="E817" i="32"/>
  <c r="E537" i="32"/>
  <c r="E606" i="32"/>
  <c r="E783" i="32"/>
  <c r="E775" i="32"/>
  <c r="E830" i="32"/>
  <c r="E852" i="32"/>
  <c r="E875" i="32"/>
  <c r="E917" i="32"/>
  <c r="E920" i="32"/>
  <c r="E939" i="32"/>
  <c r="E545" i="32"/>
  <c r="E627" i="32"/>
  <c r="E614" i="32"/>
  <c r="E612" i="32"/>
  <c r="E633" i="32"/>
  <c r="E658" i="32"/>
  <c r="E668" i="32"/>
  <c r="E661" i="32"/>
  <c r="E691" i="32"/>
  <c r="E722" i="32"/>
  <c r="E703" i="32"/>
  <c r="E698" i="32"/>
  <c r="E713" i="32"/>
  <c r="E739" i="32"/>
  <c r="E530" i="32"/>
  <c r="E723" i="32"/>
  <c r="E724" i="32"/>
  <c r="E733" i="32"/>
  <c r="E730" i="32"/>
  <c r="E734" i="32"/>
  <c r="E735" i="32"/>
  <c r="E741" i="32"/>
  <c r="E747" i="32"/>
  <c r="E763" i="32"/>
  <c r="E777" i="32"/>
  <c r="E776" i="32"/>
  <c r="E785" i="32"/>
  <c r="E782" i="32"/>
  <c r="E788" i="32"/>
  <c r="E786" i="32"/>
  <c r="E828" i="32"/>
  <c r="E801" i="32"/>
  <c r="E808" i="32"/>
  <c r="E802" i="32"/>
  <c r="E803" i="32"/>
  <c r="E804" i="32"/>
  <c r="E836" i="32"/>
  <c r="E818" i="32"/>
  <c r="E819" i="32"/>
  <c r="E814" i="32"/>
  <c r="E831" i="32"/>
  <c r="E826" i="32"/>
  <c r="E845" i="32"/>
  <c r="E834" i="32"/>
  <c r="E833" i="32"/>
  <c r="E849" i="32"/>
  <c r="E846" i="32"/>
  <c r="E860" i="32"/>
  <c r="E850" i="32"/>
  <c r="E867" i="32"/>
  <c r="E874" i="32"/>
  <c r="E877" i="32"/>
  <c r="E879" i="32"/>
  <c r="E882" i="32"/>
  <c r="E883" i="32"/>
  <c r="E907" i="32"/>
  <c r="E894" i="32"/>
  <c r="E520" i="32"/>
  <c r="E906" i="32"/>
  <c r="E904" i="32"/>
  <c r="E905" i="32"/>
  <c r="E910" i="32"/>
  <c r="E923" i="32"/>
  <c r="E915" i="32"/>
  <c r="E916" i="32"/>
  <c r="E921" i="32"/>
  <c r="E938" i="32"/>
  <c r="E942" i="32"/>
  <c r="E945" i="32"/>
  <c r="E534" i="32"/>
  <c r="E950" i="32"/>
  <c r="E535" i="32"/>
  <c r="E547" i="32"/>
  <c r="E548" i="32"/>
  <c r="E549" i="32"/>
  <c r="E550" i="32"/>
  <c r="E551" i="32"/>
  <c r="E568" i="32"/>
  <c r="E602" i="32"/>
  <c r="E617" i="32"/>
  <c r="E609" i="32"/>
  <c r="E610" i="32"/>
  <c r="E949" i="32"/>
  <c r="E948" i="32"/>
  <c r="E653" i="32"/>
  <c r="E725" i="32"/>
  <c r="E517" i="32"/>
  <c r="E940" i="32"/>
  <c r="E931" i="32"/>
  <c r="E647" i="32"/>
  <c r="E895" i="32"/>
  <c r="E714" i="32"/>
  <c r="E902" i="32"/>
  <c r="E605" i="32"/>
  <c r="E616" i="32"/>
  <c r="E704" i="32"/>
  <c r="E726" i="32"/>
  <c r="E812" i="32"/>
  <c r="E815" i="32"/>
  <c r="E640" i="32"/>
  <c r="E688" i="32"/>
  <c r="E684" i="32"/>
  <c r="E716" i="32"/>
  <c r="E753" i="32"/>
  <c r="E851" i="32"/>
  <c r="E885" i="32"/>
  <c r="E871" i="32"/>
  <c r="E946" i="32"/>
  <c r="E586" i="32"/>
  <c r="E600" i="32"/>
  <c r="E618" i="32"/>
  <c r="E554" i="32"/>
  <c r="E805" i="32"/>
  <c r="E630" i="32"/>
  <c r="E608" i="32"/>
  <c r="E662" i="32"/>
  <c r="E699" i="32"/>
  <c r="E715" i="32"/>
  <c r="E706" i="32"/>
  <c r="E717" i="32"/>
  <c r="E750" i="32"/>
  <c r="E751" i="32"/>
  <c r="E752" i="32"/>
  <c r="E794" i="32"/>
  <c r="E820" i="32"/>
  <c r="E507" i="32"/>
  <c r="E884" i="32"/>
  <c r="E943" i="32"/>
  <c r="E573" i="32"/>
  <c r="E607" i="32"/>
  <c r="E619" i="32"/>
  <c r="E634" i="32"/>
  <c r="E718" i="32"/>
  <c r="E731" i="32"/>
  <c r="E742" i="32"/>
  <c r="E759" i="32"/>
  <c r="E770" i="32"/>
  <c r="E784" i="32"/>
  <c r="E780" i="32"/>
  <c r="E821" i="32"/>
  <c r="E880" i="32"/>
  <c r="E522" i="32"/>
  <c r="E911" i="32"/>
  <c r="E918" i="32"/>
  <c r="E926" i="32"/>
  <c r="E927" i="32"/>
  <c r="E944" i="32"/>
  <c r="E595" i="32"/>
  <c r="E587" i="32"/>
  <c r="E589" i="32"/>
  <c r="E930" i="32"/>
  <c r="E694" i="32"/>
  <c r="E822" i="32"/>
  <c r="E557" i="32"/>
  <c r="E690" i="32"/>
  <c r="E646" i="32"/>
  <c r="E623" i="32"/>
  <c r="E592" i="32"/>
  <c r="E496" i="32"/>
  <c r="E787" i="32"/>
  <c r="E540" i="32"/>
  <c r="E754" i="32"/>
  <c r="E526" i="32"/>
  <c r="E506" i="32"/>
  <c r="E560" i="32"/>
  <c r="E665" i="32"/>
  <c r="E536" i="32"/>
  <c r="E934" i="32"/>
  <c r="E542" i="32"/>
  <c r="E562" i="32"/>
  <c r="E707" i="32"/>
  <c r="E709" i="32"/>
  <c r="E561" i="32"/>
  <c r="E502" i="32"/>
  <c r="E541" i="32"/>
  <c r="E505" i="32"/>
  <c r="E514" i="32"/>
  <c r="E799" i="32"/>
  <c r="E652" i="32"/>
  <c r="E529" i="32"/>
  <c r="E870" i="32"/>
  <c r="E576" i="32"/>
  <c r="E835" i="32"/>
  <c r="E497" i="32"/>
  <c r="E539" i="32"/>
  <c r="E588" i="32"/>
  <c r="E527" i="32"/>
  <c r="E789" i="32"/>
  <c r="E593" i="32"/>
  <c r="E625" i="32"/>
  <c r="E626" i="32"/>
  <c r="E701" i="32"/>
  <c r="E660" i="32"/>
  <c r="E635" i="32"/>
  <c r="E649" i="32"/>
  <c r="E620" i="32"/>
  <c r="E641" i="32"/>
  <c r="E650" i="32"/>
  <c r="E621" i="32"/>
  <c r="E628" i="32"/>
  <c r="E666" i="32"/>
  <c r="E629" i="32"/>
  <c r="E642" i="32"/>
  <c r="E643" i="32"/>
  <c r="E644" i="32"/>
  <c r="E675" i="32"/>
  <c r="E659" i="32"/>
  <c r="E654" i="32"/>
  <c r="E702" i="32"/>
  <c r="E672" i="32"/>
  <c r="E656" i="32"/>
  <c r="E670" i="32"/>
  <c r="E664" i="32"/>
  <c r="E720" i="32"/>
  <c r="E673" i="32"/>
  <c r="E676" i="32"/>
  <c r="E685" i="32"/>
  <c r="E671" i="32"/>
  <c r="E669" i="32"/>
  <c r="E677" i="32"/>
  <c r="E674" i="32"/>
  <c r="E678" i="32"/>
  <c r="E683" i="32"/>
  <c r="E749" i="32"/>
  <c r="E692" i="32"/>
  <c r="E696" i="32"/>
  <c r="E719" i="32"/>
  <c r="E800" i="32"/>
  <c r="E710" i="32"/>
  <c r="E712" i="32"/>
  <c r="E855" i="32"/>
  <c r="E792" i="32"/>
  <c r="E727" i="32"/>
  <c r="E729" i="32"/>
  <c r="E908" i="32"/>
  <c r="E909" i="32"/>
  <c r="E740" i="32"/>
  <c r="E515" i="32"/>
  <c r="E746" i="32"/>
  <c r="E757" i="32"/>
  <c r="E755" i="32"/>
  <c r="E758" i="32"/>
  <c r="E837" i="32"/>
  <c r="E914" i="32"/>
  <c r="E762" i="32"/>
  <c r="E761" i="32"/>
  <c r="E769" i="32"/>
  <c r="E767" i="32"/>
  <c r="E806" i="32"/>
  <c r="E932" i="32"/>
  <c r="E774" i="32"/>
  <c r="E772" i="32"/>
  <c r="E796" i="32"/>
  <c r="E728" i="32"/>
  <c r="E798" i="32"/>
  <c r="E807" i="32"/>
  <c r="E797" i="32"/>
  <c r="E790" i="32"/>
  <c r="E793" i="32"/>
  <c r="E795" i="32"/>
  <c r="E841" i="32"/>
  <c r="E813" i="32"/>
  <c r="E809" i="32"/>
  <c r="E825" i="32"/>
  <c r="E827" i="32"/>
  <c r="E829" i="32"/>
  <c r="E838" i="32"/>
  <c r="E832" i="32"/>
  <c r="E933" i="32"/>
  <c r="E889" i="32"/>
  <c r="E842" i="32"/>
  <c r="E864" i="32"/>
  <c r="E843" i="32"/>
  <c r="E863" i="32"/>
  <c r="E854" i="32"/>
  <c r="E859" i="32"/>
  <c r="E847" i="32"/>
  <c r="E866" i="32"/>
  <c r="E686" i="32"/>
  <c r="E523" i="32"/>
  <c r="E865" i="32"/>
  <c r="E890" i="32"/>
  <c r="E951" i="32"/>
  <c r="E508" i="32"/>
  <c r="E891" i="32"/>
  <c r="E518" i="32"/>
  <c r="E888" i="32"/>
  <c r="E876" i="32"/>
  <c r="E599" i="32"/>
  <c r="E572" i="32"/>
  <c r="E913" i="32"/>
  <c r="E498" i="32"/>
  <c r="E886" i="32"/>
  <c r="E500" i="32"/>
  <c r="E887" i="32"/>
  <c r="E897" i="32"/>
  <c r="E898" i="32"/>
  <c r="E919" i="32"/>
  <c r="E501" i="32"/>
  <c r="E896" i="32"/>
  <c r="E511" i="32"/>
  <c r="E499" i="32"/>
  <c r="E524" i="32"/>
  <c r="E578" i="32"/>
  <c r="E525" i="32"/>
  <c r="E552" i="32"/>
  <c r="E604" i="32"/>
  <c r="E546" i="32"/>
  <c r="E556" i="32"/>
  <c r="E555" i="32"/>
  <c r="E597" i="32"/>
  <c r="E580" i="32"/>
  <c r="E577" i="32"/>
  <c r="E582" i="32"/>
  <c r="E581" i="32"/>
  <c r="E553" i="32"/>
  <c r="E558" i="32"/>
  <c r="E528" i="32"/>
  <c r="E639" i="32"/>
  <c r="E571" i="32"/>
  <c r="E563" i="32"/>
  <c r="E566" i="32"/>
  <c r="E679" i="32"/>
  <c r="E579" i="32"/>
  <c r="E638" i="32"/>
  <c r="E583" i="32"/>
  <c r="E509" i="32"/>
  <c r="E584" i="32"/>
  <c r="E598" i="32"/>
  <c r="E594" i="32"/>
  <c r="E596" i="32"/>
  <c r="E585" i="32"/>
  <c r="E687" i="32"/>
  <c r="E611" i="32"/>
  <c r="E682" i="32"/>
  <c r="E591" i="32"/>
  <c r="E680" i="32"/>
  <c r="E624" i="32"/>
  <c r="E648" i="32"/>
  <c r="E651" i="32"/>
  <c r="E697" i="32"/>
  <c r="E622" i="32"/>
  <c r="E521" i="32"/>
  <c r="E613" i="32"/>
  <c r="E745" i="32"/>
  <c r="E516" i="32"/>
  <c r="E856" i="32"/>
  <c r="E631" i="32"/>
  <c r="E632" i="32"/>
  <c r="E857" i="32"/>
  <c r="E935" i="32"/>
  <c r="E936" i="32"/>
  <c r="E937" i="32"/>
  <c r="E947" i="32"/>
  <c r="E823" i="32"/>
  <c r="E655" i="32"/>
  <c r="E559" i="32"/>
  <c r="E510" i="32"/>
  <c r="E681" i="32"/>
  <c r="E781" i="32"/>
  <c r="E756" i="32"/>
  <c r="E903" i="32"/>
  <c r="E881" i="32"/>
  <c r="E532" i="32"/>
  <c r="E899" i="32"/>
  <c r="E533" i="32"/>
  <c r="E901" i="32"/>
  <c r="E924" i="32"/>
  <c r="E657" i="32"/>
  <c r="E925" i="32"/>
  <c r="E765" i="32"/>
  <c r="E766" i="32"/>
  <c r="E575" i="32"/>
  <c r="E748" i="32"/>
  <c r="E840" i="32"/>
  <c r="E892" i="32"/>
  <c r="E705" i="32"/>
  <c r="E667" i="32"/>
  <c r="E878" i="32"/>
  <c r="E512" i="32"/>
  <c r="E778" i="32"/>
  <c r="E567" i="32"/>
  <c r="E900" i="32"/>
  <c r="E811" i="32"/>
  <c r="E544" i="32"/>
  <c r="E519" i="32"/>
  <c r="E504" i="32"/>
  <c r="E645" i="32"/>
  <c r="E503" i="32"/>
  <c r="E773" i="32"/>
  <c r="E768" i="32"/>
  <c r="E711" i="32"/>
  <c r="E858" i="32"/>
  <c r="E952" i="32"/>
  <c r="E844" i="32"/>
  <c r="E738" i="32"/>
  <c r="E810" i="32"/>
  <c r="E615" i="32"/>
  <c r="E601" i="32"/>
  <c r="E912" i="32"/>
  <c r="E928" i="32"/>
  <c r="E695" i="32"/>
  <c r="C21" i="13"/>
  <c r="C21" i="6"/>
  <c r="C21" i="31"/>
  <c r="K65" i="78" l="1"/>
  <c r="J52" i="32"/>
  <c r="K14" i="78"/>
  <c r="J20" i="78"/>
  <c r="I26" i="78"/>
  <c r="M26" i="78"/>
  <c r="L32" i="78"/>
  <c r="K38" i="78"/>
  <c r="J44" i="78"/>
  <c r="I50" i="78"/>
  <c r="N50" i="78" s="1"/>
  <c r="M50" i="78"/>
  <c r="L56" i="78"/>
  <c r="K62" i="78"/>
  <c r="J68" i="78"/>
  <c r="I74" i="78"/>
  <c r="N74" i="78" s="1"/>
  <c r="M74" i="78"/>
  <c r="L80" i="78"/>
  <c r="K15" i="78"/>
  <c r="J21" i="78"/>
  <c r="I27" i="78"/>
  <c r="M27" i="78"/>
  <c r="L33" i="78"/>
  <c r="K39" i="78"/>
  <c r="J45" i="78"/>
  <c r="I51" i="78"/>
  <c r="N51" i="78" s="1"/>
  <c r="M51" i="78"/>
  <c r="L57" i="78"/>
  <c r="K63" i="78"/>
  <c r="J69" i="78"/>
  <c r="I75" i="78"/>
  <c r="N75" i="78" s="1"/>
  <c r="M75" i="78"/>
  <c r="L81" i="78"/>
  <c r="K17" i="78"/>
  <c r="J29" i="78"/>
  <c r="I35" i="78"/>
  <c r="N35" i="78" s="1"/>
  <c r="M35" i="78"/>
  <c r="L41" i="78"/>
  <c r="K47" i="78"/>
  <c r="J53" i="78"/>
  <c r="I59" i="78"/>
  <c r="N59" i="78" s="1"/>
  <c r="M59" i="78"/>
  <c r="L71" i="78"/>
  <c r="K77" i="78"/>
  <c r="J83" i="78"/>
  <c r="I23" i="78"/>
  <c r="M23" i="78"/>
  <c r="L65" i="78"/>
  <c r="K56" i="32"/>
  <c r="M89" i="32"/>
  <c r="L14" i="78"/>
  <c r="K20" i="78"/>
  <c r="J26" i="78"/>
  <c r="I32" i="78"/>
  <c r="N32" i="78" s="1"/>
  <c r="M32" i="78"/>
  <c r="L38" i="78"/>
  <c r="K44" i="78"/>
  <c r="J50" i="78"/>
  <c r="I56" i="78"/>
  <c r="N56" i="78" s="1"/>
  <c r="M56" i="78"/>
  <c r="L62" i="78"/>
  <c r="K68" i="78"/>
  <c r="J74" i="78"/>
  <c r="I80" i="78"/>
  <c r="N80" i="78" s="1"/>
  <c r="M80" i="78"/>
  <c r="L15" i="78"/>
  <c r="K21" i="78"/>
  <c r="J27" i="78"/>
  <c r="I33" i="78"/>
  <c r="N33" i="78" s="1"/>
  <c r="M33" i="78"/>
  <c r="L39" i="78"/>
  <c r="K45" i="78"/>
  <c r="J51" i="78"/>
  <c r="I57" i="78"/>
  <c r="N57" i="78" s="1"/>
  <c r="M57" i="78"/>
  <c r="L63" i="78"/>
  <c r="K69" i="78"/>
  <c r="J75" i="78"/>
  <c r="I81" i="78"/>
  <c r="N81" i="78" s="1"/>
  <c r="M81" i="78"/>
  <c r="L17" i="78"/>
  <c r="K29" i="78"/>
  <c r="J35" i="78"/>
  <c r="I41" i="78"/>
  <c r="N41" i="78" s="1"/>
  <c r="M41" i="78"/>
  <c r="L47" i="78"/>
  <c r="K53" i="78"/>
  <c r="J59" i="78"/>
  <c r="I71" i="78"/>
  <c r="N71" i="78" s="1"/>
  <c r="M71" i="78"/>
  <c r="L77" i="78"/>
  <c r="K83" i="78"/>
  <c r="J23" i="78"/>
  <c r="I65" i="78"/>
  <c r="N65" i="78" s="1"/>
  <c r="M65" i="78"/>
  <c r="J56" i="32"/>
  <c r="I52" i="32"/>
  <c r="I14" i="78"/>
  <c r="M14" i="78"/>
  <c r="L20" i="78"/>
  <c r="K26" i="78"/>
  <c r="J32" i="78"/>
  <c r="I38" i="78"/>
  <c r="N38" i="78" s="1"/>
  <c r="M38" i="78"/>
  <c r="L44" i="78"/>
  <c r="K50" i="78"/>
  <c r="J56" i="78"/>
  <c r="I62" i="78"/>
  <c r="N62" i="78" s="1"/>
  <c r="M62" i="78"/>
  <c r="L68" i="78"/>
  <c r="K74" i="78"/>
  <c r="J80" i="78"/>
  <c r="I15" i="78"/>
  <c r="M15" i="78"/>
  <c r="L21" i="78"/>
  <c r="K27" i="78"/>
  <c r="J33" i="78"/>
  <c r="I39" i="78"/>
  <c r="N39" i="78" s="1"/>
  <c r="M39" i="78"/>
  <c r="L45" i="78"/>
  <c r="K51" i="78"/>
  <c r="J57" i="78"/>
  <c r="I63" i="78"/>
  <c r="N63" i="78" s="1"/>
  <c r="M63" i="78"/>
  <c r="L69" i="78"/>
  <c r="K75" i="78"/>
  <c r="J81" i="78"/>
  <c r="I17" i="78"/>
  <c r="M17" i="78"/>
  <c r="L29" i="78"/>
  <c r="K35" i="78"/>
  <c r="J41" i="78"/>
  <c r="I47" i="78"/>
  <c r="N47" i="78" s="1"/>
  <c r="M47" i="78"/>
  <c r="L53" i="78"/>
  <c r="K59" i="78"/>
  <c r="J71" i="78"/>
  <c r="I77" i="78"/>
  <c r="N77" i="78" s="1"/>
  <c r="M77" i="78"/>
  <c r="L83" i="78"/>
  <c r="K23" i="78"/>
  <c r="J65" i="78"/>
  <c r="L52" i="32"/>
  <c r="J14" i="78"/>
  <c r="I20" i="78"/>
  <c r="M20" i="78"/>
  <c r="L26" i="78"/>
  <c r="K32" i="78"/>
  <c r="J38" i="78"/>
  <c r="I44" i="78"/>
  <c r="N44" i="78" s="1"/>
  <c r="M44" i="78"/>
  <c r="L50" i="78"/>
  <c r="K56" i="78"/>
  <c r="J62" i="78"/>
  <c r="I68" i="78"/>
  <c r="N68" i="78" s="1"/>
  <c r="M68" i="78"/>
  <c r="L74" i="78"/>
  <c r="K80" i="78"/>
  <c r="J15" i="78"/>
  <c r="I21" i="78"/>
  <c r="M21" i="78"/>
  <c r="L27" i="78"/>
  <c r="K33" i="78"/>
  <c r="J39" i="78"/>
  <c r="I45" i="78"/>
  <c r="N45" i="78" s="1"/>
  <c r="M45" i="78"/>
  <c r="L51" i="78"/>
  <c r="K57" i="78"/>
  <c r="J63" i="78"/>
  <c r="I69" i="78"/>
  <c r="N69" i="78" s="1"/>
  <c r="M69" i="78"/>
  <c r="L75" i="78"/>
  <c r="K81" i="78"/>
  <c r="J17" i="78"/>
  <c r="I29" i="78"/>
  <c r="M29" i="78"/>
  <c r="L35" i="78"/>
  <c r="K41" i="78"/>
  <c r="J47" i="78"/>
  <c r="I53" i="78"/>
  <c r="N53" i="78" s="1"/>
  <c r="M53" i="78"/>
  <c r="L59" i="78"/>
  <c r="K71" i="78"/>
  <c r="J77" i="78"/>
  <c r="I83" i="78"/>
  <c r="N83" i="78" s="1"/>
  <c r="M83" i="78"/>
  <c r="L23" i="78"/>
  <c r="L56" i="32"/>
  <c r="K52" i="32"/>
  <c r="L47" i="32"/>
  <c r="J60" i="32"/>
  <c r="I73" i="32"/>
  <c r="N73" i="32" s="1"/>
  <c r="M73" i="32"/>
  <c r="L86" i="32"/>
  <c r="K99" i="32"/>
  <c r="J112" i="32"/>
  <c r="I125" i="32"/>
  <c r="N125" i="32" s="1"/>
  <c r="M125" i="32"/>
  <c r="L138" i="32"/>
  <c r="K151" i="32"/>
  <c r="J164" i="32"/>
  <c r="I22" i="32"/>
  <c r="M22" i="32"/>
  <c r="L35" i="32"/>
  <c r="K48" i="32"/>
  <c r="J61" i="32"/>
  <c r="I74" i="32"/>
  <c r="N74" i="32" s="1"/>
  <c r="M74" i="32"/>
  <c r="L87" i="32"/>
  <c r="K100" i="32"/>
  <c r="J113" i="32"/>
  <c r="I126" i="32"/>
  <c r="N126" i="32" s="1"/>
  <c r="M126" i="32"/>
  <c r="L139" i="32"/>
  <c r="K152" i="32"/>
  <c r="J165" i="32"/>
  <c r="I23" i="32"/>
  <c r="M23" i="32"/>
  <c r="L36" i="32"/>
  <c r="K49" i="32"/>
  <c r="J62" i="32"/>
  <c r="I75" i="32"/>
  <c r="N75" i="32" s="1"/>
  <c r="M75" i="32"/>
  <c r="L88" i="32"/>
  <c r="K101" i="32"/>
  <c r="J114" i="32"/>
  <c r="I127" i="32"/>
  <c r="N127" i="32" s="1"/>
  <c r="M127" i="32"/>
  <c r="L140" i="32"/>
  <c r="K153" i="32"/>
  <c r="J166" i="32"/>
  <c r="I24" i="32"/>
  <c r="M24" i="32"/>
  <c r="L37" i="32"/>
  <c r="K50" i="32"/>
  <c r="J63" i="32"/>
  <c r="I76" i="32"/>
  <c r="N76" i="32" s="1"/>
  <c r="M76" i="32"/>
  <c r="L102" i="32"/>
  <c r="K115" i="32"/>
  <c r="J128" i="32"/>
  <c r="I141" i="32"/>
  <c r="N141" i="32" s="1"/>
  <c r="M141" i="32"/>
  <c r="L154" i="32"/>
  <c r="K167" i="32"/>
  <c r="J89" i="32"/>
  <c r="K57" i="32"/>
  <c r="M47" i="32"/>
  <c r="K60" i="32"/>
  <c r="J73" i="32"/>
  <c r="I86" i="32"/>
  <c r="N86" i="32" s="1"/>
  <c r="M86" i="32"/>
  <c r="L99" i="32"/>
  <c r="K112" i="32"/>
  <c r="J125" i="32"/>
  <c r="I138" i="32"/>
  <c r="N138" i="32" s="1"/>
  <c r="M138" i="32"/>
  <c r="L151" i="32"/>
  <c r="K164" i="32"/>
  <c r="J22" i="32"/>
  <c r="I35" i="32"/>
  <c r="M35" i="32"/>
  <c r="L48" i="32"/>
  <c r="K61" i="32"/>
  <c r="J74" i="32"/>
  <c r="I87" i="32"/>
  <c r="N87" i="32" s="1"/>
  <c r="M87" i="32"/>
  <c r="L100" i="32"/>
  <c r="K113" i="32"/>
  <c r="J126" i="32"/>
  <c r="I139" i="32"/>
  <c r="N139" i="32" s="1"/>
  <c r="M139" i="32"/>
  <c r="L152" i="32"/>
  <c r="K165" i="32"/>
  <c r="J23" i="32"/>
  <c r="I36" i="32"/>
  <c r="M36" i="32"/>
  <c r="L49" i="32"/>
  <c r="K62" i="32"/>
  <c r="J75" i="32"/>
  <c r="I88" i="32"/>
  <c r="N88" i="32" s="1"/>
  <c r="M88" i="32"/>
  <c r="L101" i="32"/>
  <c r="K114" i="32"/>
  <c r="J127" i="32"/>
  <c r="I140" i="32"/>
  <c r="N140" i="32" s="1"/>
  <c r="M140" i="32"/>
  <c r="L153" i="32"/>
  <c r="K166" i="32"/>
  <c r="J24" i="32"/>
  <c r="I37" i="32"/>
  <c r="M37" i="32"/>
  <c r="L50" i="32"/>
  <c r="K63" i="32"/>
  <c r="J76" i="32"/>
  <c r="I102" i="32"/>
  <c r="N102" i="32" s="1"/>
  <c r="M102" i="32"/>
  <c r="L115" i="32"/>
  <c r="K128" i="32"/>
  <c r="J141" i="32"/>
  <c r="I154" i="32"/>
  <c r="N154" i="32" s="1"/>
  <c r="M154" i="32"/>
  <c r="L167" i="32"/>
  <c r="K89" i="32"/>
  <c r="J47" i="32"/>
  <c r="I47" i="32"/>
  <c r="L60" i="32"/>
  <c r="K73" i="32"/>
  <c r="J86" i="32"/>
  <c r="I99" i="32"/>
  <c r="N99" i="32" s="1"/>
  <c r="M99" i="32"/>
  <c r="L112" i="32"/>
  <c r="K125" i="32"/>
  <c r="J138" i="32"/>
  <c r="I151" i="32"/>
  <c r="N151" i="32" s="1"/>
  <c r="M151" i="32"/>
  <c r="L164" i="32"/>
  <c r="K22" i="32"/>
  <c r="J35" i="32"/>
  <c r="I48" i="32"/>
  <c r="M48" i="32"/>
  <c r="L61" i="32"/>
  <c r="K74" i="32"/>
  <c r="J87" i="32"/>
  <c r="I100" i="32"/>
  <c r="N100" i="32" s="1"/>
  <c r="M100" i="32"/>
  <c r="L113" i="32"/>
  <c r="K126" i="32"/>
  <c r="J139" i="32"/>
  <c r="I152" i="32"/>
  <c r="N152" i="32" s="1"/>
  <c r="M152" i="32"/>
  <c r="L165" i="32"/>
  <c r="K23" i="32"/>
  <c r="J36" i="32"/>
  <c r="I49" i="32"/>
  <c r="M49" i="32"/>
  <c r="L62" i="32"/>
  <c r="K75" i="32"/>
  <c r="J88" i="32"/>
  <c r="I101" i="32"/>
  <c r="N101" i="32" s="1"/>
  <c r="M101" i="32"/>
  <c r="L114" i="32"/>
  <c r="K127" i="32"/>
  <c r="J140" i="32"/>
  <c r="I153" i="32"/>
  <c r="N153" i="32" s="1"/>
  <c r="M153" i="32"/>
  <c r="L166" i="32"/>
  <c r="K24" i="32"/>
  <c r="J37" i="32"/>
  <c r="I50" i="32"/>
  <c r="M50" i="32"/>
  <c r="L63" i="32"/>
  <c r="K76" i="32"/>
  <c r="J102" i="32"/>
  <c r="I115" i="32"/>
  <c r="N115" i="32" s="1"/>
  <c r="M115" i="32"/>
  <c r="L128" i="32"/>
  <c r="K141" i="32"/>
  <c r="J154" i="32"/>
  <c r="I167" i="32"/>
  <c r="N167" i="32" s="1"/>
  <c r="M167" i="32"/>
  <c r="L89" i="32"/>
  <c r="K47" i="32"/>
  <c r="I60" i="32"/>
  <c r="N60" i="32" s="1"/>
  <c r="M60" i="32"/>
  <c r="L73" i="32"/>
  <c r="K86" i="32"/>
  <c r="J99" i="32"/>
  <c r="I112" i="32"/>
  <c r="N112" i="32" s="1"/>
  <c r="M112" i="32"/>
  <c r="L125" i="32"/>
  <c r="K138" i="32"/>
  <c r="J151" i="32"/>
  <c r="I164" i="32"/>
  <c r="N164" i="32" s="1"/>
  <c r="M164" i="32"/>
  <c r="L22" i="32"/>
  <c r="K35" i="32"/>
  <c r="J48" i="32"/>
  <c r="I61" i="32"/>
  <c r="N61" i="32" s="1"/>
  <c r="M61" i="32"/>
  <c r="L74" i="32"/>
  <c r="K87" i="32"/>
  <c r="J100" i="32"/>
  <c r="I113" i="32"/>
  <c r="N113" i="32" s="1"/>
  <c r="M113" i="32"/>
  <c r="L126" i="32"/>
  <c r="K139" i="32"/>
  <c r="J152" i="32"/>
  <c r="I165" i="32"/>
  <c r="N165" i="32" s="1"/>
  <c r="M165" i="32"/>
  <c r="L23" i="32"/>
  <c r="N23" i="32" s="1"/>
  <c r="K36" i="32"/>
  <c r="J49" i="32"/>
  <c r="I62" i="32"/>
  <c r="N62" i="32" s="1"/>
  <c r="M62" i="32"/>
  <c r="L75" i="32"/>
  <c r="K88" i="32"/>
  <c r="J101" i="32"/>
  <c r="I114" i="32"/>
  <c r="N114" i="32" s="1"/>
  <c r="M114" i="32"/>
  <c r="L127" i="32"/>
  <c r="K140" i="32"/>
  <c r="J153" i="32"/>
  <c r="I166" i="32"/>
  <c r="N166" i="32" s="1"/>
  <c r="M166" i="32"/>
  <c r="L24" i="32"/>
  <c r="N24" i="32" s="1"/>
  <c r="K37" i="32"/>
  <c r="J50" i="32"/>
  <c r="I63" i="32"/>
  <c r="N63" i="32" s="1"/>
  <c r="M63" i="32"/>
  <c r="L76" i="32"/>
  <c r="K102" i="32"/>
  <c r="J115" i="32"/>
  <c r="I128" i="32"/>
  <c r="N128" i="32" s="1"/>
  <c r="M128" i="32"/>
  <c r="L141" i="32"/>
  <c r="K154" i="32"/>
  <c r="J167" i="32"/>
  <c r="I89" i="32"/>
  <c r="N89" i="32" s="1"/>
  <c r="K13" i="78"/>
  <c r="K19" i="78"/>
  <c r="L13" i="78"/>
  <c r="K22" i="78"/>
  <c r="K61" i="78"/>
  <c r="K66" i="78" s="1"/>
  <c r="K16" i="78"/>
  <c r="K25" i="78"/>
  <c r="J34" i="78"/>
  <c r="L37" i="78"/>
  <c r="L42" i="78" s="1"/>
  <c r="M82" i="78"/>
  <c r="I82" i="78"/>
  <c r="N82" i="78" s="1"/>
  <c r="K79" i="78"/>
  <c r="K84" i="78" s="1"/>
  <c r="M76" i="78"/>
  <c r="I76" i="78"/>
  <c r="N76" i="78" s="1"/>
  <c r="K73" i="78"/>
  <c r="K78" i="78" s="1"/>
  <c r="M70" i="78"/>
  <c r="I70" i="78"/>
  <c r="N70" i="78" s="1"/>
  <c r="L82" i="78"/>
  <c r="J79" i="78"/>
  <c r="J84" i="78" s="1"/>
  <c r="L76" i="78"/>
  <c r="J73" i="78"/>
  <c r="J78" i="78" s="1"/>
  <c r="L70" i="78"/>
  <c r="J67" i="78"/>
  <c r="J72" i="78" s="1"/>
  <c r="L64" i="78"/>
  <c r="J61" i="78"/>
  <c r="J66" i="78" s="1"/>
  <c r="K82" i="78"/>
  <c r="I73" i="78"/>
  <c r="N73" i="78" s="1"/>
  <c r="I67" i="78"/>
  <c r="N67" i="78" s="1"/>
  <c r="J64" i="78"/>
  <c r="I61" i="78"/>
  <c r="N61" i="78" s="1"/>
  <c r="J58" i="78"/>
  <c r="L55" i="78"/>
  <c r="L60" i="78" s="1"/>
  <c r="J52" i="78"/>
  <c r="L49" i="78"/>
  <c r="L54" i="78" s="1"/>
  <c r="M73" i="78"/>
  <c r="M78" i="78" s="1"/>
  <c r="K67" i="78"/>
  <c r="K72" i="78" s="1"/>
  <c r="K58" i="78"/>
  <c r="J55" i="78"/>
  <c r="J60" i="78" s="1"/>
  <c r="L52" i="78"/>
  <c r="K49" i="78"/>
  <c r="K54" i="78" s="1"/>
  <c r="M46" i="78"/>
  <c r="I46" i="78"/>
  <c r="N46" i="78" s="1"/>
  <c r="K43" i="78"/>
  <c r="K48" i="78" s="1"/>
  <c r="M40" i="78"/>
  <c r="I40" i="78"/>
  <c r="N40" i="78" s="1"/>
  <c r="K37" i="78"/>
  <c r="K42" i="78" s="1"/>
  <c r="M34" i="78"/>
  <c r="I34" i="78"/>
  <c r="N34" i="78" s="1"/>
  <c r="K31" i="78"/>
  <c r="K36" i="78" s="1"/>
  <c r="M79" i="78"/>
  <c r="M84" i="78" s="1"/>
  <c r="L73" i="78"/>
  <c r="L78" i="78" s="1"/>
  <c r="K70" i="78"/>
  <c r="M64" i="78"/>
  <c r="M61" i="78"/>
  <c r="M66" i="78" s="1"/>
  <c r="I58" i="78"/>
  <c r="N58" i="78" s="1"/>
  <c r="I55" i="78"/>
  <c r="N55" i="78" s="1"/>
  <c r="K52" i="78"/>
  <c r="J49" i="78"/>
  <c r="J54" i="78" s="1"/>
  <c r="L46" i="78"/>
  <c r="J43" i="78"/>
  <c r="J48" i="78" s="1"/>
  <c r="L40" i="78"/>
  <c r="J37" i="78"/>
  <c r="J42" i="78" s="1"/>
  <c r="L34" i="78"/>
  <c r="J31" i="78"/>
  <c r="J36" i="78" s="1"/>
  <c r="L28" i="78"/>
  <c r="J25" i="78"/>
  <c r="L22" i="78"/>
  <c r="J19" i="78"/>
  <c r="J82" i="78"/>
  <c r="J70" i="78"/>
  <c r="M58" i="78"/>
  <c r="M55" i="78"/>
  <c r="M60" i="78" s="1"/>
  <c r="M52" i="78"/>
  <c r="K46" i="78"/>
  <c r="I37" i="78"/>
  <c r="N37" i="78" s="1"/>
  <c r="L31" i="78"/>
  <c r="L36" i="78" s="1"/>
  <c r="J28" i="78"/>
  <c r="I25" i="78"/>
  <c r="J22" i="78"/>
  <c r="I19" i="78"/>
  <c r="L79" i="78"/>
  <c r="L84" i="78" s="1"/>
  <c r="K76" i="78"/>
  <c r="M67" i="78"/>
  <c r="M72" i="78" s="1"/>
  <c r="K64" i="78"/>
  <c r="L58" i="78"/>
  <c r="K55" i="78"/>
  <c r="K60" i="78" s="1"/>
  <c r="I52" i="78"/>
  <c r="N52" i="78" s="1"/>
  <c r="M49" i="78"/>
  <c r="M54" i="78" s="1"/>
  <c r="J46" i="78"/>
  <c r="M43" i="78"/>
  <c r="M48" i="78" s="1"/>
  <c r="K40" i="78"/>
  <c r="I31" i="78"/>
  <c r="I28" i="78"/>
  <c r="M25" i="78"/>
  <c r="I22" i="78"/>
  <c r="M19" i="78"/>
  <c r="J16" i="78"/>
  <c r="K18" i="78"/>
  <c r="J13" i="78"/>
  <c r="I79" i="78"/>
  <c r="N79" i="78" s="1"/>
  <c r="J76" i="78"/>
  <c r="L67" i="78"/>
  <c r="L72" i="78" s="1"/>
  <c r="I64" i="78"/>
  <c r="N64" i="78" s="1"/>
  <c r="L61" i="78"/>
  <c r="L66" i="78" s="1"/>
  <c r="I49" i="78"/>
  <c r="N49" i="78" s="1"/>
  <c r="L43" i="78"/>
  <c r="L48" i="78" s="1"/>
  <c r="J40" i="78"/>
  <c r="M37" i="78"/>
  <c r="M42" i="78" s="1"/>
  <c r="K34" i="78"/>
  <c r="M28" i="78"/>
  <c r="L25" i="78"/>
  <c r="M22" i="78"/>
  <c r="L19" i="78"/>
  <c r="L24" i="78" s="1"/>
  <c r="M16" i="78"/>
  <c r="I16" i="78"/>
  <c r="M13" i="78"/>
  <c r="I13" i="78"/>
  <c r="L16" i="78"/>
  <c r="K28" i="78"/>
  <c r="M31" i="78"/>
  <c r="M36" i="78" s="1"/>
  <c r="I43" i="78"/>
  <c r="N43" i="78" s="1"/>
  <c r="N35" i="32"/>
  <c r="N36" i="32"/>
  <c r="N37" i="32"/>
  <c r="N48" i="32"/>
  <c r="N49" i="32"/>
  <c r="N50" i="32"/>
  <c r="N47" i="32"/>
  <c r="N22" i="32"/>
  <c r="M161" i="32"/>
  <c r="L45" i="32"/>
  <c r="K58" i="32"/>
  <c r="J71" i="32"/>
  <c r="I97" i="32"/>
  <c r="N97" i="32" s="1"/>
  <c r="M97" i="32"/>
  <c r="L110" i="32"/>
  <c r="K123" i="32"/>
  <c r="J136" i="32"/>
  <c r="I149" i="32"/>
  <c r="N149" i="32" s="1"/>
  <c r="M149" i="32"/>
  <c r="L162" i="32"/>
  <c r="K21" i="32"/>
  <c r="J34" i="32"/>
  <c r="M148" i="32"/>
  <c r="I45" i="32"/>
  <c r="M45" i="32"/>
  <c r="L58" i="32"/>
  <c r="K71" i="32"/>
  <c r="J97" i="32"/>
  <c r="I110" i="32"/>
  <c r="N110" i="32" s="1"/>
  <c r="M110" i="32"/>
  <c r="L123" i="32"/>
  <c r="K136" i="32"/>
  <c r="J149" i="32"/>
  <c r="I162" i="32"/>
  <c r="N162" i="32" s="1"/>
  <c r="M162" i="32"/>
  <c r="L21" i="32"/>
  <c r="K34" i="32"/>
  <c r="J45" i="32"/>
  <c r="I58" i="32"/>
  <c r="N58" i="32" s="1"/>
  <c r="M58" i="32"/>
  <c r="L71" i="32"/>
  <c r="K97" i="32"/>
  <c r="J110" i="32"/>
  <c r="I123" i="32"/>
  <c r="N123" i="32" s="1"/>
  <c r="M123" i="32"/>
  <c r="L136" i="32"/>
  <c r="K149" i="32"/>
  <c r="J162" i="32"/>
  <c r="I21" i="32"/>
  <c r="M21" i="32"/>
  <c r="L34" i="32"/>
  <c r="K45" i="32"/>
  <c r="J58" i="32"/>
  <c r="I71" i="32"/>
  <c r="N71" i="32" s="1"/>
  <c r="M71" i="32"/>
  <c r="L97" i="32"/>
  <c r="K110" i="32"/>
  <c r="J123" i="32"/>
  <c r="I136" i="32"/>
  <c r="N136" i="32" s="1"/>
  <c r="M136" i="32"/>
  <c r="L149" i="32"/>
  <c r="K162" i="32"/>
  <c r="J21" i="32"/>
  <c r="I34" i="32"/>
  <c r="M34" i="32"/>
  <c r="M44" i="32"/>
  <c r="J83" i="32"/>
  <c r="M96" i="32"/>
  <c r="K122" i="32"/>
  <c r="I148" i="32"/>
  <c r="N148" i="32" s="1"/>
  <c r="L161" i="32"/>
  <c r="K44" i="32"/>
  <c r="J57" i="32"/>
  <c r="I70" i="32"/>
  <c r="N70" i="32" s="1"/>
  <c r="M70" i="32"/>
  <c r="L83" i="32"/>
  <c r="K96" i="32"/>
  <c r="J109" i="32"/>
  <c r="I122" i="32"/>
  <c r="N122" i="32" s="1"/>
  <c r="M122" i="32"/>
  <c r="L135" i="32"/>
  <c r="K148" i="32"/>
  <c r="J161" i="32"/>
  <c r="L57" i="32"/>
  <c r="L44" i="32"/>
  <c r="J70" i="32"/>
  <c r="I83" i="32"/>
  <c r="N83" i="32" s="1"/>
  <c r="M83" i="32"/>
  <c r="L96" i="32"/>
  <c r="K109" i="32"/>
  <c r="J122" i="32"/>
  <c r="I135" i="32"/>
  <c r="N135" i="32" s="1"/>
  <c r="M135" i="32"/>
  <c r="L148" i="32"/>
  <c r="K161" i="32"/>
  <c r="I44" i="32"/>
  <c r="K70" i="32"/>
  <c r="I96" i="32"/>
  <c r="N96" i="32" s="1"/>
  <c r="L109" i="32"/>
  <c r="J135" i="32"/>
  <c r="J44" i="32"/>
  <c r="I57" i="32"/>
  <c r="N57" i="32" s="1"/>
  <c r="M57" i="32"/>
  <c r="L70" i="32"/>
  <c r="K83" i="32"/>
  <c r="J96" i="32"/>
  <c r="I109" i="32"/>
  <c r="N109" i="32" s="1"/>
  <c r="M109" i="32"/>
  <c r="L122" i="32"/>
  <c r="K135" i="32"/>
  <c r="J148" i="32"/>
  <c r="I161" i="32"/>
  <c r="N161" i="32" s="1"/>
  <c r="M160" i="32"/>
  <c r="I160" i="32"/>
  <c r="N160" i="32" s="1"/>
  <c r="J147" i="32"/>
  <c r="K134" i="32"/>
  <c r="L160" i="32"/>
  <c r="M147" i="32"/>
  <c r="I147" i="32"/>
  <c r="N147" i="32" s="1"/>
  <c r="J134" i="32"/>
  <c r="K121" i="32"/>
  <c r="L108" i="32"/>
  <c r="M95" i="32"/>
  <c r="I95" i="32"/>
  <c r="N95" i="32" s="1"/>
  <c r="J82" i="32"/>
  <c r="K69" i="32"/>
  <c r="M43" i="32"/>
  <c r="I43" i="32"/>
  <c r="J159" i="32"/>
  <c r="K146" i="32"/>
  <c r="L133" i="32"/>
  <c r="M120" i="32"/>
  <c r="I120" i="32"/>
  <c r="N120" i="32" s="1"/>
  <c r="J107" i="32"/>
  <c r="K94" i="32"/>
  <c r="L81" i="32"/>
  <c r="M68" i="32"/>
  <c r="I68" i="32"/>
  <c r="N68" i="32" s="1"/>
  <c r="J55" i="32"/>
  <c r="K42" i="32"/>
  <c r="L158" i="32"/>
  <c r="M145" i="32"/>
  <c r="K160" i="32"/>
  <c r="L147" i="32"/>
  <c r="M134" i="32"/>
  <c r="I134" i="32"/>
  <c r="N134" i="32" s="1"/>
  <c r="J121" i="32"/>
  <c r="K108" i="32"/>
  <c r="L95" i="32"/>
  <c r="M82" i="32"/>
  <c r="I82" i="32"/>
  <c r="N82" i="32" s="1"/>
  <c r="J69" i="32"/>
  <c r="L43" i="32"/>
  <c r="M159" i="32"/>
  <c r="I159" i="32"/>
  <c r="N159" i="32" s="1"/>
  <c r="J146" i="32"/>
  <c r="K133" i="32"/>
  <c r="L120" i="32"/>
  <c r="M107" i="32"/>
  <c r="I107" i="32"/>
  <c r="N107" i="32" s="1"/>
  <c r="J94" i="32"/>
  <c r="K81" i="32"/>
  <c r="L68" i="32"/>
  <c r="M55" i="32"/>
  <c r="I55" i="32"/>
  <c r="N55" i="32" s="1"/>
  <c r="J42" i="32"/>
  <c r="K158" i="32"/>
  <c r="L145" i="32"/>
  <c r="M132" i="32"/>
  <c r="I132" i="32"/>
  <c r="N132" i="32" s="1"/>
  <c r="J119" i="32"/>
  <c r="K106" i="32"/>
  <c r="L93" i="32"/>
  <c r="M80" i="32"/>
  <c r="I80" i="32"/>
  <c r="N80" i="32" s="1"/>
  <c r="J67" i="32"/>
  <c r="K54" i="32"/>
  <c r="L41" i="32"/>
  <c r="M157" i="32"/>
  <c r="I157" i="32"/>
  <c r="N157" i="32" s="1"/>
  <c r="J144" i="32"/>
  <c r="K131" i="32"/>
  <c r="L118" i="32"/>
  <c r="M105" i="32"/>
  <c r="I105" i="32"/>
  <c r="N105" i="32" s="1"/>
  <c r="J92" i="32"/>
  <c r="K79" i="32"/>
  <c r="L66" i="32"/>
  <c r="M53" i="32"/>
  <c r="I53" i="32"/>
  <c r="N53" i="32" s="1"/>
  <c r="J40" i="32"/>
  <c r="L32" i="32"/>
  <c r="M31" i="32"/>
  <c r="I31" i="32"/>
  <c r="J160" i="32"/>
  <c r="K147" i="32"/>
  <c r="L134" i="32"/>
  <c r="M121" i="32"/>
  <c r="I121" i="32"/>
  <c r="N121" i="32" s="1"/>
  <c r="J108" i="32"/>
  <c r="K95" i="32"/>
  <c r="L82" i="32"/>
  <c r="M69" i="32"/>
  <c r="I69" i="32"/>
  <c r="N69" i="32" s="1"/>
  <c r="K43" i="32"/>
  <c r="L159" i="32"/>
  <c r="M146" i="32"/>
  <c r="I146" i="32"/>
  <c r="N146" i="32" s="1"/>
  <c r="J133" i="32"/>
  <c r="K120" i="32"/>
  <c r="L107" i="32"/>
  <c r="M94" i="32"/>
  <c r="I94" i="32"/>
  <c r="N94" i="32" s="1"/>
  <c r="J81" i="32"/>
  <c r="K68" i="32"/>
  <c r="L55" i="32"/>
  <c r="M42" i="32"/>
  <c r="I42" i="32"/>
  <c r="J158" i="32"/>
  <c r="K145" i="32"/>
  <c r="L132" i="32"/>
  <c r="M119" i="32"/>
  <c r="I119" i="32"/>
  <c r="N119" i="32" s="1"/>
  <c r="J106" i="32"/>
  <c r="K93" i="32"/>
  <c r="L80" i="32"/>
  <c r="M67" i="32"/>
  <c r="I67" i="32"/>
  <c r="N67" i="32" s="1"/>
  <c r="J54" i="32"/>
  <c r="K41" i="32"/>
  <c r="L157" i="32"/>
  <c r="M144" i="32"/>
  <c r="I144" i="32"/>
  <c r="N144" i="32" s="1"/>
  <c r="J131" i="32"/>
  <c r="K118" i="32"/>
  <c r="L105" i="32"/>
  <c r="M92" i="32"/>
  <c r="I92" i="32"/>
  <c r="N92" i="32" s="1"/>
  <c r="J79" i="32"/>
  <c r="K66" i="32"/>
  <c r="L53" i="32"/>
  <c r="M40" i="32"/>
  <c r="I40" i="32"/>
  <c r="K32" i="32"/>
  <c r="L31" i="32"/>
  <c r="M30" i="32"/>
  <c r="I30" i="32"/>
  <c r="J29" i="32"/>
  <c r="K28" i="32"/>
  <c r="L27" i="32"/>
  <c r="L121" i="32"/>
  <c r="K82" i="32"/>
  <c r="J43" i="32"/>
  <c r="I133" i="32"/>
  <c r="N133" i="32" s="1"/>
  <c r="M81" i="32"/>
  <c r="L42" i="32"/>
  <c r="I145" i="32"/>
  <c r="N145" i="32" s="1"/>
  <c r="K119" i="32"/>
  <c r="M93" i="32"/>
  <c r="J80" i="32"/>
  <c r="L54" i="32"/>
  <c r="I41" i="32"/>
  <c r="K144" i="32"/>
  <c r="M118" i="32"/>
  <c r="J105" i="32"/>
  <c r="L79" i="32"/>
  <c r="I66" i="32"/>
  <c r="N66" i="32" s="1"/>
  <c r="K40" i="32"/>
  <c r="I32" i="32"/>
  <c r="K30" i="32"/>
  <c r="K29" i="32"/>
  <c r="J28" i="32"/>
  <c r="J27" i="32"/>
  <c r="I26" i="32"/>
  <c r="M108" i="32"/>
  <c r="L69" i="32"/>
  <c r="K159" i="32"/>
  <c r="J120" i="32"/>
  <c r="I81" i="32"/>
  <c r="N81" i="32" s="1"/>
  <c r="M158" i="32"/>
  <c r="K132" i="32"/>
  <c r="M106" i="32"/>
  <c r="J93" i="32"/>
  <c r="L67" i="32"/>
  <c r="I54" i="32"/>
  <c r="N54" i="32" s="1"/>
  <c r="K157" i="32"/>
  <c r="M131" i="32"/>
  <c r="J118" i="32"/>
  <c r="L92" i="32"/>
  <c r="I79" i="32"/>
  <c r="N79" i="32" s="1"/>
  <c r="K53" i="32"/>
  <c r="K31" i="32"/>
  <c r="J30" i="32"/>
  <c r="I29" i="32"/>
  <c r="I28" i="32"/>
  <c r="I27" i="32"/>
  <c r="I14" i="32"/>
  <c r="K84" i="32"/>
  <c r="I108" i="32"/>
  <c r="N108" i="32" s="1"/>
  <c r="M56" i="32"/>
  <c r="L146" i="32"/>
  <c r="K107" i="32"/>
  <c r="J68" i="32"/>
  <c r="I158" i="32"/>
  <c r="N158" i="32" s="1"/>
  <c r="J132" i="32"/>
  <c r="L106" i="32"/>
  <c r="I93" i="32"/>
  <c r="N93" i="32" s="1"/>
  <c r="K67" i="32"/>
  <c r="M41" i="32"/>
  <c r="J157" i="32"/>
  <c r="L131" i="32"/>
  <c r="I118" i="32"/>
  <c r="N118" i="32" s="1"/>
  <c r="K92" i="32"/>
  <c r="M66" i="32"/>
  <c r="J53" i="32"/>
  <c r="M32" i="32"/>
  <c r="J31" i="32"/>
  <c r="M29" i="32"/>
  <c r="M28" i="32"/>
  <c r="M27" i="32"/>
  <c r="L84" i="32"/>
  <c r="J95" i="32"/>
  <c r="I56" i="32"/>
  <c r="N56" i="32" s="1"/>
  <c r="M133" i="32"/>
  <c r="L94" i="32"/>
  <c r="K55" i="32"/>
  <c r="J145" i="32"/>
  <c r="L119" i="32"/>
  <c r="I106" i="32"/>
  <c r="N106" i="32" s="1"/>
  <c r="K80" i="32"/>
  <c r="M54" i="32"/>
  <c r="J41" i="32"/>
  <c r="L144" i="32"/>
  <c r="I131" i="32"/>
  <c r="N131" i="32" s="1"/>
  <c r="K105" i="32"/>
  <c r="M79" i="32"/>
  <c r="J66" i="32"/>
  <c r="L40" i="32"/>
  <c r="J32" i="32"/>
  <c r="L30" i="32"/>
  <c r="L29" i="32"/>
  <c r="L28" i="32"/>
  <c r="K27" i="32"/>
  <c r="M84" i="32"/>
  <c r="J84" i="32"/>
  <c r="I84" i="32"/>
  <c r="N84" i="32" s="1"/>
  <c r="L17" i="32"/>
  <c r="M19" i="32"/>
  <c r="J13" i="32"/>
  <c r="J15" i="32"/>
  <c r="I16" i="32"/>
  <c r="J19" i="32"/>
  <c r="I13" i="32"/>
  <c r="L14" i="32"/>
  <c r="K15" i="32"/>
  <c r="J16" i="32"/>
  <c r="I17" i="32"/>
  <c r="M17" i="32"/>
  <c r="L18" i="32"/>
  <c r="K19" i="32"/>
  <c r="K14" i="32"/>
  <c r="M16" i="32"/>
  <c r="K18" i="32"/>
  <c r="M14" i="32"/>
  <c r="L15" i="32"/>
  <c r="K16" i="32"/>
  <c r="J17" i="32"/>
  <c r="I18" i="32"/>
  <c r="M18" i="32"/>
  <c r="L19" i="32"/>
  <c r="J14" i="32"/>
  <c r="I15" i="32"/>
  <c r="M15" i="32"/>
  <c r="L16" i="32"/>
  <c r="K17" i="32"/>
  <c r="J18" i="32"/>
  <c r="I19" i="32"/>
  <c r="N52" i="32"/>
  <c r="I39" i="32"/>
  <c r="L59" i="32"/>
  <c r="K65" i="32"/>
  <c r="K77" i="32" s="1"/>
  <c r="J72" i="32"/>
  <c r="I78" i="32"/>
  <c r="N78" i="32" s="1"/>
  <c r="M78" i="32"/>
  <c r="M90" i="32" s="1"/>
  <c r="L85" i="32"/>
  <c r="K91" i="32"/>
  <c r="K103" i="32" s="1"/>
  <c r="J98" i="32"/>
  <c r="I104" i="32"/>
  <c r="N104" i="32" s="1"/>
  <c r="M104" i="32"/>
  <c r="M116" i="32" s="1"/>
  <c r="L111" i="32"/>
  <c r="K117" i="32"/>
  <c r="K129" i="32" s="1"/>
  <c r="J124" i="32"/>
  <c r="I130" i="32"/>
  <c r="N130" i="32" s="1"/>
  <c r="M130" i="32"/>
  <c r="M142" i="32" s="1"/>
  <c r="L137" i="32"/>
  <c r="K143" i="32"/>
  <c r="K155" i="32" s="1"/>
  <c r="J150" i="32"/>
  <c r="I156" i="32"/>
  <c r="N156" i="32" s="1"/>
  <c r="M156" i="32"/>
  <c r="M168" i="32" s="1"/>
  <c r="L163" i="32"/>
  <c r="L64" i="32"/>
  <c r="I46" i="32"/>
  <c r="I59" i="32"/>
  <c r="N59" i="32" s="1"/>
  <c r="M59" i="32"/>
  <c r="L65" i="32"/>
  <c r="L77" i="32" s="1"/>
  <c r="K72" i="32"/>
  <c r="J78" i="32"/>
  <c r="J90" i="32" s="1"/>
  <c r="I85" i="32"/>
  <c r="N85" i="32" s="1"/>
  <c r="M85" i="32"/>
  <c r="L91" i="32"/>
  <c r="L103" i="32" s="1"/>
  <c r="K98" i="32"/>
  <c r="J104" i="32"/>
  <c r="J116" i="32" s="1"/>
  <c r="I111" i="32"/>
  <c r="N111" i="32" s="1"/>
  <c r="M111" i="32"/>
  <c r="L117" i="32"/>
  <c r="L129" i="32" s="1"/>
  <c r="K124" i="32"/>
  <c r="J130" i="32"/>
  <c r="J142" i="32" s="1"/>
  <c r="I137" i="32"/>
  <c r="N137" i="32" s="1"/>
  <c r="M137" i="32"/>
  <c r="L143" i="32"/>
  <c r="L155" i="32" s="1"/>
  <c r="K150" i="32"/>
  <c r="J156" i="32"/>
  <c r="J168" i="32" s="1"/>
  <c r="I163" i="32"/>
  <c r="N163" i="32" s="1"/>
  <c r="M163" i="32"/>
  <c r="K64" i="32"/>
  <c r="J59" i="32"/>
  <c r="I65" i="32"/>
  <c r="N65" i="32" s="1"/>
  <c r="M65" i="32"/>
  <c r="M77" i="32" s="1"/>
  <c r="L72" i="32"/>
  <c r="K78" i="32"/>
  <c r="K90" i="32" s="1"/>
  <c r="J85" i="32"/>
  <c r="I91" i="32"/>
  <c r="N91" i="32" s="1"/>
  <c r="M91" i="32"/>
  <c r="M103" i="32" s="1"/>
  <c r="L98" i="32"/>
  <c r="K104" i="32"/>
  <c r="K116" i="32" s="1"/>
  <c r="J111" i="32"/>
  <c r="I117" i="32"/>
  <c r="N117" i="32" s="1"/>
  <c r="M117" i="32"/>
  <c r="M129" i="32" s="1"/>
  <c r="L124" i="32"/>
  <c r="K130" i="32"/>
  <c r="K142" i="32" s="1"/>
  <c r="J137" i="32"/>
  <c r="I143" i="32"/>
  <c r="M143" i="32"/>
  <c r="M155" i="32" s="1"/>
  <c r="L150" i="32"/>
  <c r="K156" i="32"/>
  <c r="K168" i="32" s="1"/>
  <c r="J163" i="32"/>
  <c r="J64" i="32"/>
  <c r="K59" i="32"/>
  <c r="J65" i="32"/>
  <c r="J77" i="32" s="1"/>
  <c r="I72" i="32"/>
  <c r="N72" i="32" s="1"/>
  <c r="M72" i="32"/>
  <c r="L78" i="32"/>
  <c r="L90" i="32" s="1"/>
  <c r="K85" i="32"/>
  <c r="J91" i="32"/>
  <c r="J103" i="32" s="1"/>
  <c r="I98" i="32"/>
  <c r="N98" i="32" s="1"/>
  <c r="M98" i="32"/>
  <c r="L104" i="32"/>
  <c r="L116" i="32" s="1"/>
  <c r="K111" i="32"/>
  <c r="J117" i="32"/>
  <c r="J129" i="32" s="1"/>
  <c r="I124" i="32"/>
  <c r="N124" i="32" s="1"/>
  <c r="M124" i="32"/>
  <c r="L130" i="32"/>
  <c r="L142" i="32" s="1"/>
  <c r="K137" i="32"/>
  <c r="J143" i="32"/>
  <c r="J155" i="32" s="1"/>
  <c r="I150" i="32"/>
  <c r="N150" i="32" s="1"/>
  <c r="M150" i="32"/>
  <c r="L156" i="32"/>
  <c r="L168" i="32" s="1"/>
  <c r="K163" i="32"/>
  <c r="M52" i="32"/>
  <c r="M64" i="32" s="1"/>
  <c r="I64" i="32"/>
  <c r="N64" i="32" s="1"/>
  <c r="I77" i="32"/>
  <c r="N77" i="32" s="1"/>
  <c r="I103" i="32"/>
  <c r="N103" i="32" s="1"/>
  <c r="I129" i="32"/>
  <c r="N129" i="32" s="1"/>
  <c r="I116" i="32"/>
  <c r="N116" i="32" s="1"/>
  <c r="I142" i="32"/>
  <c r="N142" i="32" s="1"/>
  <c r="I168" i="32"/>
  <c r="N168" i="32" s="1"/>
  <c r="I90" i="32"/>
  <c r="N90" i="32" s="1"/>
  <c r="K20" i="32"/>
  <c r="L33" i="32"/>
  <c r="M33" i="32"/>
  <c r="K26" i="32"/>
  <c r="J26" i="32"/>
  <c r="L13" i="32"/>
  <c r="M13" i="32"/>
  <c r="K33" i="32"/>
  <c r="J33" i="32"/>
  <c r="L20" i="32"/>
  <c r="M20" i="32"/>
  <c r="I33" i="32"/>
  <c r="I20" i="32"/>
  <c r="K13" i="32"/>
  <c r="L26" i="32"/>
  <c r="M26" i="32"/>
  <c r="J20" i="32"/>
  <c r="L46" i="32"/>
  <c r="K46" i="32"/>
  <c r="J46" i="32"/>
  <c r="M46" i="32"/>
  <c r="J39" i="32"/>
  <c r="L39" i="32"/>
  <c r="K39" i="32"/>
  <c r="M39" i="32"/>
  <c r="C21" i="54"/>
  <c r="C21" i="83"/>
  <c r="C21" i="4"/>
  <c r="N16" i="78" l="1"/>
  <c r="N21" i="78"/>
  <c r="N29" i="78"/>
  <c r="N19" i="78"/>
  <c r="N22" i="78"/>
  <c r="N14" i="78"/>
  <c r="N23" i="78"/>
  <c r="N26" i="78"/>
  <c r="N25" i="78"/>
  <c r="N20" i="78"/>
  <c r="N15" i="78"/>
  <c r="N27" i="78"/>
  <c r="N28" i="78"/>
  <c r="N17" i="78"/>
  <c r="K24" i="78"/>
  <c r="L30" i="78"/>
  <c r="I42" i="78"/>
  <c r="N42" i="78" s="1"/>
  <c r="J24" i="78"/>
  <c r="I66" i="78"/>
  <c r="N66" i="78" s="1"/>
  <c r="I78" i="78"/>
  <c r="N78" i="78" s="1"/>
  <c r="K30" i="78"/>
  <c r="I48" i="78"/>
  <c r="N48" i="78" s="1"/>
  <c r="I84" i="78"/>
  <c r="N84" i="78" s="1"/>
  <c r="J18" i="78"/>
  <c r="I60" i="78"/>
  <c r="N60" i="78" s="1"/>
  <c r="I18" i="78"/>
  <c r="N13" i="78"/>
  <c r="I36" i="78"/>
  <c r="N36" i="78" s="1"/>
  <c r="N31" i="78"/>
  <c r="I30" i="78"/>
  <c r="J30" i="78"/>
  <c r="M18" i="78"/>
  <c r="I54" i="78"/>
  <c r="N54" i="78" s="1"/>
  <c r="M24" i="78"/>
  <c r="M30" i="78"/>
  <c r="I24" i="78"/>
  <c r="I72" i="78"/>
  <c r="N72" i="78" s="1"/>
  <c r="L18" i="78"/>
  <c r="N33" i="32"/>
  <c r="N19" i="32"/>
  <c r="N17" i="32"/>
  <c r="N13" i="32"/>
  <c r="N14" i="32"/>
  <c r="N32" i="32"/>
  <c r="N31" i="32"/>
  <c r="N44" i="32"/>
  <c r="N34" i="32"/>
  <c r="N45" i="32"/>
  <c r="N15" i="32"/>
  <c r="N18" i="32"/>
  <c r="N27" i="32"/>
  <c r="N20" i="32"/>
  <c r="N39" i="32"/>
  <c r="N16" i="32"/>
  <c r="N28" i="32"/>
  <c r="N30" i="32"/>
  <c r="N40" i="32"/>
  <c r="I155" i="32"/>
  <c r="N155" i="32" s="1"/>
  <c r="N143" i="32"/>
  <c r="N46" i="32"/>
  <c r="N29" i="32"/>
  <c r="N26" i="32"/>
  <c r="N41" i="32"/>
  <c r="N42" i="32"/>
  <c r="N43" i="32"/>
  <c r="N21" i="32"/>
  <c r="M38" i="32"/>
  <c r="M51" i="32"/>
  <c r="L38" i="32"/>
  <c r="L51" i="32"/>
  <c r="K25" i="32"/>
  <c r="K51" i="32"/>
  <c r="J51" i="32"/>
  <c r="I38" i="32"/>
  <c r="K38" i="32"/>
  <c r="J25" i="32"/>
  <c r="I51" i="32"/>
  <c r="M25" i="32"/>
  <c r="I25" i="32"/>
  <c r="L25" i="32"/>
  <c r="J38" i="32"/>
  <c r="N30" i="78" l="1"/>
  <c r="N18" i="78"/>
  <c r="N24" i="78"/>
  <c r="N38" i="32"/>
  <c r="N25" i="32"/>
  <c r="N51" i="32"/>
</calcChain>
</file>

<file path=xl/comments1.xml><?xml version="1.0" encoding="utf-8"?>
<comments xmlns="http://schemas.openxmlformats.org/spreadsheetml/2006/main">
  <authors>
    <author>Soran Rabin Bozorg</author>
  </authors>
  <commentList>
    <comment ref="H12" authorId="0" shapeId="0">
      <text>
        <r>
          <rPr>
            <b/>
            <sz val="9"/>
            <color indexed="81"/>
            <rFont val="Tahoma"/>
            <family val="2"/>
          </rPr>
          <t>Soran Rabin Bozorg:</t>
        </r>
        <r>
          <rPr>
            <sz val="9"/>
            <color indexed="81"/>
            <rFont val="Tahoma"/>
            <family val="2"/>
          </rPr>
          <t xml:space="preserve">
För "Socialtjänst" och "Hälso- och sjukvård" ingår alla verksamhetsområden inom den inriktningen.</t>
        </r>
      </text>
    </comment>
  </commentList>
</comments>
</file>

<file path=xl/comments2.xml><?xml version="1.0" encoding="utf-8"?>
<comments xmlns="http://schemas.openxmlformats.org/spreadsheetml/2006/main">
  <authors>
    <author>Soran Rabin Bozorg</author>
  </authors>
  <commentList>
    <comment ref="H12" authorId="0" shapeId="0">
      <text>
        <r>
          <rPr>
            <b/>
            <sz val="9"/>
            <color indexed="81"/>
            <rFont val="Tahoma"/>
            <family val="2"/>
          </rPr>
          <t>Soran Rabin Bozorg:</t>
        </r>
        <r>
          <rPr>
            <sz val="9"/>
            <color indexed="81"/>
            <rFont val="Tahoma"/>
            <family val="2"/>
          </rPr>
          <t xml:space="preserve">
För "Socialtjänst" och "Hälso- och sjukvård" ingår alla verksamhetsområden inom den inriktningen.</t>
        </r>
      </text>
    </comment>
  </commentList>
</comments>
</file>

<file path=xl/sharedStrings.xml><?xml version="1.0" encoding="utf-8"?>
<sst xmlns="http://schemas.openxmlformats.org/spreadsheetml/2006/main" count="16335" uniqueCount="662">
  <si>
    <t>Handlingsplan för psykisk hälsa</t>
  </si>
  <si>
    <t>Indikatorer för uppföljning</t>
  </si>
  <si>
    <t>År</t>
  </si>
  <si>
    <t>Kön</t>
  </si>
  <si>
    <t>85+</t>
  </si>
  <si>
    <t>Män</t>
  </si>
  <si>
    <t>Kvinnor</t>
  </si>
  <si>
    <t>Instruktioner</t>
  </si>
  <si>
    <t>Förebyggande och främjande arbete</t>
  </si>
  <si>
    <t>20­24</t>
  </si>
  <si>
    <t>25­29</t>
  </si>
  <si>
    <t>30­34</t>
  </si>
  <si>
    <t>35­39</t>
  </si>
  <si>
    <t>40­44</t>
  </si>
  <si>
    <t>45­49</t>
  </si>
  <si>
    <t>50­54</t>
  </si>
  <si>
    <t>55­59</t>
  </si>
  <si>
    <t>60­64</t>
  </si>
  <si>
    <t>65­69</t>
  </si>
  <si>
    <t>70­74</t>
  </si>
  <si>
    <t>75­79</t>
  </si>
  <si>
    <t>80­84</t>
  </si>
  <si>
    <t>­­</t>
  </si>
  <si>
    <t>Baslinjemätning</t>
  </si>
  <si>
    <t>Målgrupp</t>
  </si>
  <si>
    <t xml:space="preserve">Mål </t>
  </si>
  <si>
    <t xml:space="preserve">Indikator </t>
  </si>
  <si>
    <t>Anger vilken målgrupp som avses, vuxna (V) eller barn och unga (B)</t>
  </si>
  <si>
    <t>Målgrupp Vuxna</t>
  </si>
  <si>
    <t>Målgrupp Barn och Unga</t>
  </si>
  <si>
    <t>Beteckning</t>
  </si>
  <si>
    <r>
      <t xml:space="preserve">Indikatorerna är angivna enligt följande </t>
    </r>
    <r>
      <rPr>
        <i/>
        <sz val="12"/>
        <color theme="1"/>
        <rFont val="Calibri"/>
        <family val="2"/>
        <scheme val="minor"/>
      </rPr>
      <t>mall: [målgrupp] + [mål] + [indikator]</t>
    </r>
  </si>
  <si>
    <t xml:space="preserve"> </t>
  </si>
  <si>
    <t>Gå direkt till önskad flik genom att klicka på indikatorn</t>
  </si>
  <si>
    <t>Senast uppdaterad</t>
  </si>
  <si>
    <t>Senast uppdaterad:</t>
  </si>
  <si>
    <t>För varje indikator finns även en dataflik, märkt med DATA efter indikatorns beteckning. Denna är placerad i fliken efter presentationsfliken och används enbart för att rapportora in rådata.</t>
  </si>
  <si>
    <t>Exempel      --&gt;</t>
  </si>
  <si>
    <t>Pivottabell</t>
  </si>
  <si>
    <t>Pivotgraf</t>
  </si>
  <si>
    <t>Innan du börjar - Uppdatera data</t>
  </si>
  <si>
    <t>Sätt igång - Analysera data</t>
  </si>
  <si>
    <t>Båda könen</t>
  </si>
  <si>
    <t>Tidiga tillgängliga insatser</t>
  </si>
  <si>
    <r>
      <t xml:space="preserve">Tillbaka till </t>
    </r>
    <r>
      <rPr>
        <b/>
        <u/>
        <sz val="12"/>
        <rFont val="Corbel"/>
        <family val="2"/>
      </rPr>
      <t>Information och Innehåll</t>
    </r>
  </si>
  <si>
    <t>Utsatta grupper</t>
  </si>
  <si>
    <t>Snabbnavigering</t>
  </si>
  <si>
    <t>0­4</t>
  </si>
  <si>
    <t>5­9</t>
  </si>
  <si>
    <t>10­14</t>
  </si>
  <si>
    <t>15­19</t>
  </si>
  <si>
    <t>Ledning, styrning och organisation</t>
  </si>
  <si>
    <t>Tips: Använd [20-85+] som grundvärde och testa sedan att föra in olika smalare ålderspann en i taget för att se hur de förhåller sig jämfört med det totala genomsnittet för ålderspannet 20-85+ år</t>
  </si>
  <si>
    <t>20-85+</t>
  </si>
  <si>
    <t>Sum of 20-85+</t>
  </si>
  <si>
    <t>21-85+</t>
  </si>
  <si>
    <t>Sum of 21-85+</t>
  </si>
  <si>
    <t>0-19</t>
  </si>
  <si>
    <t>Antal självmord i Västra Götaland per 100 000 invånare (0-19 år)</t>
  </si>
  <si>
    <t>Sum of 0-19</t>
  </si>
  <si>
    <t>Tips: Använd [0-19] som grundvärde och testa sedan att föra in olika smalare ålderspann en i taget för att se hur de förhåller sig jämfört med det totala genomsnittet för ålderspannet 0-19 år</t>
  </si>
  <si>
    <t>Vuxna</t>
  </si>
  <si>
    <t>Barn</t>
  </si>
  <si>
    <t>Innehållsförteckning, Presentationsflikar</t>
  </si>
  <si>
    <t>Innehållsförteckning, Dataflikar</t>
  </si>
  <si>
    <t>Presentationsflikar</t>
  </si>
  <si>
    <t>Dataflikar</t>
  </si>
  <si>
    <t>4. Uppdatera datum för "Senast uppdaterad" på denna flik (V1.1) till aktuellt datum</t>
  </si>
  <si>
    <t>2. Uppdatera datum för "Senast uppdaterad" på fliken V6.1 DATA till aktuellt datum för inrapporteringen</t>
  </si>
  <si>
    <t>Beslutsdatum</t>
  </si>
  <si>
    <t>Kommun</t>
  </si>
  <si>
    <t>Verksamhetsomrade</t>
  </si>
  <si>
    <t>Inriktning</t>
  </si>
  <si>
    <t>GÖTEBORG</t>
  </si>
  <si>
    <t>Övrigt/Uppgift saknas</t>
  </si>
  <si>
    <t>Socialtjänst</t>
  </si>
  <si>
    <t>LIDKÖPING</t>
  </si>
  <si>
    <t>ALE</t>
  </si>
  <si>
    <t>KUNGÄLV</t>
  </si>
  <si>
    <t>Övrig socialtjänst</t>
  </si>
  <si>
    <t>ALINGSÅS</t>
  </si>
  <si>
    <t>LILLA EDET</t>
  </si>
  <si>
    <t>ORUST</t>
  </si>
  <si>
    <t>Ekonomiskt bistånd</t>
  </si>
  <si>
    <t>VARA</t>
  </si>
  <si>
    <t>Barn och familj</t>
  </si>
  <si>
    <t>UDDEVALLA</t>
  </si>
  <si>
    <t>FALKÖPING</t>
  </si>
  <si>
    <t>Familjerätt</t>
  </si>
  <si>
    <t>SKARA</t>
  </si>
  <si>
    <t>KARLSBORG</t>
  </si>
  <si>
    <t>Äldreomsorg</t>
  </si>
  <si>
    <t>LERUM</t>
  </si>
  <si>
    <t>VÅRGÅRDA</t>
  </si>
  <si>
    <t>VÄNERSBORG</t>
  </si>
  <si>
    <t>BORÅS</t>
  </si>
  <si>
    <t>Funktionsnedsättning LSS</t>
  </si>
  <si>
    <t>TROLLHÄTTAN</t>
  </si>
  <si>
    <t>PARTILLE</t>
  </si>
  <si>
    <t>SKÖVDE</t>
  </si>
  <si>
    <t>Missbruk</t>
  </si>
  <si>
    <t>TJÖRN</t>
  </si>
  <si>
    <t>ULRICEHAMN</t>
  </si>
  <si>
    <t>ÖCKERÖ</t>
  </si>
  <si>
    <t>STENUNGSSUND</t>
  </si>
  <si>
    <t>TÖREBODA</t>
  </si>
  <si>
    <t>MUNKEDAL</t>
  </si>
  <si>
    <t>MARIESTAD</t>
  </si>
  <si>
    <t>ÅMÅL</t>
  </si>
  <si>
    <t>LYSEKIL</t>
  </si>
  <si>
    <t>BENGTSFORS</t>
  </si>
  <si>
    <t>ESSUNGA</t>
  </si>
  <si>
    <t>HÄRRYDA</t>
  </si>
  <si>
    <t>TIDAHOLM</t>
  </si>
  <si>
    <t>FÄRGELANDA</t>
  </si>
  <si>
    <t>MÖLNDAL</t>
  </si>
  <si>
    <t>HERRLJUNGA</t>
  </si>
  <si>
    <t>GÖTENE</t>
  </si>
  <si>
    <t>Funktionsnedsättning SoL</t>
  </si>
  <si>
    <t>HJO</t>
  </si>
  <si>
    <t>MARK</t>
  </si>
  <si>
    <t>TRANEMO</t>
  </si>
  <si>
    <t>MELLERUD</t>
  </si>
  <si>
    <t>SVENLJUNGA</t>
  </si>
  <si>
    <t>TANUM</t>
  </si>
  <si>
    <t>Somatisk specialistsjukvård Invärtesmedi</t>
  </si>
  <si>
    <t>Hälso- och sjukvård</t>
  </si>
  <si>
    <t>Primärvård, utom hemsjukvård</t>
  </si>
  <si>
    <t>Prehospital vård</t>
  </si>
  <si>
    <t>Psykiatrisk specialistsjukvård</t>
  </si>
  <si>
    <t>Andra specialiteter</t>
  </si>
  <si>
    <t>Somatisk specialistsjukvård Kirurgi</t>
  </si>
  <si>
    <t>Tandvård</t>
  </si>
  <si>
    <t>GULLSPÅNG</t>
  </si>
  <si>
    <t>Akutmottagning</t>
  </si>
  <si>
    <t>Labratorieverksamhet</t>
  </si>
  <si>
    <t>STRÖMSTAD</t>
  </si>
  <si>
    <t>Hemsjukvård i ordinärt boende</t>
  </si>
  <si>
    <t>Elevhälsa</t>
  </si>
  <si>
    <t>Somatisk specialistsjukvård Barnmedicin</t>
  </si>
  <si>
    <t>Delregion</t>
  </si>
  <si>
    <t>Dals-Ed</t>
  </si>
  <si>
    <t>Mellerud</t>
  </si>
  <si>
    <t>Färgelanda</t>
  </si>
  <si>
    <t>Åmål</t>
  </si>
  <si>
    <t>Tanum</t>
  </si>
  <si>
    <t>Lysekil</t>
  </si>
  <si>
    <t>Sotenäs</t>
  </si>
  <si>
    <t>Munkedal</t>
  </si>
  <si>
    <t>Orust</t>
  </si>
  <si>
    <t>Uddevalla</t>
  </si>
  <si>
    <t>Vänersborg</t>
  </si>
  <si>
    <t>Lilla Edet</t>
  </si>
  <si>
    <t>Delregion Fyrbodal</t>
  </si>
  <si>
    <t>Göteborg</t>
  </si>
  <si>
    <t>Härryda</t>
  </si>
  <si>
    <t>Mölndal</t>
  </si>
  <si>
    <t>Partille</t>
  </si>
  <si>
    <t>Delregion Göteborg</t>
  </si>
  <si>
    <t>Ale</t>
  </si>
  <si>
    <t>Kungälv</t>
  </si>
  <si>
    <t>Tjörn</t>
  </si>
  <si>
    <t>Delregion SIMBA</t>
  </si>
  <si>
    <t>Essunga</t>
  </si>
  <si>
    <t>Falköping</t>
  </si>
  <si>
    <t>Grästorp</t>
  </si>
  <si>
    <t>Gullspång</t>
  </si>
  <si>
    <t>Götene</t>
  </si>
  <si>
    <t>Hjo</t>
  </si>
  <si>
    <t>Karlsborg</t>
  </si>
  <si>
    <t>Lidköping</t>
  </si>
  <si>
    <t>Mariestad</t>
  </si>
  <si>
    <t>Skara</t>
  </si>
  <si>
    <t>Skövde</t>
  </si>
  <si>
    <t>Tibro</t>
  </si>
  <si>
    <t>Tidaholm</t>
  </si>
  <si>
    <t>Töreboda</t>
  </si>
  <si>
    <t>Vara</t>
  </si>
  <si>
    <t>Delregion Skaraborg</t>
  </si>
  <si>
    <t>Lerum</t>
  </si>
  <si>
    <t>Vårgårda</t>
  </si>
  <si>
    <t>Herrljunga</t>
  </si>
  <si>
    <t>Borås</t>
  </si>
  <si>
    <t>Ulricehamn</t>
  </si>
  <si>
    <t>Bollebygd</t>
  </si>
  <si>
    <t>Mark</t>
  </si>
  <si>
    <t>Tranemo</t>
  </si>
  <si>
    <t>Svenljunga</t>
  </si>
  <si>
    <t>Delregion Södra Älvsborg</t>
  </si>
  <si>
    <t>Bengtsfors</t>
  </si>
  <si>
    <t>Strömstad</t>
  </si>
  <si>
    <t>Trollhättan</t>
  </si>
  <si>
    <t>Öckerö</t>
  </si>
  <si>
    <t>Stenungssund</t>
  </si>
  <si>
    <t>Alingsås</t>
  </si>
  <si>
    <t>VLOOKUP TABELL</t>
  </si>
  <si>
    <t>Företagshälsovård</t>
  </si>
  <si>
    <t>SOTENÄS</t>
  </si>
  <si>
    <t>Totalt</t>
  </si>
  <si>
    <t>Kommuner</t>
  </si>
  <si>
    <t>Hemjukvård i ordinärt boende</t>
  </si>
  <si>
    <t>Äldreomsorg (inkl. HoS)</t>
  </si>
  <si>
    <t>Klagomål till Inspektionen för vård och omsorg (IVO) med avseende på bemötande inom verksamheter som berör psykisk hälsa</t>
  </si>
  <si>
    <t>Nyckeltal</t>
  </si>
  <si>
    <t>Äldreomsorg - LSS</t>
  </si>
  <si>
    <t>Äldreomsorg - Missbruk</t>
  </si>
  <si>
    <t>Äldreomsorg - socialpsykiatri</t>
  </si>
  <si>
    <t>-</t>
  </si>
  <si>
    <t>.</t>
  </si>
  <si>
    <t>VGR</t>
  </si>
  <si>
    <t>Delregioner</t>
  </si>
  <si>
    <t>Sum of VGR</t>
  </si>
  <si>
    <t>Tips: Använd [VGR] som grundvärde och testa sedan att föra in olika delregioner en i taget för att se hur de förhåller sig jämfört med det totala genomsnittet för Västra Götalandsregionen</t>
  </si>
  <si>
    <t>Aktuell rutin för samordning finns mellan a) äldreomsorg och LSS b) äldreomsorg och socialpsykiatri c) äldreomsorg och missbruk- och beroendevård</t>
  </si>
  <si>
    <t>Enskildas delaktighet och rättigheter</t>
  </si>
  <si>
    <t>Case management</t>
  </si>
  <si>
    <t>Insatser enligt Case management-modeller i form av integrerande team till personer med psykisk sjukdom</t>
  </si>
  <si>
    <t>2. Uppdatera datum för "Senast uppdaterad" på fliken V6.4 DATA till aktuellt datum för inrapporteringen</t>
  </si>
  <si>
    <t>4. Uppdatera datum för "Senast uppdaterad" på denna flik (V6.4) till aktuellt datum</t>
  </si>
  <si>
    <t>Aktuell rutin för samordning finns mellan a) ekonomiskt bistånd och LSS b) ekonomiskt bistånd och missbruksvård c) ekonomiskt bistånd och socialpsykiatri d) LSS och missbruksvård e) LSS och socialpsykiatri f) missbruksvård och socialpsykiatri</t>
  </si>
  <si>
    <t>Ekonomiskt bistånd - LSS</t>
  </si>
  <si>
    <t>Ekonomiskt bistånd - Missbruk</t>
  </si>
  <si>
    <t>Ekonomiskt bistånd - Socialpsykiatri</t>
  </si>
  <si>
    <t>LSS - Missbruk</t>
  </si>
  <si>
    <t>LSS - Socialpsykiatri</t>
  </si>
  <si>
    <t>Missbruk - Socialpsykiatri</t>
  </si>
  <si>
    <t>U31474</t>
  </si>
  <si>
    <t>U31468</t>
  </si>
  <si>
    <t>U31469</t>
  </si>
  <si>
    <t>U28440</t>
  </si>
  <si>
    <t>U28441</t>
  </si>
  <si>
    <t>U28480</t>
  </si>
  <si>
    <t>2. Uppdatera datum för "Senast uppdaterad" på fliken V3.3 DATA till aktuellt datum för inrapporteringen</t>
  </si>
  <si>
    <t>Aktuell rutin för information om SIP finns inom a) LSS b) socialpsykiatri c) missbruk- och beroendevård</t>
  </si>
  <si>
    <t>LSS</t>
  </si>
  <si>
    <t>Socialpsykiatri</t>
  </si>
  <si>
    <t>U35547</t>
  </si>
  <si>
    <t>U28558</t>
  </si>
  <si>
    <t>U28551</t>
  </si>
  <si>
    <t>Undvikbara somatiska slutenvårdstillfällen bland personer 20-59 år som tidigare vårdats inom psykiatrisk vård per 100 000 invånare</t>
  </si>
  <si>
    <t>Manualbaserad insats för föräldrastöd i grupp finns inom sociala barn- och ungdomsvården</t>
  </si>
  <si>
    <t>Manualbaserad föräldrastöd</t>
  </si>
  <si>
    <t>Standardiserade bedömningsmetoder</t>
  </si>
  <si>
    <t>Andel elever i årskurs 9 som ej nått kunskapskraven i ett, flera eller alla ämnen</t>
  </si>
  <si>
    <t>Ej uppnått kunskapskraven</t>
  </si>
  <si>
    <t xml:space="preserve">Reference cells </t>
  </si>
  <si>
    <t>Andel elever som fullföljt gymnasieutbildningen med examen inom tre år</t>
  </si>
  <si>
    <t>Ej fullföljd utbildning inom 3 år</t>
  </si>
  <si>
    <t>Andel elever med indragen studiehjälp på grund av ogiltig frånvaro</t>
  </si>
  <si>
    <t>Indragen studiehjälp</t>
  </si>
  <si>
    <t>2013/2014</t>
  </si>
  <si>
    <t>2014/2015</t>
  </si>
  <si>
    <t>2015/2016</t>
  </si>
  <si>
    <t>2016/2017</t>
  </si>
  <si>
    <t>2017/2018</t>
  </si>
  <si>
    <t>2018/2019</t>
  </si>
  <si>
    <t>2019/2020</t>
  </si>
  <si>
    <t>2020/2021</t>
  </si>
  <si>
    <t>2021/2022</t>
  </si>
  <si>
    <t>2022/2023</t>
  </si>
  <si>
    <t>2023/2024</t>
  </si>
  <si>
    <t>2024/2025</t>
  </si>
  <si>
    <t>2025/2026</t>
  </si>
  <si>
    <t>OBS</t>
  </si>
  <si>
    <t>Färgelanda, Gullsprång och Götene ej med</t>
  </si>
  <si>
    <t>Andel elever i årskurs 9 som uppger alkoholkonsumtion motsvarande högkonsumtion och/eller intensivkonsumtion</t>
  </si>
  <si>
    <t>Obs</t>
  </si>
  <si>
    <t>Dals-Ed, Gullsprång och Härryda ej med</t>
  </si>
  <si>
    <t>Norra HSN</t>
  </si>
  <si>
    <t>Västra HSN + Göteborg</t>
  </si>
  <si>
    <t>Östra HSN</t>
  </si>
  <si>
    <t>Södra HSN</t>
  </si>
  <si>
    <t>OBS! VET EJ VILKET ÅR DATA GÄLLER FÖR!!!</t>
  </si>
  <si>
    <t>Andel elever i gymnasiet år 2 som uppger alkoholkonsumtion motsvarande högkonsumtion och/eller intensivkonsumtion</t>
  </si>
  <si>
    <t>Dals-Ed, Gullsprång, Härryda, Essunga, Färgelanda, Grästorp, Herrljunga ej med</t>
  </si>
  <si>
    <t>Andel elever i årskurs 9 som uppger att de någon gång använt narkotika</t>
  </si>
  <si>
    <t>Andel elever i gymnasiet år 2 som uppger att de någon gång använt narkotika</t>
  </si>
  <si>
    <t>2. Uppdatera datum för "Senast uppdaterad" på fliken B5.2 DATA till aktuellt datum för inrapporteringen</t>
  </si>
  <si>
    <t>4. Uppdatera datum för "Senast uppdaterad" på denna flik (B5.2) till aktuellt datum</t>
  </si>
  <si>
    <t>LSS-barn</t>
  </si>
  <si>
    <t>Social barn och ungdomsvård</t>
  </si>
  <si>
    <t>U28550</t>
  </si>
  <si>
    <t>U33599</t>
  </si>
  <si>
    <t>Tips: Använd [VGR] som grundvärde och testa sedan att föra in olika delregioner en i taget för att se hur de förhåller sig jämfört med det totala värdet för Västra Götalandsregionen</t>
  </si>
  <si>
    <t>Tips: Använd [VGR] som grundvärde och testa sedan att föra in olika kommuner en i taget för att se hur de förhåller sig jämfört med det totala genomsnittet för Västra Götalandsregionen</t>
  </si>
  <si>
    <t>Tips: Använd [VGR] som grundvärde och testa sedan att föra in olika delområden en i taget för att se hur de förhåller sig jämfört med det totala genomsnittet för Västra Götalandsregionen</t>
  </si>
  <si>
    <t>Kolumnetiketter</t>
  </si>
  <si>
    <t>Radetiketter</t>
  </si>
  <si>
    <t>U28448</t>
  </si>
  <si>
    <t>U20470</t>
  </si>
  <si>
    <t>U20469</t>
  </si>
  <si>
    <t/>
  </si>
  <si>
    <t>3. Uppdatera Pivottabellen genom att högerklicka på Pivottabellen och sedan klicka på [Uppdatera]</t>
  </si>
  <si>
    <t>2. Uppdatera datum för "Senast uppdaterad" på fliken B5.1 DATA till aktuellt datum för inrapporteringen</t>
  </si>
  <si>
    <t>4. Uppdatera datum för "Senast uppdaterad" på denna flik (B5.1) till aktuellt datum</t>
  </si>
  <si>
    <t xml:space="preserve">1. Klicka någonstans på Pivottabellen för att få fram användarpanelen (alt. Högerklicka &gt; Visa fältlista) </t>
  </si>
  <si>
    <t>2. Dra [År] till rutan [Rader], och dra [Kön] till rutan [Kolumner]</t>
  </si>
  <si>
    <t>4. Klicka på de valda värdena i boxen [Värden] för att få fram en meny/lista. Klicka vidare på [Värdefältsinställningar] för att få fram en ruta på skärmen. Under fliken [Summera data efter] finns en rulllista. Välj där [Summa], och klicka sedan på [OK]</t>
  </si>
  <si>
    <t>5. Vid det här laget bör såväl tabellen som grafen visa de data som valts. Om du vill  välja ut enskilda delar kan du klicka på pilen vid [Radetiketter] på Pivottabellen för att välja ut enskilda år, eller på pilen vid [Kolumnetiketter] för att välja enskilda kön.</t>
  </si>
  <si>
    <t>2. Uppdatera datum för "Senast uppdaterad" på fliken V1.3 DATA till aktuellt datum för inrapporteringen</t>
  </si>
  <si>
    <t>4. Uppdatera datum för "Senast uppdaterad" på denna flik (V1.3) till aktuellt datum</t>
  </si>
  <si>
    <t>Handlingsplan för suicidprevention finns på a) kommunal nivå b) delregional nivå c) regional nivå</t>
  </si>
  <si>
    <t>Antal självmord i Västra Götaland per 100 000 invånare (20+ år)</t>
  </si>
  <si>
    <t>Antal självmordsförsök per 100 000 invånare (20+ år)</t>
  </si>
  <si>
    <t>2. Uppdatera datum för "Senast uppdaterad" på fliken V3.1 DATA till aktuellt datum för inrapporteringen</t>
  </si>
  <si>
    <t>4. Uppdatera datum för "Senast uppdaterad" på denna flik (V3.1) till aktuellt datum</t>
  </si>
  <si>
    <t>Instruktioner (EJ KLAR)</t>
  </si>
  <si>
    <t>2. Uppdatera datum för "Senast uppdaterad" på fliken V3.2 DATA till aktuellt datum för inrapporteringen</t>
  </si>
  <si>
    <t>4. Uppdatera datum för "Senast uppdaterad" på denna flik (V3.2) till aktuellt datum</t>
  </si>
  <si>
    <t>2. Uppdatera datum för "Senast uppdaterad" på fliken V4.2 DATA till aktuellt datum för inrapporteringen</t>
  </si>
  <si>
    <t>4. Uppdatera datum för "Senast uppdaterad" på denna flik (V4.2) till aktuellt datum</t>
  </si>
  <si>
    <t>Systematiskt samarbete sker med brukarorganisationer på organisatorisk nivå</t>
  </si>
  <si>
    <t>Antal personer (21+ år) med missbruk och/eller beroende som skrivits ut till vård enligt Lag om vård av missbrukare (LVM) per 100 000 invånare</t>
  </si>
  <si>
    <t>Tillgängliga tidiga insatser</t>
  </si>
  <si>
    <t>2. Uppdatera datum för "Senast uppdaterad" på fliken B8.3 DATA till aktuellt datum för inrapporteringen</t>
  </si>
  <si>
    <t>4. Uppdatera datum för "Senast uppdaterad" på denna flik (B8.3) till aktuellt datum</t>
  </si>
  <si>
    <t>Uppdateras automatiskt</t>
  </si>
  <si>
    <t>2. Dra [År] till rutan [Rader], och dra [Nyckeltal] till rutan [Kolumner]</t>
  </si>
  <si>
    <t>2. Dra [År] till rutan [Rader], och [Nyckeltal] till rutan [Kolumner]</t>
  </si>
  <si>
    <t>3. Dra ålderspannet [21-85+] till rutan [Värde]</t>
  </si>
  <si>
    <t>5. Vid det här laget bör såväl tabellen som grafen visa de data som valts. Om du vill  välja ut enskilda delar kan du klicka på pilen vid [Radetiketter] på Pivottabellen för att välja ut enskilda år.</t>
  </si>
  <si>
    <t>5. Vid det här laget bör såväl tabellen som grafen visa de data som valts. Om du inte vill att all data ska presenteras samtidigt kan du nu välja ut enskilda delar genom att klicka på pilen vid [Radetiketter] på Pivottabellen för att välja ut enskilda år.</t>
  </si>
  <si>
    <t>5. Vid det här laget bör såväl tabellen som grafen visa de data som valts. Om du vill  välja ut enskilda delar kan du klicka på pilen vid [Radetiketter] på Pivottabellen för att välja ut enskilda år, eller på pilen vid [Kolumnetiketter] för att välja enskilda nyckeltal.</t>
  </si>
  <si>
    <t>5. Vid det här laget bör såväl tabellen som grafen visa de data som valts. Om du inte vill att all data ska presenteras samtidigt kan du nu välja ut enskilda delar genom att klicka på pilen vid [Radetiketter] på Pivottabellen för att välja ut enskilda år, eller på pilen vid [Kolumnetiketter] för att välja enskilda kön.</t>
  </si>
  <si>
    <t>Obs, 2016 ej redovisat i presentationsfliken pga låg svarsfrekvens</t>
  </si>
  <si>
    <t>3. Sortera tillbaka "VLOOKUP TABELL" genom att sortera delregionerna enligt bokstavsordning. Klicka på pilen vid "Delregioner" och välj [Sortera A till Ö]</t>
  </si>
  <si>
    <t>2. Sortera kommunerna under "VLOOKUP TABELL" enligt bokstavsordning. Klicka på pilen vid "Kommuner" och välj [Sortera A till Ö]</t>
  </si>
  <si>
    <t>5. Öppna flik V2.1 och följ instruktioner för att uppdatera Pivottabell och Pivotgraf</t>
  </si>
  <si>
    <t>Tidiga och tillgängliga insatser</t>
  </si>
  <si>
    <r>
      <t xml:space="preserve">2. Rapportera in data under de </t>
    </r>
    <r>
      <rPr>
        <b/>
        <sz val="11"/>
        <color rgb="FFB49073"/>
        <rFont val="Calibri"/>
        <family val="2"/>
        <scheme val="minor"/>
      </rPr>
      <t>BRUNA</t>
    </r>
    <r>
      <rPr>
        <sz val="11"/>
        <color theme="1"/>
        <rFont val="Calibri"/>
        <family val="2"/>
        <scheme val="minor"/>
      </rPr>
      <t xml:space="preserve"> rubrikerna enligt år, kommun och nyckeltal</t>
    </r>
  </si>
  <si>
    <r>
      <t xml:space="preserve">2. Rapportera in data under de </t>
    </r>
    <r>
      <rPr>
        <b/>
        <sz val="11"/>
        <color rgb="FFB49073"/>
        <rFont val="Calibri"/>
        <family val="2"/>
        <scheme val="minor"/>
      </rPr>
      <t>BRUNA</t>
    </r>
    <r>
      <rPr>
        <sz val="11"/>
        <color theme="1"/>
        <rFont val="Calibri"/>
        <family val="2"/>
        <scheme val="minor"/>
      </rPr>
      <t xml:space="preserve"> rubrikerna enligt år, kön och ålderskategori</t>
    </r>
  </si>
  <si>
    <r>
      <t xml:space="preserve">2. Rapportera in data under de </t>
    </r>
    <r>
      <rPr>
        <b/>
        <sz val="11"/>
        <color rgb="FFB49073"/>
        <rFont val="Calibri"/>
        <family val="2"/>
        <scheme val="minor"/>
      </rPr>
      <t>BRUNA</t>
    </r>
    <r>
      <rPr>
        <sz val="11"/>
        <color theme="1"/>
        <rFont val="Calibri"/>
        <family val="2"/>
        <scheme val="minor"/>
      </rPr>
      <t xml:space="preserve"> rubrikerna enligt år och kommun</t>
    </r>
  </si>
  <si>
    <t>2. Rapportera in data under de bruna rubrikerna enligt år och kön</t>
  </si>
  <si>
    <t>5. Öppna flik V6.3 och följ instruktioner för att uppdatera Pivottabell och Pivotgraf</t>
  </si>
  <si>
    <t>3. Uppdatera datum för "Senast uppdaterad" på denna flik (V6.1 DATA) till aktuellt datum</t>
  </si>
  <si>
    <t>4. Öppna flik V6.1 och följ instruktioner för att uppdatera Pivottabell och Pivotgraf</t>
  </si>
  <si>
    <r>
      <t xml:space="preserve">2. Rapportera in data under de </t>
    </r>
    <r>
      <rPr>
        <b/>
        <sz val="11"/>
        <color rgb="FFB49073"/>
        <rFont val="Calibri"/>
        <family val="2"/>
        <scheme val="minor"/>
      </rPr>
      <t>BRUNA</t>
    </r>
    <r>
      <rPr>
        <sz val="11"/>
        <color theme="1"/>
        <rFont val="Calibri"/>
        <family val="2"/>
        <scheme val="minor"/>
      </rPr>
      <t xml:space="preserve"> rubrikerna, säkerställ att data i respektive kolumn gäller samma klagomål</t>
    </r>
  </si>
  <si>
    <t>3. Sortera klagomålen efter beslutsdatum. Klicka på pilen vid "Beslutsdatum" och välj [Sortera Äldst till Nyast]</t>
  </si>
  <si>
    <t>Standardiserade bedömningsmetoder för föräldraförmåga finns inom sociala barn- och ungdomsvården</t>
  </si>
  <si>
    <t>4. Uppdatera datum för "Senast uppdaterad" på denna flik (V5.1 DATA) till aktuellt datum</t>
  </si>
  <si>
    <t>5. Öppna flik V5.1 och följ instruktioner för att uppdatera Pivottabell och Pivotgraf</t>
  </si>
  <si>
    <t>Antal personer som vårdats inom slutenvård med psykiatrisk diagnos per 100 000 invånare (0-24 år)</t>
  </si>
  <si>
    <t>Standardiserade bedömningsmetoder för missbruk inom sociala barn- och ungdomsvården</t>
  </si>
  <si>
    <t>Standardiserade bedömningsmetoder inom socialtjänstens missbruk- och beroendeverksamhet som underlag vid uppföljning av insatser till enskilda</t>
  </si>
  <si>
    <t>Standardiserade bedömningsmetoder för att upptäcka riskfylld alkoholkonsumtion inom a) LSS-vuxna b) socialpsykiatri c) ekonomiskt bistånd d) äldreomsorg</t>
  </si>
  <si>
    <t>Standardiserade bedömningsmetoder för att upptäcka drogrelaterade problem inom a) LSS-vuxna b) socialpsykiatri c) ekonomiskt bistånd d) äldreomsorg</t>
  </si>
  <si>
    <t>U28547</t>
  </si>
  <si>
    <t>U28556</t>
  </si>
  <si>
    <t>U31510</t>
  </si>
  <si>
    <t>U20485</t>
  </si>
  <si>
    <t>LSS - vuxna</t>
  </si>
  <si>
    <t>Socialpsikiatri</t>
  </si>
  <si>
    <t>U28548</t>
  </si>
  <si>
    <t>U28557</t>
  </si>
  <si>
    <t>U31511</t>
  </si>
  <si>
    <t>U20486</t>
  </si>
  <si>
    <t>4. Klicka på de valda värdena i boxen [Värde] för att få fram en meny/lista. Klicka vidare på [Värdefältsinställningar] för att få fram en ruta på skärmen. Under fliken [Summera data efter] finns en rulllista. Välj där [Summa], och klicka sedan på [OK]</t>
  </si>
  <si>
    <t>4. Klicka på de valda värdena i boxen [Värde] för att få fram en meny/lista. Klicka vidare på [Värdefältsinställningar...] för att få fram en ruta på skärmen. Under fliken [Summera data efter] finns en rulllista. Välj där [Summa], och klicka sedan på [OK]</t>
  </si>
  <si>
    <t>3. Dra [VGR] till rutan [Värde]</t>
  </si>
  <si>
    <t>2. Dra [År] till rutan [Rader], och [Kön] till rutan [Kolumner]</t>
  </si>
  <si>
    <r>
      <t xml:space="preserve">2. Rapportera in data under de </t>
    </r>
    <r>
      <rPr>
        <b/>
        <sz val="11"/>
        <color rgb="FFB49073"/>
        <rFont val="Calibri"/>
        <family val="2"/>
        <scheme val="minor"/>
      </rPr>
      <t>BRUNA</t>
    </r>
    <r>
      <rPr>
        <sz val="11"/>
        <color theme="1"/>
        <rFont val="Calibri"/>
        <family val="2"/>
        <scheme val="minor"/>
      </rPr>
      <t xml:space="preserve"> rubrikerna enligt år och kommun (OBS! I rådatatabellen är 0-värden rapporterat som "-". Byt ut dessa mot siffran "0")</t>
    </r>
  </si>
  <si>
    <t>Ja, för alla</t>
  </si>
  <si>
    <t>Ja, men inte för vissa</t>
  </si>
  <si>
    <t>Information om baslinjemätning</t>
  </si>
  <si>
    <t>Verksamhetsområde</t>
  </si>
  <si>
    <t>5. Vid det här laget bör såväl tabellen som grafen visa de data som valts. Om du vill  välja ut enskilda delar kan du klicka på pilen vid [Radetiketter] på Pivottabellen för att välja ut enskilda år, eller på pilen vid [Kolumnetiketter] för att välja enskilda verksamheter/verksamhetsområden.</t>
  </si>
  <si>
    <t>2. Dra [År] till rutan [Rader], och dra [Verksamhetsområde] till rutan [Kolumner]</t>
  </si>
  <si>
    <t>3. Dra en eller flera geografiska områden till rutan [Värde]</t>
  </si>
  <si>
    <t>2. Rapportera in data under de bruna rubrikerna enligt år</t>
  </si>
  <si>
    <t>3. Dra ett eller flera geografiska områden till rutan [Värde]</t>
  </si>
  <si>
    <t>3. Dra ett eller flera ålderspann till rutan [Värden]</t>
  </si>
  <si>
    <t>3. Dra ett eller flera ålderspann till rutan [Värde]</t>
  </si>
  <si>
    <r>
      <t xml:space="preserve">Flikar för indikatorer för vuxna är färgade </t>
    </r>
    <r>
      <rPr>
        <b/>
        <sz val="12"/>
        <color rgb="FF5E958E"/>
        <rFont val="Corbel"/>
        <family val="2"/>
      </rPr>
      <t>BLÅGRÖNA</t>
    </r>
    <r>
      <rPr>
        <sz val="12"/>
        <color theme="1"/>
        <rFont val="Corbel"/>
        <family val="2"/>
      </rPr>
      <t xml:space="preserve">, medan flikarna för barn och unga är färgade i </t>
    </r>
    <r>
      <rPr>
        <b/>
        <sz val="12"/>
        <color rgb="FFF18366"/>
        <rFont val="Corbel"/>
        <family val="2"/>
      </rPr>
      <t>ORANGE</t>
    </r>
    <r>
      <rPr>
        <sz val="12"/>
        <color theme="1"/>
        <rFont val="Corbel"/>
        <family val="2"/>
      </rPr>
      <t xml:space="preserve">. Dataflikarna är i sin tur färgade </t>
    </r>
    <r>
      <rPr>
        <b/>
        <sz val="12"/>
        <color rgb="FFB49073"/>
        <rFont val="Corbel"/>
        <family val="2"/>
      </rPr>
      <t>BRUNA</t>
    </r>
    <r>
      <rPr>
        <sz val="12"/>
        <color theme="1"/>
        <rFont val="Corbel"/>
        <family val="2"/>
      </rPr>
      <t>.</t>
    </r>
  </si>
  <si>
    <t>5. Vid det här laget bör såväl tabellen som grafen visa de data som valts. Om du önskar välja ut enskilda delar kan du klicka på pilen vid [Radetiketter] på Pivottabellen för att välja ut enskilda år, eller på pilen vid [Kolumnetiketter] för att välja enskilda kön.</t>
  </si>
  <si>
    <t>1. Hämta ny rådata utifrån instruktioner i Användarmanual</t>
  </si>
  <si>
    <t>1. Hämta ny rådata utifrån instruktioner i Användarmanual och rapportera in i fliken V1.3 DATA.</t>
  </si>
  <si>
    <t>1. Hämta ny rådata utifrån instruktioner i Användarmanual och rapportera in i fliken V3.1 DATA.</t>
  </si>
  <si>
    <t>1. Hämta ny rådata utifrån instruktioner i Användarmanual och rapportera in i fliken V3.2 DATA.</t>
  </si>
  <si>
    <t>1. Hämta ny rådata utifrån instruktioner i Användarmanual och rapportera in i fliken V4.2 DATA.</t>
  </si>
  <si>
    <t>1. Hämta ny rådata utifrån instruktioner i Användarmanual och rapportera in i fliken B5.1 DATA.</t>
  </si>
  <si>
    <t>1. Hämta ny rådata utifrån instruktioner i Användarmanual och rapportera in i fliken B5.2 DATA.</t>
  </si>
  <si>
    <t>1. Hämta ny rådata utifrån instruktioner i Användarmanual och rapportera in i fliken B8.3 DATA.</t>
  </si>
  <si>
    <t>OBS! VI VET EJ MED SÄKERHET ATT DATA GÄLLER FÖR 2016. SANNOLIKT, MEN FRAMGÅR INTE AV WEBBPLATSEN.</t>
  </si>
  <si>
    <t xml:space="preserve">Som en del av arbetet med handlingsplanen för psykisk hälsa i Västra Götaland har ett antal indikatorer valts ut för att följa handlingsplanens 15 mål.
Syftet med indikatorerna är att utgöra underlag för verksamhetsuppföljning av arbetet med psykisk hälsa. Målsättningen är att indikatorerna ska möjliggöra jämförelser av processer och resultat, och därigenom stimulera och initiera förbättringar med hänsyn till såväl kvalitet som tillgänglighet.
Detta dokument innehåller en baslinjemätning med syfte att stödja det kontinuerliga arbetet arbetet med indikatorerna. Arbetet med uppföljningsindikatorerna består av kontinuerlig uppdatering och inrapportering av data, samt tolkning och rapportering av utfallen. Baslinjemätningen avser att underlätta detta arbete genom att bistå med strukturer för inrapportering av data, samt presentation och visualisering av utfallen. </t>
  </si>
  <si>
    <r>
      <rPr>
        <b/>
        <sz val="12"/>
        <color theme="1"/>
        <rFont val="Corbel"/>
        <family val="2"/>
      </rPr>
      <t>V2.1.1</t>
    </r>
    <r>
      <rPr>
        <sz val="12"/>
        <color theme="1"/>
        <rFont val="Corbel"/>
        <family val="2"/>
      </rPr>
      <t xml:space="preserve"> avser målgruppen vuxna, mål 2.1 (Äldre personer med psykisk ohälsa ska få vård och stöd), indikator 1 (Aktuella rutiner för samordning inom äldreomsorgen)</t>
    </r>
  </si>
  <si>
    <t>Anger vilket mål som avses (1-5)</t>
  </si>
  <si>
    <t>Anger vilken indikator som avses (1-4)</t>
  </si>
  <si>
    <t>V1.1.1 - Antal självmord i befolkningen</t>
  </si>
  <si>
    <t>V1.1.2 - Antal självmordförsök</t>
  </si>
  <si>
    <t>V1.1.3 - Handlingsplan för suicidprevention</t>
  </si>
  <si>
    <t>V2.1.1 - Aktuella rutiner för samordning inom äldreomsorgen</t>
  </si>
  <si>
    <t>V2.1.2 - Förskrivning av antidepressiva läkemedel i befolkningen</t>
  </si>
  <si>
    <t>V1.1.1</t>
  </si>
  <si>
    <t>V1.1.2</t>
  </si>
  <si>
    <t>V1.1.3</t>
  </si>
  <si>
    <t>Mål 2.1. Äldre personer med psykisk ohälsa ska få vård och stöd</t>
  </si>
  <si>
    <t>Mål 1.1. Nollvision för suicid i Västra Götaland</t>
  </si>
  <si>
    <t>Mål 3.1. Personer som har behov av samordnade insatser har en SIP</t>
  </si>
  <si>
    <t>Mål 3.2. Brukarföreträdare är delaktiga i utvecklingsarbete</t>
  </si>
  <si>
    <t>Mål 4.1. Ingen ska diskrimineras eller uppleva negativt bemötande i kontakterna med kommunerna eller regionen</t>
  </si>
  <si>
    <t>Mål 4.2. Personer med missbruk, psykisk ohälsa och/eller komplex problematik ska få integrerande insatser</t>
  </si>
  <si>
    <t>Mål 5.1. Invånare ska få tillgång till evidensbaserade metoder inom vård, stöd och behandling</t>
  </si>
  <si>
    <t>Mål 5.1. Nollvision för suicid i Västra Götaland</t>
  </si>
  <si>
    <t>Mål 3.1. Personer som har behov av samordnade insatser har en SIP/Västbusplan</t>
  </si>
  <si>
    <t>Mål 2.2. Förebygga och uppmärksamma bruk av alkohol och narkotika bland unga</t>
  </si>
  <si>
    <t>Mål 2.1. Barn och unga med psykisk ohälsa ska få rätt insatser i rätt tid</t>
  </si>
  <si>
    <t>Mål 1.2. Alla elever ska lämna grund- och gymnasieskolan med godkända betyg</t>
  </si>
  <si>
    <t>Mål 1.1. Föräldrar ska erbjudas stöd under hela barnets uppväxt</t>
  </si>
  <si>
    <t>V3.1.1 - Upprättande av SIP i befolkningen</t>
  </si>
  <si>
    <t>V3.1.2 - Uppföljning av SIP i befolkningen</t>
  </si>
  <si>
    <t>V3.1.3 - Rutin för information om SIP</t>
  </si>
  <si>
    <t>V4.1.1 - Klagomål med avseende på bemötande</t>
  </si>
  <si>
    <t>V4.2.3 - Case management till personer med psykisk sjukdom</t>
  </si>
  <si>
    <t>V4.2.4 - Aktuella rutiner för samordning inom socialtjänsten</t>
  </si>
  <si>
    <t>V5.1.1 - Standardiserade bedömningsmetoder inom missbruk- och beroendeverksamhet</t>
  </si>
  <si>
    <t>V5.1.2 - Standardiserade bedömningsmetoder för utredning av alkoholmissbruk</t>
  </si>
  <si>
    <t>V5.1.3 - Standardiserade bedömningsmetoder för utredning av drogmissbruk</t>
  </si>
  <si>
    <t>B1.1.1 - Manualbaserad insats för föräldrastöd</t>
  </si>
  <si>
    <t>B1.2.1 - Standardiserade bedömningsmetoder för föräldraförmåga</t>
  </si>
  <si>
    <t>B1.2.3 - Andel elever med betydande frånvaro från skolan</t>
  </si>
  <si>
    <t>B2.1.2 - Standardiserade bedömningsmetoder för utredning av missbruk</t>
  </si>
  <si>
    <t>B2.2.1 - Andel elever med riskkonsumtion av alkohol i åk 9</t>
  </si>
  <si>
    <t>B2.2.2 - Andel elever med riskkonsumtion av alkohol i gymnasiet år 2</t>
  </si>
  <si>
    <t>B2.2.3 - Andel elever som någon gång använt narkotika i åk 9</t>
  </si>
  <si>
    <t>B2.2.4 - Andel elever som någon gång använt narkotika i gymnasiet år 2</t>
  </si>
  <si>
    <t>B3.1.1 - Upprättande av SIP i befolkningen</t>
  </si>
  <si>
    <t>B3.1.2 - Uppföljning av SIP i befolkningen</t>
  </si>
  <si>
    <t>B3.1.3 - Rutin för information om SIP</t>
  </si>
  <si>
    <t>B4.1.1 - Klagomål med avseende på bemötande</t>
  </si>
  <si>
    <t>B4.1.1 - Anmälningar med avseende på kränkande behandling inom skolan</t>
  </si>
  <si>
    <t>B1.2.1 - Andel elever som fullföljt gymnasieutbildningen inom tre år</t>
  </si>
  <si>
    <t>B5.1.3 - Handlingsplan för suicidprevention</t>
  </si>
  <si>
    <t>B1.1.2 - Standardiserade bedömningsmetoder för föräldraförmåga</t>
  </si>
  <si>
    <t>B1.2.2 - Andel elever utan godkända betyg från åk 9</t>
  </si>
  <si>
    <t>V2.1.1</t>
  </si>
  <si>
    <t>V2.1.2</t>
  </si>
  <si>
    <t>V3.1.1</t>
  </si>
  <si>
    <t>V3.1.2</t>
  </si>
  <si>
    <t>V3.1.3</t>
  </si>
  <si>
    <t>V3.2.1</t>
  </si>
  <si>
    <t>V4.1.1</t>
  </si>
  <si>
    <t>V4.2.1</t>
  </si>
  <si>
    <t>V4.2.2</t>
  </si>
  <si>
    <t>V4.2.3</t>
  </si>
  <si>
    <t>V4.2.4</t>
  </si>
  <si>
    <t>V5.1.1</t>
  </si>
  <si>
    <t>V5.1.2</t>
  </si>
  <si>
    <t>V5.1.3</t>
  </si>
  <si>
    <t>B1.1.1</t>
  </si>
  <si>
    <t>B1.1.2</t>
  </si>
  <si>
    <t>B1.2.1</t>
  </si>
  <si>
    <t>B1.2.2</t>
  </si>
  <si>
    <t>B1.2.3</t>
  </si>
  <si>
    <t>B2.1.1</t>
  </si>
  <si>
    <t>B2.1.2</t>
  </si>
  <si>
    <t>B2.2.1</t>
  </si>
  <si>
    <t>B2.2.2</t>
  </si>
  <si>
    <t>B2.2.3</t>
  </si>
  <si>
    <t>B2.2.4</t>
  </si>
  <si>
    <t>B3.1.1</t>
  </si>
  <si>
    <t>B3.1.2</t>
  </si>
  <si>
    <t>B3.1.3</t>
  </si>
  <si>
    <t>B3.2.1</t>
  </si>
  <si>
    <t>B4.1.1</t>
  </si>
  <si>
    <t>B5.1.1</t>
  </si>
  <si>
    <t>B5.1.2</t>
  </si>
  <si>
    <t>B5.1.3</t>
  </si>
  <si>
    <t>Mål 1.1. Nollvision om suicid i Västra Götaland</t>
  </si>
  <si>
    <t>Mål 2.1. Äldre personer med med psykisk ohälsa ska få vård och stöd</t>
  </si>
  <si>
    <t>Mål 3.1. Personer med behov av samordnadeinsatser har en samordnad individuell plan (SIP)</t>
  </si>
  <si>
    <t>Mål 4.2. Äldre personer med med psykisk ohälsa ska få vård och stöd</t>
  </si>
  <si>
    <t>Mål 5.1. Invånare ska få evidensbaserade metoder inom vård, stöd och behandling</t>
  </si>
  <si>
    <t>Indikator V1.1.1 Antal självmord i befolkningen</t>
  </si>
  <si>
    <t>Indikator 1.1.2 Antal självmordsförsök i befolkningen</t>
  </si>
  <si>
    <t>Indikator V1.1.3 Handlingsplan för suicidprevention</t>
  </si>
  <si>
    <t>Indikator V2.1.1 Aktuella rutiner för samordning inom äldreomsorgen</t>
  </si>
  <si>
    <t>Indikator 2.1.2 Förskrivning av antidepressiva läkemedel i befolkningen</t>
  </si>
  <si>
    <t>Indikator V3.1.1 Upprättande av SIP i befolkningen</t>
  </si>
  <si>
    <t>Indikator V3.1.2 Uppföljning av SIP i befolkningen</t>
  </si>
  <si>
    <t>Indikator V3.1.3 Rutin för information om SIP</t>
  </si>
  <si>
    <t>Indikator V3.2.2 Systematiskt samarbete med brukarorganisationer</t>
  </si>
  <si>
    <t>Indikator 4.1.1 Klagomål med avseende på bemötande</t>
  </si>
  <si>
    <t>Indikator V4.2.3 Case management till personer med psykisk sjukdom</t>
  </si>
  <si>
    <t>Indikator V4.2.4 Aktuella rutiner för samordning inom socialtjänsten</t>
  </si>
  <si>
    <t>Indikator V5.1.1 Standardiserade bedömningsmetoder inom missbruk- och beroendeverksamhet</t>
  </si>
  <si>
    <t>Indikator B5.1.2 Standardiserade bedömningsmetoder för utredning av alkoholmissbruk</t>
  </si>
  <si>
    <t>Indikator B5.1.3 Standardiserade bedömningsmetoder för utredning av drogmissbruk</t>
  </si>
  <si>
    <t>Mål 1.1. Föräldrar ska erbjudas stöd under barnets hela uppväxt</t>
  </si>
  <si>
    <t>Indikator B1.2.1 Andel elever som fullföljt gymnasieutbildningen inom tre år</t>
  </si>
  <si>
    <t>Mål 3.1. Barn och unga som har behov av samordnade insatser har en SIP/Västbusplan</t>
  </si>
  <si>
    <t>Mål 5.1. Nollvision om suicid i Västra Götaland</t>
  </si>
  <si>
    <t>Indikator B1.1.1 Manualbaserad insats för föräldrastöd</t>
  </si>
  <si>
    <t>Indikator B1.1.2 Standardiserade bedömningsmetoder för föräldraförmåga</t>
  </si>
  <si>
    <t>Indikator B1.2.3 Andel elever som fullföljt med betydande frånvaro från skolan</t>
  </si>
  <si>
    <t>Indikator B2.1.2 Standardiserade bedömningsmetoder för utredning av missbruk</t>
  </si>
  <si>
    <t>Indikator B2.2.1 Andel elever med riskkonumtion av alkohol i åk 9</t>
  </si>
  <si>
    <t>Indikator B2.2.2 Andel elever med riskkonumtion av alkohol i gymnasiet år 2</t>
  </si>
  <si>
    <t>Indikator B2.2.3 Andel elever som någon gång använt narkotika i åk 9</t>
  </si>
  <si>
    <t>Indikator B2.2.4 Andel elever som någon gång använt narkotika i gymnasiet år 2</t>
  </si>
  <si>
    <t>Indikator B3.1.3 Rutin för information om SIP</t>
  </si>
  <si>
    <t>Indikator B4.1.1 Klagomål med avseende på bemötande</t>
  </si>
  <si>
    <t>Indikator B5.1.3 Handlingsplan för suicidprevention</t>
  </si>
  <si>
    <t>Indikator B1.2.2 Andel elever utan godkända betyg från åk 9</t>
  </si>
  <si>
    <t>1. Hämta ny rådata utifrån instruktioner i Användarmanual och rapportera in i fliken V1.1.1 DATA.</t>
  </si>
  <si>
    <t>2. Uppdatera datum för "Senast uppdaterad" på fliken V1.1.1 DATA till aktuellt datum</t>
  </si>
  <si>
    <t>3. Uppdatera datum för "Senast uppdaterad" på denna flik (V1.1.1 DATA) till aktuellt datum</t>
  </si>
  <si>
    <t>4. Öppna flik V1.1.1 och följ instruktioner för att uppdatera Pivottabell och Pivotgraf</t>
  </si>
  <si>
    <t>1. Hämta ny rådata utifrån instruktioner i Användarmanual och rapportera in i fliken V1.1.2 DATA.</t>
  </si>
  <si>
    <t>2. Uppdatera datum för "Senast uppdaterad" på fliken V1.1.2 DATA till aktuellt datum för inrapporteringen</t>
  </si>
  <si>
    <t>3. Uppdatera datum för "Senast uppdaterad" på denna flik (V1.1.2 DATA) till aktuellt datum</t>
  </si>
  <si>
    <t>4. Uppdatera datum för "Senast uppdaterad" på denna flik (V1.1.2) till aktuellt datum</t>
  </si>
  <si>
    <t>4. Öppna flik V1.1.2 och följ instruktioner för att uppdatera Pivottabell och Pivotgraf</t>
  </si>
  <si>
    <t>1. Hämta ny rådata utifrån instruktioner i Användarmanual och rapportera in i fliken V2.1.1 DATA.</t>
  </si>
  <si>
    <t>2. Uppdatera datum för "Senast uppdaterad" på fliken V2.1.1 DATA till aktuellt datum för inrapporteringen</t>
  </si>
  <si>
    <t>4. Uppdatera datum för "Senast uppdaterad" på denna flik (V2.1.1) till aktuellt datum</t>
  </si>
  <si>
    <t>4. Uppdatera datum för "Senast uppdaterad" på denna flik (V2.1.1 DATA) till aktuellt datum</t>
  </si>
  <si>
    <t>1. Hämta ny rådata utifrån instruktioner i Användarmanual och rapportera in i fliken V2.1.2 DATA.</t>
  </si>
  <si>
    <t>2. Uppdatera datum för "Senast uppdaterad" på fliken V2.1.2 DATA till aktuellt datum för inrapporteringen</t>
  </si>
  <si>
    <t>4. Uppdatera datum för "Senast uppdaterad" på denna flik (V2.1.2) till aktuellt datum</t>
  </si>
  <si>
    <t>3. Uppdatera datum för "Senast uppdaterad" på denna flik (V2.1.2 DATA) till aktuellt datum</t>
  </si>
  <si>
    <t>4. Öppna flik V2.1.2 och följ instruktioner för att uppdatera Pivottabell och Pivotgraf</t>
  </si>
  <si>
    <t>1. Hämta ny rådata utifrån instruktioner i Användarmanual och rapportera in i fliken V3.1.3 DATA.</t>
  </si>
  <si>
    <t>4. Uppdatera datum för "Senast uppdaterad" på denna flik (V3.1.3) till aktuellt datum</t>
  </si>
  <si>
    <t>5. Öppna flik V3.1.3 och följ instruktioner för att uppdatera Pivottabell och Pivotgraf</t>
  </si>
  <si>
    <t>4. Uppdatera datum för "Senast uppdaterad" på denna flik (V3.1.3 DATA) till aktuellt datum</t>
  </si>
  <si>
    <t>1. Hämta ny rådata utifrån instruktioner i Användarmanual och rapportera in i fliken V4.1.1 DATA.</t>
  </si>
  <si>
    <t>2. Uppdatera datum för "Senast uppdaterad" på fliken V4.1.1 DATA till aktuellt datum för inrapporteringen</t>
  </si>
  <si>
    <t>4. Uppdatera datum för "Senast uppdaterad" på denna flik (V4.1.1) till aktuellt datum</t>
  </si>
  <si>
    <t>1. Hämta ny rådata utifrån instruktioner i Användarmanual och rapportera in i fliken V4.2.1 DATA.</t>
  </si>
  <si>
    <t>4. Uppdatera datum för "Senast uppdaterad" på denna flik (V4.2.1) till aktuellt datum</t>
  </si>
  <si>
    <t>1. Hämta ny rådata utifrån instruktioner i Användarmanual och rapportera in i fliken V4.2.2 DATA.</t>
  </si>
  <si>
    <t>2. Uppdatera datum för "Senast uppdaterad" på fliken V4.2.2 DATA till aktuellt datum för inrapporteringen</t>
  </si>
  <si>
    <t>4. Uppdatera datum för "Senast uppdaterad" på denna flik (V4.2.2) till aktuellt datum</t>
  </si>
  <si>
    <t>3. Uppdatera datum för "Senast uppdaterad" på denna flik (V4.2.2 DATA) till aktuellt datum</t>
  </si>
  <si>
    <t>4. Öppna flik V4.2.2 och följ instruktioner för att uppdatera Pivottabell och Pivotgraf</t>
  </si>
  <si>
    <t>1. Hämta ny rådata utifrån instruktioner i Användarmanual och rapportera in i fliken V4.2.3 DATA.</t>
  </si>
  <si>
    <t>2. Uppdatera datum för "Senast uppdaterad" på fliken V4.2.3 DATA till aktuellt datum för inrapporteringen</t>
  </si>
  <si>
    <t>4. Uppdatera datum för "Senast uppdaterad" på denna flik (V4.2.3) till aktuellt datum</t>
  </si>
  <si>
    <t>4. Uppdatera datum för "Senast uppdaterad" på denna flik (V4.2.3 DATA) till aktuellt datum</t>
  </si>
  <si>
    <t>1. Hämta ny rådata utifrån instruktioner i Användarmanual och rapportera in i fliken V4.2.4 DATA.</t>
  </si>
  <si>
    <t>5. Vid det här laget bör såväl tabellen som grafen visa de data som valts. Om du vill välja ut enskilda delar kan du klicka på pilen vid [Radetiketter] på Pivottabellen för att välja ut enskilda år, eller på pilen vid [Kolumnetiketter] för att välja enskilda nyckeltal.</t>
  </si>
  <si>
    <t>4. Uppdatera datum för "Senast uppdaterad" på denna flik (V4.2.4 DATA) till aktuellt datum</t>
  </si>
  <si>
    <t>5. Öppna flik V4.2.4 och följ instruktioner för att uppdatera Pivottabell och Pivotgraf</t>
  </si>
  <si>
    <t>1. Hämta ny rådata utifrån instruktioner i Användarmanual och rapportera in i fliken V5.1.1 DATA.</t>
  </si>
  <si>
    <t>2. Uppdatera datum för "Senast uppdaterad" på fliken V5.1.1 DATA till aktuellt datum för inrapporteringen</t>
  </si>
  <si>
    <t>4. Uppdatera datum för "Senast uppdaterad" på denna flik (V5.1.1) till aktuellt datum</t>
  </si>
  <si>
    <t>4. Uppdatera datum för "Senast uppdaterad" på denna flik (V5.1.1 DATA) till aktuellt datum</t>
  </si>
  <si>
    <t>5. Öppna flik V5.1.1 och följ instruktioner för att uppdatera Pivottabell och Pivotgraf</t>
  </si>
  <si>
    <t>1. Hämta ny rådata utifrån instruktioner i Användarmanual och rapportera in i fliken V5.1.2 DATA.</t>
  </si>
  <si>
    <t>2. Uppdatera datum för "Senast uppdaterad" på fliken V5.1.2 DATA till aktuellt datum för inrapporteringen</t>
  </si>
  <si>
    <t>4. Uppdatera datum för "Senast uppdaterad" på denna flik (V5.1.2) till aktuellt datum</t>
  </si>
  <si>
    <t>4. Uppdatera datum för "Senast uppdaterad" på denna flik (V5.1.2 DATA) till aktuellt datum</t>
  </si>
  <si>
    <t>5. Öppna flik V5.1.2 och följ instruktioner för att uppdatera Pivottabell och Pivotgraf</t>
  </si>
  <si>
    <t>1. Hämta ny rådata utifrån instruktioner i Användarmanual och rapportera in i fliken V5.1.3 DATA.</t>
  </si>
  <si>
    <t>2. Uppdatera datum för "Senast uppdaterad" på fliken V5.1.3 DATA till aktuellt datum för inrapporteringen</t>
  </si>
  <si>
    <t>4. Uppdatera datum för "Senast uppdaterad" på denna flik (V5.1.3) till aktuellt datum</t>
  </si>
  <si>
    <t>4. Uppdatera datum för "Senast uppdaterad" på denna flik (V5.1.3 DATA) till aktuellt datum</t>
  </si>
  <si>
    <t>5. Öppna flik V5.1.3 och följ instruktioner för att uppdatera Pivottabell och Pivotgraf</t>
  </si>
  <si>
    <t>1. Hämta ny rådata utifrån instruktioner i Användarmanual och rapportera in i fliken B1.1.1 Data.</t>
  </si>
  <si>
    <t>2. Uppdatera datum för "Senast uppdaterad" på fliken B1.1.1 Data till aktuellt datum för inrapporteringen</t>
  </si>
  <si>
    <t>4. Uppdatera datum för "Senast uppdaterad" på denna flik (B1.1.1 Data) till aktuellt datum</t>
  </si>
  <si>
    <t>4. Uppdatera datum för "Senast uppdaterad" på denna flik (B1.1.1) till aktuellt datum</t>
  </si>
  <si>
    <t>5. Öppna flik B1.1.1 och följ instruktioner för att uppdatera Pivottabell och Pivotgraf</t>
  </si>
  <si>
    <t>1. Hämta ny rådata utifrån instruktioner i Användarmanual och rapportera in i fliken B1.1.2 DATA.</t>
  </si>
  <si>
    <t>2. Uppdatera datum för "Senast uppdaterad" på fliken B1.1.2 DATA till aktuellt datum för inrapporteringen</t>
  </si>
  <si>
    <t>4. Uppdatera datum för "Senast uppdaterad" på denna flik (B1.1.2) till aktuellt datum</t>
  </si>
  <si>
    <t>4. Uppdatera datum för "Senast uppdaterad" på denna flik (B1.1.2 DATA) till aktuellt datum</t>
  </si>
  <si>
    <t>5. Öppna flik B1.1.2 och följ instruktioner för att uppdatera Pivottabell och Pivotgraf</t>
  </si>
  <si>
    <t>1. Hämta ny rådata utifrån instruktioner i Användarmanual och rapportera in i fliken B1.2.1 Data.</t>
  </si>
  <si>
    <t>2. Uppdatera datum för "Senast uppdaterad" på fliken B1.2.1 Data till aktuellt datum för inrapporteringen</t>
  </si>
  <si>
    <t>4. Uppdatera datum för "Senast uppdaterad" på denna flik (B1.2.1 Data) till aktuellt datum</t>
  </si>
  <si>
    <t>5. Öppna flik B1.2.1 och följ instruktioner för att uppdatera Pivottabell och Pivotgraf</t>
  </si>
  <si>
    <t>4. Uppdatera datum för "Senast uppdaterad" på denna flik (B1.2.1) till aktuellt datum</t>
  </si>
  <si>
    <t>4. Uppdatera datum för "Senast uppdaterad" på denna flik (B1.2.2) till aktuellt datum</t>
  </si>
  <si>
    <t>1. Hämta ny rådata utifrån instruktioner i Användarmanual och rapportera in i fliken B1.2.2 DATA.</t>
  </si>
  <si>
    <t>2. Uppdatera datum för "Senast uppdaterad" på fliken B1.2.2 DATA till aktuellt datum för inrapporteringen</t>
  </si>
  <si>
    <t>4. Uppdatera datum för "Senast uppdaterad" på denna flik (B1.2.2 DATA) till aktuellt datum</t>
  </si>
  <si>
    <t>5. Öppna flik B1.2.2 och följ instruktioner för att uppdatera Pivottabell och Pivotgraf</t>
  </si>
  <si>
    <t>1. Hämta ny rådata utifrån instruktioner i Användarmanual och rapportera in i fliken B1.2.3 DATA.</t>
  </si>
  <si>
    <t>2. Uppdatera datum för "Senast uppdaterad" på fliken B1.2.3 DATA till aktuellt datum för inrapporteringen</t>
  </si>
  <si>
    <t>4. Uppdatera datum för "Senast uppdaterad" på denna flik (B1.2.3 DATA) till aktuellt datum</t>
  </si>
  <si>
    <t>5. Öppna flik B1.2.3 och följ instruktioner för att uppdatera Pivottabell och Pivotgraf</t>
  </si>
  <si>
    <t>4. Uppdatera datum för "Senast uppdaterad" på denna flik (B1.2.3) till aktuellt datum</t>
  </si>
  <si>
    <t>1. Hämta ny rådata utifrån instruktioner i Användarmanual och rapportera in i fliken B2.1.1 DATA.</t>
  </si>
  <si>
    <t>2. Uppdatera datum för "Senast uppdaterad" på fliken B2.1.1 DATA till aktuellt datum för inrapporteringen</t>
  </si>
  <si>
    <t>3. Uppdatera datum för "Senast uppdaterad" på denna flik (B2.1.1 DATA) till aktuellt datum</t>
  </si>
  <si>
    <t>4. Öppna flik B2.1.1 och följ instruktioner för att uppdatera Pivottabell och Pivotgraf</t>
  </si>
  <si>
    <t>4. Uppdatera datum för "Senast uppdaterad" på denna flik (B2.1.1) till aktuellt datum</t>
  </si>
  <si>
    <t>1. Hämta ny rådata utifrån instruktioner i Användarmanual och rapportera in i fliken B2.1.2 DATA.</t>
  </si>
  <si>
    <t>2. Uppdatera datum för "Senast uppdaterad" på fliken B2.1.2 DATA till aktuellt datum för inrapporteringen</t>
  </si>
  <si>
    <t>4. Uppdatera datum för "Senast uppdaterad" på denna flik (B2.1.2 DATA) till aktuellt datum</t>
  </si>
  <si>
    <t>5. Öppna flik B2.1.2 och följ instruktioner för att uppdatera Pivottabell och Pivotgraf</t>
  </si>
  <si>
    <t>4. Uppdatera datum för "Senast uppdaterad" på denna flik (B2.1.2) till aktuellt datum</t>
  </si>
  <si>
    <t>4. Uppdatera datum för "Senast uppdaterad" på denna flik (B2.2.1) till aktuellt datum</t>
  </si>
  <si>
    <t>1. Hämta ny rådata utifrån instruktioner i Användarmanual och rapportera in i fliken B2.2.1 DATA.</t>
  </si>
  <si>
    <t>2. Uppdatera datum för "Senast uppdaterad" på fliken B2.2.1 DATA till aktuellt datum för inrapporteringen</t>
  </si>
  <si>
    <t>4. Uppdatera datum för "Senast uppdaterad" på denna flik (B2.2.1 DATA) till aktuellt datum</t>
  </si>
  <si>
    <t>5. Öppna flik B2.2.1 och följ instruktioner för att uppdatera Pivottabell och Pivotgraf</t>
  </si>
  <si>
    <t>1. Hämta ny rådata utifrån instruktioner i Användarmanual och rapportera in i fliken B2.2.2 DATA.</t>
  </si>
  <si>
    <t>2. Uppdatera datum för "Senast uppdaterad" på fliken B2.2.2 DATA till aktuellt datum för inrapporteringen</t>
  </si>
  <si>
    <t>4. Uppdatera datum för "Senast uppdaterad" på denna flik (B2.2.2 DATA) till aktuellt datum</t>
  </si>
  <si>
    <t>5. Öppna flik B2.2.2 och följ instruktioner för att uppdatera Pivottabell och Pivotgraf</t>
  </si>
  <si>
    <t>4. Uppdatera datum för "Senast uppdaterad" på denna flik (B2.2.2) till aktuellt datum</t>
  </si>
  <si>
    <t>4. Uppdatera datum för "Senast uppdaterad" på denna flik (B2.2.3) till aktuellt datum</t>
  </si>
  <si>
    <t>1. Hämta ny rådata utifrån instruktioner i Användarmanual och rapportera in i fliken B2.2.3 DATA.</t>
  </si>
  <si>
    <t>2. Uppdatera datum för "Senast uppdaterad" på fliken B2.2.3 DATA till aktuellt datum för inrapporteringen</t>
  </si>
  <si>
    <t>4. Uppdatera datum för "Senast uppdaterad" på denna flik (B2.2.3 DATA) till aktuellt datum</t>
  </si>
  <si>
    <t>5. Öppna flik B2.2.3 och följ instruktioner för att uppdatera Pivottabell och Pivotgraf</t>
  </si>
  <si>
    <t>1. Hämta ny rådata utifrån instruktioner i Användarmanual och rapportera in i fliken B2.2.4 DATA.</t>
  </si>
  <si>
    <t>2. Uppdatera datum för "Senast uppdaterad" på fliken B2.2.4 DATA till aktuellt datum för inrapporteringen</t>
  </si>
  <si>
    <t>4. Uppdatera datum för "Senast uppdaterad" på denna flik (B2.2.4 DATA) till aktuellt datum</t>
  </si>
  <si>
    <t>5. Öppna flik B2.2.4 och följ instruktioner för att uppdatera Pivottabell och Pivotgraf</t>
  </si>
  <si>
    <t>4. Uppdatera datum för "Senast uppdaterad" på denna flik (B2.2.4) till aktuellt datum</t>
  </si>
  <si>
    <t>4. Uppdatera datum för "Senast uppdaterad" på denna flik (B3.1.3) till aktuellt datum</t>
  </si>
  <si>
    <t>1. Hämta ny rådata utifrån instruktioner i Användarmanual och rapportera in i fliken B3.1.3 DATA.</t>
  </si>
  <si>
    <t>2. Uppdatera datum för "Senast uppdaterad" på fliken B3.1.3 DATA till aktuellt datum för inrapporteringen</t>
  </si>
  <si>
    <t>4. Uppdatera datum för "Senast uppdaterad" på denna flik (B3.1.3 DATA) till aktuellt datum</t>
  </si>
  <si>
    <t>5. Öppna flik B3.1.3 och följ instruktioner för att uppdatera Pivottabell och Pivotgraf</t>
  </si>
  <si>
    <t>1. Hämta ny rådata utifrån instruktioner i Användarmanual och rapportera in i fliken B4.1.1 DATA.</t>
  </si>
  <si>
    <t>2. Uppdatera datum för "Senast uppdaterad" på fliken B4.1.1 DATA till aktuellt datum för inrapporteringen</t>
  </si>
  <si>
    <t>4. Uppdatera datum för "Senast uppdaterad" på denna flik (B4.1.1 DATA) till aktuellt datum</t>
  </si>
  <si>
    <t>5. Öppna flik B4.1.1 och följ instruktioner för att uppdatera Pivottabell och Pivotgraf</t>
  </si>
  <si>
    <t>4. Uppdatera datum för "Senast uppdaterad" på denna flik (B4.1.1) till aktuellt datum</t>
  </si>
  <si>
    <t>1. Hämta ny rådata utifrån instruktioner i Användarmanual och rapportera in i fliken B5.1.1 DATA.</t>
  </si>
  <si>
    <t>2. Uppdatera datum för "Senast uppdaterad" på fliken B5.1.1 DATA till aktuellt datum för inrapporteringen</t>
  </si>
  <si>
    <t>3. Uppdatera datum för "Senast uppdaterad" på denna flik (B5.1.1 DATA) till aktuellt datum</t>
  </si>
  <si>
    <t>4. Öppna flik B5.1.1 och följ instruktioner för att uppdatera Pivottabell och Pivotgraf</t>
  </si>
  <si>
    <t>4. Uppdatera datum för "Senast uppdaterad" på denna flik (B5.1.1) till aktuellt datum</t>
  </si>
  <si>
    <t>1. Hämta ny rådata utifrån instruktioner i Användarmanual och rapportera in i fliken B5.1.2 DATA.</t>
  </si>
  <si>
    <t>2. Uppdatera datum för "Senast uppdaterad" på fliken B5.1.2 DATA till aktuellt datum för inrapporteringen</t>
  </si>
  <si>
    <t>3. Uppdatera datum för "Senast uppdaterad" på denna flik (B5.1.2 DATA) till aktuellt datum</t>
  </si>
  <si>
    <t>4. Öppna flik B5.1.2 och följ instruktioner för att uppdatera Pivottabell och Pivotgraf</t>
  </si>
  <si>
    <t>4. Uppdatera datum för "Senast uppdaterad" på denna flik (B5.1.2) till aktuellt datum</t>
  </si>
  <si>
    <t>B3.2.1 - Systematiskt samarbete med brukarorganisationer</t>
  </si>
  <si>
    <t>V3.2.1 - Systematiskt samarbete med brukarorganisationer</t>
  </si>
  <si>
    <t>Mål 3.1. Personer som har behov av samordnade insatser har en samordnad individuell plan (SIP)</t>
  </si>
  <si>
    <t>Indikator B3.2.1 Systematiskt samarbete med brukarorganisationer</t>
  </si>
  <si>
    <t>Antal definierade dygnsdoser (DDD) antidepressiva läkemedel förskrivna per 1000 invånare (65+ år)</t>
  </si>
  <si>
    <t>Sum of 65­69</t>
  </si>
  <si>
    <t>Sum of 70­74</t>
  </si>
  <si>
    <t>Sum of 75­79</t>
  </si>
  <si>
    <t>Sum of 80­84</t>
  </si>
  <si>
    <t>Sum of 85+</t>
  </si>
  <si>
    <t xml:space="preserve">Tips: Använd [20-85+] som grundvärde och testa sedan att föra in olika smalare ålderspann en i taget för att se hur de förhåller sig jämfört med det totala genomsnittet för ålderspannet 20-85+ år. Bland annat kan ni testa att undersöka den äldre befolkningen. </t>
  </si>
  <si>
    <t>B2.1.1 - Barn och unga som vårdats i slutenvård med psykiatrisk diagnos</t>
  </si>
  <si>
    <t>Indikator B2.1.1 Barn och unga som vårdats i slutenvård med psykiatrisk diagnos</t>
  </si>
  <si>
    <t>Indikator B5.1.1 Antal självmord i befolkningen 0-19 år</t>
  </si>
  <si>
    <t>Indikator B5.1.2 Antal självmordsförsök i befolkningen 0-19 år</t>
  </si>
  <si>
    <t>B5.1.1 - Antal självmord i befolkningen 0-19 år</t>
  </si>
  <si>
    <t>B5.1.2 - Antal självmordsförsök i befolkningen 0-19 år</t>
  </si>
  <si>
    <t>Indikator 4.2.1 Antal personer med missbruk och/eller beroende utskrivna enligt LVM</t>
  </si>
  <si>
    <t>V4.2.2 - Undvikbara slutenvårdstillfällen bland personer som tidigare vårdats inom psykiatrisk vård</t>
  </si>
  <si>
    <t>Indikator 4.2.2 Undvikbara slutenvårdstillfällen bland personer som tidigare vårdats inom psykiatrisk vård</t>
  </si>
  <si>
    <t>B3.1.1 - Upprättande av SIP i befolkningen 0-20 år</t>
  </si>
  <si>
    <t>B3.1.2 - Uppföljning av SIP i befolkningen 0-20 år</t>
  </si>
  <si>
    <t>Indikator B3.1.1 Upprättande av SIP i befolkningen 0-20 år</t>
  </si>
  <si>
    <t>Antal upprättade SIP (0-20 år)</t>
  </si>
  <si>
    <t xml:space="preserve">Indikator B3.1.2 Uppföljning av SIP i befolkningen (0-20 år) </t>
  </si>
  <si>
    <t>Andel uppföljningar av upprättade SIP (0-20 år)</t>
  </si>
  <si>
    <t>V4.2.1 - Antal personer med missbruk och/eller beroende utskrivna enligt LVM (lagen om vård av missbrukare)</t>
  </si>
  <si>
    <t>Andel uppföljningar av upprättade SIP (20+ år)</t>
  </si>
  <si>
    <t>Antal upprättade SIP (20+ år)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</si>
</sst>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yyyy;@"/>
    <numFmt numFmtId="165" formatCode="#,##0;[Red]\-#,##0"/>
    <numFmt numFmtId="166" formatCode="0.0%"/>
    <numFmt numFmtId="167" formatCode="#,##0.0%"/>
    <numFmt numFmtId="168" formatCode="###0"/>
    <numFmt numFmtId="169" formatCode="0.0"/>
  </numFmts>
  <fonts count="71">
    <font>
      <sz val="11"/>
      <color theme="1"/>
      <name val="Calibri"/>
      <family val="2"/>
      <scheme val="minor"/>
    </font>
    <font>
      <b/>
      <sz val="11"/>
      <color theme="1"/>
      <name val="Calibri"/>
      <family val="2"/>
      <scheme val="minor"/>
    </font>
    <font>
      <i/>
      <sz val="11"/>
      <color theme="1"/>
      <name val="Calibri"/>
      <family val="2"/>
      <scheme val="minor"/>
    </font>
    <font>
      <sz val="16"/>
      <color theme="1"/>
      <name val="Calibri"/>
      <family val="2"/>
      <scheme val="minor"/>
    </font>
    <font>
      <sz val="18"/>
      <color theme="1"/>
      <name val="Calibri"/>
      <family val="2"/>
      <scheme val="minor"/>
    </font>
    <font>
      <sz val="12"/>
      <color theme="1"/>
      <name val="Calibri"/>
      <family val="2"/>
      <scheme val="minor"/>
    </font>
    <font>
      <i/>
      <sz val="14"/>
      <color theme="1"/>
      <name val="Calibri"/>
      <family val="2"/>
      <scheme val="minor"/>
    </font>
    <font>
      <sz val="24"/>
      <color theme="1"/>
      <name val="Corbel"/>
      <family val="2"/>
    </font>
    <font>
      <sz val="18"/>
      <color theme="1"/>
      <name val="Corbel"/>
      <family val="2"/>
    </font>
    <font>
      <i/>
      <sz val="14"/>
      <color theme="1"/>
      <name val="Corbel"/>
      <family val="2"/>
    </font>
    <font>
      <sz val="10"/>
      <color rgb="FF000000"/>
      <name val="Arial"/>
      <family val="2"/>
    </font>
    <font>
      <b/>
      <i/>
      <sz val="12"/>
      <color theme="1"/>
      <name val="Corbel"/>
      <family val="2"/>
    </font>
    <font>
      <sz val="12"/>
      <color theme="1"/>
      <name val="Corbel"/>
      <family val="2"/>
    </font>
    <font>
      <i/>
      <sz val="12"/>
      <color theme="1"/>
      <name val="Corbel"/>
      <family val="2"/>
    </font>
    <font>
      <sz val="14"/>
      <color theme="1"/>
      <name val="Corbel"/>
      <family val="2"/>
    </font>
    <font>
      <i/>
      <sz val="12"/>
      <color theme="1"/>
      <name val="Calibri"/>
      <family val="2"/>
      <scheme val="minor"/>
    </font>
    <font>
      <b/>
      <sz val="12"/>
      <color theme="1"/>
      <name val="Corbel"/>
      <family val="2"/>
    </font>
    <font>
      <b/>
      <sz val="14"/>
      <color theme="1"/>
      <name val="Corbel"/>
      <family val="2"/>
    </font>
    <font>
      <u/>
      <sz val="11"/>
      <color theme="10"/>
      <name val="Calibri"/>
      <family val="2"/>
      <scheme val="minor"/>
    </font>
    <font>
      <u/>
      <sz val="11"/>
      <name val="Calibri"/>
      <family val="2"/>
      <scheme val="minor"/>
    </font>
    <font>
      <b/>
      <i/>
      <sz val="14"/>
      <color theme="1"/>
      <name val="Corbel"/>
      <family val="2"/>
    </font>
    <font>
      <sz val="11"/>
      <name val="Calibri"/>
      <family val="2"/>
      <scheme val="minor"/>
    </font>
    <font>
      <sz val="18"/>
      <name val="Corbel"/>
      <family val="2"/>
    </font>
    <font>
      <b/>
      <sz val="12"/>
      <name val="Corbel"/>
      <family val="2"/>
    </font>
    <font>
      <b/>
      <u/>
      <sz val="12"/>
      <name val="Corbel"/>
      <family val="2"/>
    </font>
    <font>
      <sz val="11"/>
      <color theme="1"/>
      <name val="Calibri"/>
      <family val="2"/>
      <scheme val="minor"/>
    </font>
    <font>
      <b/>
      <sz val="11"/>
      <name val="Calibri"/>
      <family val="2"/>
      <scheme val="minor"/>
    </font>
    <font>
      <b/>
      <sz val="11"/>
      <name val="Calibri  "/>
    </font>
    <font>
      <b/>
      <sz val="10"/>
      <name val="Calibri  "/>
    </font>
    <font>
      <sz val="10"/>
      <color theme="1"/>
      <name val="Arial"/>
      <family val="2"/>
    </font>
    <font>
      <i/>
      <sz val="10"/>
      <color theme="1"/>
      <name val="Calibri"/>
      <family val="2"/>
      <scheme val="minor"/>
    </font>
    <font>
      <sz val="11"/>
      <color theme="1"/>
      <name val="Calibri  "/>
    </font>
    <font>
      <sz val="11"/>
      <name val="Calibri  "/>
    </font>
    <font>
      <b/>
      <i/>
      <sz val="12"/>
      <name val="Corbel"/>
      <family val="2"/>
    </font>
    <font>
      <sz val="8"/>
      <name val="Arial"/>
      <family val="2"/>
    </font>
    <font>
      <sz val="11"/>
      <name val="Calibri"/>
      <family val="2"/>
    </font>
    <font>
      <b/>
      <sz val="10"/>
      <color theme="1"/>
      <name val="Arial"/>
      <family val="2"/>
    </font>
    <font>
      <b/>
      <sz val="10"/>
      <color rgb="FF000000"/>
      <name val="Arial"/>
      <family val="2"/>
    </font>
    <font>
      <sz val="8"/>
      <color theme="1"/>
      <name val="Verdana"/>
      <family val="2"/>
    </font>
    <font>
      <b/>
      <sz val="8"/>
      <color theme="1"/>
      <name val="Verdana"/>
      <family val="2"/>
    </font>
    <font>
      <sz val="9"/>
      <color rgb="FF000000"/>
      <name val="Arial"/>
      <family val="2"/>
    </font>
    <font>
      <sz val="11"/>
      <color rgb="FFFF0000"/>
      <name val="Calibri"/>
      <family val="2"/>
      <scheme val="minor"/>
    </font>
    <font>
      <sz val="10"/>
      <color rgb="FFFF0000"/>
      <name val="Arial"/>
      <family val="2"/>
    </font>
    <font>
      <sz val="11"/>
      <color rgb="FFFF0000"/>
      <name val="Calibri  "/>
    </font>
    <font>
      <sz val="24"/>
      <name val="Corbel"/>
      <family val="2"/>
    </font>
    <font>
      <b/>
      <sz val="12"/>
      <color rgb="FFF18366"/>
      <name val="Corbel"/>
      <family val="2"/>
    </font>
    <font>
      <b/>
      <sz val="12"/>
      <color rgb="FF5E958E"/>
      <name val="Corbel"/>
      <family val="2"/>
    </font>
    <font>
      <sz val="11"/>
      <color theme="0" tint="-0.249977111117893"/>
      <name val="Calibri"/>
      <family val="2"/>
      <scheme val="minor"/>
    </font>
    <font>
      <b/>
      <sz val="18"/>
      <color theme="1"/>
      <name val="Corbel"/>
      <family val="2"/>
    </font>
    <font>
      <b/>
      <sz val="11"/>
      <color rgb="FFB49073"/>
      <name val="Calibri"/>
      <family val="2"/>
      <scheme val="minor"/>
    </font>
    <font>
      <sz val="18"/>
      <color theme="0" tint="-0.249977111117893"/>
      <name val="Corbel"/>
      <family val="2"/>
    </font>
    <font>
      <b/>
      <sz val="11"/>
      <color theme="0" tint="-0.249977111117893"/>
      <name val="Calibri"/>
      <family val="2"/>
      <scheme val="minor"/>
    </font>
    <font>
      <i/>
      <sz val="11"/>
      <color theme="0" tint="-0.249977111117893"/>
      <name val="Calibri"/>
      <family val="2"/>
      <scheme val="minor"/>
    </font>
    <font>
      <i/>
      <sz val="10"/>
      <color theme="0" tint="-0.249977111117893"/>
      <name val="Calibri"/>
      <family val="2"/>
      <scheme val="minor"/>
    </font>
    <font>
      <sz val="9"/>
      <color indexed="81"/>
      <name val="Tahoma"/>
      <family val="2"/>
    </font>
    <font>
      <b/>
      <sz val="9"/>
      <color indexed="81"/>
      <name val="Tahoma"/>
      <family val="2"/>
    </font>
    <font>
      <b/>
      <sz val="12"/>
      <color rgb="FFB49073"/>
      <name val="Corbel"/>
      <family val="2"/>
    </font>
    <font>
      <sz val="11"/>
      <color theme="0" tint="-0.14999847407452621"/>
      <name val="Calibri"/>
      <family val="2"/>
      <scheme val="minor"/>
    </font>
    <font>
      <b/>
      <i/>
      <sz val="12"/>
      <color rgb="FFFF0000"/>
      <name val="Corbel"/>
      <family val="2"/>
    </font>
    <font>
      <i/>
      <sz val="12"/>
      <color rgb="FFFF0000"/>
      <name val="Corbel"/>
      <family val="2"/>
    </font>
    <font>
      <b/>
      <sz val="12"/>
      <color rgb="FFFF0000"/>
      <name val="Corbel"/>
      <family val="2"/>
    </font>
    <font>
      <sz val="18"/>
      <color rgb="FFFF0000"/>
      <name val="Corbel"/>
      <family val="2"/>
    </font>
    <font>
      <b/>
      <sz val="11"/>
      <color rgb="FFFF0000"/>
      <name val="Calibri"/>
      <family val="2"/>
      <scheme val="minor"/>
    </font>
    <font>
      <u/>
      <sz val="11"/>
      <color rgb="FFFF0000"/>
      <name val="Calibri"/>
      <family val="2"/>
      <scheme val="minor"/>
    </font>
    <font>
      <b/>
      <sz val="14"/>
      <color rgb="FFFF0000"/>
      <name val="Corbel"/>
      <family val="2"/>
    </font>
    <font>
      <sz val="8"/>
      <color rgb="FFFF0000"/>
      <name val="Arial"/>
      <family val="2"/>
    </font>
    <font>
      <i/>
      <sz val="11"/>
      <name val="Calibri"/>
      <family val="2"/>
      <scheme val="minor"/>
    </font>
    <font>
      <sz val="14"/>
      <name val="Corbel"/>
      <family val="2"/>
    </font>
    <font>
      <b/>
      <sz val="11"/>
      <color theme="1" tint="0.499984740745262"/>
      <name val="Calibri"/>
      <family val="2"/>
      <scheme val="minor"/>
    </font>
    <font>
      <sz val="11"/>
      <color theme="1" tint="0.499984740745262"/>
      <name val="Calibri"/>
      <family val="2"/>
      <scheme val="minor"/>
    </font>
    <font>
      <sz val="8"/>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
      <patternFill patternType="solid">
        <fgColor indexed="9"/>
        <bgColor indexed="9"/>
      </patternFill>
    </fill>
    <fill>
      <patternFill patternType="solid">
        <fgColor rgb="FFFFFFFF"/>
      </patternFill>
    </fill>
    <fill>
      <patternFill patternType="solid">
        <fgColor theme="0" tint="-0.14999847407452621"/>
        <bgColor indexed="9"/>
      </patternFill>
    </fill>
    <fill>
      <patternFill patternType="solid">
        <fgColor rgb="FFF18366"/>
        <bgColor indexed="64"/>
      </patternFill>
    </fill>
    <fill>
      <patternFill patternType="solid">
        <fgColor rgb="FF5E958E"/>
        <bgColor indexed="64"/>
      </patternFill>
    </fill>
    <fill>
      <patternFill patternType="solid">
        <fgColor rgb="FFB5DAC7"/>
        <bgColor indexed="64"/>
      </patternFill>
    </fill>
    <fill>
      <patternFill patternType="solid">
        <fgColor rgb="FFB49073"/>
        <bgColor indexed="64"/>
      </patternFill>
    </fill>
    <fill>
      <patternFill patternType="solid">
        <fgColor rgb="FFFFFF00"/>
        <bgColor indexed="64"/>
      </patternFill>
    </fill>
    <fill>
      <patternFill patternType="solid">
        <fgColor theme="0"/>
        <bgColor indexed="9"/>
      </patternFill>
    </fill>
  </fills>
  <borders count="31">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rgb="FFC1C1C1"/>
      </right>
      <top/>
      <bottom style="medium">
        <color rgb="FFC1C1C1"/>
      </bottom>
      <diagonal/>
    </border>
    <border>
      <left/>
      <right/>
      <top/>
      <bottom style="medium">
        <color rgb="FFC1C1C1"/>
      </bottom>
      <diagonal/>
    </border>
    <border>
      <left style="thin">
        <color indexed="22"/>
      </left>
      <right style="thin">
        <color indexed="22"/>
      </right>
      <top style="thin">
        <color indexed="22"/>
      </top>
      <bottom style="thin">
        <color indexed="22"/>
      </bottom>
      <diagonal/>
    </border>
    <border>
      <left style="thin">
        <color indexed="64"/>
      </left>
      <right/>
      <top/>
      <bottom style="thin">
        <color indexed="22"/>
      </bottom>
      <diagonal/>
    </border>
    <border>
      <left/>
      <right/>
      <top/>
      <bottom style="thin">
        <color indexed="22"/>
      </bottom>
      <diagonal/>
    </border>
    <border>
      <left/>
      <right style="thin">
        <color indexed="22"/>
      </right>
      <top/>
      <bottom style="thin">
        <color indexed="64"/>
      </bottom>
      <diagonal/>
    </border>
    <border>
      <left style="thin">
        <color indexed="22"/>
      </left>
      <right style="thin">
        <color indexed="22"/>
      </right>
      <top/>
      <bottom style="thin">
        <color indexed="22"/>
      </bottom>
      <diagonal/>
    </border>
    <border>
      <left style="thin">
        <color indexed="22"/>
      </left>
      <right style="thin">
        <color indexed="22"/>
      </right>
      <top/>
      <bottom style="thin">
        <color indexed="64"/>
      </bottom>
      <diagonal/>
    </border>
    <border>
      <left style="thin">
        <color indexed="22"/>
      </left>
      <right/>
      <top/>
      <bottom style="thin">
        <color indexed="64"/>
      </bottom>
      <diagonal/>
    </border>
    <border>
      <left/>
      <right style="thin">
        <color indexed="64"/>
      </right>
      <top style="thin">
        <color indexed="64"/>
      </top>
      <bottom style="thin">
        <color indexed="22"/>
      </bottom>
      <diagonal/>
    </border>
    <border>
      <left style="thin">
        <color indexed="22"/>
      </left>
      <right style="thin">
        <color indexed="22"/>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style="thin">
        <color indexed="64"/>
      </left>
      <right/>
      <top style="thin">
        <color indexed="64"/>
      </top>
      <bottom style="thin">
        <color indexed="64"/>
      </bottom>
      <diagonal/>
    </border>
  </borders>
  <cellStyleXfs count="11">
    <xf numFmtId="0" fontId="0" fillId="0" borderId="0"/>
    <xf numFmtId="0" fontId="10" fillId="0" borderId="0"/>
    <xf numFmtId="0" fontId="18" fillId="0" borderId="0" applyNumberFormat="0" applyFill="0" applyBorder="0" applyAlignment="0" applyProtection="0"/>
    <xf numFmtId="9" fontId="25" fillId="0" borderId="0" applyFont="0" applyFill="0" applyBorder="0" applyAlignment="0" applyProtection="0"/>
    <xf numFmtId="0" fontId="35" fillId="0" borderId="0"/>
    <xf numFmtId="0" fontId="25" fillId="0" borderId="0"/>
    <xf numFmtId="0" fontId="25" fillId="0" borderId="0"/>
    <xf numFmtId="0" fontId="25" fillId="0" borderId="0"/>
    <xf numFmtId="0" fontId="25" fillId="0" borderId="0"/>
    <xf numFmtId="0" fontId="25" fillId="0" borderId="0"/>
    <xf numFmtId="0" fontId="25" fillId="0" borderId="0"/>
  </cellStyleXfs>
  <cellXfs count="384">
    <xf numFmtId="0" fontId="0" fillId="0" borderId="0" xfId="0"/>
    <xf numFmtId="0" fontId="0" fillId="3" borderId="0" xfId="0" applyFill="1"/>
    <xf numFmtId="0" fontId="0" fillId="0" borderId="0" xfId="0" applyNumberFormat="1"/>
    <xf numFmtId="0" fontId="0" fillId="0" borderId="0" xfId="0" applyAlignment="1">
      <alignment horizontal="left"/>
    </xf>
    <xf numFmtId="0" fontId="0" fillId="3" borderId="0" xfId="0" applyFill="1" applyBorder="1"/>
    <xf numFmtId="0" fontId="0" fillId="2" borderId="1" xfId="0" applyFill="1" applyBorder="1"/>
    <xf numFmtId="0" fontId="0" fillId="2" borderId="0" xfId="0" applyFill="1" applyBorder="1"/>
    <xf numFmtId="0" fontId="0" fillId="2" borderId="2" xfId="0" applyFill="1" applyBorder="1"/>
    <xf numFmtId="0" fontId="0" fillId="0" borderId="0" xfId="0" applyBorder="1"/>
    <xf numFmtId="0" fontId="0" fillId="0" borderId="0" xfId="0" applyFill="1" applyBorder="1"/>
    <xf numFmtId="0" fontId="3" fillId="0" borderId="0" xfId="0" applyFont="1" applyFill="1"/>
    <xf numFmtId="0" fontId="0" fillId="0" borderId="0" xfId="0" applyFill="1"/>
    <xf numFmtId="0" fontId="0" fillId="0" borderId="1" xfId="0" applyFill="1" applyBorder="1"/>
    <xf numFmtId="0" fontId="0" fillId="0" borderId="2" xfId="0" applyFill="1" applyBorder="1"/>
    <xf numFmtId="0" fontId="0" fillId="0" borderId="2" xfId="0" applyBorder="1"/>
    <xf numFmtId="0" fontId="0" fillId="0" borderId="1" xfId="0" applyBorder="1"/>
    <xf numFmtId="0" fontId="11" fillId="0" borderId="0" xfId="0" applyFont="1"/>
    <xf numFmtId="0" fontId="8" fillId="0" borderId="0" xfId="0" applyFont="1"/>
    <xf numFmtId="0" fontId="12" fillId="3" borderId="0" xfId="0" applyFont="1" applyFill="1"/>
    <xf numFmtId="0" fontId="9" fillId="0" borderId="0" xfId="0" applyFont="1" applyFill="1" applyBorder="1" applyAlignment="1">
      <alignment horizontal="right"/>
    </xf>
    <xf numFmtId="0" fontId="9" fillId="0" borderId="0" xfId="0" applyFont="1" applyFill="1" applyBorder="1" applyAlignment="1">
      <alignment horizontal="left"/>
    </xf>
    <xf numFmtId="0" fontId="8" fillId="0" borderId="0" xfId="0" applyFont="1" applyFill="1" applyBorder="1"/>
    <xf numFmtId="0" fontId="8" fillId="3" borderId="0" xfId="0" applyFont="1" applyFill="1" applyBorder="1"/>
    <xf numFmtId="3" fontId="0" fillId="0" borderId="1" xfId="0" applyNumberFormat="1" applyFill="1" applyBorder="1" applyAlignment="1">
      <alignment horizontal="right" vertical="center"/>
    </xf>
    <xf numFmtId="4" fontId="0" fillId="0" borderId="2" xfId="0" applyNumberFormat="1" applyFill="1" applyBorder="1" applyAlignment="1">
      <alignment horizontal="right" vertical="center"/>
    </xf>
    <xf numFmtId="4" fontId="0" fillId="0" borderId="0" xfId="0" applyNumberFormat="1" applyFill="1" applyBorder="1" applyAlignment="1">
      <alignment horizontal="right" vertical="center"/>
    </xf>
    <xf numFmtId="0" fontId="13" fillId="0" borderId="0" xfId="0" applyFont="1"/>
    <xf numFmtId="14" fontId="11" fillId="0" borderId="0" xfId="0" applyNumberFormat="1" applyFont="1"/>
    <xf numFmtId="0" fontId="0" fillId="0" borderId="0" xfId="0" applyNumberFormat="1" applyFill="1"/>
    <xf numFmtId="0" fontId="21" fillId="0" borderId="0" xfId="0" applyFont="1"/>
    <xf numFmtId="0" fontId="1" fillId="3" borderId="0" xfId="0" applyFont="1" applyFill="1" applyBorder="1"/>
    <xf numFmtId="0" fontId="0" fillId="3" borderId="0" xfId="0" applyFill="1" applyBorder="1"/>
    <xf numFmtId="0" fontId="0" fillId="3" borderId="0" xfId="0" applyFill="1" applyBorder="1" applyAlignment="1">
      <alignment wrapText="1"/>
    </xf>
    <xf numFmtId="0" fontId="8" fillId="3" borderId="0" xfId="0" applyFont="1" applyFill="1" applyBorder="1" applyAlignment="1">
      <alignment vertical="top"/>
    </xf>
    <xf numFmtId="0" fontId="0" fillId="3" borderId="0" xfId="0" applyFill="1" applyBorder="1" applyAlignment="1">
      <alignment horizontal="left"/>
    </xf>
    <xf numFmtId="0" fontId="0" fillId="3" borderId="0" xfId="0" applyNumberFormat="1" applyFill="1" applyBorder="1"/>
    <xf numFmtId="3" fontId="0" fillId="0" borderId="0" xfId="0" applyNumberFormat="1" applyFill="1" applyBorder="1" applyAlignment="1">
      <alignment horizontal="right" vertical="center"/>
    </xf>
    <xf numFmtId="0" fontId="0" fillId="0" borderId="0" xfId="0" applyNumberFormat="1" applyFill="1" applyBorder="1"/>
    <xf numFmtId="3" fontId="0" fillId="0" borderId="2" xfId="0" applyNumberFormat="1" applyFill="1" applyBorder="1" applyAlignment="1">
      <alignment horizontal="right" vertical="center"/>
    </xf>
    <xf numFmtId="0" fontId="0" fillId="0" borderId="2" xfId="0" applyNumberFormat="1" applyFill="1" applyBorder="1"/>
    <xf numFmtId="0" fontId="0" fillId="0" borderId="1" xfId="0" applyNumberFormat="1" applyFill="1" applyBorder="1"/>
    <xf numFmtId="4" fontId="0" fillId="0" borderId="1" xfId="0" applyNumberFormat="1" applyFill="1" applyBorder="1" applyAlignment="1">
      <alignment horizontal="right" vertical="center"/>
    </xf>
    <xf numFmtId="4" fontId="0" fillId="0" borderId="0" xfId="0" applyNumberFormat="1" applyFill="1" applyAlignment="1">
      <alignment horizontal="right" vertical="center"/>
    </xf>
    <xf numFmtId="0" fontId="1" fillId="0" borderId="0" xfId="0" applyFont="1" applyFill="1" applyBorder="1"/>
    <xf numFmtId="0" fontId="4" fillId="0" borderId="0" xfId="0" applyFont="1" applyFill="1" applyBorder="1"/>
    <xf numFmtId="0" fontId="7" fillId="0" borderId="0" xfId="0" applyFont="1" applyFill="1" applyBorder="1"/>
    <xf numFmtId="0" fontId="6" fillId="0" borderId="0" xfId="0" applyFont="1" applyFill="1" applyBorder="1"/>
    <xf numFmtId="0" fontId="0" fillId="3" borderId="0" xfId="0" applyFill="1" applyAlignment="1">
      <alignment wrapText="1"/>
    </xf>
    <xf numFmtId="0" fontId="0" fillId="3" borderId="0" xfId="0" applyFill="1" applyBorder="1" applyAlignment="1">
      <alignment horizontal="right"/>
    </xf>
    <xf numFmtId="0" fontId="0" fillId="0" borderId="12" xfId="0" applyBorder="1"/>
    <xf numFmtId="0" fontId="23" fillId="0" borderId="0" xfId="2" applyFont="1" applyBorder="1" applyAlignment="1">
      <alignment horizontal="right"/>
    </xf>
    <xf numFmtId="0" fontId="0" fillId="3" borderId="0" xfId="0" applyFill="1" applyBorder="1" applyAlignment="1">
      <alignment wrapText="1"/>
    </xf>
    <xf numFmtId="0" fontId="0" fillId="3" borderId="0" xfId="0" applyFill="1" applyAlignment="1">
      <alignment wrapText="1"/>
    </xf>
    <xf numFmtId="0" fontId="0" fillId="3" borderId="0" xfId="0" applyFill="1" applyBorder="1" applyAlignment="1"/>
    <xf numFmtId="0" fontId="0" fillId="3" borderId="0" xfId="0" applyFill="1" applyBorder="1"/>
    <xf numFmtId="0" fontId="0" fillId="0" borderId="0" xfId="0" pivotButton="1"/>
    <xf numFmtId="0" fontId="0" fillId="3" borderId="10" xfId="0" applyFill="1" applyBorder="1" applyAlignment="1">
      <alignment horizontal="center" vertical="top"/>
    </xf>
    <xf numFmtId="0" fontId="21" fillId="0" borderId="0" xfId="0" applyFont="1" applyFill="1" applyBorder="1" applyAlignment="1">
      <alignment horizontal="center" vertical="top"/>
    </xf>
    <xf numFmtId="0" fontId="0" fillId="3" borderId="0" xfId="0" applyFill="1" applyBorder="1" applyAlignment="1">
      <alignment horizontal="right" wrapText="1"/>
    </xf>
    <xf numFmtId="0" fontId="0" fillId="4" borderId="0" xfId="0" applyFill="1"/>
    <xf numFmtId="14" fontId="10" fillId="5" borderId="15" xfId="0" applyNumberFormat="1" applyFont="1" applyFill="1" applyBorder="1" applyAlignment="1">
      <alignment horizontal="right" vertical="top"/>
    </xf>
    <xf numFmtId="0" fontId="10" fillId="5" borderId="15" xfId="0" applyFont="1" applyFill="1" applyBorder="1" applyAlignment="1">
      <alignment horizontal="left" vertical="top"/>
    </xf>
    <xf numFmtId="14" fontId="0" fillId="0" borderId="0" xfId="0" applyNumberFormat="1"/>
    <xf numFmtId="0" fontId="10" fillId="5" borderId="16" xfId="0" applyFont="1" applyFill="1" applyBorder="1" applyAlignment="1">
      <alignment horizontal="left" vertical="top"/>
    </xf>
    <xf numFmtId="14" fontId="10" fillId="5" borderId="0" xfId="0" applyNumberFormat="1" applyFont="1" applyFill="1" applyBorder="1" applyAlignment="1">
      <alignment horizontal="right" vertical="top"/>
    </xf>
    <xf numFmtId="0" fontId="10" fillId="5" borderId="0" xfId="0" applyFont="1" applyFill="1" applyBorder="1" applyAlignment="1">
      <alignment horizontal="left" vertical="top"/>
    </xf>
    <xf numFmtId="164" fontId="0" fillId="0" borderId="0" xfId="0" applyNumberFormat="1" applyFill="1" applyBorder="1"/>
    <xf numFmtId="14" fontId="10" fillId="0" borderId="0" xfId="0" applyNumberFormat="1" applyFont="1" applyFill="1" applyBorder="1" applyAlignment="1">
      <alignment horizontal="right" vertical="top"/>
    </xf>
    <xf numFmtId="0" fontId="10" fillId="0" borderId="0" xfId="0" applyFont="1" applyFill="1" applyBorder="1" applyAlignment="1">
      <alignment horizontal="left" vertical="top"/>
    </xf>
    <xf numFmtId="0" fontId="29" fillId="0" borderId="0" xfId="0" applyFont="1" applyAlignment="1">
      <alignment vertical="center"/>
    </xf>
    <xf numFmtId="0" fontId="29" fillId="0" borderId="0" xfId="0" applyFont="1"/>
    <xf numFmtId="0" fontId="0" fillId="0" borderId="0" xfId="0" applyFont="1" applyAlignment="1">
      <alignment vertical="center"/>
    </xf>
    <xf numFmtId="14" fontId="10" fillId="0" borderId="15" xfId="0" applyNumberFormat="1" applyFont="1" applyFill="1" applyBorder="1" applyAlignment="1">
      <alignment horizontal="right" vertical="top"/>
    </xf>
    <xf numFmtId="0" fontId="10" fillId="0" borderId="15" xfId="0" applyFont="1" applyFill="1" applyBorder="1" applyAlignment="1">
      <alignment horizontal="left" vertical="top"/>
    </xf>
    <xf numFmtId="0" fontId="10" fillId="0" borderId="16" xfId="0" applyFont="1" applyFill="1" applyBorder="1" applyAlignment="1">
      <alignment horizontal="left" vertical="top"/>
    </xf>
    <xf numFmtId="0" fontId="28" fillId="0" borderId="0" xfId="0" applyFont="1" applyFill="1" applyBorder="1" applyAlignment="1">
      <alignment horizontal="left" wrapText="1"/>
    </xf>
    <xf numFmtId="0" fontId="28" fillId="4" borderId="2" xfId="0" applyFont="1" applyFill="1" applyBorder="1" applyAlignment="1">
      <alignment horizontal="left" wrapText="1"/>
    </xf>
    <xf numFmtId="0" fontId="30" fillId="3" borderId="0" xfId="0" applyFont="1" applyFill="1" applyAlignment="1">
      <alignment wrapText="1"/>
    </xf>
    <xf numFmtId="0" fontId="12" fillId="0" borderId="0" xfId="0" applyFont="1"/>
    <xf numFmtId="9" fontId="0" fillId="0" borderId="0" xfId="3" applyFont="1"/>
    <xf numFmtId="0" fontId="17" fillId="4" borderId="0" xfId="0" applyFont="1" applyFill="1" applyBorder="1" applyAlignment="1">
      <alignment horizontal="left"/>
    </xf>
    <xf numFmtId="0" fontId="16" fillId="4" borderId="0" xfId="0" applyFont="1" applyFill="1" applyBorder="1" applyAlignment="1">
      <alignment horizontal="left"/>
    </xf>
    <xf numFmtId="165" fontId="32" fillId="6" borderId="0" xfId="0" applyNumberFormat="1" applyFont="1" applyFill="1" applyBorder="1" applyAlignment="1" applyProtection="1">
      <alignment horizontal="right"/>
      <protection locked="0"/>
    </xf>
    <xf numFmtId="0" fontId="2" fillId="3" borderId="0" xfId="0" applyFont="1" applyFill="1" applyAlignment="1">
      <alignment wrapText="1"/>
    </xf>
    <xf numFmtId="0" fontId="33" fillId="0" borderId="0" xfId="0" applyFont="1" applyAlignment="1">
      <alignment horizontal="left" vertical="center" readingOrder="1"/>
    </xf>
    <xf numFmtId="0" fontId="17" fillId="0" borderId="0" xfId="0" applyFont="1" applyFill="1" applyBorder="1" applyAlignment="1">
      <alignment horizontal="left"/>
    </xf>
    <xf numFmtId="166" fontId="0" fillId="0" borderId="0" xfId="0" applyNumberFormat="1"/>
    <xf numFmtId="166" fontId="0" fillId="0" borderId="0" xfId="0" pivotButton="1" applyNumberFormat="1"/>
    <xf numFmtId="0" fontId="0" fillId="0" borderId="0" xfId="0" applyNumberFormat="1" applyAlignment="1">
      <alignment horizontal="left"/>
    </xf>
    <xf numFmtId="0" fontId="0" fillId="0" borderId="0" xfId="0" applyAlignment="1">
      <alignment horizontal="center" vertical="center"/>
    </xf>
    <xf numFmtId="0" fontId="17" fillId="0" borderId="0" xfId="0" applyFont="1" applyFill="1" applyBorder="1" applyAlignment="1">
      <alignment horizontal="center"/>
    </xf>
    <xf numFmtId="0" fontId="27" fillId="8" borderId="22" xfId="0" applyNumberFormat="1" applyFont="1" applyFill="1" applyBorder="1" applyAlignment="1" applyProtection="1">
      <alignment horizontal="right"/>
      <protection locked="0"/>
    </xf>
    <xf numFmtId="0" fontId="27" fillId="8" borderId="23" xfId="0" applyNumberFormat="1" applyFont="1" applyFill="1" applyBorder="1" applyAlignment="1" applyProtection="1">
      <alignment horizontal="right"/>
      <protection locked="0"/>
    </xf>
    <xf numFmtId="0" fontId="1" fillId="0" borderId="0" xfId="0" applyFont="1" applyFill="1" applyBorder="1" applyAlignment="1">
      <alignment horizontal="center"/>
    </xf>
    <xf numFmtId="0" fontId="27" fillId="0" borderId="0" xfId="0" applyNumberFormat="1" applyFont="1" applyFill="1" applyBorder="1" applyAlignment="1" applyProtection="1">
      <alignment horizontal="right"/>
      <protection locked="0"/>
    </xf>
    <xf numFmtId="165" fontId="32" fillId="0" borderId="0" xfId="0" applyNumberFormat="1" applyFont="1" applyFill="1" applyBorder="1" applyAlignment="1" applyProtection="1">
      <alignment horizontal="right"/>
    </xf>
    <xf numFmtId="165" fontId="32" fillId="0" borderId="0" xfId="0" applyNumberFormat="1" applyFont="1" applyFill="1" applyBorder="1" applyAlignment="1" applyProtection="1">
      <alignment horizontal="right"/>
      <protection locked="0"/>
    </xf>
    <xf numFmtId="166" fontId="32" fillId="6" borderId="17" xfId="0" applyNumberFormat="1" applyFont="1" applyFill="1" applyBorder="1" applyAlignment="1" applyProtection="1">
      <alignment horizontal="right"/>
      <protection locked="0"/>
    </xf>
    <xf numFmtId="0" fontId="36" fillId="0" borderId="0" xfId="0" applyFont="1" applyAlignment="1">
      <alignment vertical="center"/>
    </xf>
    <xf numFmtId="0" fontId="1" fillId="0" borderId="0" xfId="0" applyFont="1"/>
    <xf numFmtId="1" fontId="0" fillId="0" borderId="0" xfId="0" applyNumberFormat="1" applyAlignment="1">
      <alignment horizontal="center"/>
    </xf>
    <xf numFmtId="3" fontId="40" fillId="0" borderId="0" xfId="5" applyNumberFormat="1" applyFont="1" applyFill="1" applyBorder="1" applyAlignment="1">
      <alignment horizontal="center" vertical="center"/>
    </xf>
    <xf numFmtId="3" fontId="40" fillId="0" borderId="0" xfId="6" applyNumberFormat="1" applyFont="1" applyFill="1" applyBorder="1" applyAlignment="1">
      <alignment horizontal="center" vertical="center"/>
    </xf>
    <xf numFmtId="3" fontId="40" fillId="0" borderId="0" xfId="7" applyNumberFormat="1" applyFont="1" applyFill="1" applyBorder="1" applyAlignment="1">
      <alignment horizontal="center" vertical="center"/>
    </xf>
    <xf numFmtId="168" fontId="40" fillId="0" borderId="0" xfId="8" applyNumberFormat="1" applyFont="1" applyFill="1" applyBorder="1" applyAlignment="1">
      <alignment horizontal="center" vertical="center"/>
    </xf>
    <xf numFmtId="168" fontId="40" fillId="0" borderId="0" xfId="9" applyNumberFormat="1" applyFont="1" applyFill="1" applyBorder="1" applyAlignment="1">
      <alignment horizontal="center" vertical="center"/>
    </xf>
    <xf numFmtId="168" fontId="40" fillId="0" borderId="0" xfId="10" applyNumberFormat="1" applyFont="1" applyFill="1" applyBorder="1" applyAlignment="1">
      <alignment horizontal="center" vertical="center"/>
    </xf>
    <xf numFmtId="165" fontId="34" fillId="6" borderId="0" xfId="0" applyNumberFormat="1" applyFont="1" applyFill="1" applyBorder="1" applyAlignment="1" applyProtection="1">
      <alignment horizontal="right"/>
      <protection locked="0"/>
    </xf>
    <xf numFmtId="0" fontId="0" fillId="3" borderId="0" xfId="0" applyFill="1" applyAlignment="1">
      <alignment vertical="top"/>
    </xf>
    <xf numFmtId="0" fontId="2" fillId="3" borderId="0" xfId="0" applyFont="1" applyFill="1" applyAlignment="1">
      <alignment vertical="top"/>
    </xf>
    <xf numFmtId="0" fontId="0" fillId="0" borderId="0" xfId="0" applyFill="1" applyAlignment="1">
      <alignment horizontal="left"/>
    </xf>
    <xf numFmtId="166" fontId="0" fillId="0" borderId="0" xfId="0" applyNumberFormat="1" applyFill="1"/>
    <xf numFmtId="0" fontId="0" fillId="0" borderId="0" xfId="0" applyNumberFormat="1" applyFill="1" applyAlignment="1">
      <alignment horizontal="left"/>
    </xf>
    <xf numFmtId="1" fontId="0" fillId="0" borderId="0" xfId="0" applyNumberFormat="1" applyFill="1"/>
    <xf numFmtId="0" fontId="41" fillId="0" borderId="0" xfId="0" applyFont="1"/>
    <xf numFmtId="0" fontId="30" fillId="3" borderId="0" xfId="0" applyFont="1" applyFill="1" applyAlignment="1"/>
    <xf numFmtId="0" fontId="42" fillId="0" borderId="0" xfId="0" applyFont="1" applyAlignment="1">
      <alignment vertical="center"/>
    </xf>
    <xf numFmtId="0" fontId="0" fillId="3" borderId="0" xfId="0" applyFill="1" applyBorder="1" applyAlignment="1">
      <alignment wrapText="1"/>
    </xf>
    <xf numFmtId="0" fontId="0" fillId="3" borderId="0" xfId="0" applyFill="1" applyAlignment="1">
      <alignment wrapText="1"/>
    </xf>
    <xf numFmtId="0" fontId="0" fillId="3" borderId="0" xfId="0" applyFill="1"/>
    <xf numFmtId="0" fontId="23" fillId="0" borderId="0" xfId="2" applyFont="1" applyBorder="1" applyAlignment="1">
      <alignment horizontal="right"/>
    </xf>
    <xf numFmtId="0" fontId="33" fillId="0" borderId="0" xfId="0" applyFont="1" applyAlignment="1">
      <alignment horizontal="left" vertical="center" readingOrder="1"/>
    </xf>
    <xf numFmtId="0" fontId="0" fillId="3" borderId="0" xfId="0" applyFill="1" applyBorder="1"/>
    <xf numFmtId="0" fontId="0" fillId="3" borderId="0" xfId="0" applyFill="1" applyBorder="1" applyAlignment="1"/>
    <xf numFmtId="0" fontId="1" fillId="3" borderId="0" xfId="0" applyFont="1" applyFill="1" applyBorder="1"/>
    <xf numFmtId="0" fontId="2" fillId="11" borderId="0" xfId="0" applyFont="1" applyFill="1" applyAlignment="1">
      <alignment vertical="top"/>
    </xf>
    <xf numFmtId="0" fontId="0" fillId="11" borderId="0" xfId="0" applyFill="1" applyAlignment="1">
      <alignment vertical="top"/>
    </xf>
    <xf numFmtId="0" fontId="0" fillId="11" borderId="0" xfId="0" applyFill="1"/>
    <xf numFmtId="0" fontId="0" fillId="9" borderId="0" xfId="0" applyFill="1" applyAlignment="1">
      <alignment vertical="top"/>
    </xf>
    <xf numFmtId="0" fontId="0" fillId="9" borderId="0" xfId="0" applyFill="1"/>
    <xf numFmtId="0" fontId="1" fillId="12" borderId="2" xfId="0" applyFont="1" applyFill="1" applyBorder="1"/>
    <xf numFmtId="0" fontId="17" fillId="12" borderId="18" xfId="0" applyFont="1" applyFill="1" applyBorder="1" applyAlignment="1">
      <alignment horizontal="left"/>
    </xf>
    <xf numFmtId="0" fontId="17" fillId="12" borderId="19" xfId="0" applyFont="1" applyFill="1" applyBorder="1" applyAlignment="1">
      <alignment horizontal="left"/>
    </xf>
    <xf numFmtId="0" fontId="1" fillId="4" borderId="2" xfId="0" applyFont="1" applyFill="1" applyBorder="1"/>
    <xf numFmtId="0" fontId="1" fillId="4" borderId="20" xfId="0" applyFont="1" applyFill="1" applyBorder="1"/>
    <xf numFmtId="0" fontId="21" fillId="11" borderId="0" xfId="0" applyFont="1" applyFill="1" applyAlignment="1">
      <alignment vertical="top"/>
    </xf>
    <xf numFmtId="0" fontId="21" fillId="9" borderId="0" xfId="0" applyFont="1" applyFill="1"/>
    <xf numFmtId="164" fontId="28" fillId="12" borderId="2" xfId="0" applyNumberFormat="1" applyFont="1" applyFill="1" applyBorder="1" applyAlignment="1">
      <alignment horizontal="left" wrapText="1"/>
    </xf>
    <xf numFmtId="0" fontId="28" fillId="12" borderId="2" xfId="0" applyFont="1" applyFill="1" applyBorder="1" applyAlignment="1">
      <alignment horizontal="left" wrapText="1"/>
    </xf>
    <xf numFmtId="0" fontId="17" fillId="12" borderId="0" xfId="0" applyFont="1" applyFill="1" applyBorder="1" applyAlignment="1">
      <alignment horizontal="left"/>
    </xf>
    <xf numFmtId="0" fontId="17" fillId="12" borderId="8" xfId="0" applyFont="1" applyFill="1" applyBorder="1" applyAlignment="1">
      <alignment horizontal="center"/>
    </xf>
    <xf numFmtId="0" fontId="36" fillId="4" borderId="2" xfId="0" applyFont="1" applyFill="1" applyBorder="1" applyAlignment="1">
      <alignment vertical="center"/>
    </xf>
    <xf numFmtId="0" fontId="37" fillId="4" borderId="2" xfId="0" applyFont="1" applyFill="1" applyBorder="1" applyAlignment="1">
      <alignment horizontal="left" vertical="top"/>
    </xf>
    <xf numFmtId="0" fontId="36" fillId="4" borderId="2" xfId="0" applyFont="1" applyFill="1" applyBorder="1"/>
    <xf numFmtId="0" fontId="37" fillId="4" borderId="20" xfId="0" applyFont="1" applyFill="1" applyBorder="1" applyAlignment="1">
      <alignment horizontal="left" vertical="top"/>
    </xf>
    <xf numFmtId="0" fontId="1" fillId="12" borderId="0" xfId="0" applyFont="1" applyFill="1"/>
    <xf numFmtId="0" fontId="1" fillId="12" borderId="5" xfId="0" applyFont="1" applyFill="1" applyBorder="1"/>
    <xf numFmtId="0" fontId="1" fillId="12" borderId="4" xfId="0" applyFont="1" applyFill="1" applyBorder="1"/>
    <xf numFmtId="0" fontId="1" fillId="12" borderId="1" xfId="0" applyFont="1" applyFill="1" applyBorder="1"/>
    <xf numFmtId="0" fontId="17" fillId="12" borderId="24" xfId="0" applyFont="1" applyFill="1" applyBorder="1" applyAlignment="1">
      <alignment horizontal="left"/>
    </xf>
    <xf numFmtId="0" fontId="17" fillId="12" borderId="6" xfId="0" applyFont="1" applyFill="1" applyBorder="1" applyAlignment="1">
      <alignment horizontal="center"/>
    </xf>
    <xf numFmtId="0" fontId="17" fillId="12" borderId="0" xfId="0" applyFont="1" applyFill="1" applyBorder="1" applyAlignment="1">
      <alignment horizontal="center"/>
    </xf>
    <xf numFmtId="0" fontId="32" fillId="6" borderId="0" xfId="0" applyFont="1" applyFill="1" applyBorder="1" applyAlignment="1" applyProtection="1">
      <alignment horizontal="left"/>
      <protection locked="0"/>
    </xf>
    <xf numFmtId="0" fontId="31" fillId="0" borderId="0" xfId="0" applyFont="1" applyBorder="1" applyProtection="1">
      <protection locked="0"/>
    </xf>
    <xf numFmtId="0" fontId="11" fillId="0" borderId="0" xfId="0" applyFont="1" applyBorder="1"/>
    <xf numFmtId="165" fontId="32" fillId="6" borderId="25" xfId="0" applyNumberFormat="1" applyFont="1" applyFill="1" applyBorder="1" applyAlignment="1" applyProtection="1">
      <alignment horizontal="right"/>
      <protection locked="0"/>
    </xf>
    <xf numFmtId="0" fontId="27" fillId="8" borderId="20" xfId="0" applyNumberFormat="1" applyFont="1" applyFill="1" applyBorder="1" applyAlignment="1" applyProtection="1">
      <alignment horizontal="right"/>
      <protection locked="0"/>
    </xf>
    <xf numFmtId="166" fontId="32" fillId="6" borderId="0" xfId="0" applyNumberFormat="1" applyFont="1" applyFill="1" applyBorder="1" applyAlignment="1" applyProtection="1">
      <alignment horizontal="right"/>
      <protection locked="0"/>
    </xf>
    <xf numFmtId="166" fontId="0" fillId="0" borderId="0" xfId="0" applyNumberFormat="1" applyBorder="1"/>
    <xf numFmtId="166" fontId="17" fillId="12" borderId="6" xfId="0" applyNumberFormat="1" applyFont="1" applyFill="1" applyBorder="1" applyAlignment="1">
      <alignment horizontal="center"/>
    </xf>
    <xf numFmtId="166" fontId="17" fillId="12" borderId="10" xfId="0" applyNumberFormat="1" applyFont="1" applyFill="1" applyBorder="1" applyAlignment="1">
      <alignment horizontal="center"/>
    </xf>
    <xf numFmtId="166" fontId="32" fillId="6" borderId="21" xfId="0" applyNumberFormat="1" applyFont="1" applyFill="1" applyBorder="1" applyAlignment="1" applyProtection="1">
      <alignment horizontal="right"/>
      <protection locked="0"/>
    </xf>
    <xf numFmtId="167" fontId="38" fillId="0" borderId="0" xfId="0" applyNumberFormat="1" applyFont="1" applyBorder="1" applyAlignment="1">
      <alignment horizontal="right" vertical="top"/>
    </xf>
    <xf numFmtId="167" fontId="39" fillId="7" borderId="0" xfId="0" applyNumberFormat="1" applyFont="1" applyFill="1" applyBorder="1" applyAlignment="1">
      <alignment horizontal="right" vertical="top"/>
    </xf>
    <xf numFmtId="166" fontId="41" fillId="0" borderId="0" xfId="0" applyNumberFormat="1" applyFont="1" applyBorder="1"/>
    <xf numFmtId="165" fontId="32" fillId="6" borderId="0" xfId="0" applyNumberFormat="1" applyFont="1" applyFill="1" applyBorder="1" applyAlignment="1" applyProtection="1">
      <alignment horizontal="right"/>
    </xf>
    <xf numFmtId="166" fontId="32" fillId="6" borderId="0" xfId="0" applyNumberFormat="1" applyFont="1" applyFill="1" applyBorder="1" applyAlignment="1" applyProtection="1">
      <alignment horizontal="right"/>
    </xf>
    <xf numFmtId="1" fontId="0" fillId="0" borderId="0" xfId="0" applyNumberFormat="1" applyBorder="1" applyAlignment="1">
      <alignment horizontal="center"/>
    </xf>
    <xf numFmtId="0" fontId="41" fillId="0" borderId="0" xfId="0" applyFont="1" applyBorder="1"/>
    <xf numFmtId="0" fontId="16" fillId="4" borderId="12" xfId="0" applyFont="1" applyFill="1" applyBorder="1" applyAlignment="1">
      <alignment horizontal="left"/>
    </xf>
    <xf numFmtId="0" fontId="17" fillId="4" borderId="12" xfId="0" applyFont="1" applyFill="1" applyBorder="1" applyAlignment="1">
      <alignment horizontal="left"/>
    </xf>
    <xf numFmtId="0" fontId="1" fillId="12" borderId="12" xfId="0" applyFont="1" applyFill="1" applyBorder="1"/>
    <xf numFmtId="0" fontId="1" fillId="12" borderId="26" xfId="0" applyFont="1" applyFill="1" applyBorder="1"/>
    <xf numFmtId="166" fontId="32" fillId="6" borderId="0" xfId="3" applyNumberFormat="1" applyFont="1" applyFill="1" applyBorder="1" applyAlignment="1" applyProtection="1">
      <alignment horizontal="right"/>
    </xf>
    <xf numFmtId="166" fontId="32" fillId="0" borderId="0" xfId="3" applyNumberFormat="1" applyFont="1" applyFill="1" applyBorder="1" applyAlignment="1" applyProtection="1">
      <alignment horizontal="right"/>
    </xf>
    <xf numFmtId="1" fontId="41" fillId="0" borderId="0" xfId="0" applyNumberFormat="1" applyFont="1" applyBorder="1" applyAlignment="1">
      <alignment horizontal="center"/>
    </xf>
    <xf numFmtId="165" fontId="43" fillId="6" borderId="0" xfId="0" applyNumberFormat="1" applyFont="1" applyFill="1" applyBorder="1" applyAlignment="1" applyProtection="1">
      <alignment horizontal="right"/>
      <protection locked="0"/>
    </xf>
    <xf numFmtId="0" fontId="0" fillId="0" borderId="0" xfId="0" applyNumberFormat="1" applyBorder="1"/>
    <xf numFmtId="0" fontId="17" fillId="12" borderId="6" xfId="0" applyFont="1" applyFill="1" applyBorder="1" applyAlignment="1">
      <alignment horizontal="left"/>
    </xf>
    <xf numFmtId="0" fontId="17" fillId="12" borderId="5" xfId="0" applyFont="1" applyFill="1" applyBorder="1" applyAlignment="1">
      <alignment horizontal="left"/>
    </xf>
    <xf numFmtId="0" fontId="0" fillId="0" borderId="0" xfId="0" applyBorder="1" applyProtection="1">
      <protection locked="0"/>
    </xf>
    <xf numFmtId="165" fontId="32" fillId="6" borderId="0" xfId="0" quotePrefix="1" applyNumberFormat="1" applyFont="1" applyFill="1" applyBorder="1" applyAlignment="1" applyProtection="1">
      <alignment horizontal="right"/>
      <protection locked="0"/>
    </xf>
    <xf numFmtId="165" fontId="0" fillId="0" borderId="0" xfId="0" applyNumberFormat="1"/>
    <xf numFmtId="0" fontId="47" fillId="0" borderId="0" xfId="0" applyFont="1"/>
    <xf numFmtId="165" fontId="47" fillId="0" borderId="0" xfId="0" applyNumberFormat="1" applyFont="1"/>
    <xf numFmtId="0" fontId="47" fillId="0" borderId="0" xfId="0" applyFont="1" applyBorder="1"/>
    <xf numFmtId="0" fontId="0" fillId="0" borderId="0" xfId="0" applyFill="1" applyAlignment="1"/>
    <xf numFmtId="0" fontId="0" fillId="0" borderId="0" xfId="0" applyFill="1" applyBorder="1" applyAlignment="1"/>
    <xf numFmtId="0" fontId="14" fillId="11" borderId="2" xfId="0" applyFont="1" applyFill="1" applyBorder="1"/>
    <xf numFmtId="0" fontId="0" fillId="11" borderId="2" xfId="0" applyFill="1" applyBorder="1" applyAlignment="1">
      <alignment vertical="top"/>
    </xf>
    <xf numFmtId="0" fontId="0" fillId="9" borderId="2" xfId="0" applyFill="1" applyBorder="1" applyAlignment="1">
      <alignment vertical="top"/>
    </xf>
    <xf numFmtId="0" fontId="21" fillId="9" borderId="0" xfId="2" applyFont="1" applyFill="1"/>
    <xf numFmtId="0" fontId="17" fillId="11" borderId="0" xfId="0" applyFont="1" applyFill="1" applyAlignment="1"/>
    <xf numFmtId="0" fontId="17" fillId="9" borderId="0" xfId="0" applyFont="1" applyFill="1" applyAlignment="1"/>
    <xf numFmtId="0" fontId="8" fillId="12" borderId="3" xfId="0" applyFont="1" applyFill="1" applyBorder="1"/>
    <xf numFmtId="0" fontId="21" fillId="11" borderId="2" xfId="2" applyFont="1" applyFill="1" applyBorder="1" applyAlignment="1">
      <alignment vertical="top"/>
    </xf>
    <xf numFmtId="0" fontId="14" fillId="11" borderId="2" xfId="0" applyFont="1" applyFill="1" applyBorder="1" applyAlignment="1"/>
    <xf numFmtId="0" fontId="14" fillId="9" borderId="2" xfId="0" applyFont="1" applyFill="1" applyBorder="1" applyAlignment="1"/>
    <xf numFmtId="0" fontId="0" fillId="12" borderId="2" xfId="0" applyFill="1" applyBorder="1"/>
    <xf numFmtId="9" fontId="0" fillId="0" borderId="0" xfId="0" applyNumberFormat="1"/>
    <xf numFmtId="1" fontId="0" fillId="0" borderId="0" xfId="0" applyNumberFormat="1"/>
    <xf numFmtId="0" fontId="17" fillId="12" borderId="27" xfId="0" applyFont="1" applyFill="1" applyBorder="1" applyAlignment="1">
      <alignment horizontal="left"/>
    </xf>
    <xf numFmtId="0" fontId="17" fillId="4" borderId="8" xfId="0" applyFont="1" applyFill="1" applyBorder="1" applyAlignment="1">
      <alignment horizontal="center"/>
    </xf>
    <xf numFmtId="0" fontId="17" fillId="4" borderId="9" xfId="0" applyFont="1" applyFill="1" applyBorder="1" applyAlignment="1">
      <alignment horizontal="center"/>
    </xf>
    <xf numFmtId="0" fontId="21" fillId="3" borderId="11" xfId="0" applyFont="1" applyFill="1" applyBorder="1"/>
    <xf numFmtId="169" fontId="0" fillId="0" borderId="0" xfId="0" applyNumberFormat="1" applyFill="1"/>
    <xf numFmtId="169" fontId="0" fillId="0" borderId="4" xfId="0" applyNumberFormat="1" applyFill="1" applyBorder="1"/>
    <xf numFmtId="169" fontId="0" fillId="0" borderId="1" xfId="0" applyNumberFormat="1" applyFill="1" applyBorder="1"/>
    <xf numFmtId="169" fontId="0" fillId="0" borderId="5" xfId="0" applyNumberFormat="1" applyFill="1" applyBorder="1"/>
    <xf numFmtId="169" fontId="0" fillId="0" borderId="6" xfId="0" applyNumberFormat="1" applyFill="1" applyBorder="1"/>
    <xf numFmtId="169" fontId="0" fillId="0" borderId="0" xfId="0" applyNumberFormat="1" applyFill="1" applyBorder="1"/>
    <xf numFmtId="169" fontId="0" fillId="0" borderId="7" xfId="0" applyNumberFormat="1" applyFill="1" applyBorder="1"/>
    <xf numFmtId="169" fontId="0" fillId="0" borderId="2" xfId="0" applyNumberFormat="1" applyFill="1" applyBorder="1"/>
    <xf numFmtId="169" fontId="0" fillId="0" borderId="9" xfId="0" applyNumberFormat="1" applyFill="1" applyBorder="1"/>
    <xf numFmtId="0" fontId="0" fillId="0" borderId="6" xfId="0" applyNumberFormat="1" applyFill="1" applyBorder="1" applyAlignment="1">
      <alignment horizontal="left"/>
    </xf>
    <xf numFmtId="0" fontId="0" fillId="0" borderId="8" xfId="0" applyNumberFormat="1" applyFill="1" applyBorder="1" applyAlignment="1">
      <alignment horizontal="left"/>
    </xf>
    <xf numFmtId="0" fontId="50" fillId="3" borderId="0" xfId="0" applyFont="1" applyFill="1" applyBorder="1" applyAlignment="1">
      <alignment vertical="top"/>
    </xf>
    <xf numFmtId="0" fontId="47" fillId="3" borderId="0" xfId="0" applyFont="1" applyFill="1"/>
    <xf numFmtId="0" fontId="47" fillId="3" borderId="0" xfId="0" applyFont="1" applyFill="1" applyBorder="1" applyAlignment="1">
      <alignment wrapText="1"/>
    </xf>
    <xf numFmtId="0" fontId="47" fillId="3" borderId="0" xfId="0" applyFont="1" applyFill="1" applyAlignment="1">
      <alignment wrapText="1"/>
    </xf>
    <xf numFmtId="0" fontId="47" fillId="3" borderId="0" xfId="0" applyFont="1" applyFill="1" applyBorder="1" applyAlignment="1">
      <alignment horizontal="right" wrapText="1"/>
    </xf>
    <xf numFmtId="0" fontId="52" fillId="3" borderId="0" xfId="0" applyFont="1" applyFill="1" applyAlignment="1">
      <alignment wrapText="1"/>
    </xf>
    <xf numFmtId="0" fontId="47" fillId="3" borderId="0" xfId="0" applyFont="1" applyFill="1" applyBorder="1"/>
    <xf numFmtId="1" fontId="0" fillId="0" borderId="0" xfId="0" pivotButton="1" applyNumberFormat="1"/>
    <xf numFmtId="0" fontId="0" fillId="4" borderId="2" xfId="0" applyFill="1" applyBorder="1"/>
    <xf numFmtId="0" fontId="17" fillId="12" borderId="5" xfId="0" applyFont="1" applyFill="1" applyBorder="1" applyAlignment="1">
      <alignment horizontal="center"/>
    </xf>
    <xf numFmtId="0" fontId="17" fillId="12" borderId="27" xfId="0" applyFont="1" applyFill="1" applyBorder="1" applyAlignment="1">
      <alignment horizontal="center"/>
    </xf>
    <xf numFmtId="0" fontId="0" fillId="13" borderId="0" xfId="0" applyFill="1"/>
    <xf numFmtId="3" fontId="0" fillId="0" borderId="1" xfId="0" applyNumberFormat="1" applyBorder="1"/>
    <xf numFmtId="3" fontId="0" fillId="0" borderId="0" xfId="0" applyNumberFormat="1" applyBorder="1"/>
    <xf numFmtId="3" fontId="0" fillId="0" borderId="2" xfId="0" applyNumberFormat="1" applyBorder="1"/>
    <xf numFmtId="0" fontId="21" fillId="13" borderId="0" xfId="0" applyFont="1" applyFill="1"/>
    <xf numFmtId="0" fontId="21" fillId="9" borderId="0" xfId="2" applyFont="1" applyFill="1" applyAlignment="1">
      <alignment vertical="top"/>
    </xf>
    <xf numFmtId="0" fontId="21" fillId="11" borderId="0" xfId="2" applyFont="1" applyFill="1" applyAlignment="1">
      <alignment vertical="top"/>
    </xf>
    <xf numFmtId="0" fontId="17" fillId="11" borderId="0" xfId="0" applyFont="1" applyFill="1" applyAlignment="1"/>
    <xf numFmtId="0" fontId="17" fillId="9" borderId="0" xfId="0" applyFont="1" applyFill="1" applyAlignment="1"/>
    <xf numFmtId="0" fontId="0" fillId="3" borderId="0" xfId="0" applyFill="1"/>
    <xf numFmtId="0" fontId="47" fillId="3" borderId="0" xfId="0" applyFont="1" applyFill="1"/>
    <xf numFmtId="0" fontId="47" fillId="3" borderId="0" xfId="0" applyFont="1" applyFill="1" applyBorder="1" applyAlignment="1">
      <alignment wrapText="1"/>
    </xf>
    <xf numFmtId="0" fontId="47" fillId="3" borderId="0" xfId="0" applyFont="1" applyFill="1" applyAlignment="1">
      <alignment wrapText="1"/>
    </xf>
    <xf numFmtId="0" fontId="0" fillId="3" borderId="0" xfId="0" applyFill="1" applyBorder="1"/>
    <xf numFmtId="0" fontId="57" fillId="0" borderId="0" xfId="0" applyFont="1" applyFill="1" applyBorder="1"/>
    <xf numFmtId="0" fontId="21" fillId="0" borderId="0" xfId="0" applyFont="1" applyFill="1" applyBorder="1"/>
    <xf numFmtId="0" fontId="26" fillId="0" borderId="0" xfId="0" applyFont="1" applyFill="1" applyBorder="1"/>
    <xf numFmtId="0" fontId="21" fillId="3" borderId="10" xfId="2" applyFont="1" applyFill="1" applyBorder="1" applyAlignment="1">
      <alignment horizontal="center" vertical="top"/>
    </xf>
    <xf numFmtId="0" fontId="21" fillId="3" borderId="10" xfId="2" applyFont="1" applyFill="1" applyBorder="1" applyAlignment="1">
      <alignment horizontal="center"/>
    </xf>
    <xf numFmtId="0" fontId="21" fillId="3" borderId="6" xfId="2" applyFont="1" applyFill="1" applyBorder="1" applyAlignment="1">
      <alignment horizontal="center" vertical="top"/>
    </xf>
    <xf numFmtId="0" fontId="21" fillId="3" borderId="6" xfId="2" applyFont="1" applyFill="1" applyBorder="1" applyAlignment="1">
      <alignment horizontal="center"/>
    </xf>
    <xf numFmtId="0" fontId="21" fillId="3" borderId="9" xfId="2" applyFont="1" applyFill="1" applyBorder="1" applyAlignment="1">
      <alignment horizontal="center" vertical="top"/>
    </xf>
    <xf numFmtId="0" fontId="21" fillId="2" borderId="0" xfId="0" applyFont="1" applyFill="1" applyBorder="1"/>
    <xf numFmtId="0" fontId="19" fillId="2" borderId="0" xfId="2" applyFont="1" applyFill="1" applyBorder="1" applyAlignment="1">
      <alignment horizontal="center"/>
    </xf>
    <xf numFmtId="0" fontId="19" fillId="2" borderId="0" xfId="2" applyFont="1" applyFill="1" applyBorder="1" applyAlignment="1">
      <alignment horizontal="center" vertical="top"/>
    </xf>
    <xf numFmtId="165" fontId="32" fillId="14" borderId="0" xfId="0" applyNumberFormat="1" applyFont="1" applyFill="1" applyBorder="1" applyAlignment="1" applyProtection="1">
      <alignment horizontal="right"/>
      <protection locked="0"/>
    </xf>
    <xf numFmtId="0" fontId="0" fillId="0" borderId="0" xfId="0" applyFill="1" applyBorder="1" applyAlignment="1">
      <alignment horizontal="center" vertical="top"/>
    </xf>
    <xf numFmtId="0" fontId="19" fillId="0" borderId="0" xfId="2" applyFont="1" applyFill="1" applyBorder="1" applyAlignment="1">
      <alignment horizontal="center" vertical="top"/>
    </xf>
    <xf numFmtId="0" fontId="32" fillId="0" borderId="0" xfId="0" applyFont="1" applyFill="1" applyBorder="1" applyAlignment="1" applyProtection="1">
      <alignment horizontal="left"/>
      <protection locked="0"/>
    </xf>
    <xf numFmtId="0" fontId="19" fillId="0" borderId="0" xfId="2" applyFont="1" applyFill="1" applyBorder="1" applyAlignment="1">
      <alignment horizontal="center"/>
    </xf>
    <xf numFmtId="0" fontId="21" fillId="3" borderId="8" xfId="0" applyFont="1" applyFill="1" applyBorder="1"/>
    <xf numFmtId="0" fontId="21" fillId="3" borderId="11" xfId="2" applyFont="1" applyFill="1" applyBorder="1" applyAlignment="1">
      <alignment horizontal="center" vertical="top"/>
    </xf>
    <xf numFmtId="14" fontId="20" fillId="0" borderId="0" xfId="0" quotePrefix="1" applyNumberFormat="1" applyFont="1" applyFill="1" applyBorder="1" applyAlignment="1">
      <alignment horizontal="left"/>
    </xf>
    <xf numFmtId="0" fontId="0" fillId="0" borderId="0" xfId="0" applyFill="1"/>
    <xf numFmtId="0" fontId="41" fillId="0" borderId="0" xfId="0" applyFont="1" applyFill="1" applyBorder="1" applyAlignment="1"/>
    <xf numFmtId="0" fontId="41" fillId="0" borderId="0" xfId="0" applyFont="1" applyFill="1" applyBorder="1"/>
    <xf numFmtId="0" fontId="63" fillId="0" borderId="0" xfId="2" applyFont="1" applyFill="1" applyBorder="1" applyAlignment="1">
      <alignment horizontal="center"/>
    </xf>
    <xf numFmtId="0" fontId="63" fillId="0" borderId="0" xfId="2" applyFont="1" applyFill="1" applyBorder="1" applyAlignment="1">
      <alignment horizontal="center" vertical="top"/>
    </xf>
    <xf numFmtId="0" fontId="60" fillId="0" borderId="0" xfId="0" applyFont="1" applyFill="1" applyBorder="1" applyAlignment="1">
      <alignment horizontal="left"/>
    </xf>
    <xf numFmtId="0" fontId="64" fillId="0" borderId="0" xfId="0" applyFont="1" applyFill="1" applyBorder="1" applyAlignment="1">
      <alignment horizontal="left"/>
    </xf>
    <xf numFmtId="0" fontId="64" fillId="0" borderId="0" xfId="0" applyFont="1" applyFill="1" applyBorder="1" applyAlignment="1">
      <alignment horizontal="center"/>
    </xf>
    <xf numFmtId="0" fontId="42" fillId="0" borderId="0" xfId="0" applyFont="1" applyFill="1" applyBorder="1" applyAlignment="1">
      <alignment horizontal="left" vertical="top"/>
    </xf>
    <xf numFmtId="165" fontId="65" fillId="0" borderId="0" xfId="0" applyNumberFormat="1" applyFont="1" applyFill="1" applyBorder="1" applyAlignment="1" applyProtection="1">
      <alignment horizontal="right"/>
      <protection locked="0"/>
    </xf>
    <xf numFmtId="165" fontId="43" fillId="0" borderId="0" xfId="0" applyNumberFormat="1" applyFont="1" applyFill="1" applyBorder="1" applyAlignment="1" applyProtection="1">
      <alignment horizontal="right"/>
      <protection locked="0"/>
    </xf>
    <xf numFmtId="0" fontId="41" fillId="0" borderId="0" xfId="0" applyFont="1" applyFill="1" applyBorder="1" applyProtection="1">
      <protection locked="0"/>
    </xf>
    <xf numFmtId="0" fontId="58" fillId="0" borderId="0" xfId="0" applyFont="1" applyFill="1" applyBorder="1" applyAlignment="1">
      <alignment horizontal="left" vertical="center" readingOrder="1"/>
    </xf>
    <xf numFmtId="0" fontId="59" fillId="0" borderId="0" xfId="0" applyFont="1" applyFill="1" applyBorder="1"/>
    <xf numFmtId="14" fontId="58" fillId="0" borderId="0" xfId="0" applyNumberFormat="1" applyFont="1" applyFill="1" applyBorder="1"/>
    <xf numFmtId="0" fontId="41" fillId="0" borderId="0" xfId="0" applyFont="1" applyFill="1" applyBorder="1" applyAlignment="1">
      <alignment horizontal="center" vertical="top"/>
    </xf>
    <xf numFmtId="0" fontId="41" fillId="0" borderId="0" xfId="2" applyFont="1" applyFill="1" applyBorder="1" applyAlignment="1">
      <alignment horizontal="center" vertical="top"/>
    </xf>
    <xf numFmtId="0" fontId="41" fillId="0" borderId="0" xfId="2" applyFont="1" applyFill="1" applyBorder="1" applyAlignment="1">
      <alignment horizontal="center"/>
    </xf>
    <xf numFmtId="0" fontId="62" fillId="0" borderId="0" xfId="0" applyFont="1" applyFill="1" applyBorder="1"/>
    <xf numFmtId="9" fontId="41" fillId="0" borderId="0" xfId="3" applyFont="1" applyFill="1" applyBorder="1"/>
    <xf numFmtId="0" fontId="41" fillId="0" borderId="0" xfId="0" applyNumberFormat="1" applyFont="1" applyFill="1" applyBorder="1"/>
    <xf numFmtId="0" fontId="42" fillId="0" borderId="0" xfId="0" applyFont="1" applyFill="1" applyBorder="1" applyAlignment="1">
      <alignment vertical="center"/>
    </xf>
    <xf numFmtId="0" fontId="41" fillId="0" borderId="0" xfId="0" applyFont="1" applyFill="1" applyBorder="1" applyAlignment="1">
      <alignment vertical="center"/>
    </xf>
    <xf numFmtId="0" fontId="42" fillId="0" borderId="0" xfId="0" applyFont="1" applyFill="1" applyBorder="1"/>
    <xf numFmtId="0" fontId="0" fillId="3" borderId="10" xfId="0" applyFill="1" applyBorder="1"/>
    <xf numFmtId="0" fontId="26" fillId="11" borderId="0" xfId="0" applyFont="1" applyFill="1" applyAlignment="1">
      <alignment vertical="top"/>
    </xf>
    <xf numFmtId="0" fontId="26" fillId="9" borderId="0" xfId="0" applyFont="1" applyFill="1" applyAlignment="1">
      <alignment vertical="top"/>
    </xf>
    <xf numFmtId="0" fontId="66" fillId="9" borderId="0" xfId="0" applyFont="1" applyFill="1" applyAlignment="1">
      <alignment vertical="top"/>
    </xf>
    <xf numFmtId="0" fontId="21" fillId="9" borderId="0" xfId="0" applyFont="1" applyFill="1" applyAlignment="1">
      <alignment vertical="top"/>
    </xf>
    <xf numFmtId="0" fontId="21" fillId="11" borderId="2" xfId="0" applyFont="1" applyFill="1" applyBorder="1" applyAlignment="1">
      <alignment vertical="top"/>
    </xf>
    <xf numFmtId="0" fontId="67" fillId="9" borderId="2" xfId="0" applyFont="1" applyFill="1" applyBorder="1"/>
    <xf numFmtId="0" fontId="21" fillId="9" borderId="2" xfId="0" applyFont="1" applyFill="1" applyBorder="1" applyAlignment="1">
      <alignment vertical="top"/>
    </xf>
    <xf numFmtId="0" fontId="21" fillId="11" borderId="0" xfId="0" applyFont="1" applyFill="1"/>
    <xf numFmtId="0" fontId="21" fillId="11" borderId="2" xfId="0" applyFont="1" applyFill="1" applyBorder="1"/>
    <xf numFmtId="0" fontId="21" fillId="9" borderId="2" xfId="0" applyFont="1" applyFill="1" applyBorder="1"/>
    <xf numFmtId="0" fontId="0" fillId="3" borderId="6" xfId="0" applyFill="1" applyBorder="1"/>
    <xf numFmtId="0" fontId="19" fillId="3" borderId="0" xfId="2" applyFont="1" applyFill="1" applyBorder="1" applyAlignment="1">
      <alignment horizontal="center"/>
    </xf>
    <xf numFmtId="0" fontId="19" fillId="3" borderId="0" xfId="2" applyFont="1" applyFill="1" applyBorder="1" applyAlignment="1">
      <alignment horizontal="center" vertical="top"/>
    </xf>
    <xf numFmtId="0" fontId="21" fillId="3" borderId="0" xfId="0" applyFont="1" applyFill="1" applyBorder="1"/>
    <xf numFmtId="0" fontId="68" fillId="12" borderId="2" xfId="0" applyFont="1" applyFill="1" applyBorder="1"/>
    <xf numFmtId="3" fontId="69" fillId="0" borderId="1" xfId="0" applyNumberFormat="1" applyFont="1" applyBorder="1"/>
    <xf numFmtId="3" fontId="69" fillId="0" borderId="0" xfId="0" applyNumberFormat="1" applyFont="1" applyBorder="1"/>
    <xf numFmtId="3" fontId="69" fillId="0" borderId="2" xfId="0" applyNumberFormat="1" applyFont="1" applyBorder="1"/>
    <xf numFmtId="0" fontId="70" fillId="0" borderId="0" xfId="0" applyFont="1" applyAlignment="1">
      <alignment vertical="center"/>
    </xf>
    <xf numFmtId="0" fontId="0" fillId="11" borderId="0" xfId="0" applyFill="1" applyAlignment="1">
      <alignment wrapText="1"/>
    </xf>
    <xf numFmtId="0" fontId="21" fillId="11" borderId="0" xfId="0" applyFont="1" applyFill="1" applyAlignment="1">
      <alignment vertical="top" wrapText="1"/>
    </xf>
    <xf numFmtId="0" fontId="21" fillId="9" borderId="0" xfId="0" applyFont="1" applyFill="1" applyAlignment="1">
      <alignment wrapText="1"/>
    </xf>
    <xf numFmtId="0" fontId="21" fillId="9" borderId="0" xfId="0" applyFont="1" applyFill="1" applyAlignment="1">
      <alignment vertical="top" wrapText="1"/>
    </xf>
    <xf numFmtId="0" fontId="21" fillId="9" borderId="0" xfId="2" applyFont="1" applyFill="1" applyAlignment="1">
      <alignment vertical="top" wrapText="1"/>
    </xf>
    <xf numFmtId="0" fontId="0" fillId="0" borderId="0" xfId="0" applyAlignment="1">
      <alignment wrapText="1"/>
    </xf>
    <xf numFmtId="0" fontId="21" fillId="11" borderId="0" xfId="2" applyFont="1" applyFill="1"/>
    <xf numFmtId="0" fontId="12" fillId="3" borderId="0" xfId="0" applyFont="1" applyFill="1"/>
    <xf numFmtId="0" fontId="2" fillId="3" borderId="0" xfId="0" applyFont="1" applyFill="1" applyAlignment="1">
      <alignment vertical="top"/>
    </xf>
    <xf numFmtId="0" fontId="17" fillId="11" borderId="0" xfId="0" applyFont="1" applyFill="1" applyAlignment="1"/>
    <xf numFmtId="0" fontId="17" fillId="9" borderId="0" xfId="0" applyFont="1" applyFill="1" applyAlignment="1"/>
    <xf numFmtId="0" fontId="21" fillId="9" borderId="0" xfId="2" applyFont="1" applyFill="1"/>
    <xf numFmtId="0" fontId="26" fillId="9" borderId="0" xfId="0" applyFont="1" applyFill="1" applyAlignment="1">
      <alignment vertical="top" wrapText="1"/>
    </xf>
    <xf numFmtId="0" fontId="21" fillId="9" borderId="0" xfId="2" applyFont="1" applyFill="1" applyAlignment="1">
      <alignment vertical="top"/>
    </xf>
    <xf numFmtId="0" fontId="22" fillId="12" borderId="3" xfId="0" applyFont="1" applyFill="1" applyBorder="1" applyAlignment="1">
      <alignment horizontal="center"/>
    </xf>
    <xf numFmtId="0" fontId="26" fillId="3" borderId="13" xfId="2" applyFont="1" applyFill="1" applyBorder="1" applyAlignment="1">
      <alignment horizontal="center" vertical="top"/>
    </xf>
    <xf numFmtId="0" fontId="26" fillId="3" borderId="14" xfId="2" applyFont="1" applyFill="1" applyBorder="1" applyAlignment="1">
      <alignment horizontal="center" vertical="top"/>
    </xf>
    <xf numFmtId="0" fontId="22" fillId="10" borderId="3" xfId="0" applyFont="1" applyFill="1" applyBorder="1"/>
    <xf numFmtId="0" fontId="12" fillId="3" borderId="0" xfId="0" applyFont="1" applyFill="1" applyBorder="1" applyAlignment="1">
      <alignment vertical="top" wrapText="1"/>
    </xf>
    <xf numFmtId="0" fontId="5" fillId="3" borderId="0" xfId="0" applyFont="1" applyFill="1"/>
    <xf numFmtId="0" fontId="16" fillId="3" borderId="0" xfId="0" applyFont="1" applyFill="1"/>
    <xf numFmtId="0" fontId="21" fillId="11" borderId="0" xfId="2" applyFont="1" applyFill="1" applyAlignment="1">
      <alignment wrapText="1"/>
    </xf>
    <xf numFmtId="0" fontId="26" fillId="11" borderId="0" xfId="0" applyFont="1" applyFill="1" applyAlignment="1">
      <alignment vertical="top" wrapText="1"/>
    </xf>
    <xf numFmtId="0" fontId="21" fillId="11" borderId="0" xfId="2" applyFont="1" applyFill="1" applyAlignment="1">
      <alignment vertical="top"/>
    </xf>
    <xf numFmtId="0" fontId="8" fillId="3" borderId="1" xfId="0" applyFont="1" applyFill="1" applyBorder="1" applyAlignment="1">
      <alignment horizontal="right"/>
    </xf>
    <xf numFmtId="0" fontId="7" fillId="10" borderId="0" xfId="0" applyFont="1" applyFill="1" applyBorder="1" applyAlignment="1">
      <alignment horizontal="right"/>
    </xf>
    <xf numFmtId="0" fontId="9" fillId="3" borderId="2" xfId="0" applyFont="1" applyFill="1" applyBorder="1" applyAlignment="1">
      <alignment horizontal="right"/>
    </xf>
    <xf numFmtId="0" fontId="8" fillId="10" borderId="3" xfId="0" applyFont="1" applyFill="1" applyBorder="1"/>
    <xf numFmtId="0" fontId="0" fillId="3" borderId="0" xfId="0" applyFill="1" applyBorder="1" applyAlignment="1">
      <alignment vertical="top"/>
    </xf>
    <xf numFmtId="0" fontId="0" fillId="3" borderId="0" xfId="0" applyFill="1" applyBorder="1" applyAlignment="1">
      <alignment wrapText="1"/>
    </xf>
    <xf numFmtId="0" fontId="2" fillId="3" borderId="0" xfId="0" applyFont="1" applyFill="1" applyBorder="1" applyAlignment="1">
      <alignment wrapText="1"/>
    </xf>
    <xf numFmtId="0" fontId="0" fillId="3" borderId="0" xfId="0" applyFill="1" applyAlignment="1">
      <alignment wrapText="1"/>
    </xf>
    <xf numFmtId="0" fontId="1" fillId="3" borderId="0" xfId="0" applyFont="1" applyFill="1" applyBorder="1" applyAlignment="1">
      <alignment wrapText="1"/>
    </xf>
    <xf numFmtId="0" fontId="0" fillId="3" borderId="0" xfId="0" applyFill="1"/>
    <xf numFmtId="0" fontId="8" fillId="3" borderId="1" xfId="0" applyFont="1" applyFill="1" applyBorder="1"/>
    <xf numFmtId="0" fontId="7" fillId="11" borderId="0" xfId="0" applyFont="1" applyFill="1" applyBorder="1"/>
    <xf numFmtId="0" fontId="9" fillId="3" borderId="2" xfId="0" applyFont="1" applyFill="1" applyBorder="1"/>
    <xf numFmtId="0" fontId="8" fillId="10" borderId="3" xfId="0" applyFont="1" applyFill="1" applyBorder="1" applyAlignment="1">
      <alignment vertical="top"/>
    </xf>
    <xf numFmtId="0" fontId="23" fillId="0" borderId="0" xfId="2" applyFont="1" applyBorder="1" applyAlignment="1">
      <alignment horizontal="right"/>
    </xf>
    <xf numFmtId="0" fontId="48" fillId="12" borderId="2" xfId="0" applyFont="1" applyFill="1" applyBorder="1"/>
    <xf numFmtId="0" fontId="47" fillId="3" borderId="0" xfId="0" applyFont="1" applyFill="1" applyAlignment="1">
      <alignment wrapText="1"/>
    </xf>
    <xf numFmtId="0" fontId="53" fillId="3" borderId="0" xfId="0" applyFont="1" applyFill="1" applyAlignment="1">
      <alignment wrapText="1"/>
    </xf>
    <xf numFmtId="0" fontId="47" fillId="3" borderId="0" xfId="0" applyFont="1" applyFill="1" applyBorder="1" applyAlignment="1">
      <alignment wrapText="1"/>
    </xf>
    <xf numFmtId="0" fontId="52" fillId="3" borderId="0" xfId="0" applyFont="1" applyFill="1" applyBorder="1" applyAlignment="1">
      <alignment wrapText="1"/>
    </xf>
    <xf numFmtId="0" fontId="51" fillId="3" borderId="0" xfId="0" applyFont="1" applyFill="1" applyBorder="1" applyAlignment="1">
      <alignment wrapText="1"/>
    </xf>
    <xf numFmtId="0" fontId="47" fillId="3" borderId="0" xfId="0" applyFont="1" applyFill="1"/>
    <xf numFmtId="0" fontId="47" fillId="3" borderId="0" xfId="0" applyFont="1" applyFill="1" applyBorder="1" applyAlignment="1">
      <alignment vertical="top"/>
    </xf>
    <xf numFmtId="0" fontId="30" fillId="3" borderId="0" xfId="0" applyFont="1" applyFill="1" applyAlignment="1">
      <alignment wrapText="1"/>
    </xf>
    <xf numFmtId="0" fontId="0" fillId="3" borderId="0" xfId="0" applyFill="1" applyAlignment="1"/>
    <xf numFmtId="0" fontId="0" fillId="3" borderId="0" xfId="0" applyFill="1" applyBorder="1" applyAlignment="1"/>
    <xf numFmtId="0" fontId="8" fillId="12" borderId="2" xfId="0" applyFont="1" applyFill="1" applyBorder="1"/>
    <xf numFmtId="0" fontId="17" fillId="4" borderId="2" xfId="0" applyFont="1" applyFill="1" applyBorder="1" applyAlignment="1">
      <alignment horizontal="left"/>
    </xf>
    <xf numFmtId="0" fontId="17" fillId="12" borderId="8" xfId="0" applyFont="1" applyFill="1" applyBorder="1" applyAlignment="1">
      <alignment horizontal="center"/>
    </xf>
    <xf numFmtId="0" fontId="17" fillId="12" borderId="2" xfId="0" applyFont="1" applyFill="1" applyBorder="1" applyAlignment="1">
      <alignment horizontal="center"/>
    </xf>
    <xf numFmtId="0" fontId="17" fillId="12" borderId="9" xfId="0" applyFont="1" applyFill="1" applyBorder="1" applyAlignment="1">
      <alignment horizontal="center"/>
    </xf>
    <xf numFmtId="0" fontId="44" fillId="11" borderId="0" xfId="0" applyFont="1" applyFill="1" applyBorder="1"/>
    <xf numFmtId="0" fontId="47" fillId="3" borderId="0" xfId="0" applyFont="1" applyFill="1" applyAlignment="1">
      <alignment vertical="top" wrapText="1"/>
    </xf>
    <xf numFmtId="0" fontId="1" fillId="3" borderId="0" xfId="0" applyFont="1" applyFill="1" applyBorder="1"/>
    <xf numFmtId="0" fontId="0" fillId="3" borderId="0" xfId="0" applyFill="1" applyBorder="1"/>
    <xf numFmtId="0" fontId="0" fillId="3" borderId="0" xfId="0" applyFill="1" applyAlignment="1">
      <alignment vertical="top" wrapText="1"/>
    </xf>
    <xf numFmtId="0" fontId="22" fillId="0" borderId="0" xfId="0" applyFont="1" applyFill="1" applyBorder="1" applyAlignment="1">
      <alignment horizontal="center"/>
    </xf>
    <xf numFmtId="0" fontId="26" fillId="0" borderId="0" xfId="2" applyFont="1" applyFill="1" applyBorder="1" applyAlignment="1">
      <alignment horizontal="center" vertical="top"/>
    </xf>
    <xf numFmtId="0" fontId="7" fillId="9" borderId="0" xfId="0" applyFont="1" applyFill="1" applyBorder="1"/>
    <xf numFmtId="0" fontId="1" fillId="4" borderId="23" xfId="0" applyFont="1" applyFill="1" applyBorder="1" applyAlignment="1">
      <alignment horizontal="center"/>
    </xf>
    <xf numFmtId="0" fontId="1" fillId="4" borderId="2" xfId="0" applyFont="1" applyFill="1" applyBorder="1" applyAlignment="1">
      <alignment horizontal="center"/>
    </xf>
    <xf numFmtId="0" fontId="27" fillId="8" borderId="12" xfId="0" applyNumberFormat="1" applyFont="1" applyFill="1" applyBorder="1" applyAlignment="1" applyProtection="1">
      <alignment horizontal="center"/>
      <protection locked="0"/>
    </xf>
    <xf numFmtId="0" fontId="27" fillId="8" borderId="26" xfId="0" applyNumberFormat="1" applyFont="1" applyFill="1" applyBorder="1" applyAlignment="1" applyProtection="1">
      <alignment horizontal="center"/>
      <protection locked="0"/>
    </xf>
    <xf numFmtId="0" fontId="27" fillId="8" borderId="30" xfId="0" applyNumberFormat="1" applyFont="1" applyFill="1" applyBorder="1" applyAlignment="1" applyProtection="1">
      <alignment horizontal="center"/>
      <protection locked="0"/>
    </xf>
    <xf numFmtId="0" fontId="27" fillId="8" borderId="29" xfId="0" applyNumberFormat="1" applyFont="1" applyFill="1" applyBorder="1" applyAlignment="1" applyProtection="1">
      <alignment horizontal="center"/>
      <protection locked="0"/>
    </xf>
    <xf numFmtId="0" fontId="27" fillId="8" borderId="28" xfId="0" applyNumberFormat="1" applyFont="1" applyFill="1" applyBorder="1" applyAlignment="1" applyProtection="1">
      <alignment horizontal="center"/>
      <protection locked="0"/>
    </xf>
    <xf numFmtId="0" fontId="1" fillId="3" borderId="0" xfId="0" applyFont="1" applyFill="1" applyBorder="1" applyAlignment="1"/>
    <xf numFmtId="0" fontId="8" fillId="0" borderId="0" xfId="0" applyFont="1" applyFill="1" applyBorder="1"/>
    <xf numFmtId="0" fontId="7" fillId="0" borderId="0" xfId="0" applyFont="1" applyFill="1" applyBorder="1"/>
    <xf numFmtId="0" fontId="9" fillId="0" borderId="0" xfId="0" applyFont="1" applyFill="1" applyBorder="1"/>
    <xf numFmtId="0" fontId="60" fillId="0" borderId="0" xfId="2" applyFont="1" applyFill="1" applyBorder="1" applyAlignment="1">
      <alignment horizontal="right"/>
    </xf>
    <xf numFmtId="0" fontId="61" fillId="0" borderId="0" xfId="0" applyFont="1" applyFill="1" applyBorder="1"/>
    <xf numFmtId="0" fontId="41" fillId="0" borderId="0" xfId="0" applyFont="1" applyFill="1" applyBorder="1" applyAlignment="1"/>
    <xf numFmtId="0" fontId="64" fillId="0" borderId="0" xfId="0" applyFont="1" applyFill="1" applyBorder="1" applyAlignment="1">
      <alignment horizontal="left"/>
    </xf>
    <xf numFmtId="0" fontId="61" fillId="0" borderId="0" xfId="0" applyFont="1" applyFill="1" applyBorder="1" applyAlignment="1">
      <alignment horizontal="center"/>
    </xf>
    <xf numFmtId="0" fontId="62" fillId="0" borderId="0" xfId="2" applyFont="1" applyFill="1" applyBorder="1" applyAlignment="1">
      <alignment horizontal="center" vertical="top"/>
    </xf>
  </cellXfs>
  <cellStyles count="11">
    <cellStyle name="Hyperlink" xfId="2" builtinId="8"/>
    <cellStyle name="Normal" xfId="0" builtinId="0"/>
    <cellStyle name="Normal 2" xfId="1"/>
    <cellStyle name="Normal 3" xfId="4"/>
    <cellStyle name="Percent" xfId="3" builtinId="5"/>
    <cellStyle name="style1476109716685" xfId="7"/>
    <cellStyle name="style1476109717103" xfId="5"/>
    <cellStyle name="style1476109718062" xfId="6"/>
    <cellStyle name="style1476109723330" xfId="10"/>
    <cellStyle name="style1476109723685" xfId="8"/>
    <cellStyle name="style1476109723998" xfId="9"/>
  </cellStyles>
  <dxfs count="209">
    <dxf>
      <numFmt numFmtId="0" formatCode="General"/>
    </dxf>
    <dxf>
      <numFmt numFmtId="169" formatCode="0.0"/>
    </dxf>
    <dxf>
      <fill>
        <patternFill patternType="none">
          <bgColor auto="1"/>
        </patternFill>
      </fill>
    </dxf>
    <dxf>
      <numFmt numFmtId="169" formatCode="0.0"/>
    </dxf>
    <dxf>
      <fill>
        <patternFill patternType="none">
          <bgColor auto="1"/>
        </patternFill>
      </fill>
    </dxf>
    <dxf>
      <font>
        <color theme="0"/>
      </font>
      <fill>
        <patternFill patternType="none">
          <bgColor auto="1"/>
        </patternFill>
      </fill>
    </dxf>
    <dxf>
      <numFmt numFmtId="0" formatCode="General"/>
    </dxf>
    <dxf>
      <numFmt numFmtId="1" formatCode="0"/>
    </dxf>
    <dxf>
      <fill>
        <patternFill patternType="none">
          <bgColor auto="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ont>
        <color theme="0"/>
      </font>
    </dxf>
    <dxf>
      <font>
        <color theme="0"/>
      </font>
    </dxf>
    <dxf>
      <font>
        <color theme="0"/>
      </font>
    </dxf>
    <dxf>
      <font>
        <color theme="0"/>
      </font>
    </dxf>
    <dxf>
      <numFmt numFmtId="0" formatCode="General"/>
    </dxf>
    <dxf>
      <numFmt numFmtId="166" formatCode="0.0%"/>
    </dxf>
    <dxf>
      <font>
        <color theme="0"/>
      </font>
    </dxf>
    <dxf>
      <font>
        <color theme="0"/>
      </font>
    </dxf>
    <dxf>
      <font>
        <color theme="0"/>
      </font>
    </dxf>
    <dxf>
      <font>
        <color theme="0"/>
      </font>
    </dxf>
    <dxf>
      <numFmt numFmtId="0" formatCode="General"/>
    </dxf>
    <dxf>
      <numFmt numFmtId="166" formatCode="0.0%"/>
    </dxf>
    <dxf>
      <numFmt numFmtId="166" formatCode="0.0%"/>
    </dxf>
    <dxf>
      <numFmt numFmtId="166" formatCode="0.0%"/>
    </dxf>
    <dxf>
      <numFmt numFmtId="166" formatCode="0.0%"/>
    </dxf>
    <dxf>
      <numFmt numFmtId="166" formatCode="0.0%"/>
    </dxf>
    <dxf>
      <font>
        <color theme="0"/>
      </font>
    </dxf>
    <dxf>
      <font>
        <color theme="0"/>
      </font>
    </dxf>
    <dxf>
      <font>
        <color theme="0"/>
      </font>
    </dxf>
    <dxf>
      <font>
        <color theme="0"/>
      </font>
    </dxf>
    <dxf>
      <numFmt numFmtId="0" formatCode="General"/>
    </dxf>
    <dxf>
      <numFmt numFmtId="166" formatCode="0.0%"/>
    </dxf>
    <dxf>
      <numFmt numFmtId="0" formatCode="General"/>
    </dxf>
    <dxf>
      <numFmt numFmtId="166" formatCode="0.0%"/>
    </dxf>
    <dxf>
      <font>
        <color theme="0"/>
      </font>
    </dxf>
    <dxf>
      <font>
        <color theme="0"/>
      </font>
    </dxf>
    <dxf>
      <font>
        <color theme="0"/>
      </font>
    </dxf>
    <dxf>
      <font>
        <color theme="0"/>
      </font>
    </dxf>
    <dxf>
      <numFmt numFmtId="0" formatCode="General"/>
    </dxf>
    <dxf>
      <numFmt numFmtId="166" formatCode="0.0%"/>
    </dxf>
    <dxf>
      <font>
        <color theme="0"/>
      </font>
    </dxf>
    <dxf>
      <font>
        <color theme="0"/>
      </font>
    </dxf>
    <dxf>
      <font>
        <color theme="0"/>
      </font>
    </dxf>
    <dxf>
      <font>
        <color theme="0"/>
      </font>
    </dxf>
    <dxf>
      <font>
        <color theme="0"/>
      </font>
    </dxf>
    <dxf>
      <numFmt numFmtId="0" formatCode="General"/>
    </dxf>
    <dxf>
      <numFmt numFmtId="166" formatCode="0.0%"/>
    </dxf>
    <dxf>
      <font>
        <color theme="0"/>
      </font>
    </dxf>
    <dxf>
      <font>
        <color theme="0"/>
      </font>
    </dxf>
    <dxf>
      <font>
        <color theme="0"/>
      </font>
    </dxf>
    <dxf>
      <numFmt numFmtId="0" formatCode="General"/>
    </dxf>
    <dxf>
      <numFmt numFmtId="166" formatCode="0.0%"/>
    </dxf>
    <dxf>
      <font>
        <color theme="0"/>
      </font>
    </dxf>
    <dxf>
      <font>
        <color theme="0"/>
      </font>
    </dxf>
    <dxf>
      <font>
        <color theme="0"/>
      </font>
    </dxf>
    <dxf>
      <font>
        <color theme="0"/>
      </font>
    </dxf>
    <dxf>
      <fill>
        <patternFill patternType="none">
          <bgColor auto="1"/>
        </patternFill>
      </fill>
    </dxf>
    <dxf>
      <numFmt numFmtId="0" formatCode="General"/>
    </dxf>
    <dxf>
      <numFmt numFmtId="166" formatCode="0.0%"/>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ont>
        <color theme="0"/>
      </font>
    </dxf>
    <dxf>
      <font>
        <color theme="0"/>
      </font>
    </dxf>
    <dxf>
      <font>
        <color theme="0"/>
      </font>
    </dxf>
    <dxf>
      <font>
        <color theme="0"/>
      </font>
    </dxf>
    <dxf>
      <numFmt numFmtId="0" formatCode="General"/>
    </dxf>
    <dxf>
      <numFmt numFmtId="166" formatCode="0.0%"/>
    </dxf>
    <dxf>
      <fill>
        <patternFill patternType="none">
          <bgColor auto="1"/>
        </patternFill>
      </fill>
    </dxf>
    <dxf>
      <font>
        <color theme="0"/>
      </font>
    </dxf>
    <dxf>
      <font>
        <color theme="0"/>
      </font>
    </dxf>
    <dxf>
      <font>
        <color theme="0"/>
      </font>
    </dxf>
    <dxf>
      <font>
        <color theme="0"/>
      </font>
    </dxf>
    <dxf>
      <fill>
        <patternFill patternType="none">
          <bgColor auto="1"/>
        </patternFill>
      </fill>
    </dxf>
    <dxf>
      <numFmt numFmtId="0" formatCode="General"/>
    </dxf>
    <dxf>
      <numFmt numFmtId="166" formatCode="0.0%"/>
    </dxf>
    <dxf>
      <font>
        <color theme="0"/>
      </font>
    </dxf>
    <dxf>
      <font>
        <color theme="0"/>
      </font>
    </dxf>
    <dxf>
      <font>
        <color theme="0"/>
      </font>
    </dxf>
    <dxf>
      <fill>
        <patternFill patternType="none">
          <bgColor auto="1"/>
        </patternFill>
      </fill>
    </dxf>
    <dxf>
      <numFmt numFmtId="0" formatCode="General"/>
    </dxf>
    <dxf>
      <numFmt numFmtId="166" formatCode="0.0%"/>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ont>
        <color theme="0"/>
      </font>
    </dxf>
    <dxf>
      <font>
        <color theme="0"/>
      </font>
    </dxf>
    <dxf>
      <font>
        <color theme="0"/>
      </font>
    </dxf>
    <dxf>
      <fill>
        <patternFill patternType="none">
          <bgColor auto="1"/>
        </patternFill>
      </fill>
    </dxf>
    <dxf>
      <numFmt numFmtId="0" formatCode="General"/>
    </dxf>
    <dxf>
      <numFmt numFmtId="166" formatCode="0.0%"/>
    </dxf>
    <dxf>
      <fill>
        <patternFill patternType="solid">
          <bgColor theme="7" tint="0.39997558519241921"/>
        </patternFill>
      </fill>
    </dxf>
    <dxf>
      <fill>
        <patternFill patternType="solid">
          <bgColor theme="7" tint="0.39997558519241921"/>
        </patternFill>
      </fill>
    </dxf>
    <dxf>
      <numFmt numFmtId="166" formatCode="0.0%"/>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ont>
        <color theme="0"/>
      </font>
    </dxf>
    <dxf>
      <font>
        <color theme="0"/>
      </font>
    </dxf>
    <dxf>
      <numFmt numFmtId="0" formatCode="General"/>
    </dxf>
    <dxf>
      <numFmt numFmtId="166" formatCode="0.0%"/>
    </dxf>
    <dxf>
      <font>
        <color theme="0"/>
      </font>
    </dxf>
    <dxf>
      <font>
        <color theme="0"/>
      </font>
    </dxf>
    <dxf>
      <numFmt numFmtId="0" formatCode="General"/>
    </dxf>
    <dxf>
      <numFmt numFmtId="166" formatCode="0.0%"/>
    </dxf>
    <dxf>
      <font>
        <color theme="0"/>
      </font>
    </dxf>
    <dxf>
      <numFmt numFmtId="0" formatCode="General"/>
    </dxf>
    <dxf>
      <numFmt numFmtId="166" formatCode="0.0%"/>
    </dxf>
    <dxf>
      <font>
        <color theme="0"/>
      </font>
    </dxf>
    <dxf>
      <font>
        <color theme="0"/>
      </font>
    </dxf>
    <dxf>
      <numFmt numFmtId="0" formatCode="General"/>
    </dxf>
    <dxf>
      <fill>
        <patternFill patternType="none">
          <bgColor auto="1"/>
        </patternFill>
      </fill>
    </dxf>
    <dxf>
      <numFmt numFmtId="166" formatCode="0.0%"/>
    </dxf>
    <dxf>
      <font>
        <color theme="0"/>
      </font>
    </dxf>
    <dxf>
      <font>
        <color theme="0"/>
      </font>
    </dxf>
    <dxf>
      <font>
        <color theme="0"/>
      </font>
    </dxf>
    <dxf>
      <numFmt numFmtId="0" formatCode="General"/>
    </dxf>
    <dxf>
      <numFmt numFmtId="166" formatCode="0.0%"/>
    </dxf>
    <dxf>
      <fill>
        <patternFill patternType="none">
          <bgColor auto="1"/>
        </patternFill>
      </fill>
    </dxf>
    <dxf>
      <numFmt numFmtId="0" formatCode="Genera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numFmt numFmtId="166" formatCode="0.0%"/>
    </dxf>
    <dxf>
      <numFmt numFmtId="0" formatCode="General"/>
    </dxf>
    <dxf>
      <numFmt numFmtId="1" formatCode="0"/>
    </dxf>
    <dxf>
      <numFmt numFmtId="0" formatCode="General"/>
    </dxf>
    <dxf>
      <numFmt numFmtId="169" formatCode="0.0"/>
    </dxf>
    <dxf>
      <fill>
        <patternFill patternType="none">
          <bgColor auto="1"/>
        </patternFill>
      </fill>
    </dxf>
    <dxf>
      <font>
        <color theme="0"/>
      </font>
      <fill>
        <patternFill patternType="none">
          <bgColor auto="1"/>
        </patternFill>
      </fill>
    </dxf>
    <dxf>
      <numFmt numFmtId="0" formatCode="General"/>
    </dxf>
    <dxf>
      <numFmt numFmtId="1" formatCode="0"/>
    </dxf>
    <dxf>
      <font>
        <color theme="0"/>
      </font>
    </dxf>
    <dxf>
      <fill>
        <patternFill patternType="none">
          <bgColor auto="1"/>
        </patternFill>
      </fill>
    </dxf>
    <dxf>
      <numFmt numFmtId="0" formatCode="General"/>
    </dxf>
    <dxf>
      <numFmt numFmtId="166" formatCode="0.0%"/>
    </dxf>
    <dxf>
      <numFmt numFmtId="1" formatCode="0"/>
    </dxf>
    <dxf>
      <numFmt numFmtId="169" formatCode="0.0"/>
    </dxf>
    <dxf>
      <numFmt numFmtId="2" formatCode="0.00"/>
    </dxf>
    <dxf>
      <numFmt numFmtId="169" formatCode="0.0"/>
    </dxf>
    <dxf>
      <numFmt numFmtId="1" formatCode="0"/>
    </dxf>
    <dxf>
      <numFmt numFmtId="0" formatCode="General"/>
    </dxf>
    <dxf>
      <numFmt numFmtId="169" formatCode="0.0"/>
    </dxf>
    <dxf>
      <fill>
        <patternFill patternType="none">
          <bgColor auto="1"/>
        </patternFill>
      </fill>
    </dxf>
    <dxf>
      <font>
        <color theme="0"/>
      </font>
    </dxf>
    <dxf>
      <fill>
        <patternFill patternType="none">
          <bgColor auto="1"/>
        </patternFill>
      </fill>
    </dxf>
    <dxf>
      <numFmt numFmtId="166" formatCode="0.0%"/>
    </dxf>
    <dxf>
      <numFmt numFmtId="14" formatCode="0.00%"/>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numFmt numFmtId="0" formatCode="General"/>
    </dxf>
    <dxf>
      <numFmt numFmtId="169" formatCode="0.0"/>
    </dxf>
    <dxf>
      <fill>
        <patternFill patternType="none">
          <bgColor auto="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numFmt numFmtId="0" formatCode="General"/>
    </dxf>
    <dxf>
      <numFmt numFmtId="169" formatCode="0.0"/>
    </dxf>
    <dxf>
      <fill>
        <patternFill patternType="none">
          <bgColor auto="1"/>
        </patternFill>
      </fill>
    </dxf>
    <dxf>
      <border>
        <bottom style="thin">
          <color indexed="64"/>
        </bottom>
      </border>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border>
        <left style="thin">
          <color indexed="64"/>
        </left>
        <right style="thin">
          <color indexed="64"/>
        </right>
        <top style="thin">
          <color indexed="64"/>
        </top>
      </border>
    </dxf>
    <dxf>
      <fill>
        <patternFill>
          <bgColor theme="7" tint="0.39997558519241921"/>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s>
  <tableStyles count="0" defaultTableStyle="TableStyleMedium2" defaultPivotStyle="PivotStyleLight16"/>
  <colors>
    <mruColors>
      <color rgb="FFF18366"/>
      <color rgb="FFB5DAC7"/>
      <color rgb="FF5E958E"/>
      <color rgb="FFB49073"/>
      <color rgb="FF7F7F7F"/>
      <color rgb="FFF5A893"/>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pivotCacheDefinition" Target="pivotCache/pivotCacheDefinition11.xml"/><Relationship Id="rId89" Type="http://schemas.openxmlformats.org/officeDocument/2006/relationships/pivotCacheDefinition" Target="pivotCache/pivotCacheDefinition1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pivotCacheDefinition" Target="pivotCache/pivotCacheDefinition1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pivotCacheDefinition" Target="pivotCache/pivotCacheDefinition1.xml"/><Relationship Id="rId79" Type="http://schemas.openxmlformats.org/officeDocument/2006/relationships/pivotCacheDefinition" Target="pivotCache/pivotCacheDefinition6.xml"/><Relationship Id="rId87" Type="http://schemas.openxmlformats.org/officeDocument/2006/relationships/pivotCacheDefinition" Target="pivotCache/pivotCacheDefinition14.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pivotCacheDefinition" Target="pivotCache/pivotCacheDefinition9.xml"/><Relationship Id="rId90" Type="http://schemas.openxmlformats.org/officeDocument/2006/relationships/pivotCacheDefinition" Target="pivotCache/pivotCacheDefinition17.xml"/><Relationship Id="rId95" Type="http://schemas.openxmlformats.org/officeDocument/2006/relationships/pivotCacheDefinition" Target="pivotCache/pivotCacheDefinition2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pivotCacheDefinition" Target="pivotCache/pivotCacheDefinition4.xml"/><Relationship Id="rId100" Type="http://schemas.openxmlformats.org/officeDocument/2006/relationships/pivotCacheDefinition" Target="pivotCache/pivotCacheDefinition27.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pivotCacheDefinition" Target="pivotCache/pivotCacheDefinition7.xml"/><Relationship Id="rId85" Type="http://schemas.openxmlformats.org/officeDocument/2006/relationships/pivotCacheDefinition" Target="pivotCache/pivotCacheDefinition12.xml"/><Relationship Id="rId93" Type="http://schemas.openxmlformats.org/officeDocument/2006/relationships/pivotCacheDefinition" Target="pivotCache/pivotCacheDefinition20.xml"/><Relationship Id="rId98" Type="http://schemas.openxmlformats.org/officeDocument/2006/relationships/pivotCacheDefinition" Target="pivotCache/pivotCacheDefinition2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pivotCacheDefinition" Target="pivotCache/pivotCacheDefinition2.xml"/><Relationship Id="rId83" Type="http://schemas.openxmlformats.org/officeDocument/2006/relationships/pivotCacheDefinition" Target="pivotCache/pivotCacheDefinition10.xml"/><Relationship Id="rId88" Type="http://schemas.openxmlformats.org/officeDocument/2006/relationships/pivotCacheDefinition" Target="pivotCache/pivotCacheDefinition15.xml"/><Relationship Id="rId91" Type="http://schemas.openxmlformats.org/officeDocument/2006/relationships/pivotCacheDefinition" Target="pivotCache/pivotCacheDefinition18.xml"/><Relationship Id="rId96" Type="http://schemas.openxmlformats.org/officeDocument/2006/relationships/pivotCacheDefinition" Target="pivotCache/pivotCacheDefinition2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pivotCacheDefinition" Target="pivotCache/pivotCacheDefinition5.xml"/><Relationship Id="rId81" Type="http://schemas.openxmlformats.org/officeDocument/2006/relationships/pivotCacheDefinition" Target="pivotCache/pivotCacheDefinition8.xml"/><Relationship Id="rId86" Type="http://schemas.openxmlformats.org/officeDocument/2006/relationships/pivotCacheDefinition" Target="pivotCache/pivotCacheDefinition13.xml"/><Relationship Id="rId94" Type="http://schemas.openxmlformats.org/officeDocument/2006/relationships/pivotCacheDefinition" Target="pivotCache/pivotCacheDefinition21.xml"/><Relationship Id="rId99" Type="http://schemas.openxmlformats.org/officeDocument/2006/relationships/pivotCacheDefinition" Target="pivotCache/pivotCacheDefinition26.xml"/><Relationship Id="rId101" Type="http://schemas.openxmlformats.org/officeDocument/2006/relationships/pivotCacheDefinition" Target="pivotCache/pivotCacheDefinition2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pivotCacheDefinition" Target="pivotCache/pivotCacheDefinition3.xml"/><Relationship Id="rId97" Type="http://schemas.openxmlformats.org/officeDocument/2006/relationships/pivotCacheDefinition" Target="pivotCache/pivotCacheDefinition24.xml"/><Relationship Id="rId10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v2.xlsx]V1.1.1!PivotTable4</c:name>
    <c:fmtId val="0"/>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sv-SE">
                <a:solidFill>
                  <a:sysClr val="windowText" lastClr="000000"/>
                </a:solidFill>
                <a:latin typeface="Corbel" panose="020B0503020204020204" pitchFamily="34" charset="0"/>
              </a:rPr>
              <a:t>Antal självmord</a:t>
            </a:r>
            <a:r>
              <a:rPr lang="sv-SE" baseline="0">
                <a:solidFill>
                  <a:sysClr val="windowText" lastClr="000000"/>
                </a:solidFill>
                <a:latin typeface="Corbel" panose="020B0503020204020204" pitchFamily="34" charset="0"/>
              </a:rPr>
              <a:t> i Västra Götaland per 100 000 invånare (20+ år)</a:t>
            </a:r>
            <a:endParaRPr lang="sv-SE">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9"/>
        <c:spPr>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
        <c:idx val="20"/>
        <c:spPr>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2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'V1.1.1'!$O$11:$O$12</c:f>
              <c:strCache>
                <c:ptCount val="1"/>
                <c:pt idx="0">
                  <c:v>Män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'V1.1.1'!$N$13:$N$28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'V1.1.1'!$O$13:$O$28</c:f>
              <c:numCache>
                <c:formatCode>0.0</c:formatCode>
                <c:ptCount val="16"/>
                <c:pt idx="0">
                  <c:v>19.600000000000001</c:v>
                </c:pt>
                <c:pt idx="1">
                  <c:v>18.059999999999999</c:v>
                </c:pt>
                <c:pt idx="2">
                  <c:v>23.13</c:v>
                </c:pt>
                <c:pt idx="3">
                  <c:v>23.24</c:v>
                </c:pt>
                <c:pt idx="4">
                  <c:v>20.41</c:v>
                </c:pt>
                <c:pt idx="5">
                  <c:v>25.57</c:v>
                </c:pt>
              </c:numCache>
            </c:numRef>
          </c:val>
          <c:smooth val="0"/>
          <c:extLst>
            <c:ext xmlns:c16="http://schemas.microsoft.com/office/drawing/2014/chart" uri="{C3380CC4-5D6E-409C-BE32-E72D297353CC}">
              <c16:uniqueId val="{00000041-6563-47F0-AE99-49E46E2FB1E2}"/>
            </c:ext>
          </c:extLst>
        </c:ser>
        <c:ser>
          <c:idx val="1"/>
          <c:order val="1"/>
          <c:tx>
            <c:strRef>
              <c:f>'V1.1.1'!$P$11:$P$12</c:f>
              <c:strCache>
                <c:ptCount val="1"/>
                <c:pt idx="0">
                  <c:v>Kvinnor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'V1.1.1'!$N$13:$N$28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'V1.1.1'!$P$13:$P$28</c:f>
              <c:numCache>
                <c:formatCode>0.0</c:formatCode>
                <c:ptCount val="16"/>
                <c:pt idx="0">
                  <c:v>8.18</c:v>
                </c:pt>
                <c:pt idx="1">
                  <c:v>9.73</c:v>
                </c:pt>
                <c:pt idx="2">
                  <c:v>7.71</c:v>
                </c:pt>
                <c:pt idx="3">
                  <c:v>9.56</c:v>
                </c:pt>
                <c:pt idx="4">
                  <c:v>11.68</c:v>
                </c:pt>
                <c:pt idx="5">
                  <c:v>8.2899999999999991</c:v>
                </c:pt>
              </c:numCache>
            </c:numRef>
          </c:val>
          <c:smooth val="0"/>
          <c:extLst>
            <c:ext xmlns:c16="http://schemas.microsoft.com/office/drawing/2014/chart" uri="{C3380CC4-5D6E-409C-BE32-E72D297353CC}">
              <c16:uniqueId val="{0000004B-6563-47F0-AE99-49E46E2FB1E2}"/>
            </c:ext>
          </c:extLst>
        </c:ser>
        <c:ser>
          <c:idx val="2"/>
          <c:order val="2"/>
          <c:tx>
            <c:strRef>
              <c:f>'V1.1.1'!$Q$11:$Q$12</c:f>
              <c:strCache>
                <c:ptCount val="1"/>
                <c:pt idx="0">
                  <c:v>Båda könen</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'V1.1.1'!$N$13:$N$28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'V1.1.1'!$Q$13:$Q$28</c:f>
              <c:numCache>
                <c:formatCode>0.0</c:formatCode>
                <c:ptCount val="16"/>
                <c:pt idx="0">
                  <c:v>13.82</c:v>
                </c:pt>
                <c:pt idx="1">
                  <c:v>13.85</c:v>
                </c:pt>
                <c:pt idx="2">
                  <c:v>15.34</c:v>
                </c:pt>
                <c:pt idx="3">
                  <c:v>16.329999999999998</c:v>
                </c:pt>
                <c:pt idx="4">
                  <c:v>16</c:v>
                </c:pt>
                <c:pt idx="5">
                  <c:v>16.86</c:v>
                </c:pt>
              </c:numCache>
            </c:numRef>
          </c:val>
          <c:smooth val="0"/>
          <c:extLst>
            <c:ext xmlns:c16="http://schemas.microsoft.com/office/drawing/2014/chart" uri="{C3380CC4-5D6E-409C-BE32-E72D297353CC}">
              <c16:uniqueId val="{0000004C-6563-47F0-AE99-49E46E2FB1E2}"/>
            </c:ext>
          </c:extLst>
        </c:ser>
        <c:dLbls>
          <c:showLegendKey val="0"/>
          <c:showVal val="0"/>
          <c:showCatName val="0"/>
          <c:showSerName val="0"/>
          <c:showPercent val="0"/>
          <c:showBubbleSize val="0"/>
        </c:dLbls>
        <c:marker val="1"/>
        <c:smooth val="0"/>
        <c:axId val="313538432"/>
        <c:axId val="313548800"/>
      </c:lineChart>
      <c:catAx>
        <c:axId val="313538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548800"/>
        <c:crosses val="autoZero"/>
        <c:auto val="1"/>
        <c:lblAlgn val="ctr"/>
        <c:lblOffset val="100"/>
        <c:noMultiLvlLbl val="0"/>
      </c:catAx>
      <c:valAx>
        <c:axId val="313548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5384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v2.xlsx]V4.2.4!PivotTable31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1" i="1" u="none" strike="noStrike" baseline="0">
                <a:solidFill>
                  <a:sysClr val="windowText" lastClr="000000"/>
                </a:solidFill>
                <a:effectLst/>
                <a:latin typeface="Corbel" panose="020B0503020204020204" pitchFamily="34" charset="0"/>
              </a:rPr>
              <a:t> Aktuell rutin för samordning finns mellan a) ekonomiskt bistånd och LSS b) ekonomiskt bistånd och missbruksvård c) ekonomiskt bistånd och socialpsykiatri d) LSS och missbruksvård e) LSS och socialpsykiatri f) missbruksvård och socialpsykiatri</a:t>
            </a:r>
            <a:r>
              <a:rPr lang="sv-SE" sz="1400" b="0" i="0" u="none" strike="noStrike" baseline="0">
                <a:solidFill>
                  <a:sysClr val="windowText" lastClr="000000"/>
                </a:solidFill>
                <a:effectLst/>
                <a:latin typeface="Corbel" panose="020B0503020204020204" pitchFamily="34" charset="0"/>
              </a:rPr>
              <a:t> </a:t>
            </a:r>
            <a:endParaRPr lang="sv-SE">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s>
    <c:plotArea>
      <c:layout/>
      <c:barChart>
        <c:barDir val="col"/>
        <c:grouping val="clustered"/>
        <c:varyColors val="0"/>
        <c:ser>
          <c:idx val="0"/>
          <c:order val="0"/>
          <c:tx>
            <c:strRef>
              <c:f>'V4.2.4'!$O$11:$O$12</c:f>
              <c:strCache>
                <c:ptCount val="1"/>
                <c:pt idx="0">
                  <c:v>Ekonomiskt bistånd - LSS</c:v>
                </c:pt>
              </c:strCache>
            </c:strRef>
          </c:tx>
          <c:spPr>
            <a:solidFill>
              <a:schemeClr val="accent1"/>
            </a:solidFill>
            <a:ln>
              <a:noFill/>
            </a:ln>
            <a:effectLst/>
          </c:spPr>
          <c:invertIfNegative val="0"/>
          <c:cat>
            <c:strRef>
              <c:f>'V4.2.4'!$N$13:$N$22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'V4.2.4'!$O$13:$O$22</c:f>
              <c:numCache>
                <c:formatCode>0.0%</c:formatCode>
                <c:ptCount val="10"/>
                <c:pt idx="0">
                  <c:v>0.36585365853658536</c:v>
                </c:pt>
                <c:pt idx="1">
                  <c:v>0.32608695652173914</c:v>
                </c:pt>
              </c:numCache>
            </c:numRef>
          </c:val>
          <c:extLst>
            <c:ext xmlns:c16="http://schemas.microsoft.com/office/drawing/2014/chart" uri="{C3380CC4-5D6E-409C-BE32-E72D297353CC}">
              <c16:uniqueId val="{00000000-DD89-4B65-A418-B88CBAC5719B}"/>
            </c:ext>
          </c:extLst>
        </c:ser>
        <c:ser>
          <c:idx val="1"/>
          <c:order val="1"/>
          <c:tx>
            <c:strRef>
              <c:f>'V4.2.4'!$P$11:$P$12</c:f>
              <c:strCache>
                <c:ptCount val="1"/>
                <c:pt idx="0">
                  <c:v>Ekonomiskt bistånd - Missbruk</c:v>
                </c:pt>
              </c:strCache>
            </c:strRef>
          </c:tx>
          <c:spPr>
            <a:solidFill>
              <a:schemeClr val="accent2"/>
            </a:solidFill>
            <a:ln>
              <a:noFill/>
            </a:ln>
            <a:effectLst/>
          </c:spPr>
          <c:invertIfNegative val="0"/>
          <c:cat>
            <c:strRef>
              <c:f>'V4.2.4'!$N$13:$N$22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'V4.2.4'!$P$13:$P$22</c:f>
              <c:numCache>
                <c:formatCode>0.0%</c:formatCode>
                <c:ptCount val="10"/>
                <c:pt idx="0">
                  <c:v>0.73170731707317072</c:v>
                </c:pt>
                <c:pt idx="1">
                  <c:v>0.69565217391304346</c:v>
                </c:pt>
              </c:numCache>
            </c:numRef>
          </c:val>
          <c:extLst>
            <c:ext xmlns:c16="http://schemas.microsoft.com/office/drawing/2014/chart" uri="{C3380CC4-5D6E-409C-BE32-E72D297353CC}">
              <c16:uniqueId val="{00000001-DD89-4B65-A418-B88CBAC5719B}"/>
            </c:ext>
          </c:extLst>
        </c:ser>
        <c:ser>
          <c:idx val="2"/>
          <c:order val="2"/>
          <c:tx>
            <c:strRef>
              <c:f>'V4.2.4'!$Q$11:$Q$12</c:f>
              <c:strCache>
                <c:ptCount val="1"/>
                <c:pt idx="0">
                  <c:v>Ekonomiskt bistånd - Socialpsykiatri</c:v>
                </c:pt>
              </c:strCache>
            </c:strRef>
          </c:tx>
          <c:spPr>
            <a:solidFill>
              <a:schemeClr val="accent3"/>
            </a:solidFill>
            <a:ln>
              <a:noFill/>
            </a:ln>
            <a:effectLst/>
          </c:spPr>
          <c:invertIfNegative val="0"/>
          <c:cat>
            <c:strRef>
              <c:f>'V4.2.4'!$N$13:$N$22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'V4.2.4'!$Q$13:$Q$22</c:f>
              <c:numCache>
                <c:formatCode>0.0%</c:formatCode>
                <c:ptCount val="10"/>
                <c:pt idx="0">
                  <c:v>0.46341463414634149</c:v>
                </c:pt>
                <c:pt idx="1">
                  <c:v>0.47826086956521741</c:v>
                </c:pt>
              </c:numCache>
            </c:numRef>
          </c:val>
          <c:extLst>
            <c:ext xmlns:c16="http://schemas.microsoft.com/office/drawing/2014/chart" uri="{C3380CC4-5D6E-409C-BE32-E72D297353CC}">
              <c16:uniqueId val="{00000002-DD89-4B65-A418-B88CBAC5719B}"/>
            </c:ext>
          </c:extLst>
        </c:ser>
        <c:ser>
          <c:idx val="3"/>
          <c:order val="3"/>
          <c:tx>
            <c:strRef>
              <c:f>'V4.2.4'!$R$11:$R$12</c:f>
              <c:strCache>
                <c:ptCount val="1"/>
                <c:pt idx="0">
                  <c:v>LSS - Missbruk</c:v>
                </c:pt>
              </c:strCache>
            </c:strRef>
          </c:tx>
          <c:spPr>
            <a:solidFill>
              <a:schemeClr val="accent4"/>
            </a:solidFill>
            <a:ln>
              <a:noFill/>
            </a:ln>
            <a:effectLst/>
          </c:spPr>
          <c:invertIfNegative val="0"/>
          <c:cat>
            <c:strRef>
              <c:f>'V4.2.4'!$N$13:$N$22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'V4.2.4'!$R$13:$R$22</c:f>
              <c:numCache>
                <c:formatCode>0.0%</c:formatCode>
                <c:ptCount val="10"/>
                <c:pt idx="0">
                  <c:v>0.48780487804878048</c:v>
                </c:pt>
                <c:pt idx="1">
                  <c:v>0.36956521739130432</c:v>
                </c:pt>
              </c:numCache>
            </c:numRef>
          </c:val>
          <c:extLst>
            <c:ext xmlns:c16="http://schemas.microsoft.com/office/drawing/2014/chart" uri="{C3380CC4-5D6E-409C-BE32-E72D297353CC}">
              <c16:uniqueId val="{00000003-DD89-4B65-A418-B88CBAC5719B}"/>
            </c:ext>
          </c:extLst>
        </c:ser>
        <c:ser>
          <c:idx val="4"/>
          <c:order val="4"/>
          <c:tx>
            <c:strRef>
              <c:f>'V4.2.4'!$S$11:$S$12</c:f>
              <c:strCache>
                <c:ptCount val="1"/>
                <c:pt idx="0">
                  <c:v>LSS - Socialpsykiatri</c:v>
                </c:pt>
              </c:strCache>
            </c:strRef>
          </c:tx>
          <c:spPr>
            <a:solidFill>
              <a:schemeClr val="accent5"/>
            </a:solidFill>
            <a:ln>
              <a:noFill/>
            </a:ln>
            <a:effectLst/>
          </c:spPr>
          <c:invertIfNegative val="0"/>
          <c:cat>
            <c:strRef>
              <c:f>'V4.2.4'!$N$13:$N$22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'V4.2.4'!$S$13:$S$22</c:f>
              <c:numCache>
                <c:formatCode>0.0%</c:formatCode>
                <c:ptCount val="10"/>
                <c:pt idx="0">
                  <c:v>0.53658536585365857</c:v>
                </c:pt>
                <c:pt idx="1">
                  <c:v>0.47826086956521741</c:v>
                </c:pt>
              </c:numCache>
            </c:numRef>
          </c:val>
          <c:extLst>
            <c:ext xmlns:c16="http://schemas.microsoft.com/office/drawing/2014/chart" uri="{C3380CC4-5D6E-409C-BE32-E72D297353CC}">
              <c16:uniqueId val="{00000004-DD89-4B65-A418-B88CBAC5719B}"/>
            </c:ext>
          </c:extLst>
        </c:ser>
        <c:ser>
          <c:idx val="5"/>
          <c:order val="5"/>
          <c:tx>
            <c:strRef>
              <c:f>'V4.2.4'!$T$11:$T$12</c:f>
              <c:strCache>
                <c:ptCount val="1"/>
                <c:pt idx="0">
                  <c:v>Missbruk - Socialpsykiatri</c:v>
                </c:pt>
              </c:strCache>
            </c:strRef>
          </c:tx>
          <c:spPr>
            <a:solidFill>
              <a:schemeClr val="accent6"/>
            </a:solidFill>
            <a:ln>
              <a:noFill/>
            </a:ln>
            <a:effectLst/>
          </c:spPr>
          <c:invertIfNegative val="0"/>
          <c:cat>
            <c:strRef>
              <c:f>'V4.2.4'!$N$13:$N$22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'V4.2.4'!$T$13:$T$22</c:f>
              <c:numCache>
                <c:formatCode>0.0%</c:formatCode>
                <c:ptCount val="10"/>
                <c:pt idx="0">
                  <c:v>0.68292682926829273</c:v>
                </c:pt>
                <c:pt idx="1">
                  <c:v>0.60869565217391308</c:v>
                </c:pt>
              </c:numCache>
            </c:numRef>
          </c:val>
          <c:extLst>
            <c:ext xmlns:c16="http://schemas.microsoft.com/office/drawing/2014/chart" uri="{C3380CC4-5D6E-409C-BE32-E72D297353CC}">
              <c16:uniqueId val="{00000005-DD89-4B65-A418-B88CBAC5719B}"/>
            </c:ext>
          </c:extLst>
        </c:ser>
        <c:dLbls>
          <c:showLegendKey val="0"/>
          <c:showVal val="0"/>
          <c:showCatName val="0"/>
          <c:showSerName val="0"/>
          <c:showPercent val="0"/>
          <c:showBubbleSize val="0"/>
        </c:dLbls>
        <c:gapWidth val="219"/>
        <c:overlap val="-27"/>
        <c:axId val="319344640"/>
        <c:axId val="319346176"/>
      </c:barChart>
      <c:catAx>
        <c:axId val="31934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46176"/>
        <c:crosses val="autoZero"/>
        <c:auto val="1"/>
        <c:lblAlgn val="ctr"/>
        <c:lblOffset val="100"/>
        <c:noMultiLvlLbl val="0"/>
      </c:catAx>
      <c:valAx>
        <c:axId val="319346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44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v2.xlsx]V5.1.1!PivotTable14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Standardiserade bedömningsmetoder inom socialtjänstens missbruk- och beroendeverksamhet som underlag vid uppföljning av insatser till enskilda </a:t>
            </a:r>
            <a:endParaRPr lang="sv-SE" b="0" i="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s>
    <c:plotArea>
      <c:layout/>
      <c:barChart>
        <c:barDir val="col"/>
        <c:grouping val="stacked"/>
        <c:varyColors val="0"/>
        <c:ser>
          <c:idx val="0"/>
          <c:order val="0"/>
          <c:tx>
            <c:strRef>
              <c:f>'V5.1.1'!$O$11:$O$12</c:f>
              <c:strCache>
                <c:ptCount val="1"/>
                <c:pt idx="0">
                  <c:v>Ja, för alla</c:v>
                </c:pt>
              </c:strCache>
            </c:strRef>
          </c:tx>
          <c:spPr>
            <a:solidFill>
              <a:schemeClr val="accent1"/>
            </a:solidFill>
            <a:ln>
              <a:noFill/>
            </a:ln>
            <a:effectLst/>
          </c:spPr>
          <c:invertIfNegative val="0"/>
          <c:cat>
            <c:strRef>
              <c:f>'V5.1.1'!$N$13:$N$21</c:f>
              <c:strCache>
                <c:ptCount val="9"/>
                <c:pt idx="0">
                  <c:v>2017</c:v>
                </c:pt>
                <c:pt idx="1">
                  <c:v>2018</c:v>
                </c:pt>
                <c:pt idx="2">
                  <c:v>2019</c:v>
                </c:pt>
                <c:pt idx="3">
                  <c:v>2020</c:v>
                </c:pt>
                <c:pt idx="4">
                  <c:v>2021</c:v>
                </c:pt>
                <c:pt idx="5">
                  <c:v>2022</c:v>
                </c:pt>
                <c:pt idx="6">
                  <c:v>2023</c:v>
                </c:pt>
                <c:pt idx="7">
                  <c:v>2024</c:v>
                </c:pt>
                <c:pt idx="8">
                  <c:v>2025</c:v>
                </c:pt>
              </c:strCache>
            </c:strRef>
          </c:cat>
          <c:val>
            <c:numRef>
              <c:f>'V5.1.1'!$O$13:$O$21</c:f>
              <c:numCache>
                <c:formatCode>0.0%</c:formatCode>
                <c:ptCount val="9"/>
                <c:pt idx="0">
                  <c:v>0.22727272727272727</c:v>
                </c:pt>
              </c:numCache>
            </c:numRef>
          </c:val>
          <c:extLst>
            <c:ext xmlns:c16="http://schemas.microsoft.com/office/drawing/2014/chart" uri="{C3380CC4-5D6E-409C-BE32-E72D297353CC}">
              <c16:uniqueId val="{00000000-3312-4ABD-A9EA-0FDBF8CC4617}"/>
            </c:ext>
          </c:extLst>
        </c:ser>
        <c:ser>
          <c:idx val="1"/>
          <c:order val="1"/>
          <c:tx>
            <c:strRef>
              <c:f>'V5.1.1'!$P$11:$P$12</c:f>
              <c:strCache>
                <c:ptCount val="1"/>
                <c:pt idx="0">
                  <c:v>Ja, men inte för vissa</c:v>
                </c:pt>
              </c:strCache>
            </c:strRef>
          </c:tx>
          <c:spPr>
            <a:solidFill>
              <a:schemeClr val="accent2"/>
            </a:solidFill>
            <a:ln>
              <a:noFill/>
            </a:ln>
            <a:effectLst/>
          </c:spPr>
          <c:invertIfNegative val="0"/>
          <c:cat>
            <c:strRef>
              <c:f>'V5.1.1'!$N$13:$N$21</c:f>
              <c:strCache>
                <c:ptCount val="9"/>
                <c:pt idx="0">
                  <c:v>2017</c:v>
                </c:pt>
                <c:pt idx="1">
                  <c:v>2018</c:v>
                </c:pt>
                <c:pt idx="2">
                  <c:v>2019</c:v>
                </c:pt>
                <c:pt idx="3">
                  <c:v>2020</c:v>
                </c:pt>
                <c:pt idx="4">
                  <c:v>2021</c:v>
                </c:pt>
                <c:pt idx="5">
                  <c:v>2022</c:v>
                </c:pt>
                <c:pt idx="6">
                  <c:v>2023</c:v>
                </c:pt>
                <c:pt idx="7">
                  <c:v>2024</c:v>
                </c:pt>
                <c:pt idx="8">
                  <c:v>2025</c:v>
                </c:pt>
              </c:strCache>
            </c:strRef>
          </c:cat>
          <c:val>
            <c:numRef>
              <c:f>'V5.1.1'!$P$13:$P$21</c:f>
              <c:numCache>
                <c:formatCode>0.0%</c:formatCode>
                <c:ptCount val="9"/>
                <c:pt idx="0">
                  <c:v>0.59090909090909094</c:v>
                </c:pt>
              </c:numCache>
            </c:numRef>
          </c:val>
          <c:extLst>
            <c:ext xmlns:c16="http://schemas.microsoft.com/office/drawing/2014/chart" uri="{C3380CC4-5D6E-409C-BE32-E72D297353CC}">
              <c16:uniqueId val="{00000002-3312-4ABD-A9EA-0FDBF8CC4617}"/>
            </c:ext>
          </c:extLst>
        </c:ser>
        <c:dLbls>
          <c:showLegendKey val="0"/>
          <c:showVal val="0"/>
          <c:showCatName val="0"/>
          <c:showSerName val="0"/>
          <c:showPercent val="0"/>
          <c:showBubbleSize val="0"/>
        </c:dLbls>
        <c:gapWidth val="219"/>
        <c:overlap val="100"/>
        <c:axId val="1316362623"/>
        <c:axId val="1496662207"/>
      </c:barChart>
      <c:catAx>
        <c:axId val="1316362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496662207"/>
        <c:crosses val="autoZero"/>
        <c:auto val="1"/>
        <c:lblAlgn val="ctr"/>
        <c:lblOffset val="100"/>
        <c:noMultiLvlLbl val="0"/>
      </c:catAx>
      <c:valAx>
        <c:axId val="14966622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31636262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v2.xlsx]V5.1.2!PivotTable8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Standardiserade bedömningsmetoder för att upptäcka riskfylld alkoholkonsumtion inom a) LSS-vuxna b) socialpsykiatri c) ekonomiskt bistånd d) äldreomsorg</a:t>
            </a:r>
            <a:endParaRPr lang="sv-SE" b="0" i="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s>
    <c:plotArea>
      <c:layout/>
      <c:barChart>
        <c:barDir val="col"/>
        <c:grouping val="clustered"/>
        <c:varyColors val="0"/>
        <c:ser>
          <c:idx val="0"/>
          <c:order val="0"/>
          <c:tx>
            <c:strRef>
              <c:f>'V5.1.2'!$O$11:$O$12</c:f>
              <c:strCache>
                <c:ptCount val="1"/>
                <c:pt idx="0">
                  <c:v>Ekonomiskt bistånd</c:v>
                </c:pt>
              </c:strCache>
            </c:strRef>
          </c:tx>
          <c:spPr>
            <a:solidFill>
              <a:schemeClr val="accent1"/>
            </a:solidFill>
            <a:ln>
              <a:noFill/>
            </a:ln>
            <a:effectLst/>
          </c:spPr>
          <c:invertIfNegative val="0"/>
          <c:cat>
            <c:strRef>
              <c:f>'V5.1.2'!$N$13:$N$21</c:f>
              <c:strCache>
                <c:ptCount val="9"/>
                <c:pt idx="0">
                  <c:v>2017</c:v>
                </c:pt>
                <c:pt idx="1">
                  <c:v>2018</c:v>
                </c:pt>
                <c:pt idx="2">
                  <c:v>2019</c:v>
                </c:pt>
                <c:pt idx="3">
                  <c:v>2020</c:v>
                </c:pt>
                <c:pt idx="4">
                  <c:v>2021</c:v>
                </c:pt>
                <c:pt idx="5">
                  <c:v>2022</c:v>
                </c:pt>
                <c:pt idx="6">
                  <c:v>2023</c:v>
                </c:pt>
                <c:pt idx="7">
                  <c:v>2024</c:v>
                </c:pt>
                <c:pt idx="8">
                  <c:v>2025</c:v>
                </c:pt>
              </c:strCache>
            </c:strRef>
          </c:cat>
          <c:val>
            <c:numRef>
              <c:f>'V5.1.2'!$O$13:$O$21</c:f>
              <c:numCache>
                <c:formatCode>0.0%</c:formatCode>
                <c:ptCount val="9"/>
                <c:pt idx="0">
                  <c:v>0.5</c:v>
                </c:pt>
              </c:numCache>
            </c:numRef>
          </c:val>
          <c:extLst>
            <c:ext xmlns:c16="http://schemas.microsoft.com/office/drawing/2014/chart" uri="{C3380CC4-5D6E-409C-BE32-E72D297353CC}">
              <c16:uniqueId val="{00000000-687A-4F86-8BA4-A90D9C8E23AD}"/>
            </c:ext>
          </c:extLst>
        </c:ser>
        <c:ser>
          <c:idx val="1"/>
          <c:order val="1"/>
          <c:tx>
            <c:strRef>
              <c:f>'V5.1.2'!$P$11:$P$12</c:f>
              <c:strCache>
                <c:ptCount val="1"/>
                <c:pt idx="0">
                  <c:v>LSS - vuxna</c:v>
                </c:pt>
              </c:strCache>
            </c:strRef>
          </c:tx>
          <c:spPr>
            <a:solidFill>
              <a:schemeClr val="accent2"/>
            </a:solidFill>
            <a:ln>
              <a:noFill/>
            </a:ln>
            <a:effectLst/>
          </c:spPr>
          <c:invertIfNegative val="0"/>
          <c:cat>
            <c:strRef>
              <c:f>'V5.1.2'!$N$13:$N$21</c:f>
              <c:strCache>
                <c:ptCount val="9"/>
                <c:pt idx="0">
                  <c:v>2017</c:v>
                </c:pt>
                <c:pt idx="1">
                  <c:v>2018</c:v>
                </c:pt>
                <c:pt idx="2">
                  <c:v>2019</c:v>
                </c:pt>
                <c:pt idx="3">
                  <c:v>2020</c:v>
                </c:pt>
                <c:pt idx="4">
                  <c:v>2021</c:v>
                </c:pt>
                <c:pt idx="5">
                  <c:v>2022</c:v>
                </c:pt>
                <c:pt idx="6">
                  <c:v>2023</c:v>
                </c:pt>
                <c:pt idx="7">
                  <c:v>2024</c:v>
                </c:pt>
                <c:pt idx="8">
                  <c:v>2025</c:v>
                </c:pt>
              </c:strCache>
            </c:strRef>
          </c:cat>
          <c:val>
            <c:numRef>
              <c:f>'V5.1.2'!$P$13:$P$21</c:f>
              <c:numCache>
                <c:formatCode>0.0%</c:formatCode>
                <c:ptCount val="9"/>
                <c:pt idx="0">
                  <c:v>4.1666666666666664E-2</c:v>
                </c:pt>
              </c:numCache>
            </c:numRef>
          </c:val>
          <c:extLst>
            <c:ext xmlns:c16="http://schemas.microsoft.com/office/drawing/2014/chart" uri="{C3380CC4-5D6E-409C-BE32-E72D297353CC}">
              <c16:uniqueId val="{00000001-687A-4F86-8BA4-A90D9C8E23AD}"/>
            </c:ext>
          </c:extLst>
        </c:ser>
        <c:ser>
          <c:idx val="2"/>
          <c:order val="2"/>
          <c:tx>
            <c:strRef>
              <c:f>'V5.1.2'!$Q$11:$Q$12</c:f>
              <c:strCache>
                <c:ptCount val="1"/>
                <c:pt idx="0">
                  <c:v>Socialpsikiatri</c:v>
                </c:pt>
              </c:strCache>
            </c:strRef>
          </c:tx>
          <c:spPr>
            <a:solidFill>
              <a:schemeClr val="accent3"/>
            </a:solidFill>
            <a:ln>
              <a:noFill/>
            </a:ln>
            <a:effectLst/>
          </c:spPr>
          <c:invertIfNegative val="0"/>
          <c:cat>
            <c:strRef>
              <c:f>'V5.1.2'!$N$13:$N$21</c:f>
              <c:strCache>
                <c:ptCount val="9"/>
                <c:pt idx="0">
                  <c:v>2017</c:v>
                </c:pt>
                <c:pt idx="1">
                  <c:v>2018</c:v>
                </c:pt>
                <c:pt idx="2">
                  <c:v>2019</c:v>
                </c:pt>
                <c:pt idx="3">
                  <c:v>2020</c:v>
                </c:pt>
                <c:pt idx="4">
                  <c:v>2021</c:v>
                </c:pt>
                <c:pt idx="5">
                  <c:v>2022</c:v>
                </c:pt>
                <c:pt idx="6">
                  <c:v>2023</c:v>
                </c:pt>
                <c:pt idx="7">
                  <c:v>2024</c:v>
                </c:pt>
                <c:pt idx="8">
                  <c:v>2025</c:v>
                </c:pt>
              </c:strCache>
            </c:strRef>
          </c:cat>
          <c:val>
            <c:numRef>
              <c:f>'V5.1.2'!$Q$13:$Q$21</c:f>
              <c:numCache>
                <c:formatCode>0.0%</c:formatCode>
                <c:ptCount val="9"/>
                <c:pt idx="0">
                  <c:v>0.35555555555555557</c:v>
                </c:pt>
              </c:numCache>
            </c:numRef>
          </c:val>
          <c:extLst>
            <c:ext xmlns:c16="http://schemas.microsoft.com/office/drawing/2014/chart" uri="{C3380CC4-5D6E-409C-BE32-E72D297353CC}">
              <c16:uniqueId val="{00000002-687A-4F86-8BA4-A90D9C8E23AD}"/>
            </c:ext>
          </c:extLst>
        </c:ser>
        <c:ser>
          <c:idx val="3"/>
          <c:order val="3"/>
          <c:tx>
            <c:strRef>
              <c:f>'V5.1.2'!$R$11:$R$12</c:f>
              <c:strCache>
                <c:ptCount val="1"/>
                <c:pt idx="0">
                  <c:v>Äldreomsorg</c:v>
                </c:pt>
              </c:strCache>
            </c:strRef>
          </c:tx>
          <c:spPr>
            <a:solidFill>
              <a:schemeClr val="accent4"/>
            </a:solidFill>
            <a:ln>
              <a:noFill/>
            </a:ln>
            <a:effectLst/>
          </c:spPr>
          <c:invertIfNegative val="0"/>
          <c:cat>
            <c:strRef>
              <c:f>'V5.1.2'!$N$13:$N$21</c:f>
              <c:strCache>
                <c:ptCount val="9"/>
                <c:pt idx="0">
                  <c:v>2017</c:v>
                </c:pt>
                <c:pt idx="1">
                  <c:v>2018</c:v>
                </c:pt>
                <c:pt idx="2">
                  <c:v>2019</c:v>
                </c:pt>
                <c:pt idx="3">
                  <c:v>2020</c:v>
                </c:pt>
                <c:pt idx="4">
                  <c:v>2021</c:v>
                </c:pt>
                <c:pt idx="5">
                  <c:v>2022</c:v>
                </c:pt>
                <c:pt idx="6">
                  <c:v>2023</c:v>
                </c:pt>
                <c:pt idx="7">
                  <c:v>2024</c:v>
                </c:pt>
                <c:pt idx="8">
                  <c:v>2025</c:v>
                </c:pt>
              </c:strCache>
            </c:strRef>
          </c:cat>
          <c:val>
            <c:numRef>
              <c:f>'V5.1.2'!$R$13:$R$21</c:f>
              <c:numCache>
                <c:formatCode>0.0%</c:formatCode>
                <c:ptCount val="9"/>
                <c:pt idx="0">
                  <c:v>6.6666666666666666E-2</c:v>
                </c:pt>
              </c:numCache>
            </c:numRef>
          </c:val>
          <c:extLst>
            <c:ext xmlns:c16="http://schemas.microsoft.com/office/drawing/2014/chart" uri="{C3380CC4-5D6E-409C-BE32-E72D297353CC}">
              <c16:uniqueId val="{00000003-687A-4F86-8BA4-A90D9C8E23AD}"/>
            </c:ext>
          </c:extLst>
        </c:ser>
        <c:dLbls>
          <c:showLegendKey val="0"/>
          <c:showVal val="0"/>
          <c:showCatName val="0"/>
          <c:showSerName val="0"/>
          <c:showPercent val="0"/>
          <c:showBubbleSize val="0"/>
        </c:dLbls>
        <c:gapWidth val="219"/>
        <c:overlap val="-27"/>
        <c:axId val="1502981999"/>
        <c:axId val="1622998911"/>
      </c:barChart>
      <c:catAx>
        <c:axId val="1502981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22998911"/>
        <c:crosses val="autoZero"/>
        <c:auto val="1"/>
        <c:lblAlgn val="ctr"/>
        <c:lblOffset val="100"/>
        <c:noMultiLvlLbl val="0"/>
      </c:catAx>
      <c:valAx>
        <c:axId val="16229989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502981999"/>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v2.xlsx]V5.1.3!PivotTable10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Standardiserade bedömningsmetoder för att upptäcka drogrelaterade problem inom a) LSS-vuxna b) socialpsykiatri c) ekonomiskt bistånd d) äldreomsorg </a:t>
            </a:r>
            <a:endParaRPr lang="sv-SE" b="0" i="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s>
    <c:plotArea>
      <c:layout/>
      <c:barChart>
        <c:barDir val="col"/>
        <c:grouping val="clustered"/>
        <c:varyColors val="0"/>
        <c:ser>
          <c:idx val="0"/>
          <c:order val="0"/>
          <c:tx>
            <c:strRef>
              <c:f>'V5.1.3'!$O$11:$O$12</c:f>
              <c:strCache>
                <c:ptCount val="1"/>
                <c:pt idx="0">
                  <c:v>Ekonomiskt bistånd</c:v>
                </c:pt>
              </c:strCache>
            </c:strRef>
          </c:tx>
          <c:spPr>
            <a:solidFill>
              <a:schemeClr val="accent1"/>
            </a:solidFill>
            <a:ln>
              <a:noFill/>
            </a:ln>
            <a:effectLst/>
          </c:spPr>
          <c:invertIfNegative val="0"/>
          <c:cat>
            <c:strRef>
              <c:f>'V5.1.3'!$N$13:$N$21</c:f>
              <c:strCache>
                <c:ptCount val="9"/>
                <c:pt idx="0">
                  <c:v>2017</c:v>
                </c:pt>
                <c:pt idx="1">
                  <c:v>2018</c:v>
                </c:pt>
                <c:pt idx="2">
                  <c:v>2019</c:v>
                </c:pt>
                <c:pt idx="3">
                  <c:v>2020</c:v>
                </c:pt>
                <c:pt idx="4">
                  <c:v>2021</c:v>
                </c:pt>
                <c:pt idx="5">
                  <c:v>2022</c:v>
                </c:pt>
                <c:pt idx="6">
                  <c:v>2023</c:v>
                </c:pt>
                <c:pt idx="7">
                  <c:v>2024</c:v>
                </c:pt>
                <c:pt idx="8">
                  <c:v>2025</c:v>
                </c:pt>
              </c:strCache>
            </c:strRef>
          </c:cat>
          <c:val>
            <c:numRef>
              <c:f>'V5.1.3'!$O$13:$O$21</c:f>
              <c:numCache>
                <c:formatCode>0.0%</c:formatCode>
                <c:ptCount val="9"/>
                <c:pt idx="0">
                  <c:v>0.30434782608695654</c:v>
                </c:pt>
              </c:numCache>
            </c:numRef>
          </c:val>
          <c:extLst>
            <c:ext xmlns:c16="http://schemas.microsoft.com/office/drawing/2014/chart" uri="{C3380CC4-5D6E-409C-BE32-E72D297353CC}">
              <c16:uniqueId val="{00000000-823B-4548-BE0E-F9F51B701B3D}"/>
            </c:ext>
          </c:extLst>
        </c:ser>
        <c:ser>
          <c:idx val="1"/>
          <c:order val="1"/>
          <c:tx>
            <c:strRef>
              <c:f>'V5.1.3'!$P$11:$P$12</c:f>
              <c:strCache>
                <c:ptCount val="1"/>
                <c:pt idx="0">
                  <c:v>LSS - vuxna</c:v>
                </c:pt>
              </c:strCache>
            </c:strRef>
          </c:tx>
          <c:spPr>
            <a:solidFill>
              <a:schemeClr val="accent2"/>
            </a:solidFill>
            <a:ln>
              <a:noFill/>
            </a:ln>
            <a:effectLst/>
          </c:spPr>
          <c:invertIfNegative val="0"/>
          <c:cat>
            <c:strRef>
              <c:f>'V5.1.3'!$N$13:$N$21</c:f>
              <c:strCache>
                <c:ptCount val="9"/>
                <c:pt idx="0">
                  <c:v>2017</c:v>
                </c:pt>
                <c:pt idx="1">
                  <c:v>2018</c:v>
                </c:pt>
                <c:pt idx="2">
                  <c:v>2019</c:v>
                </c:pt>
                <c:pt idx="3">
                  <c:v>2020</c:v>
                </c:pt>
                <c:pt idx="4">
                  <c:v>2021</c:v>
                </c:pt>
                <c:pt idx="5">
                  <c:v>2022</c:v>
                </c:pt>
                <c:pt idx="6">
                  <c:v>2023</c:v>
                </c:pt>
                <c:pt idx="7">
                  <c:v>2024</c:v>
                </c:pt>
                <c:pt idx="8">
                  <c:v>2025</c:v>
                </c:pt>
              </c:strCache>
            </c:strRef>
          </c:cat>
          <c:val>
            <c:numRef>
              <c:f>'V5.1.3'!$P$13:$P$21</c:f>
              <c:numCache>
                <c:formatCode>0.0%</c:formatCode>
                <c:ptCount val="9"/>
                <c:pt idx="0">
                  <c:v>2.0833333333333332E-2</c:v>
                </c:pt>
              </c:numCache>
            </c:numRef>
          </c:val>
          <c:extLst>
            <c:ext xmlns:c16="http://schemas.microsoft.com/office/drawing/2014/chart" uri="{C3380CC4-5D6E-409C-BE32-E72D297353CC}">
              <c16:uniqueId val="{00000001-823B-4548-BE0E-F9F51B701B3D}"/>
            </c:ext>
          </c:extLst>
        </c:ser>
        <c:ser>
          <c:idx val="2"/>
          <c:order val="2"/>
          <c:tx>
            <c:strRef>
              <c:f>'V5.1.3'!$Q$11:$Q$12</c:f>
              <c:strCache>
                <c:ptCount val="1"/>
                <c:pt idx="0">
                  <c:v>Socialpsikiatri</c:v>
                </c:pt>
              </c:strCache>
            </c:strRef>
          </c:tx>
          <c:spPr>
            <a:solidFill>
              <a:schemeClr val="accent3"/>
            </a:solidFill>
            <a:ln>
              <a:noFill/>
            </a:ln>
            <a:effectLst/>
          </c:spPr>
          <c:invertIfNegative val="0"/>
          <c:cat>
            <c:strRef>
              <c:f>'V5.1.3'!$N$13:$N$21</c:f>
              <c:strCache>
                <c:ptCount val="9"/>
                <c:pt idx="0">
                  <c:v>2017</c:v>
                </c:pt>
                <c:pt idx="1">
                  <c:v>2018</c:v>
                </c:pt>
                <c:pt idx="2">
                  <c:v>2019</c:v>
                </c:pt>
                <c:pt idx="3">
                  <c:v>2020</c:v>
                </c:pt>
                <c:pt idx="4">
                  <c:v>2021</c:v>
                </c:pt>
                <c:pt idx="5">
                  <c:v>2022</c:v>
                </c:pt>
                <c:pt idx="6">
                  <c:v>2023</c:v>
                </c:pt>
                <c:pt idx="7">
                  <c:v>2024</c:v>
                </c:pt>
                <c:pt idx="8">
                  <c:v>2025</c:v>
                </c:pt>
              </c:strCache>
            </c:strRef>
          </c:cat>
          <c:val>
            <c:numRef>
              <c:f>'V5.1.3'!$Q$13:$Q$21</c:f>
              <c:numCache>
                <c:formatCode>0.0%</c:formatCode>
                <c:ptCount val="9"/>
                <c:pt idx="0">
                  <c:v>0.31111111111111112</c:v>
                </c:pt>
              </c:numCache>
            </c:numRef>
          </c:val>
          <c:extLst>
            <c:ext xmlns:c16="http://schemas.microsoft.com/office/drawing/2014/chart" uri="{C3380CC4-5D6E-409C-BE32-E72D297353CC}">
              <c16:uniqueId val="{00000002-823B-4548-BE0E-F9F51B701B3D}"/>
            </c:ext>
          </c:extLst>
        </c:ser>
        <c:ser>
          <c:idx val="3"/>
          <c:order val="3"/>
          <c:tx>
            <c:strRef>
              <c:f>'V5.1.3'!$R$11:$R$12</c:f>
              <c:strCache>
                <c:ptCount val="1"/>
                <c:pt idx="0">
                  <c:v>Äldreomsorg</c:v>
                </c:pt>
              </c:strCache>
            </c:strRef>
          </c:tx>
          <c:spPr>
            <a:solidFill>
              <a:schemeClr val="accent4"/>
            </a:solidFill>
            <a:ln>
              <a:noFill/>
            </a:ln>
            <a:effectLst/>
          </c:spPr>
          <c:invertIfNegative val="0"/>
          <c:cat>
            <c:strRef>
              <c:f>'V5.1.3'!$N$13:$N$21</c:f>
              <c:strCache>
                <c:ptCount val="9"/>
                <c:pt idx="0">
                  <c:v>2017</c:v>
                </c:pt>
                <c:pt idx="1">
                  <c:v>2018</c:v>
                </c:pt>
                <c:pt idx="2">
                  <c:v>2019</c:v>
                </c:pt>
                <c:pt idx="3">
                  <c:v>2020</c:v>
                </c:pt>
                <c:pt idx="4">
                  <c:v>2021</c:v>
                </c:pt>
                <c:pt idx="5">
                  <c:v>2022</c:v>
                </c:pt>
                <c:pt idx="6">
                  <c:v>2023</c:v>
                </c:pt>
                <c:pt idx="7">
                  <c:v>2024</c:v>
                </c:pt>
                <c:pt idx="8">
                  <c:v>2025</c:v>
                </c:pt>
              </c:strCache>
            </c:strRef>
          </c:cat>
          <c:val>
            <c:numRef>
              <c:f>'V5.1.3'!$R$13:$R$21</c:f>
              <c:numCache>
                <c:formatCode>0.0%</c:formatCode>
                <c:ptCount val="9"/>
                <c:pt idx="0">
                  <c:v>2.2222222222222223E-2</c:v>
                </c:pt>
              </c:numCache>
            </c:numRef>
          </c:val>
          <c:extLst>
            <c:ext xmlns:c16="http://schemas.microsoft.com/office/drawing/2014/chart" uri="{C3380CC4-5D6E-409C-BE32-E72D297353CC}">
              <c16:uniqueId val="{00000003-823B-4548-BE0E-F9F51B701B3D}"/>
            </c:ext>
          </c:extLst>
        </c:ser>
        <c:dLbls>
          <c:showLegendKey val="0"/>
          <c:showVal val="0"/>
          <c:showCatName val="0"/>
          <c:showSerName val="0"/>
          <c:showPercent val="0"/>
          <c:showBubbleSize val="0"/>
        </c:dLbls>
        <c:gapWidth val="219"/>
        <c:overlap val="-27"/>
        <c:axId val="1496639151"/>
        <c:axId val="1625781007"/>
      </c:barChart>
      <c:catAx>
        <c:axId val="1496639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25781007"/>
        <c:crosses val="autoZero"/>
        <c:auto val="1"/>
        <c:lblAlgn val="ctr"/>
        <c:lblOffset val="100"/>
        <c:noMultiLvlLbl val="0"/>
      </c:catAx>
      <c:valAx>
        <c:axId val="1625781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496639151"/>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v2.xlsx]B1.1.1!PivotTable40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Manualbaserad insats för föräldrastöd i grupp finns inom sociala barn- och ungdomsvården </a:t>
            </a:r>
            <a:endParaRPr lang="en-US" b="0" i="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s>
    <c:plotArea>
      <c:layout/>
      <c:barChart>
        <c:barDir val="col"/>
        <c:grouping val="clustered"/>
        <c:varyColors val="0"/>
        <c:ser>
          <c:idx val="0"/>
          <c:order val="0"/>
          <c:tx>
            <c:strRef>
              <c:f>'B1.1.1'!$O$11:$O$12</c:f>
              <c:strCache>
                <c:ptCount val="1"/>
                <c:pt idx="0">
                  <c:v>Manualbaserad föräldrastöd</c:v>
                </c:pt>
              </c:strCache>
            </c:strRef>
          </c:tx>
          <c:spPr>
            <a:solidFill>
              <a:schemeClr val="accent1"/>
            </a:solidFill>
            <a:ln>
              <a:noFill/>
            </a:ln>
            <a:effectLst/>
          </c:spPr>
          <c:invertIfNegative val="0"/>
          <c:cat>
            <c:strRef>
              <c:f>'B1.1.1'!$N$13:$N$22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'B1.1.1'!$O$13:$O$22</c:f>
              <c:numCache>
                <c:formatCode>0.0%</c:formatCode>
                <c:ptCount val="10"/>
                <c:pt idx="0">
                  <c:v>0.5</c:v>
                </c:pt>
                <c:pt idx="1">
                  <c:v>0.51111111111111107</c:v>
                </c:pt>
              </c:numCache>
            </c:numRef>
          </c:val>
          <c:extLst>
            <c:ext xmlns:c16="http://schemas.microsoft.com/office/drawing/2014/chart" uri="{C3380CC4-5D6E-409C-BE32-E72D297353CC}">
              <c16:uniqueId val="{00000000-18A2-4F1C-A47F-75AA26AC8D5D}"/>
            </c:ext>
          </c:extLst>
        </c:ser>
        <c:dLbls>
          <c:showLegendKey val="0"/>
          <c:showVal val="0"/>
          <c:showCatName val="0"/>
          <c:showSerName val="0"/>
          <c:showPercent val="0"/>
          <c:showBubbleSize val="0"/>
        </c:dLbls>
        <c:gapWidth val="219"/>
        <c:overlap val="-27"/>
        <c:axId val="319865216"/>
        <c:axId val="319866752"/>
      </c:barChart>
      <c:catAx>
        <c:axId val="31986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866752"/>
        <c:crosses val="autoZero"/>
        <c:auto val="1"/>
        <c:lblAlgn val="ctr"/>
        <c:lblOffset val="100"/>
        <c:noMultiLvlLbl val="0"/>
      </c:catAx>
      <c:valAx>
        <c:axId val="3198667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865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v2.xlsx]B1.1.2!PivotTable42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Manualbaserad insats för föräldrastöd i grupp finns inom sociala barn- och ungdomsvården </a:t>
            </a:r>
            <a:endParaRPr lang="sv-SE" b="0" i="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col"/>
        <c:grouping val="clustered"/>
        <c:varyColors val="0"/>
        <c:ser>
          <c:idx val="0"/>
          <c:order val="0"/>
          <c:tx>
            <c:strRef>
              <c:f>'B1.1.2'!$O$11:$O$12</c:f>
              <c:strCache>
                <c:ptCount val="1"/>
                <c:pt idx="0">
                  <c:v>Standardiserade bedömningsmetoder</c:v>
                </c:pt>
              </c:strCache>
            </c:strRef>
          </c:tx>
          <c:spPr>
            <a:solidFill>
              <a:schemeClr val="accent1"/>
            </a:solidFill>
            <a:ln>
              <a:noFill/>
            </a:ln>
            <a:effectLst/>
          </c:spPr>
          <c:invertIfNegative val="0"/>
          <c:cat>
            <c:strRef>
              <c:f>'B1.1.2'!$N$13:$N$22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'B1.1.2'!$O$13:$O$22</c:f>
              <c:numCache>
                <c:formatCode>0.0%</c:formatCode>
                <c:ptCount val="10"/>
                <c:pt idx="0">
                  <c:v>0.125</c:v>
                </c:pt>
                <c:pt idx="1">
                  <c:v>0</c:v>
                </c:pt>
              </c:numCache>
            </c:numRef>
          </c:val>
          <c:extLst>
            <c:ext xmlns:c16="http://schemas.microsoft.com/office/drawing/2014/chart" uri="{C3380CC4-5D6E-409C-BE32-E72D297353CC}">
              <c16:uniqueId val="{00000000-8938-4CF9-9752-6A5301BE6850}"/>
            </c:ext>
          </c:extLst>
        </c:ser>
        <c:dLbls>
          <c:showLegendKey val="0"/>
          <c:showVal val="0"/>
          <c:showCatName val="0"/>
          <c:showSerName val="0"/>
          <c:showPercent val="0"/>
          <c:showBubbleSize val="0"/>
        </c:dLbls>
        <c:gapWidth val="219"/>
        <c:overlap val="-27"/>
        <c:axId val="319663488"/>
        <c:axId val="319669376"/>
      </c:barChart>
      <c:catAx>
        <c:axId val="31966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669376"/>
        <c:crosses val="autoZero"/>
        <c:auto val="1"/>
        <c:lblAlgn val="ctr"/>
        <c:lblOffset val="100"/>
        <c:noMultiLvlLbl val="0"/>
      </c:catAx>
      <c:valAx>
        <c:axId val="3196693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6634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v2.xlsx]B1.2.1!PivotTable46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Andel elever som fullföljt gymnasieutbildningen med examen inom tre år</a:t>
            </a:r>
            <a:r>
              <a:rPr lang="sv-SE">
                <a:solidFill>
                  <a:sysClr val="windowText" lastClr="000000"/>
                </a:solidFill>
                <a:latin typeface="Corbel" panose="020B0503020204020204" pitchFamily="34" charset="0"/>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col"/>
        <c:grouping val="clustered"/>
        <c:varyColors val="0"/>
        <c:ser>
          <c:idx val="0"/>
          <c:order val="0"/>
          <c:tx>
            <c:strRef>
              <c:f>'B1.2.1'!$O$11:$O$12</c:f>
              <c:strCache>
                <c:ptCount val="1"/>
                <c:pt idx="0">
                  <c:v>Ej fullföljd utbildning inom 3 år</c:v>
                </c:pt>
              </c:strCache>
            </c:strRef>
          </c:tx>
          <c:spPr>
            <a:solidFill>
              <a:schemeClr val="accent1"/>
            </a:solidFill>
            <a:ln>
              <a:noFill/>
            </a:ln>
            <a:effectLst/>
          </c:spPr>
          <c:invertIfNegative val="0"/>
          <c:cat>
            <c:strRef>
              <c:f>'B1.2.1'!$N$13:$N$24</c:f>
              <c:strCach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strCache>
            </c:strRef>
          </c:cat>
          <c:val>
            <c:numRef>
              <c:f>'B1.2.1'!$O$13:$O$24</c:f>
              <c:numCache>
                <c:formatCode>0.0%</c:formatCode>
                <c:ptCount val="12"/>
                <c:pt idx="0">
                  <c:v>0.64</c:v>
                </c:pt>
                <c:pt idx="1">
                  <c:v>0.66</c:v>
                </c:pt>
                <c:pt idx="2">
                  <c:v>0.66</c:v>
                </c:pt>
              </c:numCache>
            </c:numRef>
          </c:val>
          <c:extLst>
            <c:ext xmlns:c16="http://schemas.microsoft.com/office/drawing/2014/chart" uri="{C3380CC4-5D6E-409C-BE32-E72D297353CC}">
              <c16:uniqueId val="{00000000-D2B5-4EEC-8194-3662621E3441}"/>
            </c:ext>
          </c:extLst>
        </c:ser>
        <c:dLbls>
          <c:showLegendKey val="0"/>
          <c:showVal val="0"/>
          <c:showCatName val="0"/>
          <c:showSerName val="0"/>
          <c:showPercent val="0"/>
          <c:showBubbleSize val="0"/>
        </c:dLbls>
        <c:gapWidth val="219"/>
        <c:overlap val="-27"/>
        <c:axId val="320307584"/>
        <c:axId val="320309120"/>
      </c:barChart>
      <c:catAx>
        <c:axId val="32030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09120"/>
        <c:crosses val="autoZero"/>
        <c:auto val="1"/>
        <c:lblAlgn val="ctr"/>
        <c:lblOffset val="100"/>
        <c:noMultiLvlLbl val="0"/>
      </c:catAx>
      <c:valAx>
        <c:axId val="3203091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075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v2.xlsx]B1.2.2!PivotTable44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0" i="0">
                <a:solidFill>
                  <a:sysClr val="windowText" lastClr="000000"/>
                </a:solidFill>
                <a:latin typeface="Corbel" panose="020B0503020204020204" pitchFamily="34" charset="0"/>
              </a:rPr>
              <a:t> </a:t>
            </a:r>
            <a:r>
              <a:rPr lang="sv-SE" sz="1400" b="0" i="0" u="none" strike="noStrike" baseline="0">
                <a:solidFill>
                  <a:sysClr val="windowText" lastClr="000000"/>
                </a:solidFill>
                <a:effectLst/>
                <a:latin typeface="Corbel" panose="020B0503020204020204" pitchFamily="34" charset="0"/>
              </a:rPr>
              <a:t>Andel elever i årskurs 9 som ej nått kunskapskraven i ett, flera eller alla ämnen</a:t>
            </a:r>
            <a:r>
              <a:rPr lang="sv-SE" sz="1400" b="0" i="0" u="none" strike="noStrike" baseline="0">
                <a:solidFill>
                  <a:sysClr val="windowText" lastClr="000000"/>
                </a:solidFill>
                <a:latin typeface="Corbel" panose="020B0503020204020204" pitchFamily="34" charset="0"/>
              </a:rPr>
              <a:t> </a:t>
            </a:r>
            <a:endParaRPr lang="en-US" b="0" i="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s>
    <c:plotArea>
      <c:layout/>
      <c:barChart>
        <c:barDir val="col"/>
        <c:grouping val="clustered"/>
        <c:varyColors val="0"/>
        <c:ser>
          <c:idx val="0"/>
          <c:order val="0"/>
          <c:tx>
            <c:strRef>
              <c:f>'B1.2.2'!$O$11:$O$12</c:f>
              <c:strCache>
                <c:ptCount val="1"/>
                <c:pt idx="0">
                  <c:v>Ej uppnått kunskapskraven</c:v>
                </c:pt>
              </c:strCache>
            </c:strRef>
          </c:tx>
          <c:spPr>
            <a:solidFill>
              <a:schemeClr val="accent1"/>
            </a:solidFill>
            <a:ln>
              <a:noFill/>
            </a:ln>
            <a:effectLst/>
          </c:spPr>
          <c:invertIfNegative val="0"/>
          <c:cat>
            <c:strRef>
              <c:f>'B1.2.2'!$N$13:$N$28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'B1.2.2'!$O$13:$O$28</c:f>
              <c:numCache>
                <c:formatCode>0.0%</c:formatCode>
                <c:ptCount val="16"/>
                <c:pt idx="0">
                  <c:v>0.24</c:v>
                </c:pt>
                <c:pt idx="1">
                  <c:v>0.23100000000000001</c:v>
                </c:pt>
                <c:pt idx="2">
                  <c:v>0.249</c:v>
                </c:pt>
                <c:pt idx="3">
                  <c:v>0.25600000000000001</c:v>
                </c:pt>
                <c:pt idx="4">
                  <c:v>0.253</c:v>
                </c:pt>
                <c:pt idx="5">
                  <c:v>0.26300000000000001</c:v>
                </c:pt>
              </c:numCache>
            </c:numRef>
          </c:val>
          <c:extLst>
            <c:ext xmlns:c16="http://schemas.microsoft.com/office/drawing/2014/chart" uri="{C3380CC4-5D6E-409C-BE32-E72D297353CC}">
              <c16:uniqueId val="{00000000-3620-4A48-A8B0-5A5CB6942D9D}"/>
            </c:ext>
          </c:extLst>
        </c:ser>
        <c:dLbls>
          <c:showLegendKey val="0"/>
          <c:showVal val="0"/>
          <c:showCatName val="0"/>
          <c:showSerName val="0"/>
          <c:showPercent val="0"/>
          <c:showBubbleSize val="0"/>
        </c:dLbls>
        <c:gapWidth val="219"/>
        <c:overlap val="-27"/>
        <c:axId val="320350848"/>
        <c:axId val="320352640"/>
      </c:barChart>
      <c:catAx>
        <c:axId val="32035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52640"/>
        <c:crosses val="autoZero"/>
        <c:auto val="1"/>
        <c:lblAlgn val="ctr"/>
        <c:lblOffset val="100"/>
        <c:noMultiLvlLbl val="0"/>
      </c:catAx>
      <c:valAx>
        <c:axId val="3203526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508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v2.xlsx]B1.2.3!PivotTable48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Andel elever med indragen studiehjälp på grund av ogiltig frånvaro</a:t>
            </a:r>
            <a:r>
              <a:rPr lang="sv-SE" sz="1400" b="0" i="0" u="none" strike="noStrike" baseline="0">
                <a:solidFill>
                  <a:sysClr val="windowText" lastClr="000000"/>
                </a:solidFill>
                <a:latin typeface="Corbel" panose="020B0503020204020204" pitchFamily="34" charset="0"/>
              </a:rPr>
              <a:t> </a:t>
            </a:r>
            <a:endParaRPr lang="sv-SE" b="0" i="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s>
    <c:plotArea>
      <c:layout/>
      <c:barChart>
        <c:barDir val="col"/>
        <c:grouping val="clustered"/>
        <c:varyColors val="0"/>
        <c:ser>
          <c:idx val="0"/>
          <c:order val="0"/>
          <c:tx>
            <c:strRef>
              <c:f>'B1.2.3'!$O$11:$O$12</c:f>
              <c:strCache>
                <c:ptCount val="1"/>
                <c:pt idx="0">
                  <c:v>Indragen studiehjälp</c:v>
                </c:pt>
              </c:strCache>
            </c:strRef>
          </c:tx>
          <c:spPr>
            <a:solidFill>
              <a:schemeClr val="accent1"/>
            </a:solidFill>
            <a:ln>
              <a:noFill/>
            </a:ln>
            <a:effectLst/>
          </c:spPr>
          <c:invertIfNegative val="0"/>
          <c:cat>
            <c:strRef>
              <c:f>'B1.2.3'!$N$13:$N$25</c:f>
              <c:strCache>
                <c:ptCount val="13"/>
                <c:pt idx="0">
                  <c:v>2013/2014</c:v>
                </c:pt>
                <c:pt idx="1">
                  <c:v>2014/2015</c:v>
                </c:pt>
                <c:pt idx="2">
                  <c:v>2015/2016</c:v>
                </c:pt>
                <c:pt idx="3">
                  <c:v>2016/2017</c:v>
                </c:pt>
                <c:pt idx="4">
                  <c:v>2017/2018</c:v>
                </c:pt>
                <c:pt idx="5">
                  <c:v>2018/2019</c:v>
                </c:pt>
                <c:pt idx="6">
                  <c:v>2019/2020</c:v>
                </c:pt>
                <c:pt idx="7">
                  <c:v>2020/2021</c:v>
                </c:pt>
                <c:pt idx="8">
                  <c:v>2021/2022</c:v>
                </c:pt>
                <c:pt idx="9">
                  <c:v>2022/2023</c:v>
                </c:pt>
                <c:pt idx="10">
                  <c:v>2023/2024</c:v>
                </c:pt>
                <c:pt idx="11">
                  <c:v>2024/2025</c:v>
                </c:pt>
                <c:pt idx="12">
                  <c:v>2025/2026</c:v>
                </c:pt>
              </c:strCache>
            </c:strRef>
          </c:cat>
          <c:val>
            <c:numRef>
              <c:f>'B1.2.3'!$O$13:$O$25</c:f>
              <c:numCache>
                <c:formatCode>0.0%</c:formatCode>
                <c:ptCount val="13"/>
                <c:pt idx="0">
                  <c:v>6.21875E-2</c:v>
                </c:pt>
                <c:pt idx="1">
                  <c:v>7.0619662139000006E-2</c:v>
                </c:pt>
                <c:pt idx="2">
                  <c:v>6.9044595644000006E-2</c:v>
                </c:pt>
              </c:numCache>
            </c:numRef>
          </c:val>
          <c:extLst>
            <c:ext xmlns:c16="http://schemas.microsoft.com/office/drawing/2014/chart" uri="{C3380CC4-5D6E-409C-BE32-E72D297353CC}">
              <c16:uniqueId val="{00000000-81E8-4746-9A9B-4FE5F64415A2}"/>
            </c:ext>
          </c:extLst>
        </c:ser>
        <c:dLbls>
          <c:showLegendKey val="0"/>
          <c:showVal val="0"/>
          <c:showCatName val="0"/>
          <c:showSerName val="0"/>
          <c:showPercent val="0"/>
          <c:showBubbleSize val="0"/>
        </c:dLbls>
        <c:gapWidth val="219"/>
        <c:overlap val="-27"/>
        <c:axId val="320081920"/>
        <c:axId val="320083456"/>
      </c:barChart>
      <c:catAx>
        <c:axId val="32008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83456"/>
        <c:crosses val="autoZero"/>
        <c:auto val="1"/>
        <c:lblAlgn val="ctr"/>
        <c:lblOffset val="100"/>
        <c:noMultiLvlLbl val="0"/>
      </c:catAx>
      <c:valAx>
        <c:axId val="3200834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819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v2.xlsx]B2.1.1!PivotTable13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Antal personer som vårdats inom slutenvård med psykiatrisk diagnos per 100 000 invånare (0-24 år) </a:t>
            </a:r>
            <a:endParaRPr lang="sv-SE" b="0" i="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strRef>
              <c:f>'B2.1.1'!$O$11:$O$12</c:f>
              <c:strCache>
                <c:ptCount val="1"/>
                <c:pt idx="0">
                  <c:v>Båda könen</c:v>
                </c:pt>
              </c:strCache>
            </c:strRef>
          </c:tx>
          <c:spPr>
            <a:solidFill>
              <a:schemeClr val="accent1"/>
            </a:solidFill>
            <a:ln>
              <a:noFill/>
            </a:ln>
            <a:effectLst/>
          </c:spPr>
          <c:invertIfNegative val="0"/>
          <c:cat>
            <c:strRef>
              <c:f>'B2.1.1'!$N$13:$N$28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'B2.1.1'!$O$13:$O$28</c:f>
              <c:numCache>
                <c:formatCode>0</c:formatCode>
                <c:ptCount val="16"/>
                <c:pt idx="0">
                  <c:v>411</c:v>
                </c:pt>
                <c:pt idx="1">
                  <c:v>438</c:v>
                </c:pt>
                <c:pt idx="2">
                  <c:v>423</c:v>
                </c:pt>
                <c:pt idx="3">
                  <c:v>401</c:v>
                </c:pt>
                <c:pt idx="4">
                  <c:v>405</c:v>
                </c:pt>
                <c:pt idx="5">
                  <c:v>435</c:v>
                </c:pt>
              </c:numCache>
            </c:numRef>
          </c:val>
          <c:extLst>
            <c:ext xmlns:c16="http://schemas.microsoft.com/office/drawing/2014/chart" uri="{C3380CC4-5D6E-409C-BE32-E72D297353CC}">
              <c16:uniqueId val="{00000000-2737-40CD-BFF4-4FDF4AF3A208}"/>
            </c:ext>
          </c:extLst>
        </c:ser>
        <c:ser>
          <c:idx val="1"/>
          <c:order val="1"/>
          <c:tx>
            <c:strRef>
              <c:f>'B2.1.1'!$P$11:$P$12</c:f>
              <c:strCache>
                <c:ptCount val="1"/>
                <c:pt idx="0">
                  <c:v>Kvinnor</c:v>
                </c:pt>
              </c:strCache>
            </c:strRef>
          </c:tx>
          <c:spPr>
            <a:solidFill>
              <a:schemeClr val="accent2"/>
            </a:solidFill>
            <a:ln>
              <a:noFill/>
            </a:ln>
            <a:effectLst/>
          </c:spPr>
          <c:invertIfNegative val="0"/>
          <c:cat>
            <c:strRef>
              <c:f>'B2.1.1'!$N$13:$N$28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'B2.1.1'!$P$13:$P$28</c:f>
              <c:numCache>
                <c:formatCode>0</c:formatCode>
                <c:ptCount val="16"/>
                <c:pt idx="0">
                  <c:v>466</c:v>
                </c:pt>
                <c:pt idx="1">
                  <c:v>504</c:v>
                </c:pt>
                <c:pt idx="2">
                  <c:v>477</c:v>
                </c:pt>
                <c:pt idx="3">
                  <c:v>444</c:v>
                </c:pt>
                <c:pt idx="4">
                  <c:v>452</c:v>
                </c:pt>
                <c:pt idx="5">
                  <c:v>474</c:v>
                </c:pt>
              </c:numCache>
            </c:numRef>
          </c:val>
          <c:extLst>
            <c:ext xmlns:c16="http://schemas.microsoft.com/office/drawing/2014/chart" uri="{C3380CC4-5D6E-409C-BE32-E72D297353CC}">
              <c16:uniqueId val="{00000001-2737-40CD-BFF4-4FDF4AF3A208}"/>
            </c:ext>
          </c:extLst>
        </c:ser>
        <c:ser>
          <c:idx val="2"/>
          <c:order val="2"/>
          <c:tx>
            <c:strRef>
              <c:f>'B2.1.1'!$Q$11:$Q$12</c:f>
              <c:strCache>
                <c:ptCount val="1"/>
                <c:pt idx="0">
                  <c:v>Män</c:v>
                </c:pt>
              </c:strCache>
            </c:strRef>
          </c:tx>
          <c:spPr>
            <a:solidFill>
              <a:schemeClr val="accent3"/>
            </a:solidFill>
            <a:ln>
              <a:noFill/>
            </a:ln>
            <a:effectLst/>
          </c:spPr>
          <c:invertIfNegative val="0"/>
          <c:cat>
            <c:strRef>
              <c:f>'B2.1.1'!$N$13:$N$28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'B2.1.1'!$Q$13:$Q$28</c:f>
              <c:numCache>
                <c:formatCode>0</c:formatCode>
                <c:ptCount val="16"/>
                <c:pt idx="0">
                  <c:v>359</c:v>
                </c:pt>
                <c:pt idx="1">
                  <c:v>375</c:v>
                </c:pt>
                <c:pt idx="2">
                  <c:v>372</c:v>
                </c:pt>
                <c:pt idx="3">
                  <c:v>360</c:v>
                </c:pt>
                <c:pt idx="4">
                  <c:v>360</c:v>
                </c:pt>
                <c:pt idx="5">
                  <c:v>399</c:v>
                </c:pt>
              </c:numCache>
            </c:numRef>
          </c:val>
          <c:extLst>
            <c:ext xmlns:c16="http://schemas.microsoft.com/office/drawing/2014/chart" uri="{C3380CC4-5D6E-409C-BE32-E72D297353CC}">
              <c16:uniqueId val="{00000002-2737-40CD-BFF4-4FDF4AF3A208}"/>
            </c:ext>
          </c:extLst>
        </c:ser>
        <c:dLbls>
          <c:showLegendKey val="0"/>
          <c:showVal val="0"/>
          <c:showCatName val="0"/>
          <c:showSerName val="0"/>
          <c:showPercent val="0"/>
          <c:showBubbleSize val="0"/>
        </c:dLbls>
        <c:gapWidth val="219"/>
        <c:overlap val="-27"/>
        <c:axId val="966799599"/>
        <c:axId val="1500952383"/>
      </c:barChart>
      <c:catAx>
        <c:axId val="966799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500952383"/>
        <c:crosses val="autoZero"/>
        <c:auto val="1"/>
        <c:lblAlgn val="ctr"/>
        <c:lblOffset val="100"/>
        <c:noMultiLvlLbl val="0"/>
      </c:catAx>
      <c:valAx>
        <c:axId val="15009523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966799599"/>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v2.xlsx]V1.1.2!PivotTable8</c:name>
    <c:fmtId val="0"/>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Antal självmordsförsök per 100 000 invånare (20+ år)</a:t>
            </a:r>
            <a:endParaRPr lang="sv-SE">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8"/>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9"/>
        <c:spPr>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
        <c:idx val="30"/>
        <c:spPr>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s>
    <c:plotArea>
      <c:layout>
        <c:manualLayout>
          <c:layoutTarget val="inner"/>
          <c:xMode val="edge"/>
          <c:yMode val="edge"/>
          <c:x val="0.10668519376254439"/>
          <c:y val="0.20629139235621669"/>
          <c:w val="0.87983441408059282"/>
          <c:h val="0.45931244293093215"/>
        </c:manualLayout>
      </c:layout>
      <c:lineChart>
        <c:grouping val="standard"/>
        <c:varyColors val="0"/>
        <c:ser>
          <c:idx val="0"/>
          <c:order val="0"/>
          <c:tx>
            <c:strRef>
              <c:f>'V1.1.2'!$O$11:$O$12</c:f>
              <c:strCache>
                <c:ptCount val="1"/>
                <c:pt idx="0">
                  <c:v>Män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'V1.1.2'!$N$13:$N$28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'V1.1.2'!$O$13:$O$28</c:f>
              <c:numCache>
                <c:formatCode>0.0</c:formatCode>
                <c:ptCount val="16"/>
                <c:pt idx="0">
                  <c:v>74.3</c:v>
                </c:pt>
                <c:pt idx="1">
                  <c:v>73.989999999999995</c:v>
                </c:pt>
                <c:pt idx="2">
                  <c:v>76.62</c:v>
                </c:pt>
                <c:pt idx="3">
                  <c:v>66.27</c:v>
                </c:pt>
                <c:pt idx="4">
                  <c:v>63.88</c:v>
                </c:pt>
                <c:pt idx="5">
                  <c:v>67.760000000000005</c:v>
                </c:pt>
              </c:numCache>
            </c:numRef>
          </c:val>
          <c:smooth val="0"/>
          <c:extLst>
            <c:ext xmlns:c16="http://schemas.microsoft.com/office/drawing/2014/chart" uri="{C3380CC4-5D6E-409C-BE32-E72D297353CC}">
              <c16:uniqueId val="{00000000-77E0-4C46-B3B4-6C21EED321E6}"/>
            </c:ext>
          </c:extLst>
        </c:ser>
        <c:ser>
          <c:idx val="1"/>
          <c:order val="1"/>
          <c:tx>
            <c:strRef>
              <c:f>'V1.1.2'!$P$11:$P$12</c:f>
              <c:strCache>
                <c:ptCount val="1"/>
                <c:pt idx="0">
                  <c:v>Kvinnor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'V1.1.2'!$N$13:$N$28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'V1.1.2'!$P$13:$P$28</c:f>
              <c:numCache>
                <c:formatCode>0.0</c:formatCode>
                <c:ptCount val="16"/>
                <c:pt idx="0">
                  <c:v>101.78</c:v>
                </c:pt>
                <c:pt idx="1">
                  <c:v>108.09</c:v>
                </c:pt>
                <c:pt idx="2">
                  <c:v>110.6</c:v>
                </c:pt>
                <c:pt idx="3">
                  <c:v>86.89</c:v>
                </c:pt>
                <c:pt idx="4">
                  <c:v>91.38</c:v>
                </c:pt>
                <c:pt idx="5">
                  <c:v>94.38</c:v>
                </c:pt>
              </c:numCache>
            </c:numRef>
          </c:val>
          <c:smooth val="0"/>
          <c:extLst>
            <c:ext xmlns:c16="http://schemas.microsoft.com/office/drawing/2014/chart" uri="{C3380CC4-5D6E-409C-BE32-E72D297353CC}">
              <c16:uniqueId val="{00000001-77E0-4C46-B3B4-6C21EED321E6}"/>
            </c:ext>
          </c:extLst>
        </c:ser>
        <c:ser>
          <c:idx val="2"/>
          <c:order val="2"/>
          <c:tx>
            <c:strRef>
              <c:f>'V1.1.2'!$Q$11:$Q$12</c:f>
              <c:strCache>
                <c:ptCount val="1"/>
                <c:pt idx="0">
                  <c:v>Båda könen</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'V1.1.2'!$N$13:$N$28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'V1.1.2'!$Q$13:$Q$28</c:f>
              <c:numCache>
                <c:formatCode>0.0</c:formatCode>
                <c:ptCount val="16"/>
                <c:pt idx="0">
                  <c:v>88.2</c:v>
                </c:pt>
                <c:pt idx="1">
                  <c:v>91.22</c:v>
                </c:pt>
                <c:pt idx="2">
                  <c:v>93.78</c:v>
                </c:pt>
                <c:pt idx="3">
                  <c:v>76.680000000000007</c:v>
                </c:pt>
                <c:pt idx="4">
                  <c:v>77.75</c:v>
                </c:pt>
                <c:pt idx="5">
                  <c:v>81.16</c:v>
                </c:pt>
              </c:numCache>
            </c:numRef>
          </c:val>
          <c:smooth val="0"/>
          <c:extLst>
            <c:ext xmlns:c16="http://schemas.microsoft.com/office/drawing/2014/chart" uri="{C3380CC4-5D6E-409C-BE32-E72D297353CC}">
              <c16:uniqueId val="{00000002-77E0-4C46-B3B4-6C21EED321E6}"/>
            </c:ext>
          </c:extLst>
        </c:ser>
        <c:dLbls>
          <c:showLegendKey val="0"/>
          <c:showVal val="0"/>
          <c:showCatName val="0"/>
          <c:showSerName val="0"/>
          <c:showPercent val="0"/>
          <c:showBubbleSize val="0"/>
        </c:dLbls>
        <c:marker val="1"/>
        <c:smooth val="0"/>
        <c:axId val="314305920"/>
        <c:axId val="314308096"/>
      </c:lineChart>
      <c:catAx>
        <c:axId val="314305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308096"/>
        <c:crosses val="autoZero"/>
        <c:auto val="1"/>
        <c:lblAlgn val="ctr"/>
        <c:lblOffset val="100"/>
        <c:noMultiLvlLbl val="0"/>
      </c:catAx>
      <c:valAx>
        <c:axId val="31430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3059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v2.xlsx]B2.1.2!PivotTable11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Standardiserade bedömningsmetoder för missbruk inom sociala barn- och ungdomsvården </a:t>
            </a:r>
            <a:endParaRPr lang="en-US" b="0" i="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'B2.1.2'!$O$11:$O$12</c:f>
              <c:strCache>
                <c:ptCount val="1"/>
                <c:pt idx="0">
                  <c:v>Standardiserade bedömningsmetoder</c:v>
                </c:pt>
              </c:strCache>
            </c:strRef>
          </c:tx>
          <c:spPr>
            <a:solidFill>
              <a:schemeClr val="accent1"/>
            </a:solidFill>
            <a:ln>
              <a:noFill/>
            </a:ln>
            <a:effectLst/>
          </c:spPr>
          <c:invertIfNegative val="0"/>
          <c:cat>
            <c:strRef>
              <c:f>'B2.1.2'!$N$13:$N$22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'B2.1.2'!$O$13:$O$22</c:f>
              <c:numCache>
                <c:formatCode>0.0%</c:formatCode>
                <c:ptCount val="10"/>
                <c:pt idx="0">
                  <c:v>0.8</c:v>
                </c:pt>
                <c:pt idx="1">
                  <c:v>0.71111111111111114</c:v>
                </c:pt>
              </c:numCache>
            </c:numRef>
          </c:val>
          <c:extLst>
            <c:ext xmlns:c16="http://schemas.microsoft.com/office/drawing/2014/chart" uri="{C3380CC4-5D6E-409C-BE32-E72D297353CC}">
              <c16:uniqueId val="{00000000-CC45-491F-B31E-FD9E1B73F140}"/>
            </c:ext>
          </c:extLst>
        </c:ser>
        <c:dLbls>
          <c:showLegendKey val="0"/>
          <c:showVal val="0"/>
          <c:showCatName val="0"/>
          <c:showSerName val="0"/>
          <c:showPercent val="0"/>
          <c:showBubbleSize val="0"/>
        </c:dLbls>
        <c:gapWidth val="219"/>
        <c:overlap val="-27"/>
        <c:axId val="1411249631"/>
        <c:axId val="1625777551"/>
      </c:barChart>
      <c:catAx>
        <c:axId val="1411249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25777551"/>
        <c:crosses val="autoZero"/>
        <c:auto val="1"/>
        <c:lblAlgn val="ctr"/>
        <c:lblOffset val="100"/>
        <c:noMultiLvlLbl val="0"/>
      </c:catAx>
      <c:valAx>
        <c:axId val="16257775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411249631"/>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v2.xlsx]B2.2.1!PivotTable51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Andel elever i årskurs 9 som uppger alkoholkonsumtion motsvarande högkonsumtion och/eller intensivkonsumtion </a:t>
            </a:r>
            <a:endParaRPr lang="sv-SE" b="0" i="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3"/>
          </a:solidFill>
          <a:ln>
            <a:noFill/>
          </a:ln>
          <a:effectLst/>
        </c:spPr>
        <c:marker>
          <c:symbol val="none"/>
        </c:marker>
      </c:pivotFmt>
      <c:pivotFmt>
        <c:idx val="8"/>
        <c:spPr>
          <a:solidFill>
            <a:schemeClr val="accent4"/>
          </a:solidFill>
          <a:ln>
            <a:noFill/>
          </a:ln>
          <a:effectLst/>
        </c:spPr>
        <c:marker>
          <c:symbol val="none"/>
        </c:marker>
      </c:pivotFmt>
      <c:pivotFmt>
        <c:idx val="9"/>
        <c:spPr>
          <a:solidFill>
            <a:schemeClr val="accent5"/>
          </a:solidFill>
          <a:ln>
            <a:noFill/>
          </a:ln>
          <a:effectLst/>
        </c:spPr>
        <c:marker>
          <c:symbol val="none"/>
        </c:marker>
      </c:pivotFmt>
      <c:pivotFmt>
        <c:idx val="10"/>
        <c:spPr>
          <a:solidFill>
            <a:schemeClr val="accent6"/>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s>
    <c:plotArea>
      <c:layout/>
      <c:barChart>
        <c:barDir val="col"/>
        <c:grouping val="clustered"/>
        <c:varyColors val="0"/>
        <c:ser>
          <c:idx val="0"/>
          <c:order val="0"/>
          <c:tx>
            <c:strRef>
              <c:f>'B2.2.1'!$O$11:$O$12</c:f>
              <c:strCache>
                <c:ptCount val="1"/>
                <c:pt idx="0">
                  <c:v>Båda könen</c:v>
                </c:pt>
              </c:strCache>
            </c:strRef>
          </c:tx>
          <c:spPr>
            <a:solidFill>
              <a:schemeClr val="accent1"/>
            </a:solidFill>
            <a:ln>
              <a:noFill/>
            </a:ln>
            <a:effectLst/>
          </c:spPr>
          <c:invertIfNegative val="0"/>
          <c:cat>
            <c:strRef>
              <c:f>'B2.2.1'!$N$13:$N$22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'B2.2.1'!$O$13:$O$22</c:f>
              <c:numCache>
                <c:formatCode>0.0%</c:formatCode>
                <c:ptCount val="10"/>
                <c:pt idx="0">
                  <c:v>8.6946145891337215E-2</c:v>
                </c:pt>
              </c:numCache>
            </c:numRef>
          </c:val>
          <c:extLst>
            <c:ext xmlns:c16="http://schemas.microsoft.com/office/drawing/2014/chart" uri="{C3380CC4-5D6E-409C-BE32-E72D297353CC}">
              <c16:uniqueId val="{00000002-32F5-47B6-9280-99D49B2ED081}"/>
            </c:ext>
          </c:extLst>
        </c:ser>
        <c:ser>
          <c:idx val="1"/>
          <c:order val="1"/>
          <c:tx>
            <c:strRef>
              <c:f>'B2.2.1'!$P$11:$P$12</c:f>
              <c:strCache>
                <c:ptCount val="1"/>
                <c:pt idx="0">
                  <c:v>Kvinnor</c:v>
                </c:pt>
              </c:strCache>
            </c:strRef>
          </c:tx>
          <c:spPr>
            <a:solidFill>
              <a:schemeClr val="accent2"/>
            </a:solidFill>
            <a:ln>
              <a:noFill/>
            </a:ln>
            <a:effectLst/>
          </c:spPr>
          <c:invertIfNegative val="0"/>
          <c:cat>
            <c:strRef>
              <c:f>'B2.2.1'!$N$13:$N$22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'B2.2.1'!$P$13:$P$22</c:f>
              <c:numCache>
                <c:formatCode>0.0%</c:formatCode>
                <c:ptCount val="10"/>
                <c:pt idx="0">
                  <c:v>9.2532743663888417E-2</c:v>
                </c:pt>
              </c:numCache>
            </c:numRef>
          </c:val>
          <c:extLst>
            <c:ext xmlns:c16="http://schemas.microsoft.com/office/drawing/2014/chart" uri="{C3380CC4-5D6E-409C-BE32-E72D297353CC}">
              <c16:uniqueId val="{00000007-1D5C-439B-8355-2F50FF05A511}"/>
            </c:ext>
          </c:extLst>
        </c:ser>
        <c:ser>
          <c:idx val="2"/>
          <c:order val="2"/>
          <c:tx>
            <c:strRef>
              <c:f>'B2.2.1'!$Q$11:$Q$12</c:f>
              <c:strCache>
                <c:ptCount val="1"/>
                <c:pt idx="0">
                  <c:v>Män</c:v>
                </c:pt>
              </c:strCache>
            </c:strRef>
          </c:tx>
          <c:spPr>
            <a:solidFill>
              <a:schemeClr val="accent3"/>
            </a:solidFill>
            <a:ln>
              <a:noFill/>
            </a:ln>
            <a:effectLst/>
          </c:spPr>
          <c:invertIfNegative val="0"/>
          <c:cat>
            <c:strRef>
              <c:f>'B2.2.1'!$N$13:$N$22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'B2.2.1'!$Q$13:$Q$22</c:f>
              <c:numCache>
                <c:formatCode>0.0%</c:formatCode>
                <c:ptCount val="10"/>
                <c:pt idx="0">
                  <c:v>7.9595015576323994E-2</c:v>
                </c:pt>
              </c:numCache>
            </c:numRef>
          </c:val>
          <c:extLst>
            <c:ext xmlns:c16="http://schemas.microsoft.com/office/drawing/2014/chart" uri="{C3380CC4-5D6E-409C-BE32-E72D297353CC}">
              <c16:uniqueId val="{00000008-1D5C-439B-8355-2F50FF05A511}"/>
            </c:ext>
          </c:extLst>
        </c:ser>
        <c:dLbls>
          <c:showLegendKey val="0"/>
          <c:showVal val="0"/>
          <c:showCatName val="0"/>
          <c:showSerName val="0"/>
          <c:showPercent val="0"/>
          <c:showBubbleSize val="0"/>
        </c:dLbls>
        <c:gapWidth val="219"/>
        <c:overlap val="-27"/>
        <c:axId val="318981632"/>
        <c:axId val="318983168"/>
      </c:barChart>
      <c:catAx>
        <c:axId val="31898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8983168"/>
        <c:crosses val="autoZero"/>
        <c:auto val="1"/>
        <c:lblAlgn val="ctr"/>
        <c:lblOffset val="100"/>
        <c:noMultiLvlLbl val="0"/>
      </c:catAx>
      <c:valAx>
        <c:axId val="3189831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89816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v2.xlsx]B2.2.2!PivotTable53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Andel elever i gymnasiet år 2 som uppger alkoholkonsumtion motsvarande högkonsumtion och/eller intensivkonsumtion </a:t>
            </a:r>
            <a:endParaRPr lang="sv-SE" b="0" i="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s>
    <c:plotArea>
      <c:layout/>
      <c:barChart>
        <c:barDir val="col"/>
        <c:grouping val="clustered"/>
        <c:varyColors val="0"/>
        <c:ser>
          <c:idx val="0"/>
          <c:order val="0"/>
          <c:tx>
            <c:strRef>
              <c:f>'B2.2.2'!$O$11:$O$12</c:f>
              <c:strCache>
                <c:ptCount val="1"/>
                <c:pt idx="0">
                  <c:v>Båda könen</c:v>
                </c:pt>
              </c:strCache>
            </c:strRef>
          </c:tx>
          <c:spPr>
            <a:solidFill>
              <a:schemeClr val="accent1"/>
            </a:solidFill>
            <a:ln>
              <a:noFill/>
            </a:ln>
            <a:effectLst/>
          </c:spPr>
          <c:invertIfNegative val="0"/>
          <c:cat>
            <c:strRef>
              <c:f>'B2.2.2'!$N$13:$N$22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'B2.2.2'!$O$13:$O$22</c:f>
              <c:numCache>
                <c:formatCode>0.0%</c:formatCode>
                <c:ptCount val="10"/>
                <c:pt idx="0">
                  <c:v>0.27945408968526597</c:v>
                </c:pt>
              </c:numCache>
            </c:numRef>
          </c:val>
          <c:extLst>
            <c:ext xmlns:c16="http://schemas.microsoft.com/office/drawing/2014/chart" uri="{C3380CC4-5D6E-409C-BE32-E72D297353CC}">
              <c16:uniqueId val="{00000006-0B45-4DCE-BE39-4DECE8AF825A}"/>
            </c:ext>
          </c:extLst>
        </c:ser>
        <c:ser>
          <c:idx val="1"/>
          <c:order val="1"/>
          <c:tx>
            <c:strRef>
              <c:f>'B2.2.2'!$P$11:$P$12</c:f>
              <c:strCache>
                <c:ptCount val="1"/>
                <c:pt idx="0">
                  <c:v>Kvinnor</c:v>
                </c:pt>
              </c:strCache>
            </c:strRef>
          </c:tx>
          <c:spPr>
            <a:solidFill>
              <a:schemeClr val="accent2"/>
            </a:solidFill>
            <a:ln>
              <a:noFill/>
            </a:ln>
            <a:effectLst/>
          </c:spPr>
          <c:invertIfNegative val="0"/>
          <c:cat>
            <c:strRef>
              <c:f>'B2.2.2'!$N$13:$N$22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'B2.2.2'!$P$13:$P$22</c:f>
              <c:numCache>
                <c:formatCode>0.0%</c:formatCode>
                <c:ptCount val="10"/>
                <c:pt idx="0">
                  <c:v>0.24903772132409546</c:v>
                </c:pt>
              </c:numCache>
            </c:numRef>
          </c:val>
          <c:extLst>
            <c:ext xmlns:c16="http://schemas.microsoft.com/office/drawing/2014/chart" uri="{C3380CC4-5D6E-409C-BE32-E72D297353CC}">
              <c16:uniqueId val="{00000000-01E6-4997-8D5A-1C7DA8E82A41}"/>
            </c:ext>
          </c:extLst>
        </c:ser>
        <c:ser>
          <c:idx val="2"/>
          <c:order val="2"/>
          <c:tx>
            <c:strRef>
              <c:f>'B2.2.2'!$Q$11:$Q$12</c:f>
              <c:strCache>
                <c:ptCount val="1"/>
                <c:pt idx="0">
                  <c:v>Män</c:v>
                </c:pt>
              </c:strCache>
            </c:strRef>
          </c:tx>
          <c:spPr>
            <a:solidFill>
              <a:schemeClr val="accent3"/>
            </a:solidFill>
            <a:ln>
              <a:noFill/>
            </a:ln>
            <a:effectLst/>
          </c:spPr>
          <c:invertIfNegative val="0"/>
          <c:cat>
            <c:strRef>
              <c:f>'B2.2.2'!$N$13:$N$22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'B2.2.2'!$Q$13:$Q$22</c:f>
              <c:numCache>
                <c:formatCode>0.0%</c:formatCode>
                <c:ptCount val="10"/>
                <c:pt idx="0">
                  <c:v>0.30716279069767444</c:v>
                </c:pt>
              </c:numCache>
            </c:numRef>
          </c:val>
          <c:extLst>
            <c:ext xmlns:c16="http://schemas.microsoft.com/office/drawing/2014/chart" uri="{C3380CC4-5D6E-409C-BE32-E72D297353CC}">
              <c16:uniqueId val="{00000001-01E6-4997-8D5A-1C7DA8E82A41}"/>
            </c:ext>
          </c:extLst>
        </c:ser>
        <c:dLbls>
          <c:showLegendKey val="0"/>
          <c:showVal val="0"/>
          <c:showCatName val="0"/>
          <c:showSerName val="0"/>
          <c:showPercent val="0"/>
          <c:showBubbleSize val="0"/>
        </c:dLbls>
        <c:gapWidth val="219"/>
        <c:overlap val="-27"/>
        <c:axId val="321060224"/>
        <c:axId val="321066112"/>
      </c:barChart>
      <c:catAx>
        <c:axId val="32106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66112"/>
        <c:crosses val="autoZero"/>
        <c:auto val="1"/>
        <c:lblAlgn val="ctr"/>
        <c:lblOffset val="100"/>
        <c:noMultiLvlLbl val="0"/>
      </c:catAx>
      <c:valAx>
        <c:axId val="321066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602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v2.xlsx]B2.2.3!PivotTable55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b="0" i="0">
                <a:solidFill>
                  <a:sysClr val="windowText" lastClr="000000"/>
                </a:solidFill>
                <a:latin typeface="Corbel" panose="020B0503020204020204" pitchFamily="34" charset="0"/>
              </a:rPr>
              <a:t> </a:t>
            </a:r>
            <a:r>
              <a:rPr lang="sv-SE" sz="1400" b="0" i="0" u="none" strike="noStrike" baseline="0">
                <a:solidFill>
                  <a:sysClr val="windowText" lastClr="000000"/>
                </a:solidFill>
                <a:effectLst/>
                <a:latin typeface="Corbel" panose="020B0503020204020204" pitchFamily="34" charset="0"/>
              </a:rPr>
              <a:t>Andel elever i årskurs 9 som uppger att de någon gång använt narkotika </a:t>
            </a:r>
            <a:endParaRPr lang="sv-SE" b="0" i="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3"/>
          </a:solidFill>
          <a:ln>
            <a:noFill/>
          </a:ln>
          <a:effectLst/>
        </c:spPr>
        <c:marker>
          <c:symbol val="none"/>
        </c:marker>
      </c:pivotFmt>
      <c:pivotFmt>
        <c:idx val="6"/>
        <c:spPr>
          <a:solidFill>
            <a:schemeClr val="accent4"/>
          </a:solidFill>
          <a:ln>
            <a:noFill/>
          </a:ln>
          <a:effectLst/>
        </c:spPr>
        <c:marker>
          <c:symbol val="none"/>
        </c:marker>
      </c:pivotFmt>
      <c:pivotFmt>
        <c:idx val="7"/>
        <c:spPr>
          <a:solidFill>
            <a:schemeClr val="accent5"/>
          </a:solidFill>
          <a:ln>
            <a:noFill/>
          </a:ln>
          <a:effectLst/>
        </c:spPr>
        <c:marker>
          <c:symbol val="none"/>
        </c:marker>
      </c:pivotFmt>
      <c:pivotFmt>
        <c:idx val="8"/>
        <c:spPr>
          <a:solidFill>
            <a:schemeClr val="accent6"/>
          </a:solidFill>
          <a:ln>
            <a:noFill/>
          </a:ln>
          <a:effectLst/>
        </c:spPr>
        <c:marker>
          <c:symbol val="none"/>
        </c:marker>
      </c:pivotFmt>
    </c:pivotFmts>
    <c:plotArea>
      <c:layout/>
      <c:barChart>
        <c:barDir val="col"/>
        <c:grouping val="clustered"/>
        <c:varyColors val="0"/>
        <c:ser>
          <c:idx val="0"/>
          <c:order val="0"/>
          <c:tx>
            <c:strRef>
              <c:f>'B2.2.3'!$O$11:$O$12</c:f>
              <c:strCache>
                <c:ptCount val="1"/>
                <c:pt idx="0">
                  <c:v>Båda könen</c:v>
                </c:pt>
              </c:strCache>
            </c:strRef>
          </c:tx>
          <c:spPr>
            <a:solidFill>
              <a:schemeClr val="accent1"/>
            </a:solidFill>
            <a:ln>
              <a:noFill/>
            </a:ln>
            <a:effectLst/>
          </c:spPr>
          <c:invertIfNegative val="0"/>
          <c:cat>
            <c:strRef>
              <c:f>'B2.2.3'!$N$13:$N$22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'B2.2.3'!$O$13:$O$22</c:f>
              <c:numCache>
                <c:formatCode>0.0%</c:formatCode>
                <c:ptCount val="10"/>
                <c:pt idx="0">
                  <c:v>5.6240553655238251E-2</c:v>
                </c:pt>
              </c:numCache>
            </c:numRef>
          </c:val>
          <c:extLst>
            <c:ext xmlns:c16="http://schemas.microsoft.com/office/drawing/2014/chart" uri="{C3380CC4-5D6E-409C-BE32-E72D297353CC}">
              <c16:uniqueId val="{00000000-5471-4988-A4D1-FB8148B90A52}"/>
            </c:ext>
          </c:extLst>
        </c:ser>
        <c:ser>
          <c:idx val="1"/>
          <c:order val="1"/>
          <c:tx>
            <c:strRef>
              <c:f>'B2.2.3'!$P$11:$P$12</c:f>
              <c:strCache>
                <c:ptCount val="1"/>
                <c:pt idx="0">
                  <c:v>Kvinnor</c:v>
                </c:pt>
              </c:strCache>
            </c:strRef>
          </c:tx>
          <c:spPr>
            <a:solidFill>
              <a:schemeClr val="accent4"/>
            </a:solidFill>
            <a:ln>
              <a:noFill/>
            </a:ln>
            <a:effectLst/>
          </c:spPr>
          <c:invertIfNegative val="0"/>
          <c:cat>
            <c:strRef>
              <c:f>'B2.2.3'!$N$13:$N$22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'B2.2.3'!$P$13:$P$22</c:f>
              <c:numCache>
                <c:formatCode>0.0%</c:formatCode>
                <c:ptCount val="10"/>
                <c:pt idx="0">
                  <c:v>5.0348698758292225E-2</c:v>
                </c:pt>
              </c:numCache>
            </c:numRef>
          </c:val>
          <c:extLst>
            <c:ext xmlns:c16="http://schemas.microsoft.com/office/drawing/2014/chart" uri="{C3380CC4-5D6E-409C-BE32-E72D297353CC}">
              <c16:uniqueId val="{00000001-5471-4988-A4D1-FB8148B90A52}"/>
            </c:ext>
          </c:extLst>
        </c:ser>
        <c:ser>
          <c:idx val="2"/>
          <c:order val="2"/>
          <c:tx>
            <c:strRef>
              <c:f>'B2.2.3'!$Q$11:$Q$12</c:f>
              <c:strCache>
                <c:ptCount val="1"/>
                <c:pt idx="0">
                  <c:v>Män</c:v>
                </c:pt>
              </c:strCache>
            </c:strRef>
          </c:tx>
          <c:spPr>
            <a:solidFill>
              <a:schemeClr val="accent6"/>
            </a:solidFill>
            <a:ln>
              <a:noFill/>
            </a:ln>
            <a:effectLst/>
          </c:spPr>
          <c:invertIfNegative val="0"/>
          <c:cat>
            <c:strRef>
              <c:f>'B2.2.3'!$N$13:$N$22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'B2.2.3'!$Q$13:$Q$22</c:f>
              <c:numCache>
                <c:formatCode>0.0%</c:formatCode>
                <c:ptCount val="10"/>
                <c:pt idx="0">
                  <c:v>5.7476635514018694E-2</c:v>
                </c:pt>
              </c:numCache>
            </c:numRef>
          </c:val>
          <c:extLst>
            <c:ext xmlns:c16="http://schemas.microsoft.com/office/drawing/2014/chart" uri="{C3380CC4-5D6E-409C-BE32-E72D297353CC}">
              <c16:uniqueId val="{00000000-2BB2-4310-B3AD-8009D5103DE3}"/>
            </c:ext>
          </c:extLst>
        </c:ser>
        <c:dLbls>
          <c:showLegendKey val="0"/>
          <c:showVal val="0"/>
          <c:showCatName val="0"/>
          <c:showSerName val="0"/>
          <c:showPercent val="0"/>
          <c:showBubbleSize val="0"/>
        </c:dLbls>
        <c:gapWidth val="219"/>
        <c:overlap val="-27"/>
        <c:axId val="321676032"/>
        <c:axId val="321677568"/>
      </c:barChart>
      <c:catAx>
        <c:axId val="32167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677568"/>
        <c:crosses val="autoZero"/>
        <c:auto val="1"/>
        <c:lblAlgn val="ctr"/>
        <c:lblOffset val="100"/>
        <c:noMultiLvlLbl val="0"/>
      </c:catAx>
      <c:valAx>
        <c:axId val="3216775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6760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v2.xlsx]B2.2.4!PivotTable58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Andel elever i gymnasiet år 2 som uppger att de någon gång använt narkotika </a:t>
            </a:r>
            <a:endParaRPr lang="sv-SE" b="0" i="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strRef>
              <c:f>'B2.2.4'!$O$11:$O$12</c:f>
              <c:strCache>
                <c:ptCount val="1"/>
                <c:pt idx="0">
                  <c:v>Båda könen</c:v>
                </c:pt>
              </c:strCache>
            </c:strRef>
          </c:tx>
          <c:spPr>
            <a:solidFill>
              <a:schemeClr val="accent1"/>
            </a:solidFill>
            <a:ln>
              <a:noFill/>
            </a:ln>
            <a:effectLst/>
          </c:spPr>
          <c:invertIfNegative val="0"/>
          <c:cat>
            <c:strRef>
              <c:f>'B2.2.4'!$N$13:$N$22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'B2.2.4'!$O$13:$O$22</c:f>
              <c:numCache>
                <c:formatCode>0.0%</c:formatCode>
                <c:ptCount val="10"/>
                <c:pt idx="0">
                  <c:v>0.16683687679881165</c:v>
                </c:pt>
              </c:numCache>
            </c:numRef>
          </c:val>
          <c:extLst>
            <c:ext xmlns:c16="http://schemas.microsoft.com/office/drawing/2014/chart" uri="{C3380CC4-5D6E-409C-BE32-E72D297353CC}">
              <c16:uniqueId val="{00000000-E85F-4161-9CB6-0EEAA86239D8}"/>
            </c:ext>
          </c:extLst>
        </c:ser>
        <c:ser>
          <c:idx val="1"/>
          <c:order val="1"/>
          <c:tx>
            <c:strRef>
              <c:f>'B2.2.4'!$P$11:$P$12</c:f>
              <c:strCache>
                <c:ptCount val="1"/>
                <c:pt idx="0">
                  <c:v>Kvinnor</c:v>
                </c:pt>
              </c:strCache>
            </c:strRef>
          </c:tx>
          <c:spPr>
            <a:solidFill>
              <a:schemeClr val="accent2"/>
            </a:solidFill>
            <a:ln>
              <a:noFill/>
            </a:ln>
            <a:effectLst/>
          </c:spPr>
          <c:invertIfNegative val="0"/>
          <c:cat>
            <c:strRef>
              <c:f>'B2.2.4'!$N$13:$N$22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'B2.2.4'!$P$13:$P$22</c:f>
              <c:numCache>
                <c:formatCode>0.0%</c:formatCode>
                <c:ptCount val="10"/>
                <c:pt idx="0">
                  <c:v>0.13452655889145496</c:v>
                </c:pt>
              </c:numCache>
            </c:numRef>
          </c:val>
          <c:extLst>
            <c:ext xmlns:c16="http://schemas.microsoft.com/office/drawing/2014/chart" uri="{C3380CC4-5D6E-409C-BE32-E72D297353CC}">
              <c16:uniqueId val="{00000000-8251-482B-A076-4E94F8C554B3}"/>
            </c:ext>
          </c:extLst>
        </c:ser>
        <c:ser>
          <c:idx val="2"/>
          <c:order val="2"/>
          <c:tx>
            <c:strRef>
              <c:f>'B2.2.4'!$Q$11:$Q$12</c:f>
              <c:strCache>
                <c:ptCount val="1"/>
                <c:pt idx="0">
                  <c:v>Män</c:v>
                </c:pt>
              </c:strCache>
            </c:strRef>
          </c:tx>
          <c:spPr>
            <a:solidFill>
              <a:schemeClr val="accent3"/>
            </a:solidFill>
            <a:ln>
              <a:noFill/>
            </a:ln>
            <a:effectLst/>
          </c:spPr>
          <c:invertIfNegative val="0"/>
          <c:cat>
            <c:strRef>
              <c:f>'B2.2.4'!$N$13:$N$22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'B2.2.4'!$Q$13:$Q$22</c:f>
              <c:numCache>
                <c:formatCode>0.0%</c:formatCode>
                <c:ptCount val="10"/>
                <c:pt idx="0">
                  <c:v>0.19460465116279069</c:v>
                </c:pt>
              </c:numCache>
            </c:numRef>
          </c:val>
          <c:extLst>
            <c:ext xmlns:c16="http://schemas.microsoft.com/office/drawing/2014/chart" uri="{C3380CC4-5D6E-409C-BE32-E72D297353CC}">
              <c16:uniqueId val="{00000001-8251-482B-A076-4E94F8C554B3}"/>
            </c:ext>
          </c:extLst>
        </c:ser>
        <c:dLbls>
          <c:showLegendKey val="0"/>
          <c:showVal val="0"/>
          <c:showCatName val="0"/>
          <c:showSerName val="0"/>
          <c:showPercent val="0"/>
          <c:showBubbleSize val="0"/>
        </c:dLbls>
        <c:gapWidth val="219"/>
        <c:overlap val="-27"/>
        <c:axId val="322136320"/>
        <c:axId val="322150400"/>
      </c:barChart>
      <c:catAx>
        <c:axId val="32213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150400"/>
        <c:crosses val="autoZero"/>
        <c:auto val="1"/>
        <c:lblAlgn val="ctr"/>
        <c:lblOffset val="100"/>
        <c:noMultiLvlLbl val="0"/>
      </c:catAx>
      <c:valAx>
        <c:axId val="3221504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1363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v2.xlsx]B3.1.3!PivotTable15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Aktuell rutin för information om SIP finns inom a) LSS b) socialpsykiatri c) missbruk- och beroendevård</a:t>
            </a:r>
            <a:r>
              <a:rPr lang="sv-SE" sz="1400" b="0" i="0" u="none" strike="noStrike" baseline="0">
                <a:solidFill>
                  <a:sysClr val="windowText" lastClr="000000"/>
                </a:solidFill>
                <a:latin typeface="Corbel" panose="020B0503020204020204" pitchFamily="34" charset="0"/>
              </a:rPr>
              <a:t> </a:t>
            </a:r>
            <a:endParaRPr lang="sv-SE" b="0" i="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col"/>
        <c:grouping val="clustered"/>
        <c:varyColors val="0"/>
        <c:ser>
          <c:idx val="0"/>
          <c:order val="0"/>
          <c:tx>
            <c:strRef>
              <c:f>'B3.1.3'!$O$11:$O$12</c:f>
              <c:strCache>
                <c:ptCount val="1"/>
                <c:pt idx="0">
                  <c:v>LSS-barn</c:v>
                </c:pt>
              </c:strCache>
            </c:strRef>
          </c:tx>
          <c:spPr>
            <a:solidFill>
              <a:schemeClr val="accent1"/>
            </a:solidFill>
            <a:ln>
              <a:noFill/>
            </a:ln>
            <a:effectLst/>
          </c:spPr>
          <c:invertIfNegative val="0"/>
          <c:cat>
            <c:strRef>
              <c:f>'B3.1.3'!$N$13:$N$21</c:f>
              <c:strCache>
                <c:ptCount val="9"/>
                <c:pt idx="0">
                  <c:v>2017</c:v>
                </c:pt>
                <c:pt idx="1">
                  <c:v>2018</c:v>
                </c:pt>
                <c:pt idx="2">
                  <c:v>2019</c:v>
                </c:pt>
                <c:pt idx="3">
                  <c:v>2020</c:v>
                </c:pt>
                <c:pt idx="4">
                  <c:v>2021</c:v>
                </c:pt>
                <c:pt idx="5">
                  <c:v>2022</c:v>
                </c:pt>
                <c:pt idx="6">
                  <c:v>2023</c:v>
                </c:pt>
                <c:pt idx="7">
                  <c:v>2024</c:v>
                </c:pt>
                <c:pt idx="8">
                  <c:v>2025</c:v>
                </c:pt>
              </c:strCache>
            </c:strRef>
          </c:cat>
          <c:val>
            <c:numRef>
              <c:f>'B3.1.3'!$O$13:$O$21</c:f>
              <c:numCache>
                <c:formatCode>0.0%</c:formatCode>
                <c:ptCount val="9"/>
                <c:pt idx="0">
                  <c:v>0.39130434782608697</c:v>
                </c:pt>
              </c:numCache>
            </c:numRef>
          </c:val>
          <c:extLst>
            <c:ext xmlns:c16="http://schemas.microsoft.com/office/drawing/2014/chart" uri="{C3380CC4-5D6E-409C-BE32-E72D297353CC}">
              <c16:uniqueId val="{00000000-5C42-4F82-85D8-B2B63585403D}"/>
            </c:ext>
          </c:extLst>
        </c:ser>
        <c:ser>
          <c:idx val="1"/>
          <c:order val="1"/>
          <c:tx>
            <c:strRef>
              <c:f>'B3.1.3'!$P$11:$P$12</c:f>
              <c:strCache>
                <c:ptCount val="1"/>
                <c:pt idx="0">
                  <c:v>Social barn och ungdomsvård</c:v>
                </c:pt>
              </c:strCache>
            </c:strRef>
          </c:tx>
          <c:spPr>
            <a:solidFill>
              <a:schemeClr val="accent2"/>
            </a:solidFill>
            <a:ln>
              <a:noFill/>
            </a:ln>
            <a:effectLst/>
          </c:spPr>
          <c:invertIfNegative val="0"/>
          <c:cat>
            <c:strRef>
              <c:f>'B3.1.3'!$N$13:$N$21</c:f>
              <c:strCache>
                <c:ptCount val="9"/>
                <c:pt idx="0">
                  <c:v>2017</c:v>
                </c:pt>
                <c:pt idx="1">
                  <c:v>2018</c:v>
                </c:pt>
                <c:pt idx="2">
                  <c:v>2019</c:v>
                </c:pt>
                <c:pt idx="3">
                  <c:v>2020</c:v>
                </c:pt>
                <c:pt idx="4">
                  <c:v>2021</c:v>
                </c:pt>
                <c:pt idx="5">
                  <c:v>2022</c:v>
                </c:pt>
                <c:pt idx="6">
                  <c:v>2023</c:v>
                </c:pt>
                <c:pt idx="7">
                  <c:v>2024</c:v>
                </c:pt>
                <c:pt idx="8">
                  <c:v>2025</c:v>
                </c:pt>
              </c:strCache>
            </c:strRef>
          </c:cat>
          <c:val>
            <c:numRef>
              <c:f>'B3.1.3'!$P$13:$P$21</c:f>
              <c:numCache>
                <c:formatCode>0.0%</c:formatCode>
                <c:ptCount val="9"/>
                <c:pt idx="0">
                  <c:v>0.45652173913043476</c:v>
                </c:pt>
              </c:numCache>
            </c:numRef>
          </c:val>
          <c:extLst>
            <c:ext xmlns:c16="http://schemas.microsoft.com/office/drawing/2014/chart" uri="{C3380CC4-5D6E-409C-BE32-E72D297353CC}">
              <c16:uniqueId val="{00000001-5C42-4F82-85D8-B2B63585403D}"/>
            </c:ext>
          </c:extLst>
        </c:ser>
        <c:dLbls>
          <c:showLegendKey val="0"/>
          <c:showVal val="0"/>
          <c:showCatName val="0"/>
          <c:showSerName val="0"/>
          <c:showPercent val="0"/>
          <c:showBubbleSize val="0"/>
        </c:dLbls>
        <c:gapWidth val="219"/>
        <c:overlap val="-27"/>
        <c:axId val="1496296671"/>
        <c:axId val="1584782831"/>
      </c:barChart>
      <c:catAx>
        <c:axId val="1496296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584782831"/>
        <c:crosses val="autoZero"/>
        <c:auto val="1"/>
        <c:lblAlgn val="ctr"/>
        <c:lblOffset val="100"/>
        <c:noMultiLvlLbl val="0"/>
      </c:catAx>
      <c:valAx>
        <c:axId val="158478283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496296671"/>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v2.xlsx]B4.1.1!PivotTable23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Klagomål till Inspektionen för vård och omsorg (IVO) med avseende på bemötande inom verksamheter som berör psykisk hälsa</a:t>
            </a:r>
            <a:r>
              <a:rPr lang="sv-SE" sz="1400" b="0" i="0" u="none" strike="noStrike" baseline="0">
                <a:solidFill>
                  <a:sysClr val="windowText" lastClr="000000"/>
                </a:solidFill>
                <a:latin typeface="Corbel" panose="020B0503020204020204" pitchFamily="34" charset="0"/>
              </a:rPr>
              <a:t> </a:t>
            </a:r>
            <a:endParaRPr lang="sv-SE" b="0" i="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1"/>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2"/>
        <c:spPr>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
        <c:idx val="13"/>
        <c:spPr>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s>
    <c:plotArea>
      <c:layout/>
      <c:lineChart>
        <c:grouping val="standard"/>
        <c:varyColors val="0"/>
        <c:ser>
          <c:idx val="0"/>
          <c:order val="0"/>
          <c:tx>
            <c:strRef>
              <c:f>'B4.1.1'!$O$11:$O$12</c:f>
              <c:strCache>
                <c:ptCount val="1"/>
                <c:pt idx="0">
                  <c:v>Hälso- och sjukvård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'B4.1.1'!$N$13:$N$24</c:f>
              <c:strCach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strCache>
            </c:strRef>
          </c:cat>
          <c:val>
            <c:numRef>
              <c:f>'B4.1.1'!$O$13:$O$24</c:f>
              <c:numCache>
                <c:formatCode>0</c:formatCode>
                <c:ptCount val="12"/>
                <c:pt idx="0">
                  <c:v>103</c:v>
                </c:pt>
                <c:pt idx="1">
                  <c:v>103</c:v>
                </c:pt>
                <c:pt idx="2">
                  <c:v>212</c:v>
                </c:pt>
              </c:numCache>
            </c:numRef>
          </c:val>
          <c:smooth val="0"/>
          <c:extLst>
            <c:ext xmlns:c16="http://schemas.microsoft.com/office/drawing/2014/chart" uri="{C3380CC4-5D6E-409C-BE32-E72D297353CC}">
              <c16:uniqueId val="{00000000-CBF2-4D5C-89FA-7D54D0E307F9}"/>
            </c:ext>
          </c:extLst>
        </c:ser>
        <c:ser>
          <c:idx val="1"/>
          <c:order val="1"/>
          <c:tx>
            <c:strRef>
              <c:f>'B4.1.1'!$P$11:$P$12</c:f>
              <c:strCache>
                <c:ptCount val="1"/>
                <c:pt idx="0">
                  <c:v>Socialtjänst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'B4.1.1'!$N$13:$N$24</c:f>
              <c:strCach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strCache>
            </c:strRef>
          </c:cat>
          <c:val>
            <c:numRef>
              <c:f>'B4.1.1'!$P$13:$P$24</c:f>
              <c:numCache>
                <c:formatCode>0</c:formatCode>
                <c:ptCount val="12"/>
                <c:pt idx="0">
                  <c:v>143</c:v>
                </c:pt>
                <c:pt idx="1">
                  <c:v>134</c:v>
                </c:pt>
                <c:pt idx="2">
                  <c:v>245</c:v>
                </c:pt>
              </c:numCache>
            </c:numRef>
          </c:val>
          <c:smooth val="0"/>
          <c:extLst>
            <c:ext xmlns:c16="http://schemas.microsoft.com/office/drawing/2014/chart" uri="{C3380CC4-5D6E-409C-BE32-E72D297353CC}">
              <c16:uniqueId val="{00000003-C2D6-471D-9427-89D11F631D66}"/>
            </c:ext>
          </c:extLst>
        </c:ser>
        <c:ser>
          <c:idx val="2"/>
          <c:order val="2"/>
          <c:tx>
            <c:strRef>
              <c:f>'B4.1.1'!$Q$11:$Q$12</c:f>
              <c:strCache>
                <c:ptCount val="1"/>
                <c:pt idx="0">
                  <c:v>Totalt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'B4.1.1'!$N$13:$N$24</c:f>
              <c:strCach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strCache>
            </c:strRef>
          </c:cat>
          <c:val>
            <c:numRef>
              <c:f>'B4.1.1'!$Q$13:$Q$24</c:f>
              <c:numCache>
                <c:formatCode>0</c:formatCode>
                <c:ptCount val="12"/>
                <c:pt idx="0">
                  <c:v>322</c:v>
                </c:pt>
                <c:pt idx="1">
                  <c:v>329</c:v>
                </c:pt>
                <c:pt idx="2">
                  <c:v>610</c:v>
                </c:pt>
              </c:numCache>
            </c:numRef>
          </c:val>
          <c:smooth val="0"/>
          <c:extLst>
            <c:ext xmlns:c16="http://schemas.microsoft.com/office/drawing/2014/chart" uri="{C3380CC4-5D6E-409C-BE32-E72D297353CC}">
              <c16:uniqueId val="{00000008-C2D6-471D-9427-89D11F631D66}"/>
            </c:ext>
          </c:extLst>
        </c:ser>
        <c:dLbls>
          <c:showLegendKey val="0"/>
          <c:showVal val="0"/>
          <c:showCatName val="0"/>
          <c:showSerName val="0"/>
          <c:showPercent val="0"/>
          <c:showBubbleSize val="0"/>
        </c:dLbls>
        <c:marker val="1"/>
        <c:smooth val="0"/>
        <c:axId val="322866176"/>
        <c:axId val="322876544"/>
      </c:lineChart>
      <c:catAx>
        <c:axId val="32286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876544"/>
        <c:crosses val="autoZero"/>
        <c:auto val="1"/>
        <c:lblAlgn val="ctr"/>
        <c:lblOffset val="100"/>
        <c:noMultiLvlLbl val="0"/>
      </c:catAx>
      <c:valAx>
        <c:axId val="322876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866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v2.xlsx]B5.1.1!PivotTable15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Antal självmord i Västra Götaland per 100 000 invånare (0-19 år)</a:t>
            </a:r>
            <a:endParaRPr lang="sv-SE">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
        <c:spPr>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
        <c:idx val="5"/>
        <c:spPr>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s>
    <c:plotArea>
      <c:layout/>
      <c:lineChart>
        <c:grouping val="standard"/>
        <c:varyColors val="0"/>
        <c:ser>
          <c:idx val="0"/>
          <c:order val="0"/>
          <c:tx>
            <c:strRef>
              <c:f>'B5.1.1'!$O$11:$O$12</c:f>
              <c:strCache>
                <c:ptCount val="1"/>
                <c:pt idx="0">
                  <c:v>Män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'B5.1.1'!$N$13:$N$28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'B5.1.1'!$O$13:$O$28</c:f>
              <c:numCache>
                <c:formatCode>0.0</c:formatCode>
                <c:ptCount val="16"/>
                <c:pt idx="0">
                  <c:v>2.65</c:v>
                </c:pt>
                <c:pt idx="1">
                  <c:v>1.6</c:v>
                </c:pt>
                <c:pt idx="2">
                  <c:v>1.6</c:v>
                </c:pt>
                <c:pt idx="3">
                  <c:v>2.13</c:v>
                </c:pt>
                <c:pt idx="4">
                  <c:v>2.64</c:v>
                </c:pt>
                <c:pt idx="5">
                  <c:v>2.09</c:v>
                </c:pt>
              </c:numCache>
            </c:numRef>
          </c:val>
          <c:smooth val="0"/>
          <c:extLst>
            <c:ext xmlns:c16="http://schemas.microsoft.com/office/drawing/2014/chart" uri="{C3380CC4-5D6E-409C-BE32-E72D297353CC}">
              <c16:uniqueId val="{00000000-A431-4738-9E1F-0A253793F991}"/>
            </c:ext>
          </c:extLst>
        </c:ser>
        <c:ser>
          <c:idx val="1"/>
          <c:order val="1"/>
          <c:tx>
            <c:strRef>
              <c:f>'B5.1.1'!$P$11:$P$12</c:f>
              <c:strCache>
                <c:ptCount val="1"/>
                <c:pt idx="0">
                  <c:v>Kvinnor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'B5.1.1'!$N$13:$N$28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'B5.1.1'!$P$13:$P$28</c:f>
              <c:numCache>
                <c:formatCode>0.0</c:formatCode>
                <c:ptCount val="16"/>
                <c:pt idx="0">
                  <c:v>1.1200000000000001</c:v>
                </c:pt>
                <c:pt idx="1">
                  <c:v>2.2599999999999998</c:v>
                </c:pt>
                <c:pt idx="2">
                  <c:v>1.7</c:v>
                </c:pt>
                <c:pt idx="3">
                  <c:v>1.1299999999999999</c:v>
                </c:pt>
                <c:pt idx="4">
                  <c:v>2.2400000000000002</c:v>
                </c:pt>
                <c:pt idx="5">
                  <c:v>0</c:v>
                </c:pt>
              </c:numCache>
            </c:numRef>
          </c:val>
          <c:smooth val="0"/>
          <c:extLst>
            <c:ext xmlns:c16="http://schemas.microsoft.com/office/drawing/2014/chart" uri="{C3380CC4-5D6E-409C-BE32-E72D297353CC}">
              <c16:uniqueId val="{00000001-A431-4738-9E1F-0A253793F991}"/>
            </c:ext>
          </c:extLst>
        </c:ser>
        <c:ser>
          <c:idx val="2"/>
          <c:order val="2"/>
          <c:tx>
            <c:strRef>
              <c:f>'B5.1.1'!$Q$11:$Q$12</c:f>
              <c:strCache>
                <c:ptCount val="1"/>
                <c:pt idx="0">
                  <c:v>Båda könen</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'B5.1.1'!$N$13:$N$28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'B5.1.1'!$Q$13:$Q$28</c:f>
              <c:numCache>
                <c:formatCode>0.0</c:formatCode>
                <c:ptCount val="16"/>
                <c:pt idx="0">
                  <c:v>1.91</c:v>
                </c:pt>
                <c:pt idx="1">
                  <c:v>1.92</c:v>
                </c:pt>
                <c:pt idx="2">
                  <c:v>1.65</c:v>
                </c:pt>
                <c:pt idx="3">
                  <c:v>1.65</c:v>
                </c:pt>
                <c:pt idx="4">
                  <c:v>2.4500000000000002</c:v>
                </c:pt>
                <c:pt idx="5">
                  <c:v>1.08</c:v>
                </c:pt>
              </c:numCache>
            </c:numRef>
          </c:val>
          <c:smooth val="0"/>
          <c:extLst>
            <c:ext xmlns:c16="http://schemas.microsoft.com/office/drawing/2014/chart" uri="{C3380CC4-5D6E-409C-BE32-E72D297353CC}">
              <c16:uniqueId val="{00000002-A431-4738-9E1F-0A253793F991}"/>
            </c:ext>
          </c:extLst>
        </c:ser>
        <c:dLbls>
          <c:showLegendKey val="0"/>
          <c:showVal val="0"/>
          <c:showCatName val="0"/>
          <c:showSerName val="0"/>
          <c:showPercent val="0"/>
          <c:showBubbleSize val="0"/>
        </c:dLbls>
        <c:marker val="1"/>
        <c:smooth val="0"/>
        <c:axId val="322012288"/>
        <c:axId val="322014208"/>
      </c:lineChart>
      <c:catAx>
        <c:axId val="32201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014208"/>
        <c:crosses val="autoZero"/>
        <c:auto val="1"/>
        <c:lblAlgn val="ctr"/>
        <c:lblOffset val="100"/>
        <c:noMultiLvlLbl val="0"/>
      </c:catAx>
      <c:valAx>
        <c:axId val="3220142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0122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v2.xlsx]B5.1.2!PivotTable17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Antal självmordsförsök per 100 000 invånare (0-19 år)</a:t>
            </a:r>
            <a:endParaRPr lang="sv-SE">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
        <c:spPr>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
        <c:idx val="5"/>
        <c:spPr>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s>
    <c:plotArea>
      <c:layout/>
      <c:lineChart>
        <c:grouping val="standard"/>
        <c:varyColors val="0"/>
        <c:ser>
          <c:idx val="0"/>
          <c:order val="0"/>
          <c:tx>
            <c:strRef>
              <c:f>'B5.1.2'!$O$11:$O$12</c:f>
              <c:strCache>
                <c:ptCount val="1"/>
                <c:pt idx="0">
                  <c:v>Män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'B5.1.2'!$N$13:$N$28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'B5.1.2'!$O$13:$O$28</c:f>
              <c:numCache>
                <c:formatCode>0.0</c:formatCode>
                <c:ptCount val="16"/>
                <c:pt idx="0">
                  <c:v>23.93</c:v>
                </c:pt>
                <c:pt idx="1">
                  <c:v>15.5</c:v>
                </c:pt>
                <c:pt idx="2">
                  <c:v>15.52</c:v>
                </c:pt>
                <c:pt idx="3">
                  <c:v>16.489999999999998</c:v>
                </c:pt>
                <c:pt idx="4">
                  <c:v>19.989999999999998</c:v>
                </c:pt>
                <c:pt idx="5">
                  <c:v>17.14</c:v>
                </c:pt>
              </c:numCache>
            </c:numRef>
          </c:val>
          <c:smooth val="0"/>
          <c:extLst>
            <c:ext xmlns:c16="http://schemas.microsoft.com/office/drawing/2014/chart" uri="{C3380CC4-5D6E-409C-BE32-E72D297353CC}">
              <c16:uniqueId val="{00000000-DBE9-4C86-9E31-24F599D81B31}"/>
            </c:ext>
          </c:extLst>
        </c:ser>
        <c:ser>
          <c:idx val="1"/>
          <c:order val="1"/>
          <c:tx>
            <c:strRef>
              <c:f>'B5.1.2'!$P$11:$P$12</c:f>
              <c:strCache>
                <c:ptCount val="1"/>
                <c:pt idx="0">
                  <c:v>Kvinnor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'B5.1.2'!$N$13:$N$28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'B5.1.2'!$P$13:$P$28</c:f>
              <c:numCache>
                <c:formatCode>0.0</c:formatCode>
                <c:ptCount val="16"/>
                <c:pt idx="0">
                  <c:v>86.58</c:v>
                </c:pt>
                <c:pt idx="1">
                  <c:v>71.84</c:v>
                </c:pt>
                <c:pt idx="2">
                  <c:v>71.3</c:v>
                </c:pt>
                <c:pt idx="3">
                  <c:v>68.650000000000006</c:v>
                </c:pt>
                <c:pt idx="4">
                  <c:v>69.87</c:v>
                </c:pt>
                <c:pt idx="5">
                  <c:v>67.44</c:v>
                </c:pt>
              </c:numCache>
            </c:numRef>
          </c:val>
          <c:smooth val="0"/>
          <c:extLst>
            <c:ext xmlns:c16="http://schemas.microsoft.com/office/drawing/2014/chart" uri="{C3380CC4-5D6E-409C-BE32-E72D297353CC}">
              <c16:uniqueId val="{00000001-DBE9-4C86-9E31-24F599D81B31}"/>
            </c:ext>
          </c:extLst>
        </c:ser>
        <c:ser>
          <c:idx val="2"/>
          <c:order val="2"/>
          <c:tx>
            <c:strRef>
              <c:f>'B5.1.2'!$Q$11:$Q$12</c:f>
              <c:strCache>
                <c:ptCount val="1"/>
                <c:pt idx="0">
                  <c:v>Båda könen</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'B5.1.2'!$N$13:$N$28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'B5.1.2'!$Q$13:$Q$28</c:f>
              <c:numCache>
                <c:formatCode>0.0</c:formatCode>
                <c:ptCount val="16"/>
                <c:pt idx="0">
                  <c:v>54.38</c:v>
                </c:pt>
                <c:pt idx="1">
                  <c:v>42.86</c:v>
                </c:pt>
                <c:pt idx="2">
                  <c:v>42.64</c:v>
                </c:pt>
                <c:pt idx="3">
                  <c:v>41.83</c:v>
                </c:pt>
                <c:pt idx="4">
                  <c:v>44.18</c:v>
                </c:pt>
                <c:pt idx="5">
                  <c:v>41.5</c:v>
                </c:pt>
              </c:numCache>
            </c:numRef>
          </c:val>
          <c:smooth val="0"/>
          <c:extLst>
            <c:ext xmlns:c16="http://schemas.microsoft.com/office/drawing/2014/chart" uri="{C3380CC4-5D6E-409C-BE32-E72D297353CC}">
              <c16:uniqueId val="{00000002-DBE9-4C86-9E31-24F599D81B31}"/>
            </c:ext>
          </c:extLst>
        </c:ser>
        <c:dLbls>
          <c:showLegendKey val="0"/>
          <c:showVal val="0"/>
          <c:showCatName val="0"/>
          <c:showSerName val="0"/>
          <c:showPercent val="0"/>
          <c:showBubbleSize val="0"/>
        </c:dLbls>
        <c:marker val="1"/>
        <c:smooth val="0"/>
        <c:axId val="323874816"/>
        <c:axId val="323876736"/>
      </c:lineChart>
      <c:catAx>
        <c:axId val="32387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3876736"/>
        <c:crosses val="autoZero"/>
        <c:auto val="1"/>
        <c:lblAlgn val="ctr"/>
        <c:lblOffset val="100"/>
        <c:noMultiLvlLbl val="0"/>
      </c:catAx>
      <c:valAx>
        <c:axId val="3238767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38748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v2.xlsx]V2.1.1!PivotTable25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Aktuell rutin för samordning finns mellan a) äldreomsorg och LSS b) äldreomsorg och socialpsykiatri c) äldreomsorg och missbruk- och beroendevård</a:t>
            </a:r>
            <a:endParaRPr lang="sv-SE">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pivotFmt>
      <c:pivotFmt>
        <c:idx val="1"/>
        <c:spPr>
          <a:solidFill>
            <a:schemeClr val="accent1"/>
          </a:solidFill>
          <a:ln>
            <a:noFill/>
          </a:ln>
          <a:effectLst/>
        </c:spPr>
        <c:marker>
          <c:spPr>
            <a:solidFill>
              <a:schemeClr val="accent1"/>
            </a:solidFill>
            <a:ln w="9525">
              <a:solidFill>
                <a:schemeClr val="accent1"/>
              </a:solidFill>
            </a:ln>
            <a:effectLst/>
          </c:spPr>
        </c:marker>
      </c:pivotFmt>
      <c:pivotFmt>
        <c:idx val="2"/>
        <c:spPr>
          <a:solidFill>
            <a:schemeClr val="accent1"/>
          </a:solidFill>
          <a:ln>
            <a:noFill/>
          </a:ln>
          <a:effectLst/>
        </c:spPr>
        <c:marker>
          <c:spPr>
            <a:solidFill>
              <a:schemeClr val="accent1"/>
            </a:solidFill>
            <a:ln w="9525">
              <a:solidFill>
                <a:schemeClr val="accent1"/>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s>
    <c:plotArea>
      <c:layout/>
      <c:barChart>
        <c:barDir val="col"/>
        <c:grouping val="clustered"/>
        <c:varyColors val="0"/>
        <c:ser>
          <c:idx val="0"/>
          <c:order val="0"/>
          <c:tx>
            <c:strRef>
              <c:f>'V2.1.1'!$O$11:$O$12</c:f>
              <c:strCache>
                <c:ptCount val="1"/>
                <c:pt idx="0">
                  <c:v>Äldreomsorg - LSS</c:v>
                </c:pt>
              </c:strCache>
            </c:strRef>
          </c:tx>
          <c:spPr>
            <a:solidFill>
              <a:schemeClr val="accent1"/>
            </a:solidFill>
            <a:ln>
              <a:noFill/>
            </a:ln>
            <a:effectLst/>
          </c:spPr>
          <c:invertIfNegative val="0"/>
          <c:cat>
            <c:strRef>
              <c:f>'V2.1.1'!$N$13:$N$22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'V2.1.1'!$O$13:$O$22</c:f>
              <c:numCache>
                <c:formatCode>0.0%</c:formatCode>
                <c:ptCount val="10"/>
                <c:pt idx="0">
                  <c:v>0.3902439024390244</c:v>
                </c:pt>
                <c:pt idx="1">
                  <c:v>0.39130434782608697</c:v>
                </c:pt>
              </c:numCache>
            </c:numRef>
          </c:val>
          <c:extLst>
            <c:ext xmlns:c16="http://schemas.microsoft.com/office/drawing/2014/chart" uri="{C3380CC4-5D6E-409C-BE32-E72D297353CC}">
              <c16:uniqueId val="{00000000-DE5B-494C-80AE-ADDD88342BC0}"/>
            </c:ext>
          </c:extLst>
        </c:ser>
        <c:ser>
          <c:idx val="1"/>
          <c:order val="1"/>
          <c:tx>
            <c:strRef>
              <c:f>'V2.1.1'!$P$11:$P$12</c:f>
              <c:strCache>
                <c:ptCount val="1"/>
                <c:pt idx="0">
                  <c:v>Äldreomsorg - Missbruk</c:v>
                </c:pt>
              </c:strCache>
            </c:strRef>
          </c:tx>
          <c:spPr>
            <a:solidFill>
              <a:schemeClr val="accent2"/>
            </a:solidFill>
            <a:ln>
              <a:noFill/>
            </a:ln>
            <a:effectLst/>
          </c:spPr>
          <c:invertIfNegative val="0"/>
          <c:cat>
            <c:strRef>
              <c:f>'V2.1.1'!$N$13:$N$22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'V2.1.1'!$P$13:$P$22</c:f>
              <c:numCache>
                <c:formatCode>0.0%</c:formatCode>
                <c:ptCount val="10"/>
                <c:pt idx="0">
                  <c:v>0.31707317073170732</c:v>
                </c:pt>
                <c:pt idx="1">
                  <c:v>0.34782608695652173</c:v>
                </c:pt>
              </c:numCache>
            </c:numRef>
          </c:val>
          <c:extLst>
            <c:ext xmlns:c16="http://schemas.microsoft.com/office/drawing/2014/chart" uri="{C3380CC4-5D6E-409C-BE32-E72D297353CC}">
              <c16:uniqueId val="{00000015-50BF-4EFC-B81B-E646632D05E5}"/>
            </c:ext>
          </c:extLst>
        </c:ser>
        <c:ser>
          <c:idx val="2"/>
          <c:order val="2"/>
          <c:tx>
            <c:strRef>
              <c:f>'V2.1.1'!$Q$11:$Q$12</c:f>
              <c:strCache>
                <c:ptCount val="1"/>
                <c:pt idx="0">
                  <c:v>Äldreomsorg - socialpsykiatri</c:v>
                </c:pt>
              </c:strCache>
            </c:strRef>
          </c:tx>
          <c:spPr>
            <a:solidFill>
              <a:schemeClr val="accent3"/>
            </a:solidFill>
            <a:ln>
              <a:noFill/>
            </a:ln>
            <a:effectLst/>
          </c:spPr>
          <c:invertIfNegative val="0"/>
          <c:cat>
            <c:strRef>
              <c:f>'V2.1.1'!$N$13:$N$22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'V2.1.1'!$Q$13:$Q$22</c:f>
              <c:numCache>
                <c:formatCode>0.0%</c:formatCode>
                <c:ptCount val="10"/>
                <c:pt idx="0">
                  <c:v>0.35</c:v>
                </c:pt>
                <c:pt idx="1">
                  <c:v>0.46666666666666667</c:v>
                </c:pt>
              </c:numCache>
            </c:numRef>
          </c:val>
          <c:extLst>
            <c:ext xmlns:c16="http://schemas.microsoft.com/office/drawing/2014/chart" uri="{C3380CC4-5D6E-409C-BE32-E72D297353CC}">
              <c16:uniqueId val="{00000016-50BF-4EFC-B81B-E646632D05E5}"/>
            </c:ext>
          </c:extLst>
        </c:ser>
        <c:dLbls>
          <c:showLegendKey val="0"/>
          <c:showVal val="0"/>
          <c:showCatName val="0"/>
          <c:showSerName val="0"/>
          <c:showPercent val="0"/>
          <c:showBubbleSize val="0"/>
        </c:dLbls>
        <c:gapWidth val="219"/>
        <c:axId val="289649792"/>
        <c:axId val="289651328"/>
      </c:barChart>
      <c:catAx>
        <c:axId val="28964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89651328"/>
        <c:crosses val="autoZero"/>
        <c:auto val="1"/>
        <c:lblAlgn val="ctr"/>
        <c:lblOffset val="100"/>
        <c:noMultiLvlLbl val="0"/>
      </c:catAx>
      <c:valAx>
        <c:axId val="2896513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896497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v2.xlsx]V2.1.2!PivotTable11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Antal definierade dygnsdoser (DDD) antidepressiva läkemedel förskrivna per 1000 invånare (65+ år)</a:t>
            </a:r>
            <a:endParaRPr lang="sv-SE" sz="140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6"/>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7"/>
        <c:spPr>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
        <c:idx val="8"/>
        <c:spPr>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9"/>
        <c:spPr>
          <a:ln w="28575" cap="rnd">
            <a:solidFill>
              <a:schemeClr val="accent1"/>
            </a:solidFill>
            <a:round/>
          </a:ln>
          <a:effectLst/>
        </c:spPr>
        <c:marker>
          <c:symbol val="circle"/>
          <c:size val="5"/>
          <c:spPr>
            <a:solidFill>
              <a:schemeClr val="accent4"/>
            </a:solidFill>
            <a:ln w="9525">
              <a:solidFill>
                <a:schemeClr val="accent4"/>
              </a:solidFill>
            </a:ln>
            <a:effectLst/>
          </c:spPr>
        </c:marker>
      </c:pivotFmt>
      <c:pivotFmt>
        <c:idx val="10"/>
        <c:spPr>
          <a:ln w="28575" cap="rnd">
            <a:solidFill>
              <a:schemeClr val="accent1"/>
            </a:solidFill>
            <a:round/>
          </a:ln>
          <a:effectLst/>
        </c:spPr>
        <c:marker>
          <c:symbol val="circle"/>
          <c:size val="5"/>
          <c:spPr>
            <a:solidFill>
              <a:schemeClr val="accent5"/>
            </a:solidFill>
            <a:ln w="9525">
              <a:solidFill>
                <a:schemeClr val="accent5"/>
              </a:solidFill>
            </a:ln>
            <a:effectLst/>
          </c:spPr>
        </c:marker>
      </c:pivotFmt>
    </c:pivotFmts>
    <c:plotArea>
      <c:layout/>
      <c:lineChart>
        <c:grouping val="standard"/>
        <c:varyColors val="0"/>
        <c:ser>
          <c:idx val="0"/>
          <c:order val="0"/>
          <c:tx>
            <c:strRef>
              <c:f>'V2.1.2'!$O$11</c:f>
              <c:strCache>
                <c:ptCount val="1"/>
                <c:pt idx="0">
                  <c:v>Sum of 65­69</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'V2.1.2'!$N$12:$N$27</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'V2.1.2'!$O$12:$O$27</c:f>
              <c:numCache>
                <c:formatCode>General</c:formatCode>
                <c:ptCount val="16"/>
                <c:pt idx="0">
                  <c:v>137127.85</c:v>
                </c:pt>
                <c:pt idx="1">
                  <c:v>140591.78</c:v>
                </c:pt>
                <c:pt idx="2">
                  <c:v>141135.24</c:v>
                </c:pt>
                <c:pt idx="3">
                  <c:v>143715.58000000002</c:v>
                </c:pt>
                <c:pt idx="4">
                  <c:v>144935.71</c:v>
                </c:pt>
                <c:pt idx="5">
                  <c:v>148494.57</c:v>
                </c:pt>
                <c:pt idx="6">
                  <c:v>149954.5</c:v>
                </c:pt>
              </c:numCache>
            </c:numRef>
          </c:val>
          <c:smooth val="0"/>
          <c:extLst>
            <c:ext xmlns:c16="http://schemas.microsoft.com/office/drawing/2014/chart" uri="{C3380CC4-5D6E-409C-BE32-E72D297353CC}">
              <c16:uniqueId val="{00000001-7EA7-4574-AA2B-DD26A89B4D82}"/>
            </c:ext>
          </c:extLst>
        </c:ser>
        <c:ser>
          <c:idx val="1"/>
          <c:order val="1"/>
          <c:tx>
            <c:strRef>
              <c:f>'V2.1.2'!$P$11</c:f>
              <c:strCache>
                <c:ptCount val="1"/>
                <c:pt idx="0">
                  <c:v>Sum of 70­74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'V2.1.2'!$N$12:$N$27</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'V2.1.2'!$P$12:$P$27</c:f>
              <c:numCache>
                <c:formatCode>General</c:formatCode>
                <c:ptCount val="16"/>
                <c:pt idx="0">
                  <c:v>138425.62</c:v>
                </c:pt>
                <c:pt idx="1">
                  <c:v>143404.99</c:v>
                </c:pt>
                <c:pt idx="2">
                  <c:v>149956.76</c:v>
                </c:pt>
                <c:pt idx="3">
                  <c:v>151864.75</c:v>
                </c:pt>
                <c:pt idx="4">
                  <c:v>155643.99</c:v>
                </c:pt>
                <c:pt idx="5">
                  <c:v>163150.48000000001</c:v>
                </c:pt>
                <c:pt idx="6">
                  <c:v>161960.54999999999</c:v>
                </c:pt>
              </c:numCache>
            </c:numRef>
          </c:val>
          <c:smooth val="0"/>
          <c:extLst>
            <c:ext xmlns:c16="http://schemas.microsoft.com/office/drawing/2014/chart" uri="{C3380CC4-5D6E-409C-BE32-E72D297353CC}">
              <c16:uniqueId val="{00000002-7EA7-4574-AA2B-DD26A89B4D82}"/>
            </c:ext>
          </c:extLst>
        </c:ser>
        <c:ser>
          <c:idx val="2"/>
          <c:order val="2"/>
          <c:tx>
            <c:strRef>
              <c:f>'V2.1.2'!$Q$11</c:f>
              <c:strCache>
                <c:ptCount val="1"/>
                <c:pt idx="0">
                  <c:v>Sum of 75­79</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'V2.1.2'!$N$12:$N$27</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'V2.1.2'!$Q$12:$Q$27</c:f>
              <c:numCache>
                <c:formatCode>General</c:formatCode>
                <c:ptCount val="16"/>
                <c:pt idx="0">
                  <c:v>159283.42000000001</c:v>
                </c:pt>
                <c:pt idx="1">
                  <c:v>165256.25</c:v>
                </c:pt>
                <c:pt idx="2">
                  <c:v>163792.75</c:v>
                </c:pt>
                <c:pt idx="3">
                  <c:v>171723.97</c:v>
                </c:pt>
                <c:pt idx="4">
                  <c:v>173045.97</c:v>
                </c:pt>
                <c:pt idx="5">
                  <c:v>171784.72</c:v>
                </c:pt>
                <c:pt idx="6">
                  <c:v>177792.56</c:v>
                </c:pt>
              </c:numCache>
            </c:numRef>
          </c:val>
          <c:smooth val="0"/>
          <c:extLst>
            <c:ext xmlns:c16="http://schemas.microsoft.com/office/drawing/2014/chart" uri="{C3380CC4-5D6E-409C-BE32-E72D297353CC}">
              <c16:uniqueId val="{00000003-7EA7-4574-AA2B-DD26A89B4D82}"/>
            </c:ext>
          </c:extLst>
        </c:ser>
        <c:ser>
          <c:idx val="3"/>
          <c:order val="3"/>
          <c:tx>
            <c:strRef>
              <c:f>'V2.1.2'!$R$11</c:f>
              <c:strCache>
                <c:ptCount val="1"/>
                <c:pt idx="0">
                  <c:v>Sum of 80­84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'V2.1.2'!$N$12:$N$27</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'V2.1.2'!$R$12:$R$27</c:f>
              <c:numCache>
                <c:formatCode>General</c:formatCode>
                <c:ptCount val="16"/>
                <c:pt idx="0">
                  <c:v>197761.85000000003</c:v>
                </c:pt>
                <c:pt idx="1">
                  <c:v>200773.69</c:v>
                </c:pt>
                <c:pt idx="2">
                  <c:v>204323.01</c:v>
                </c:pt>
                <c:pt idx="3">
                  <c:v>200747.4</c:v>
                </c:pt>
                <c:pt idx="4">
                  <c:v>204145.19</c:v>
                </c:pt>
                <c:pt idx="5">
                  <c:v>205299.97</c:v>
                </c:pt>
                <c:pt idx="6">
                  <c:v>204653.65</c:v>
                </c:pt>
              </c:numCache>
            </c:numRef>
          </c:val>
          <c:smooth val="0"/>
          <c:extLst>
            <c:ext xmlns:c16="http://schemas.microsoft.com/office/drawing/2014/chart" uri="{C3380CC4-5D6E-409C-BE32-E72D297353CC}">
              <c16:uniqueId val="{00000004-7EA7-4574-AA2B-DD26A89B4D82}"/>
            </c:ext>
          </c:extLst>
        </c:ser>
        <c:ser>
          <c:idx val="4"/>
          <c:order val="4"/>
          <c:tx>
            <c:strRef>
              <c:f>'V2.1.2'!$S$11</c:f>
              <c:strCache>
                <c:ptCount val="1"/>
                <c:pt idx="0">
                  <c:v>Sum of 85+</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'V2.1.2'!$N$12:$N$27</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'V2.1.2'!$S$12:$S$27</c:f>
              <c:numCache>
                <c:formatCode>General</c:formatCode>
                <c:ptCount val="16"/>
                <c:pt idx="0">
                  <c:v>263198.82</c:v>
                </c:pt>
                <c:pt idx="1">
                  <c:v>268942.39</c:v>
                </c:pt>
                <c:pt idx="2">
                  <c:v>259993.97</c:v>
                </c:pt>
                <c:pt idx="3">
                  <c:v>263451.94</c:v>
                </c:pt>
                <c:pt idx="4">
                  <c:v>261999.06</c:v>
                </c:pt>
                <c:pt idx="5">
                  <c:v>264880.17000000004</c:v>
                </c:pt>
                <c:pt idx="6">
                  <c:v>262789.75</c:v>
                </c:pt>
              </c:numCache>
            </c:numRef>
          </c:val>
          <c:smooth val="0"/>
          <c:extLst>
            <c:ext xmlns:c16="http://schemas.microsoft.com/office/drawing/2014/chart" uri="{C3380CC4-5D6E-409C-BE32-E72D297353CC}">
              <c16:uniqueId val="{00000005-7EA7-4574-AA2B-DD26A89B4D82}"/>
            </c:ext>
          </c:extLst>
        </c:ser>
        <c:dLbls>
          <c:showLegendKey val="0"/>
          <c:showVal val="0"/>
          <c:showCatName val="0"/>
          <c:showSerName val="0"/>
          <c:showPercent val="0"/>
          <c:showBubbleSize val="0"/>
        </c:dLbls>
        <c:marker val="1"/>
        <c:smooth val="0"/>
        <c:axId val="314420224"/>
        <c:axId val="314426496"/>
      </c:lineChart>
      <c:catAx>
        <c:axId val="31442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426496"/>
        <c:crosses val="autoZero"/>
        <c:auto val="1"/>
        <c:lblAlgn val="ctr"/>
        <c:lblOffset val="100"/>
        <c:noMultiLvlLbl val="0"/>
      </c:catAx>
      <c:valAx>
        <c:axId val="314426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4202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v2.xlsx]V3.1.3!PivotTable33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b="0" i="0">
                <a:solidFill>
                  <a:sysClr val="windowText" lastClr="000000"/>
                </a:solidFill>
                <a:latin typeface="Corbel" panose="020B0503020204020204" pitchFamily="34" charset="0"/>
              </a:rPr>
              <a:t>V3.3 </a:t>
            </a:r>
            <a:r>
              <a:rPr lang="sv-SE" sz="1400" b="0" i="0" u="none" strike="noStrike" baseline="0">
                <a:solidFill>
                  <a:sysClr val="windowText" lastClr="000000"/>
                </a:solidFill>
                <a:effectLst/>
                <a:latin typeface="Corbel" panose="020B0503020204020204" pitchFamily="34" charset="0"/>
              </a:rPr>
              <a:t>Aktuell rutin för information om SIP finns inom a) LSS b) socialpsykiatri c) missbruk- och beroendevård</a:t>
            </a:r>
            <a:r>
              <a:rPr lang="sv-SE" sz="1400" b="0" i="0" u="none" strike="noStrike" baseline="0">
                <a:solidFill>
                  <a:sysClr val="windowText" lastClr="000000"/>
                </a:solidFill>
                <a:latin typeface="Corbel" panose="020B0503020204020204" pitchFamily="34" charset="0"/>
              </a:rPr>
              <a:t> </a:t>
            </a:r>
            <a:endParaRPr lang="sv-SE" b="0" i="0">
              <a:solidFill>
                <a:sysClr val="windowText" lastClr="000000"/>
              </a:solidFill>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s>
    <c:plotArea>
      <c:layout/>
      <c:barChart>
        <c:barDir val="col"/>
        <c:grouping val="clustered"/>
        <c:varyColors val="0"/>
        <c:ser>
          <c:idx val="0"/>
          <c:order val="0"/>
          <c:tx>
            <c:strRef>
              <c:f>'V3.1.3'!$O$11:$O$12</c:f>
              <c:strCache>
                <c:ptCount val="1"/>
                <c:pt idx="0">
                  <c:v>LSS</c:v>
                </c:pt>
              </c:strCache>
            </c:strRef>
          </c:tx>
          <c:spPr>
            <a:solidFill>
              <a:schemeClr val="accent1"/>
            </a:solidFill>
            <a:ln>
              <a:noFill/>
            </a:ln>
            <a:effectLst/>
          </c:spPr>
          <c:invertIfNegative val="0"/>
          <c:cat>
            <c:strRef>
              <c:f>'V3.1.3'!$N$13:$N$21</c:f>
              <c:strCache>
                <c:ptCount val="9"/>
                <c:pt idx="0">
                  <c:v>2017</c:v>
                </c:pt>
                <c:pt idx="1">
                  <c:v>2018</c:v>
                </c:pt>
                <c:pt idx="2">
                  <c:v>2019</c:v>
                </c:pt>
                <c:pt idx="3">
                  <c:v>2020</c:v>
                </c:pt>
                <c:pt idx="4">
                  <c:v>2021</c:v>
                </c:pt>
                <c:pt idx="5">
                  <c:v>2022</c:v>
                </c:pt>
                <c:pt idx="6">
                  <c:v>2023</c:v>
                </c:pt>
                <c:pt idx="7">
                  <c:v>2024</c:v>
                </c:pt>
                <c:pt idx="8">
                  <c:v>2025</c:v>
                </c:pt>
              </c:strCache>
            </c:strRef>
          </c:cat>
          <c:val>
            <c:numRef>
              <c:f>'V3.1.3'!$O$13:$O$21</c:f>
              <c:numCache>
                <c:formatCode>0.0%</c:formatCode>
                <c:ptCount val="9"/>
                <c:pt idx="0">
                  <c:v>0.36956521739130432</c:v>
                </c:pt>
              </c:numCache>
            </c:numRef>
          </c:val>
          <c:extLst>
            <c:ext xmlns:c16="http://schemas.microsoft.com/office/drawing/2014/chart" uri="{C3380CC4-5D6E-409C-BE32-E72D297353CC}">
              <c16:uniqueId val="{00000000-9351-49F6-BAA4-8EB42D45EDC2}"/>
            </c:ext>
          </c:extLst>
        </c:ser>
        <c:ser>
          <c:idx val="1"/>
          <c:order val="1"/>
          <c:tx>
            <c:strRef>
              <c:f>'V3.1.3'!$P$11:$P$12</c:f>
              <c:strCache>
                <c:ptCount val="1"/>
                <c:pt idx="0">
                  <c:v>Missbruk</c:v>
                </c:pt>
              </c:strCache>
            </c:strRef>
          </c:tx>
          <c:spPr>
            <a:solidFill>
              <a:schemeClr val="accent2"/>
            </a:solidFill>
            <a:ln>
              <a:noFill/>
            </a:ln>
            <a:effectLst/>
          </c:spPr>
          <c:invertIfNegative val="0"/>
          <c:cat>
            <c:strRef>
              <c:f>'V3.1.3'!$N$13:$N$21</c:f>
              <c:strCache>
                <c:ptCount val="9"/>
                <c:pt idx="0">
                  <c:v>2017</c:v>
                </c:pt>
                <c:pt idx="1">
                  <c:v>2018</c:v>
                </c:pt>
                <c:pt idx="2">
                  <c:v>2019</c:v>
                </c:pt>
                <c:pt idx="3">
                  <c:v>2020</c:v>
                </c:pt>
                <c:pt idx="4">
                  <c:v>2021</c:v>
                </c:pt>
                <c:pt idx="5">
                  <c:v>2022</c:v>
                </c:pt>
                <c:pt idx="6">
                  <c:v>2023</c:v>
                </c:pt>
                <c:pt idx="7">
                  <c:v>2024</c:v>
                </c:pt>
                <c:pt idx="8">
                  <c:v>2025</c:v>
                </c:pt>
              </c:strCache>
            </c:strRef>
          </c:cat>
          <c:val>
            <c:numRef>
              <c:f>'V3.1.3'!$P$13:$P$21</c:f>
              <c:numCache>
                <c:formatCode>0.0%</c:formatCode>
                <c:ptCount val="9"/>
                <c:pt idx="0">
                  <c:v>0.47826086956521741</c:v>
                </c:pt>
              </c:numCache>
            </c:numRef>
          </c:val>
          <c:extLst>
            <c:ext xmlns:c16="http://schemas.microsoft.com/office/drawing/2014/chart" uri="{C3380CC4-5D6E-409C-BE32-E72D297353CC}">
              <c16:uniqueId val="{00000001-9351-49F6-BAA4-8EB42D45EDC2}"/>
            </c:ext>
          </c:extLst>
        </c:ser>
        <c:ser>
          <c:idx val="2"/>
          <c:order val="2"/>
          <c:tx>
            <c:strRef>
              <c:f>'V3.1.3'!$Q$11:$Q$12</c:f>
              <c:strCache>
                <c:ptCount val="1"/>
                <c:pt idx="0">
                  <c:v>Socialpsykiatri</c:v>
                </c:pt>
              </c:strCache>
            </c:strRef>
          </c:tx>
          <c:spPr>
            <a:solidFill>
              <a:schemeClr val="accent3"/>
            </a:solidFill>
            <a:ln>
              <a:noFill/>
            </a:ln>
            <a:effectLst/>
          </c:spPr>
          <c:invertIfNegative val="0"/>
          <c:cat>
            <c:strRef>
              <c:f>'V3.1.3'!$N$13:$N$21</c:f>
              <c:strCache>
                <c:ptCount val="9"/>
                <c:pt idx="0">
                  <c:v>2017</c:v>
                </c:pt>
                <c:pt idx="1">
                  <c:v>2018</c:v>
                </c:pt>
                <c:pt idx="2">
                  <c:v>2019</c:v>
                </c:pt>
                <c:pt idx="3">
                  <c:v>2020</c:v>
                </c:pt>
                <c:pt idx="4">
                  <c:v>2021</c:v>
                </c:pt>
                <c:pt idx="5">
                  <c:v>2022</c:v>
                </c:pt>
                <c:pt idx="6">
                  <c:v>2023</c:v>
                </c:pt>
                <c:pt idx="7">
                  <c:v>2024</c:v>
                </c:pt>
                <c:pt idx="8">
                  <c:v>2025</c:v>
                </c:pt>
              </c:strCache>
            </c:strRef>
          </c:cat>
          <c:val>
            <c:numRef>
              <c:f>'V3.1.3'!$Q$13:$Q$21</c:f>
              <c:numCache>
                <c:formatCode>0.0%</c:formatCode>
                <c:ptCount val="9"/>
                <c:pt idx="0">
                  <c:v>0.47826086956521741</c:v>
                </c:pt>
              </c:numCache>
            </c:numRef>
          </c:val>
          <c:extLst>
            <c:ext xmlns:c16="http://schemas.microsoft.com/office/drawing/2014/chart" uri="{C3380CC4-5D6E-409C-BE32-E72D297353CC}">
              <c16:uniqueId val="{00000002-9351-49F6-BAA4-8EB42D45EDC2}"/>
            </c:ext>
          </c:extLst>
        </c:ser>
        <c:dLbls>
          <c:showLegendKey val="0"/>
          <c:showVal val="0"/>
          <c:showCatName val="0"/>
          <c:showSerName val="0"/>
          <c:showPercent val="0"/>
          <c:showBubbleSize val="0"/>
        </c:dLbls>
        <c:gapWidth val="219"/>
        <c:overlap val="-27"/>
        <c:axId val="312993280"/>
        <c:axId val="312994816"/>
      </c:barChart>
      <c:catAx>
        <c:axId val="31299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2994816"/>
        <c:crosses val="autoZero"/>
        <c:auto val="1"/>
        <c:lblAlgn val="ctr"/>
        <c:lblOffset val="100"/>
        <c:noMultiLvlLbl val="0"/>
      </c:catAx>
      <c:valAx>
        <c:axId val="3129948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29932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v2.xlsx]V4.1.1!PivotTable20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latin typeface="Corbel" panose="020B0503020204020204" pitchFamily="34" charset="0"/>
              </a:rPr>
              <a:t>Klagomål till Inspektionen för vård och omsorg (IVO) med avseende på bemötande inom verksamheter som berör psykisk hälsa</a:t>
            </a:r>
            <a:r>
              <a:rPr lang="sv-SE" sz="1400" b="0" i="0" u="none" strike="noStrike" baseline="0">
                <a:solidFill>
                  <a:sysClr val="windowText" lastClr="000000"/>
                </a:solidFill>
                <a:latin typeface="Corbel" panose="020B0503020204020204" pitchFamily="34" charset="0"/>
              </a:rPr>
              <a:t> </a:t>
            </a:r>
            <a:endParaRPr lang="sv-SE" b="0" i="0">
              <a:solidFill>
                <a:sysClr val="windowText" lastClr="000000"/>
              </a:solidFill>
              <a:latin typeface="Corbel" panose="020B0503020204020204" pitchFamily="34" charset="0"/>
            </a:endParaRPr>
          </a:p>
        </c:rich>
      </c:tx>
      <c:overlay val="0"/>
      <c:spPr>
        <a:noFill/>
        <a:ln>
          <a:noFill/>
        </a:ln>
        <a:effectLst/>
      </c:sp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
        <c:spPr>
          <a:ln w="28575" cap="rnd">
            <a:solidFill>
              <a:schemeClr val="accent2"/>
            </a:solidFill>
            <a:round/>
          </a:ln>
          <a:effectLst/>
        </c:spPr>
        <c:marker>
          <c:symbol val="circle"/>
          <c:size val="5"/>
          <c:spPr>
            <a:solidFill>
              <a:schemeClr val="accent2"/>
            </a:solidFill>
            <a:ln w="9525">
              <a:solidFill>
                <a:schemeClr val="accent2"/>
              </a:solidFill>
            </a:ln>
            <a:effectLst/>
          </c:spPr>
        </c:marker>
      </c:pivotFmt>
      <c:pivotFmt>
        <c:idx val="5"/>
      </c:pivotFmt>
      <c:pivotFmt>
        <c:idx val="6"/>
      </c:pivotFmt>
      <c:pivotFmt>
        <c:idx val="7"/>
      </c:pivotFmt>
      <c:pivotFmt>
        <c:idx val="8"/>
      </c:pivotFmt>
      <c:pivotFmt>
        <c:idx val="9"/>
      </c:pivotFmt>
    </c:pivotFmts>
    <c:plotArea>
      <c:layout/>
      <c:lineChart>
        <c:grouping val="standard"/>
        <c:varyColors val="0"/>
        <c:ser>
          <c:idx val="0"/>
          <c:order val="0"/>
          <c:tx>
            <c:strRef>
              <c:f>'V4.1.1'!$O$11:$O$12</c:f>
              <c:strCache>
                <c:ptCount val="1"/>
                <c:pt idx="0">
                  <c:v>Hälso- och sjukvård</c:v>
                </c:pt>
              </c:strCache>
            </c:strRef>
          </c:tx>
          <c:cat>
            <c:strRef>
              <c:f>'V4.1.1'!$N$13:$N$24</c:f>
              <c:strCach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strCache>
            </c:strRef>
          </c:cat>
          <c:val>
            <c:numRef>
              <c:f>'V4.1.1'!$O$13:$O$24</c:f>
              <c:numCache>
                <c:formatCode>0</c:formatCode>
                <c:ptCount val="12"/>
                <c:pt idx="0">
                  <c:v>103</c:v>
                </c:pt>
                <c:pt idx="1">
                  <c:v>103</c:v>
                </c:pt>
                <c:pt idx="2">
                  <c:v>212</c:v>
                </c:pt>
              </c:numCache>
            </c:numRef>
          </c:val>
          <c:smooth val="0"/>
          <c:extLst>
            <c:ext xmlns:c16="http://schemas.microsoft.com/office/drawing/2014/chart" uri="{C3380CC4-5D6E-409C-BE32-E72D297353CC}">
              <c16:uniqueId val="{00000000-F1DF-40FD-8C4F-59A2A4F00E93}"/>
            </c:ext>
          </c:extLst>
        </c:ser>
        <c:ser>
          <c:idx val="1"/>
          <c:order val="1"/>
          <c:tx>
            <c:strRef>
              <c:f>'V4.1.1'!$P$11:$P$12</c:f>
              <c:strCache>
                <c:ptCount val="1"/>
                <c:pt idx="0">
                  <c:v>Socialtjänst</c:v>
                </c:pt>
              </c:strCache>
            </c:strRef>
          </c:tx>
          <c:cat>
            <c:strRef>
              <c:f>'V4.1.1'!$N$13:$N$24</c:f>
              <c:strCach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strCache>
            </c:strRef>
          </c:cat>
          <c:val>
            <c:numRef>
              <c:f>'V4.1.1'!$P$13:$P$24</c:f>
              <c:numCache>
                <c:formatCode>0</c:formatCode>
                <c:ptCount val="12"/>
                <c:pt idx="0">
                  <c:v>143</c:v>
                </c:pt>
                <c:pt idx="1">
                  <c:v>134</c:v>
                </c:pt>
                <c:pt idx="2">
                  <c:v>245</c:v>
                </c:pt>
              </c:numCache>
            </c:numRef>
          </c:val>
          <c:smooth val="0"/>
          <c:extLst>
            <c:ext xmlns:c16="http://schemas.microsoft.com/office/drawing/2014/chart" uri="{C3380CC4-5D6E-409C-BE32-E72D297353CC}">
              <c16:uniqueId val="{0000000C-8BD4-4070-9809-BA778A56AAC6}"/>
            </c:ext>
          </c:extLst>
        </c:ser>
        <c:ser>
          <c:idx val="2"/>
          <c:order val="2"/>
          <c:tx>
            <c:strRef>
              <c:f>'V4.1.1'!$Q$11:$Q$12</c:f>
              <c:strCache>
                <c:ptCount val="1"/>
                <c:pt idx="0">
                  <c:v>Totalt</c:v>
                </c:pt>
              </c:strCache>
            </c:strRef>
          </c:tx>
          <c:cat>
            <c:strRef>
              <c:f>'V4.1.1'!$N$13:$N$24</c:f>
              <c:strCach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strCache>
            </c:strRef>
          </c:cat>
          <c:val>
            <c:numRef>
              <c:f>'V4.1.1'!$Q$13:$Q$24</c:f>
              <c:numCache>
                <c:formatCode>0</c:formatCode>
                <c:ptCount val="12"/>
                <c:pt idx="0">
                  <c:v>316</c:v>
                </c:pt>
                <c:pt idx="1">
                  <c:v>281</c:v>
                </c:pt>
                <c:pt idx="2">
                  <c:v>545</c:v>
                </c:pt>
              </c:numCache>
            </c:numRef>
          </c:val>
          <c:smooth val="0"/>
          <c:extLst>
            <c:ext xmlns:c16="http://schemas.microsoft.com/office/drawing/2014/chart" uri="{C3380CC4-5D6E-409C-BE32-E72D297353CC}">
              <c16:uniqueId val="{0000000D-8BD4-4070-9809-BA778A56AAC6}"/>
            </c:ext>
          </c:extLst>
        </c:ser>
        <c:dLbls>
          <c:showLegendKey val="0"/>
          <c:showVal val="0"/>
          <c:showCatName val="0"/>
          <c:showSerName val="0"/>
          <c:showPercent val="0"/>
          <c:showBubbleSize val="0"/>
        </c:dLbls>
        <c:marker val="1"/>
        <c:smooth val="0"/>
        <c:axId val="315303040"/>
        <c:axId val="315304576"/>
      </c:lineChart>
      <c:catAx>
        <c:axId val="31530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304576"/>
        <c:crosses val="autoZero"/>
        <c:auto val="1"/>
        <c:lblAlgn val="ctr"/>
        <c:lblOffset val="100"/>
        <c:noMultiLvlLbl val="0"/>
      </c:catAx>
      <c:valAx>
        <c:axId val="315304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3030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v2.xlsx]V4.2.1!PivotTable13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rPr>
              <a:t>Antal personer (21+ år) med missbruk och/eller beroende som skrivits ut till vård enligt Lag om vård av missbrukare (LVM) per 100 000 invånare</a:t>
            </a:r>
            <a:endParaRPr lang="en-US">
              <a:solidFill>
                <a:sysClr val="windowText" lastClr="000000"/>
              </a:solidFill>
            </a:endParaRPr>
          </a:p>
        </c:rich>
      </c:tx>
      <c:layout>
        <c:manualLayout>
          <c:xMode val="edge"/>
          <c:yMode val="edge"/>
          <c:x val="0.1196714777736797"/>
          <c:y val="9.1416764393812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'V4.2.1'!$O$11:$O$12</c:f>
              <c:strCache>
                <c:ptCount val="1"/>
                <c:pt idx="0">
                  <c:v>Båda könen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'V4.2.1'!$N$13:$N$28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'V4.2.1'!$O$13:$O$28</c:f>
              <c:numCache>
                <c:formatCode>0.0</c:formatCode>
                <c:ptCount val="16"/>
                <c:pt idx="0">
                  <c:v>18.2</c:v>
                </c:pt>
                <c:pt idx="1">
                  <c:v>17.190000000000001</c:v>
                </c:pt>
                <c:pt idx="2">
                  <c:v>15.39</c:v>
                </c:pt>
                <c:pt idx="3">
                  <c:v>13.68</c:v>
                </c:pt>
                <c:pt idx="4">
                  <c:v>16.420000000000002</c:v>
                </c:pt>
                <c:pt idx="5">
                  <c:v>17.61</c:v>
                </c:pt>
              </c:numCache>
            </c:numRef>
          </c:val>
          <c:smooth val="0"/>
          <c:extLst>
            <c:ext xmlns:c16="http://schemas.microsoft.com/office/drawing/2014/chart" uri="{C3380CC4-5D6E-409C-BE32-E72D297353CC}">
              <c16:uniqueId val="{00000000-CAD7-47A1-BAA6-AD32B7E1D86B}"/>
            </c:ext>
          </c:extLst>
        </c:ser>
        <c:dLbls>
          <c:showLegendKey val="0"/>
          <c:showVal val="0"/>
          <c:showCatName val="0"/>
          <c:showSerName val="0"/>
          <c:showPercent val="0"/>
          <c:showBubbleSize val="0"/>
        </c:dLbls>
        <c:marker val="1"/>
        <c:smooth val="0"/>
        <c:axId val="314099968"/>
        <c:axId val="314106240"/>
      </c:lineChart>
      <c:catAx>
        <c:axId val="31409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106240"/>
        <c:crosses val="autoZero"/>
        <c:auto val="1"/>
        <c:lblAlgn val="ctr"/>
        <c:lblOffset val="100"/>
        <c:noMultiLvlLbl val="0"/>
      </c:catAx>
      <c:valAx>
        <c:axId val="3141062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0999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v2.xlsx]V4.2.2!PivotTable12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baseline="0">
                <a:solidFill>
                  <a:sysClr val="windowText" lastClr="000000"/>
                </a:solidFill>
                <a:effectLst/>
                <a:latin typeface="Corbel" panose="020B0503020204020204" pitchFamily="34" charset="0"/>
              </a:rPr>
              <a:t>Undvikbara somatiska slutenvårdstillfällen bland personer 20-59 år som tidigare vårdats inom psykiatrisk vård per 100 000 invånare </a:t>
            </a:r>
            <a:endParaRPr lang="sv-SE" sz="1400">
              <a:solidFill>
                <a:sysClr val="windowText" lastClr="000000"/>
              </a:solidFill>
              <a:effectLst/>
              <a:latin typeface="Corbel" panose="020B05030202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strRef>
              <c:f>'V4.2.2'!$O$11:$O$12</c:f>
              <c:strCache>
                <c:ptCount val="1"/>
                <c:pt idx="0">
                  <c:v>Båda könen</c:v>
                </c:pt>
              </c:strCache>
            </c:strRef>
          </c:tx>
          <c:spPr>
            <a:solidFill>
              <a:schemeClr val="accent1"/>
            </a:solidFill>
            <a:ln>
              <a:noFill/>
            </a:ln>
            <a:effectLst/>
          </c:spPr>
          <c:invertIfNegative val="0"/>
          <c:cat>
            <c:strRef>
              <c:f>'V4.2.2'!$N$13:$N$28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'V4.2.2'!$O$13:$O$28</c:f>
              <c:numCache>
                <c:formatCode>0</c:formatCode>
                <c:ptCount val="16"/>
                <c:pt idx="0">
                  <c:v>1966</c:v>
                </c:pt>
                <c:pt idx="1">
                  <c:v>2107</c:v>
                </c:pt>
                <c:pt idx="2">
                  <c:v>2223</c:v>
                </c:pt>
                <c:pt idx="3">
                  <c:v>1998</c:v>
                </c:pt>
                <c:pt idx="4">
                  <c:v>1877</c:v>
                </c:pt>
              </c:numCache>
            </c:numRef>
          </c:val>
          <c:extLst>
            <c:ext xmlns:c16="http://schemas.microsoft.com/office/drawing/2014/chart" uri="{C3380CC4-5D6E-409C-BE32-E72D297353CC}">
              <c16:uniqueId val="{00000000-33B7-47F9-B541-40ABD8A35170}"/>
            </c:ext>
          </c:extLst>
        </c:ser>
        <c:ser>
          <c:idx val="1"/>
          <c:order val="1"/>
          <c:tx>
            <c:strRef>
              <c:f>'V4.2.2'!$P$11:$P$12</c:f>
              <c:strCache>
                <c:ptCount val="1"/>
                <c:pt idx="0">
                  <c:v>Kvinnor</c:v>
                </c:pt>
              </c:strCache>
            </c:strRef>
          </c:tx>
          <c:spPr>
            <a:solidFill>
              <a:schemeClr val="accent2"/>
            </a:solidFill>
            <a:ln>
              <a:noFill/>
            </a:ln>
            <a:effectLst/>
          </c:spPr>
          <c:invertIfNegative val="0"/>
          <c:cat>
            <c:strRef>
              <c:f>'V4.2.2'!$N$13:$N$28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'V4.2.2'!$P$13:$P$28</c:f>
              <c:numCache>
                <c:formatCode>0</c:formatCode>
                <c:ptCount val="16"/>
                <c:pt idx="0">
                  <c:v>1937</c:v>
                </c:pt>
                <c:pt idx="1">
                  <c:v>2006</c:v>
                </c:pt>
                <c:pt idx="2">
                  <c:v>2337</c:v>
                </c:pt>
                <c:pt idx="3">
                  <c:v>1904</c:v>
                </c:pt>
                <c:pt idx="4">
                  <c:v>1928</c:v>
                </c:pt>
              </c:numCache>
            </c:numRef>
          </c:val>
          <c:extLst>
            <c:ext xmlns:c16="http://schemas.microsoft.com/office/drawing/2014/chart" uri="{C3380CC4-5D6E-409C-BE32-E72D297353CC}">
              <c16:uniqueId val="{00000001-33B7-47F9-B541-40ABD8A35170}"/>
            </c:ext>
          </c:extLst>
        </c:ser>
        <c:ser>
          <c:idx val="2"/>
          <c:order val="2"/>
          <c:tx>
            <c:strRef>
              <c:f>'V4.2.2'!$Q$11:$Q$12</c:f>
              <c:strCache>
                <c:ptCount val="1"/>
                <c:pt idx="0">
                  <c:v>Män</c:v>
                </c:pt>
              </c:strCache>
            </c:strRef>
          </c:tx>
          <c:spPr>
            <a:solidFill>
              <a:schemeClr val="accent3"/>
            </a:solidFill>
            <a:ln>
              <a:noFill/>
            </a:ln>
            <a:effectLst/>
          </c:spPr>
          <c:invertIfNegative val="0"/>
          <c:cat>
            <c:strRef>
              <c:f>'V4.2.2'!$N$13:$N$28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'V4.2.2'!$Q$13:$Q$28</c:f>
              <c:numCache>
                <c:formatCode>0</c:formatCode>
                <c:ptCount val="16"/>
                <c:pt idx="0">
                  <c:v>1991</c:v>
                </c:pt>
                <c:pt idx="1">
                  <c:v>2195</c:v>
                </c:pt>
                <c:pt idx="2">
                  <c:v>2121</c:v>
                </c:pt>
                <c:pt idx="3">
                  <c:v>2082</c:v>
                </c:pt>
                <c:pt idx="4">
                  <c:v>1832</c:v>
                </c:pt>
              </c:numCache>
            </c:numRef>
          </c:val>
          <c:extLst>
            <c:ext xmlns:c16="http://schemas.microsoft.com/office/drawing/2014/chart" uri="{C3380CC4-5D6E-409C-BE32-E72D297353CC}">
              <c16:uniqueId val="{00000002-33B7-47F9-B541-40ABD8A35170}"/>
            </c:ext>
          </c:extLst>
        </c:ser>
        <c:dLbls>
          <c:showLegendKey val="0"/>
          <c:showVal val="0"/>
          <c:showCatName val="0"/>
          <c:showSerName val="0"/>
          <c:showPercent val="0"/>
          <c:showBubbleSize val="0"/>
        </c:dLbls>
        <c:gapWidth val="219"/>
        <c:overlap val="-27"/>
        <c:axId val="1497676223"/>
        <c:axId val="1629149647"/>
      </c:barChart>
      <c:catAx>
        <c:axId val="1497676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29149647"/>
        <c:crosses val="autoZero"/>
        <c:auto val="1"/>
        <c:lblAlgn val="ctr"/>
        <c:lblOffset val="100"/>
        <c:noMultiLvlLbl val="0"/>
      </c:catAx>
      <c:valAx>
        <c:axId val="16291496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49767622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Baslinjemätning för uppföljning av handlingsplan - final - v2.xlsx]V4.2.3!PivotTable29</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solidFill>
                  <a:sysClr val="windowText" lastClr="000000"/>
                </a:solidFill>
                <a:effectLst/>
              </a:rPr>
              <a:t>Insatser enligt Case management-modeller i form av integrerande team till personer med psykisk sjukdom</a:t>
            </a:r>
            <a:endParaRPr lang="sv-SE">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strRef>
              <c:f>'V4.2.3'!$O$11:$O$12</c:f>
              <c:strCache>
                <c:ptCount val="1"/>
                <c:pt idx="0">
                  <c:v>Case management</c:v>
                </c:pt>
              </c:strCache>
            </c:strRef>
          </c:tx>
          <c:spPr>
            <a:solidFill>
              <a:schemeClr val="accent1"/>
            </a:solidFill>
            <a:ln>
              <a:noFill/>
            </a:ln>
            <a:effectLst/>
          </c:spPr>
          <c:invertIfNegative val="0"/>
          <c:cat>
            <c:strRef>
              <c:f>'V4.2.3'!$N$13:$N$22</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'V4.2.3'!$O$13:$O$22</c:f>
              <c:numCache>
                <c:formatCode>0.0%</c:formatCode>
                <c:ptCount val="10"/>
                <c:pt idx="0">
                  <c:v>0.21951219512195122</c:v>
                </c:pt>
                <c:pt idx="1">
                  <c:v>0.21739130434782608</c:v>
                </c:pt>
              </c:numCache>
            </c:numRef>
          </c:val>
          <c:extLst>
            <c:ext xmlns:c16="http://schemas.microsoft.com/office/drawing/2014/chart" uri="{C3380CC4-5D6E-409C-BE32-E72D297353CC}">
              <c16:uniqueId val="{00000000-B8B2-4116-A720-B9E694CB1EC5}"/>
            </c:ext>
          </c:extLst>
        </c:ser>
        <c:dLbls>
          <c:showLegendKey val="0"/>
          <c:showVal val="0"/>
          <c:showCatName val="0"/>
          <c:showSerName val="0"/>
          <c:showPercent val="0"/>
          <c:showBubbleSize val="0"/>
        </c:dLbls>
        <c:gapWidth val="219"/>
        <c:overlap val="-27"/>
        <c:axId val="318812544"/>
        <c:axId val="318814080"/>
      </c:barChart>
      <c:catAx>
        <c:axId val="31881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8814080"/>
        <c:crosses val="autoZero"/>
        <c:auto val="1"/>
        <c:lblAlgn val="ctr"/>
        <c:lblOffset val="100"/>
        <c:noMultiLvlLbl val="0"/>
      </c:catAx>
      <c:valAx>
        <c:axId val="3188140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88125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14</xdr:col>
      <xdr:colOff>685709</xdr:colOff>
      <xdr:row>2</xdr:row>
      <xdr:rowOff>220438</xdr:rowOff>
    </xdr:from>
    <xdr:to>
      <xdr:col>18</xdr:col>
      <xdr:colOff>123190</xdr:colOff>
      <xdr:row>4</xdr:row>
      <xdr:rowOff>20413</xdr:rowOff>
    </xdr:to>
    <xdr:pic>
      <xdr:nvPicPr>
        <xdr:cNvPr id="7" name="Picture 6">
          <a:extLst>
            <a:ext uri="{FF2B5EF4-FFF2-40B4-BE49-F238E27FC236}">
              <a16:creationId xmlns:a16="http://schemas.microsoft.com/office/drawing/2014/main" id="{AEA6C254-A31E-43E2-8AC1-C67886732D5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15309" y="590552"/>
          <a:ext cx="2398395" cy="485775"/>
        </a:xfrm>
        <a:prstGeom prst="rect">
          <a:avLst/>
        </a:prstGeom>
      </xdr:spPr>
    </xdr:pic>
    <xdr:clientData/>
  </xdr:twoCellAnchor>
  <xdr:twoCellAnchor editAs="oneCell">
    <xdr:from>
      <xdr:col>18</xdr:col>
      <xdr:colOff>584835</xdr:colOff>
      <xdr:row>2</xdr:row>
      <xdr:rowOff>254728</xdr:rowOff>
    </xdr:from>
    <xdr:to>
      <xdr:col>20</xdr:col>
      <xdr:colOff>478518</xdr:colOff>
      <xdr:row>3</xdr:row>
      <xdr:rowOff>381818</xdr:rowOff>
    </xdr:to>
    <xdr:pic>
      <xdr:nvPicPr>
        <xdr:cNvPr id="8" name="Picture 7">
          <a:extLst>
            <a:ext uri="{FF2B5EF4-FFF2-40B4-BE49-F238E27FC236}">
              <a16:creationId xmlns:a16="http://schemas.microsoft.com/office/drawing/2014/main" id="{88856C97-4D1C-4305-AD44-FCF8340BC488}"/>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973" t="19425" r="36802" b="15108"/>
        <a:stretch/>
      </xdr:blipFill>
      <xdr:spPr bwMode="auto">
        <a:xfrm>
          <a:off x="11775349" y="624842"/>
          <a:ext cx="1374140" cy="4210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180975</xdr:colOff>
      <xdr:row>2</xdr:row>
      <xdr:rowOff>233773</xdr:rowOff>
    </xdr:from>
    <xdr:to>
      <xdr:col>14</xdr:col>
      <xdr:colOff>225334</xdr:colOff>
      <xdr:row>4</xdr:row>
      <xdr:rowOff>728</xdr:rowOff>
    </xdr:to>
    <xdr:pic>
      <xdr:nvPicPr>
        <xdr:cNvPr id="9" name="Picture 8">
          <a:extLst>
            <a:ext uri="{FF2B5EF4-FFF2-40B4-BE49-F238E27FC236}">
              <a16:creationId xmlns:a16="http://schemas.microsoft.com/office/drawing/2014/main" id="{1ADDE5C2-420B-4520-AE67-EF14AD61B8AD}"/>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02" t="17751" r="20368" b="18333"/>
        <a:stretch/>
      </xdr:blipFill>
      <xdr:spPr bwMode="auto">
        <a:xfrm>
          <a:off x="6875689" y="603887"/>
          <a:ext cx="1579245" cy="452755"/>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152400</xdr:colOff>
      <xdr:row>32</xdr:row>
      <xdr:rowOff>174172</xdr:rowOff>
    </xdr:from>
    <xdr:to>
      <xdr:col>19</xdr:col>
      <xdr:colOff>805543</xdr:colOff>
      <xdr:row>54</xdr:row>
      <xdr:rowOff>38100</xdr:rowOff>
    </xdr:to>
    <xdr:graphicFrame macro="">
      <xdr:nvGraphicFramePr>
        <xdr:cNvPr id="3" name="Chart 2">
          <a:extLst>
            <a:ext uri="{FF2B5EF4-FFF2-40B4-BE49-F238E27FC236}">
              <a16:creationId xmlns:a16="http://schemas.microsoft.com/office/drawing/2014/main" id="{CDB85CD2-59FF-4F29-BCA6-CCBE3F3D22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152399</xdr:colOff>
      <xdr:row>32</xdr:row>
      <xdr:rowOff>141512</xdr:rowOff>
    </xdr:from>
    <xdr:to>
      <xdr:col>19</xdr:col>
      <xdr:colOff>1733550</xdr:colOff>
      <xdr:row>54</xdr:row>
      <xdr:rowOff>76199</xdr:rowOff>
    </xdr:to>
    <xdr:graphicFrame macro="">
      <xdr:nvGraphicFramePr>
        <xdr:cNvPr id="3" name="Chart 2">
          <a:extLst>
            <a:ext uri="{FF2B5EF4-FFF2-40B4-BE49-F238E27FC236}">
              <a16:creationId xmlns:a16="http://schemas.microsoft.com/office/drawing/2014/main" id="{DC1D91D5-B520-4C6D-9279-427A35F967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141514</xdr:colOff>
      <xdr:row>32</xdr:row>
      <xdr:rowOff>97971</xdr:rowOff>
    </xdr:from>
    <xdr:to>
      <xdr:col>19</xdr:col>
      <xdr:colOff>925286</xdr:colOff>
      <xdr:row>54</xdr:row>
      <xdr:rowOff>43542</xdr:rowOff>
    </xdr:to>
    <xdr:graphicFrame macro="">
      <xdr:nvGraphicFramePr>
        <xdr:cNvPr id="4" name="Chart 3">
          <a:extLst>
            <a:ext uri="{FF2B5EF4-FFF2-40B4-BE49-F238E27FC236}">
              <a16:creationId xmlns:a16="http://schemas.microsoft.com/office/drawing/2014/main" id="{44B7BE7A-B23A-4C23-9C41-4B7A3505C8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141513</xdr:colOff>
      <xdr:row>32</xdr:row>
      <xdr:rowOff>163284</xdr:rowOff>
    </xdr:from>
    <xdr:to>
      <xdr:col>19</xdr:col>
      <xdr:colOff>816428</xdr:colOff>
      <xdr:row>54</xdr:row>
      <xdr:rowOff>65313</xdr:rowOff>
    </xdr:to>
    <xdr:graphicFrame macro="">
      <xdr:nvGraphicFramePr>
        <xdr:cNvPr id="3" name="Chart 2">
          <a:extLst>
            <a:ext uri="{FF2B5EF4-FFF2-40B4-BE49-F238E27FC236}">
              <a16:creationId xmlns:a16="http://schemas.microsoft.com/office/drawing/2014/main" id="{872D10EB-3A3D-4C6D-B691-83B588026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119744</xdr:colOff>
      <xdr:row>32</xdr:row>
      <xdr:rowOff>130628</xdr:rowOff>
    </xdr:from>
    <xdr:to>
      <xdr:col>19</xdr:col>
      <xdr:colOff>881742</xdr:colOff>
      <xdr:row>54</xdr:row>
      <xdr:rowOff>65314</xdr:rowOff>
    </xdr:to>
    <xdr:graphicFrame macro="">
      <xdr:nvGraphicFramePr>
        <xdr:cNvPr id="2" name="Chart 1">
          <a:extLst>
            <a:ext uri="{FF2B5EF4-FFF2-40B4-BE49-F238E27FC236}">
              <a16:creationId xmlns:a16="http://schemas.microsoft.com/office/drawing/2014/main" id="{553D5B5F-1308-4F20-B203-77EE79B369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195943</xdr:colOff>
      <xdr:row>32</xdr:row>
      <xdr:rowOff>119742</xdr:rowOff>
    </xdr:from>
    <xdr:to>
      <xdr:col>19</xdr:col>
      <xdr:colOff>892629</xdr:colOff>
      <xdr:row>54</xdr:row>
      <xdr:rowOff>60960</xdr:rowOff>
    </xdr:to>
    <xdr:graphicFrame macro="">
      <xdr:nvGraphicFramePr>
        <xdr:cNvPr id="3" name="Chart 2">
          <a:extLst>
            <a:ext uri="{FF2B5EF4-FFF2-40B4-BE49-F238E27FC236}">
              <a16:creationId xmlns:a16="http://schemas.microsoft.com/office/drawing/2014/main" id="{7739FC71-689C-48C7-9282-1888084C72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195941</xdr:colOff>
      <xdr:row>33</xdr:row>
      <xdr:rowOff>-1</xdr:rowOff>
    </xdr:from>
    <xdr:to>
      <xdr:col>19</xdr:col>
      <xdr:colOff>870856</xdr:colOff>
      <xdr:row>54</xdr:row>
      <xdr:rowOff>76200</xdr:rowOff>
    </xdr:to>
    <xdr:graphicFrame macro="">
      <xdr:nvGraphicFramePr>
        <xdr:cNvPr id="3" name="Chart 2">
          <a:extLst>
            <a:ext uri="{FF2B5EF4-FFF2-40B4-BE49-F238E27FC236}">
              <a16:creationId xmlns:a16="http://schemas.microsoft.com/office/drawing/2014/main" id="{941F57A2-7318-455C-AA35-2763C30F89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97972</xdr:colOff>
      <xdr:row>32</xdr:row>
      <xdr:rowOff>87085</xdr:rowOff>
    </xdr:from>
    <xdr:to>
      <xdr:col>19</xdr:col>
      <xdr:colOff>892628</xdr:colOff>
      <xdr:row>54</xdr:row>
      <xdr:rowOff>76200</xdr:rowOff>
    </xdr:to>
    <xdr:graphicFrame macro="">
      <xdr:nvGraphicFramePr>
        <xdr:cNvPr id="3" name="Chart 2">
          <a:extLst>
            <a:ext uri="{FF2B5EF4-FFF2-40B4-BE49-F238E27FC236}">
              <a16:creationId xmlns:a16="http://schemas.microsoft.com/office/drawing/2014/main" id="{F707DA54-9FAB-4CF5-B15A-6CFFC0A511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195943</xdr:colOff>
      <xdr:row>33</xdr:row>
      <xdr:rowOff>21770</xdr:rowOff>
    </xdr:from>
    <xdr:to>
      <xdr:col>19</xdr:col>
      <xdr:colOff>859971</xdr:colOff>
      <xdr:row>54</xdr:row>
      <xdr:rowOff>54427</xdr:rowOff>
    </xdr:to>
    <xdr:graphicFrame macro="">
      <xdr:nvGraphicFramePr>
        <xdr:cNvPr id="3" name="Chart 2">
          <a:extLst>
            <a:ext uri="{FF2B5EF4-FFF2-40B4-BE49-F238E27FC236}">
              <a16:creationId xmlns:a16="http://schemas.microsoft.com/office/drawing/2014/main" id="{366CB718-FAE7-45FF-AEA5-D2E75510DF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108857</xdr:colOff>
      <xdr:row>32</xdr:row>
      <xdr:rowOff>108858</xdr:rowOff>
    </xdr:from>
    <xdr:to>
      <xdr:col>19</xdr:col>
      <xdr:colOff>870857</xdr:colOff>
      <xdr:row>54</xdr:row>
      <xdr:rowOff>114300</xdr:rowOff>
    </xdr:to>
    <xdr:graphicFrame macro="">
      <xdr:nvGraphicFramePr>
        <xdr:cNvPr id="3" name="Chart 2">
          <a:extLst>
            <a:ext uri="{FF2B5EF4-FFF2-40B4-BE49-F238E27FC236}">
              <a16:creationId xmlns:a16="http://schemas.microsoft.com/office/drawing/2014/main" id="{E8CF8762-2E65-452C-B094-99D84EF346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257990</xdr:colOff>
      <xdr:row>33</xdr:row>
      <xdr:rowOff>45719</xdr:rowOff>
    </xdr:from>
    <xdr:to>
      <xdr:col>18</xdr:col>
      <xdr:colOff>838200</xdr:colOff>
      <xdr:row>54</xdr:row>
      <xdr:rowOff>43542</xdr:rowOff>
    </xdr:to>
    <xdr:graphicFrame macro="">
      <xdr:nvGraphicFramePr>
        <xdr:cNvPr id="3" name="Chart 2">
          <a:extLst>
            <a:ext uri="{FF2B5EF4-FFF2-40B4-BE49-F238E27FC236}">
              <a16:creationId xmlns:a16="http://schemas.microsoft.com/office/drawing/2014/main" id="{4BC06494-EA7F-4155-92FC-4FB8962557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97972</xdr:colOff>
      <xdr:row>32</xdr:row>
      <xdr:rowOff>108857</xdr:rowOff>
    </xdr:from>
    <xdr:to>
      <xdr:col>19</xdr:col>
      <xdr:colOff>903514</xdr:colOff>
      <xdr:row>54</xdr:row>
      <xdr:rowOff>97971</xdr:rowOff>
    </xdr:to>
    <xdr:graphicFrame macro="">
      <xdr:nvGraphicFramePr>
        <xdr:cNvPr id="3" name="Chart 2">
          <a:extLst>
            <a:ext uri="{FF2B5EF4-FFF2-40B4-BE49-F238E27FC236}">
              <a16:creationId xmlns:a16="http://schemas.microsoft.com/office/drawing/2014/main" id="{BD0F2B49-C130-458F-8FE5-FB3F8763D8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160563</xdr:colOff>
      <xdr:row>32</xdr:row>
      <xdr:rowOff>133350</xdr:rowOff>
    </xdr:from>
    <xdr:to>
      <xdr:col>19</xdr:col>
      <xdr:colOff>849084</xdr:colOff>
      <xdr:row>54</xdr:row>
      <xdr:rowOff>119742</xdr:rowOff>
    </xdr:to>
    <xdr:graphicFrame macro="">
      <xdr:nvGraphicFramePr>
        <xdr:cNvPr id="2" name="Chart 1">
          <a:extLst>
            <a:ext uri="{FF2B5EF4-FFF2-40B4-BE49-F238E27FC236}">
              <a16:creationId xmlns:a16="http://schemas.microsoft.com/office/drawing/2014/main" id="{885991B9-A5C9-4C3E-8EE6-E9C6789E9B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141513</xdr:colOff>
      <xdr:row>32</xdr:row>
      <xdr:rowOff>130628</xdr:rowOff>
    </xdr:from>
    <xdr:to>
      <xdr:col>19</xdr:col>
      <xdr:colOff>933450</xdr:colOff>
      <xdr:row>54</xdr:row>
      <xdr:rowOff>87085</xdr:rowOff>
    </xdr:to>
    <xdr:graphicFrame macro="">
      <xdr:nvGraphicFramePr>
        <xdr:cNvPr id="4" name="Chart 3">
          <a:extLst>
            <a:ext uri="{FF2B5EF4-FFF2-40B4-BE49-F238E27FC236}">
              <a16:creationId xmlns:a16="http://schemas.microsoft.com/office/drawing/2014/main" id="{FDCCA167-938A-481B-8C98-A1FC4F16E1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87086</xdr:colOff>
      <xdr:row>32</xdr:row>
      <xdr:rowOff>97970</xdr:rowOff>
    </xdr:from>
    <xdr:to>
      <xdr:col>19</xdr:col>
      <xdr:colOff>903514</xdr:colOff>
      <xdr:row>54</xdr:row>
      <xdr:rowOff>87085</xdr:rowOff>
    </xdr:to>
    <xdr:graphicFrame macro="">
      <xdr:nvGraphicFramePr>
        <xdr:cNvPr id="3" name="Chart 2">
          <a:extLst>
            <a:ext uri="{FF2B5EF4-FFF2-40B4-BE49-F238E27FC236}">
              <a16:creationId xmlns:a16="http://schemas.microsoft.com/office/drawing/2014/main" id="{45DD3CD4-7D2F-4C23-8534-6BC214ABD8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185057</xdr:colOff>
      <xdr:row>32</xdr:row>
      <xdr:rowOff>97971</xdr:rowOff>
    </xdr:from>
    <xdr:to>
      <xdr:col>20</xdr:col>
      <xdr:colOff>0</xdr:colOff>
      <xdr:row>54</xdr:row>
      <xdr:rowOff>97970</xdr:rowOff>
    </xdr:to>
    <xdr:graphicFrame macro="">
      <xdr:nvGraphicFramePr>
        <xdr:cNvPr id="3" name="Chart 2">
          <a:extLst>
            <a:ext uri="{FF2B5EF4-FFF2-40B4-BE49-F238E27FC236}">
              <a16:creationId xmlns:a16="http://schemas.microsoft.com/office/drawing/2014/main" id="{547647F6-D1AF-4641-AF5D-D7EE5513DA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130629</xdr:colOff>
      <xdr:row>32</xdr:row>
      <xdr:rowOff>108856</xdr:rowOff>
    </xdr:from>
    <xdr:to>
      <xdr:col>19</xdr:col>
      <xdr:colOff>881743</xdr:colOff>
      <xdr:row>54</xdr:row>
      <xdr:rowOff>97971</xdr:rowOff>
    </xdr:to>
    <xdr:graphicFrame macro="">
      <xdr:nvGraphicFramePr>
        <xdr:cNvPr id="3" name="Chart 2">
          <a:extLst>
            <a:ext uri="{FF2B5EF4-FFF2-40B4-BE49-F238E27FC236}">
              <a16:creationId xmlns:a16="http://schemas.microsoft.com/office/drawing/2014/main" id="{A05B05B8-DFEA-49BE-9955-3DCA138CD3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97971</xdr:colOff>
      <xdr:row>32</xdr:row>
      <xdr:rowOff>130628</xdr:rowOff>
    </xdr:from>
    <xdr:to>
      <xdr:col>19</xdr:col>
      <xdr:colOff>2699657</xdr:colOff>
      <xdr:row>54</xdr:row>
      <xdr:rowOff>65313</xdr:rowOff>
    </xdr:to>
    <xdr:graphicFrame macro="">
      <xdr:nvGraphicFramePr>
        <xdr:cNvPr id="3" name="Chart 2">
          <a:extLst>
            <a:ext uri="{FF2B5EF4-FFF2-40B4-BE49-F238E27FC236}">
              <a16:creationId xmlns:a16="http://schemas.microsoft.com/office/drawing/2014/main" id="{B70C3A15-F831-4B82-B2CC-625BD55AC6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166255</xdr:colOff>
      <xdr:row>33</xdr:row>
      <xdr:rowOff>54428</xdr:rowOff>
    </xdr:from>
    <xdr:to>
      <xdr:col>19</xdr:col>
      <xdr:colOff>609600</xdr:colOff>
      <xdr:row>54</xdr:row>
      <xdr:rowOff>41564</xdr:rowOff>
    </xdr:to>
    <xdr:graphicFrame macro="">
      <xdr:nvGraphicFramePr>
        <xdr:cNvPr id="4" name="Chart 3">
          <a:extLst>
            <a:ext uri="{FF2B5EF4-FFF2-40B4-BE49-F238E27FC236}">
              <a16:creationId xmlns:a16="http://schemas.microsoft.com/office/drawing/2014/main" id="{F766F038-0D16-4F2C-B69A-A79C399EA7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174171</xdr:colOff>
      <xdr:row>33</xdr:row>
      <xdr:rowOff>21770</xdr:rowOff>
    </xdr:from>
    <xdr:to>
      <xdr:col>19</xdr:col>
      <xdr:colOff>827314</xdr:colOff>
      <xdr:row>54</xdr:row>
      <xdr:rowOff>38100</xdr:rowOff>
    </xdr:to>
    <xdr:graphicFrame macro="">
      <xdr:nvGraphicFramePr>
        <xdr:cNvPr id="3" name="Chart 2">
          <a:extLst>
            <a:ext uri="{FF2B5EF4-FFF2-40B4-BE49-F238E27FC236}">
              <a16:creationId xmlns:a16="http://schemas.microsoft.com/office/drawing/2014/main" id="{D2D2C8E5-26E5-4988-BEA2-D06C2DF39C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348342</xdr:colOff>
      <xdr:row>33</xdr:row>
      <xdr:rowOff>97970</xdr:rowOff>
    </xdr:from>
    <xdr:to>
      <xdr:col>19</xdr:col>
      <xdr:colOff>620486</xdr:colOff>
      <xdr:row>54</xdr:row>
      <xdr:rowOff>38099</xdr:rowOff>
    </xdr:to>
    <xdr:graphicFrame macro="">
      <xdr:nvGraphicFramePr>
        <xdr:cNvPr id="3" name="Chart 2">
          <a:extLst>
            <a:ext uri="{FF2B5EF4-FFF2-40B4-BE49-F238E27FC236}">
              <a16:creationId xmlns:a16="http://schemas.microsoft.com/office/drawing/2014/main" id="{DA07FC25-E3F1-49AF-B68F-599404F9A3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65313</xdr:colOff>
      <xdr:row>33</xdr:row>
      <xdr:rowOff>21772</xdr:rowOff>
    </xdr:from>
    <xdr:to>
      <xdr:col>19</xdr:col>
      <xdr:colOff>544286</xdr:colOff>
      <xdr:row>54</xdr:row>
      <xdr:rowOff>43543</xdr:rowOff>
    </xdr:to>
    <xdr:graphicFrame macro="">
      <xdr:nvGraphicFramePr>
        <xdr:cNvPr id="4" name="Chart 3">
          <a:extLst>
            <a:ext uri="{FF2B5EF4-FFF2-40B4-BE49-F238E27FC236}">
              <a16:creationId xmlns:a16="http://schemas.microsoft.com/office/drawing/2014/main" id="{2DA09B03-70FE-4068-BAEB-05332A15B1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257991</xdr:colOff>
      <xdr:row>33</xdr:row>
      <xdr:rowOff>32656</xdr:rowOff>
    </xdr:from>
    <xdr:to>
      <xdr:col>19</xdr:col>
      <xdr:colOff>740228</xdr:colOff>
      <xdr:row>54</xdr:row>
      <xdr:rowOff>19049</xdr:rowOff>
    </xdr:to>
    <xdr:graphicFrame macro="">
      <xdr:nvGraphicFramePr>
        <xdr:cNvPr id="3" name="Chart 2">
          <a:extLst>
            <a:ext uri="{FF2B5EF4-FFF2-40B4-BE49-F238E27FC236}">
              <a16:creationId xmlns:a16="http://schemas.microsoft.com/office/drawing/2014/main" id="{1EF3FEC2-BC64-4271-BCAD-1FB64A03C3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249382</xdr:colOff>
      <xdr:row>33</xdr:row>
      <xdr:rowOff>27709</xdr:rowOff>
    </xdr:from>
    <xdr:to>
      <xdr:col>19</xdr:col>
      <xdr:colOff>720436</xdr:colOff>
      <xdr:row>54</xdr:row>
      <xdr:rowOff>96981</xdr:rowOff>
    </xdr:to>
    <xdr:graphicFrame macro="">
      <xdr:nvGraphicFramePr>
        <xdr:cNvPr id="3" name="Chart 2">
          <a:extLst>
            <a:ext uri="{FF2B5EF4-FFF2-40B4-BE49-F238E27FC236}">
              <a16:creationId xmlns:a16="http://schemas.microsoft.com/office/drawing/2014/main" id="{535D4F3A-06CC-4B0E-9350-8C1B32DDA1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152399</xdr:colOff>
      <xdr:row>32</xdr:row>
      <xdr:rowOff>119743</xdr:rowOff>
    </xdr:from>
    <xdr:to>
      <xdr:col>19</xdr:col>
      <xdr:colOff>1513114</xdr:colOff>
      <xdr:row>54</xdr:row>
      <xdr:rowOff>19050</xdr:rowOff>
    </xdr:to>
    <xdr:graphicFrame macro="">
      <xdr:nvGraphicFramePr>
        <xdr:cNvPr id="3" name="Chart 2">
          <a:extLst>
            <a:ext uri="{FF2B5EF4-FFF2-40B4-BE49-F238E27FC236}">
              <a16:creationId xmlns:a16="http://schemas.microsoft.com/office/drawing/2014/main" id="{6F79ACC2-80DD-4FDA-B7D7-BD57B5A845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133350</xdr:colOff>
      <xdr:row>32</xdr:row>
      <xdr:rowOff>114300</xdr:rowOff>
    </xdr:from>
    <xdr:to>
      <xdr:col>19</xdr:col>
      <xdr:colOff>876300</xdr:colOff>
      <xdr:row>54</xdr:row>
      <xdr:rowOff>95250</xdr:rowOff>
    </xdr:to>
    <xdr:graphicFrame macro="">
      <xdr:nvGraphicFramePr>
        <xdr:cNvPr id="4" name="Chart 3">
          <a:extLst>
            <a:ext uri="{FF2B5EF4-FFF2-40B4-BE49-F238E27FC236}">
              <a16:creationId xmlns:a16="http://schemas.microsoft.com/office/drawing/2014/main" id="{29C045F2-0B0C-42FE-B428-BDAEB0E991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209550</xdr:colOff>
      <xdr:row>32</xdr:row>
      <xdr:rowOff>171450</xdr:rowOff>
    </xdr:from>
    <xdr:to>
      <xdr:col>19</xdr:col>
      <xdr:colOff>666750</xdr:colOff>
      <xdr:row>54</xdr:row>
      <xdr:rowOff>95249</xdr:rowOff>
    </xdr:to>
    <xdr:graphicFrame macro="">
      <xdr:nvGraphicFramePr>
        <xdr:cNvPr id="3" name="Chart 2">
          <a:extLst>
            <a:ext uri="{FF2B5EF4-FFF2-40B4-BE49-F238E27FC236}">
              <a16:creationId xmlns:a16="http://schemas.microsoft.com/office/drawing/2014/main" id="{BBEA4539-8788-41A4-839D-9132641009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152399</xdr:colOff>
      <xdr:row>32</xdr:row>
      <xdr:rowOff>138545</xdr:rowOff>
    </xdr:from>
    <xdr:to>
      <xdr:col>19</xdr:col>
      <xdr:colOff>872835</xdr:colOff>
      <xdr:row>54</xdr:row>
      <xdr:rowOff>43543</xdr:rowOff>
    </xdr:to>
    <xdr:graphicFrame macro="">
      <xdr:nvGraphicFramePr>
        <xdr:cNvPr id="2" name="Chart 1">
          <a:extLst>
            <a:ext uri="{FF2B5EF4-FFF2-40B4-BE49-F238E27FC236}">
              <a16:creationId xmlns:a16="http://schemas.microsoft.com/office/drawing/2014/main" id="{5D78533E-D732-46BE-BDF0-73776307D2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Soran Rabin Bozorg" refreshedDate="42930.881469444445" createdVersion="6" refreshedVersion="6" minRefreshableVersion="3" recordCount="48">
  <cacheSource type="worksheet">
    <worksheetSource name="'B8.2 DATA'!$A$11:$G$59"/>
  </cacheSource>
  <cacheFields count="7">
    <cacheField name="År" numFmtId="0">
      <sharedItems containsSemiMixedTypes="0" containsString="0" containsNumber="1" containsInteger="1" minValue="2010" maxValue="2025" count="16">
        <n v="2010"/>
        <n v="2011"/>
        <n v="2012"/>
        <n v="2013"/>
        <n v="2014"/>
        <n v="2015"/>
        <n v="2016"/>
        <n v="2017"/>
        <n v="2018"/>
        <n v="2019"/>
        <n v="2020"/>
        <n v="2021"/>
        <n v="2022"/>
        <n v="2023"/>
        <n v="2024"/>
        <n v="2025"/>
      </sharedItems>
    </cacheField>
    <cacheField name="Kön" numFmtId="0">
      <sharedItems count="3">
        <s v="Män"/>
        <s v="Kvinnor"/>
        <s v="Båda könen"/>
      </sharedItems>
    </cacheField>
    <cacheField name="0­4" numFmtId="0">
      <sharedItems containsString="0" containsBlank="1" containsNumber="1" minValue="0" maxValue="1.97"/>
    </cacheField>
    <cacheField name="5­9" numFmtId="0">
      <sharedItems containsString="0" containsBlank="1" containsNumber="1" containsInteger="1" minValue="0" maxValue="0"/>
    </cacheField>
    <cacheField name="10­14" numFmtId="0">
      <sharedItems containsString="0" containsBlank="1" containsNumber="1" minValue="2.36" maxValue="51.07"/>
    </cacheField>
    <cacheField name="15­19" numFmtId="0">
      <sharedItems containsString="0" containsBlank="1" containsNumber="1" minValue="48.91" maxValue="279.88"/>
    </cacheField>
    <cacheField name="0-19" numFmtId="0">
      <sharedItems containsString="0" containsBlank="1" containsNumber="1" minValue="15.5" maxValue="86.58"/>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Alice Fredrikson" refreshedDate="42977.760018634261" createdVersion="6" refreshedVersion="6" minRefreshableVersion="3" recordCount="12">
  <cacheSource type="worksheet">
    <worksheetSource ref="A11:AZ23" sheet="B1.2.1 DATA"/>
  </cacheSource>
  <cacheFields count="52">
    <cacheField name="År" numFmtId="0">
      <sharedItems containsSemiMixedTypes="0" containsString="0" containsNumber="1" containsInteger="1" minValue="2014" maxValue="2025" count="12">
        <n v="2014"/>
        <n v="2015"/>
        <n v="2016"/>
        <n v="2017"/>
        <n v="2018"/>
        <n v="2019"/>
        <n v="2020"/>
        <n v="2021"/>
        <n v="2022"/>
        <n v="2023"/>
        <n v="2024"/>
        <n v="2025"/>
      </sharedItems>
    </cacheField>
    <cacheField name="Nyckeltal" numFmtId="0">
      <sharedItems count="1">
        <s v="Ej fullföljd utbildning inom 3 år"/>
      </sharedItems>
    </cacheField>
    <cacheField name="Ale" numFmtId="9">
      <sharedItems containsMixedTypes="1" containsNumber="1" minValue="0.59" maxValue="0.64"/>
    </cacheField>
    <cacheField name="Alingsås" numFmtId="9">
      <sharedItems containsMixedTypes="1" containsNumber="1" minValue="0.66" maxValue="0.68"/>
    </cacheField>
    <cacheField name="Bengtsfors" numFmtId="9">
      <sharedItems containsMixedTypes="1" containsNumber="1" minValue="0.64" maxValue="0.67"/>
    </cacheField>
    <cacheField name="Bollebygd" numFmtId="9">
      <sharedItems containsMixedTypes="1" containsNumber="1" minValue="0.68" maxValue="0.73"/>
    </cacheField>
    <cacheField name="Borås" numFmtId="9">
      <sharedItems containsMixedTypes="1" containsNumber="1" minValue="0.65" maxValue="0.65"/>
    </cacheField>
    <cacheField name="Dals-Ed" numFmtId="9">
      <sharedItems containsMixedTypes="1" containsNumber="1" minValue="0.64" maxValue="0.72"/>
    </cacheField>
    <cacheField name="Essunga" numFmtId="9">
      <sharedItems containsMixedTypes="1" containsNumber="1" minValue="0.52" maxValue="0.66"/>
    </cacheField>
    <cacheField name="Falköping" numFmtId="9">
      <sharedItems containsMixedTypes="1" containsNumber="1" minValue="0.63" maxValue="0.68"/>
    </cacheField>
    <cacheField name="Färgelanda" numFmtId="9">
      <sharedItems containsMixedTypes="1" containsNumber="1" minValue="0.41000000000000003" maxValue="0.65"/>
    </cacheField>
    <cacheField name="Grästorp" numFmtId="9">
      <sharedItems containsMixedTypes="1" containsNumber="1" minValue="0.69000000000000006" maxValue="0.83000000000000007"/>
    </cacheField>
    <cacheField name="Gullspång" numFmtId="9">
      <sharedItems containsMixedTypes="1" containsNumber="1" minValue="0.52" maxValue="0.65"/>
    </cacheField>
    <cacheField name="Göteborg" numFmtId="9">
      <sharedItems containsMixedTypes="1" containsNumber="1" minValue="0.57000000000000006" maxValue="0.61"/>
    </cacheField>
    <cacheField name="Götene" numFmtId="9">
      <sharedItems containsMixedTypes="1" containsNumber="1" minValue="0.62" maxValue="0.74"/>
    </cacheField>
    <cacheField name="Herrljunga" numFmtId="9">
      <sharedItems containsMixedTypes="1" containsNumber="1" minValue="0.69000000000000006" maxValue="0.75"/>
    </cacheField>
    <cacheField name="Hjo" numFmtId="9">
      <sharedItems containsMixedTypes="1" containsNumber="1" minValue="0.63" maxValue="0.79"/>
    </cacheField>
    <cacheField name="Härryda" numFmtId="9">
      <sharedItems containsMixedTypes="1" containsNumber="1" minValue="0.69000000000000006" maxValue="0.71"/>
    </cacheField>
    <cacheField name="Karlsborg" numFmtId="9">
      <sharedItems containsMixedTypes="1" containsNumber="1" minValue="0.67" maxValue="0.75"/>
    </cacheField>
    <cacheField name="Kungälv" numFmtId="9">
      <sharedItems containsMixedTypes="1" containsNumber="1" minValue="0.65" maxValue="0.69000000000000006"/>
    </cacheField>
    <cacheField name="Lerum" numFmtId="9">
      <sharedItems containsMixedTypes="1" containsNumber="1" minValue="0.70000000000000007" maxValue="0.71"/>
    </cacheField>
    <cacheField name="Lidköping" numFmtId="9">
      <sharedItems containsMixedTypes="1" containsNumber="1" minValue="0.67" maxValue="0.75"/>
    </cacheField>
    <cacheField name="Lilla Edet" numFmtId="9">
      <sharedItems containsMixedTypes="1" containsNumber="1" minValue="0.59" maxValue="0.68"/>
    </cacheField>
    <cacheField name="Lysekil" numFmtId="9">
      <sharedItems containsMixedTypes="1" containsNumber="1" minValue="0.56000000000000005" maxValue="0.62"/>
    </cacheField>
    <cacheField name="Mariestad" numFmtId="9">
      <sharedItems containsMixedTypes="1" containsNumber="1" minValue="0.69000000000000006" maxValue="0.77"/>
    </cacheField>
    <cacheField name="Mark" numFmtId="9">
      <sharedItems containsMixedTypes="1" containsNumber="1" minValue="0.66" maxValue="0.72"/>
    </cacheField>
    <cacheField name="Mellerud" numFmtId="9">
      <sharedItems containsMixedTypes="1" containsNumber="1" minValue="0.63" maxValue="0.65"/>
    </cacheField>
    <cacheField name="Munkedal" numFmtId="9">
      <sharedItems containsMixedTypes="1" containsNumber="1" minValue="0.66" maxValue="0.68"/>
    </cacheField>
    <cacheField name="Mölndal" numFmtId="9">
      <sharedItems containsMixedTypes="1" containsNumber="1" minValue="0.67" maxValue="0.68"/>
    </cacheField>
    <cacheField name="Orust" numFmtId="9">
      <sharedItems containsMixedTypes="1" containsNumber="1" minValue="0.69000000000000006" maxValue="0.71"/>
    </cacheField>
    <cacheField name="Partille" numFmtId="9">
      <sharedItems containsMixedTypes="1" containsNumber="1" minValue="0.68" maxValue="0.73"/>
    </cacheField>
    <cacheField name="Skara" numFmtId="9">
      <sharedItems containsMixedTypes="1" containsNumber="1" minValue="0.65" maxValue="0.72"/>
    </cacheField>
    <cacheField name="Skövde" numFmtId="9">
      <sharedItems containsMixedTypes="1" containsNumber="1" minValue="0.68" maxValue="0.76"/>
    </cacheField>
    <cacheField name="Sotenäs" numFmtId="9">
      <sharedItems containsMixedTypes="1" containsNumber="1" minValue="0.62" maxValue="0.77"/>
    </cacheField>
    <cacheField name="Stenungssund" numFmtId="9">
      <sharedItems containsMixedTypes="1" containsNumber="1" minValue="0.64" maxValue="0.69000000000000006"/>
    </cacheField>
    <cacheField name="Strömstad" numFmtId="9">
      <sharedItems containsMixedTypes="1" containsNumber="1" minValue="0.59" maxValue="0.63"/>
    </cacheField>
    <cacheField name="Svenljunga" numFmtId="9">
      <sharedItems containsMixedTypes="1" containsNumber="1" minValue="0.61" maxValue="0.78"/>
    </cacheField>
    <cacheField name="Tanum" numFmtId="9">
      <sharedItems containsMixedTypes="1" containsNumber="1" minValue="0.66" maxValue="0.71"/>
    </cacheField>
    <cacheField name="Tibro" numFmtId="9">
      <sharedItems containsMixedTypes="1" containsNumber="1" minValue="0.62" maxValue="0.79"/>
    </cacheField>
    <cacheField name="Tidaholm" numFmtId="9">
      <sharedItems containsMixedTypes="1" containsNumber="1" minValue="0.65" maxValue="0.67"/>
    </cacheField>
    <cacheField name="Tjörn" numFmtId="9">
      <sharedItems containsMixedTypes="1" containsNumber="1" minValue="0.66" maxValue="0.71"/>
    </cacheField>
    <cacheField name="Tranemo" numFmtId="9">
      <sharedItems containsMixedTypes="1" containsNumber="1" minValue="0.68" maxValue="0.79"/>
    </cacheField>
    <cacheField name="Trollhättan" numFmtId="9">
      <sharedItems containsMixedTypes="1" containsNumber="1" minValue="0.62" maxValue="0.68"/>
    </cacheField>
    <cacheField name="Töreboda" numFmtId="9">
      <sharedItems containsMixedTypes="1" containsNumber="1" minValue="0.70000000000000007" maxValue="0.77"/>
    </cacheField>
    <cacheField name="Uddevalla" numFmtId="9">
      <sharedItems containsMixedTypes="1" containsNumber="1" minValue="0.64" maxValue="0.65"/>
    </cacheField>
    <cacheField name="Ulricehamn" numFmtId="9">
      <sharedItems containsMixedTypes="1" containsNumber="1" minValue="0.68" maxValue="0.75"/>
    </cacheField>
    <cacheField name="Vara" numFmtId="9">
      <sharedItems containsMixedTypes="1" containsNumber="1" minValue="0.6" maxValue="0.68"/>
    </cacheField>
    <cacheField name="Vårgårda" numFmtId="9">
      <sharedItems containsMixedTypes="1" containsNumber="1" minValue="0.56000000000000005" maxValue="0.69000000000000006"/>
    </cacheField>
    <cacheField name="Vänersborg" numFmtId="9">
      <sharedItems containsMixedTypes="1" containsNumber="1" minValue="0.68" maxValue="0.73"/>
    </cacheField>
    <cacheField name="Åmål" numFmtId="9">
      <sharedItems containsMixedTypes="1" containsNumber="1" minValue="0.66" maxValue="0.72"/>
    </cacheField>
    <cacheField name="Öckerö" numFmtId="9">
      <sharedItems containsMixedTypes="1" containsNumber="1" minValue="0.64" maxValue="0.79"/>
    </cacheField>
    <cacheField name="VGR" numFmtId="9">
      <sharedItems containsMixedTypes="1" containsNumber="1" minValue="0.64" maxValue="0.66"/>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Alice Fredrikson" refreshedDate="42977.760018981484" createdVersion="6" refreshedVersion="6" minRefreshableVersion="3" recordCount="16">
  <cacheSource type="worksheet">
    <worksheetSource ref="A11:AZ27" sheet="B1.2.2 DATA"/>
  </cacheSource>
  <cacheFields count="52">
    <cacheField name="År" numFmtId="0">
      <sharedItems containsSemiMixedTypes="0" containsString="0" containsNumber="1" containsInteger="1" minValue="2010" maxValue="2025" count="16">
        <n v="2010"/>
        <n v="2011"/>
        <n v="2012"/>
        <n v="2013"/>
        <n v="2014"/>
        <n v="2015"/>
        <n v="2016"/>
        <n v="2017"/>
        <n v="2018"/>
        <n v="2019"/>
        <n v="2020"/>
        <n v="2021"/>
        <n v="2022"/>
        <n v="2023"/>
        <n v="2024"/>
        <n v="2025"/>
      </sharedItems>
    </cacheField>
    <cacheField name="Nyckeltal" numFmtId="0">
      <sharedItems count="1">
        <s v="Ej uppnått kunskapskraven"/>
      </sharedItems>
    </cacheField>
    <cacheField name="Ale" numFmtId="9">
      <sharedItems containsMixedTypes="1" containsNumber="1" minValue="0.28399999999999997" maxValue="0.40700000000000003"/>
    </cacheField>
    <cacheField name="Alingsås" numFmtId="9">
      <sharedItems containsMixedTypes="1" containsNumber="1" minValue="0.115" maxValue="0.23500000000000001"/>
    </cacheField>
    <cacheField name="Bengtsfors" numFmtId="9">
      <sharedItems containsMixedTypes="1" containsNumber="1" minValue="0.27200000000000002" maxValue="0.41200000000000003"/>
    </cacheField>
    <cacheField name="Bollebygd" numFmtId="9">
      <sharedItems containsMixedTypes="1" containsNumber="1" minValue="0.129" maxValue="0.26700000000000002"/>
    </cacheField>
    <cacheField name="Borås" numFmtId="9">
      <sharedItems containsMixedTypes="1" containsNumber="1" minValue="0.22" maxValue="0.26200000000000001"/>
    </cacheField>
    <cacheField name="Dals-Ed" numFmtId="9">
      <sharedItems containsMixedTypes="1" containsNumber="1" minValue="0.105" maxValue="0.436"/>
    </cacheField>
    <cacheField name="Essunga" numFmtId="9">
      <sharedItems containsMixedTypes="1" containsNumber="1" minValue="3.7000000000000005E-2" maxValue="0.28600000000000003"/>
    </cacheField>
    <cacheField name="Falköping" numFmtId="9">
      <sharedItems containsMixedTypes="1" containsNumber="1" minValue="0.255" maxValue="0.33200000000000002"/>
    </cacheField>
    <cacheField name="Färgelanda" numFmtId="9">
      <sharedItems containsMixedTypes="1" containsNumber="1" minValue="0.314" maxValue="0.53200000000000003"/>
    </cacheField>
    <cacheField name="Grästorp" numFmtId="9">
      <sharedItems containsMixedTypes="1" containsNumber="1" minValue="0.19399999999999998" maxValue="0.28399999999999997"/>
    </cacheField>
    <cacheField name="Gullspång" numFmtId="9">
      <sharedItems containsMixedTypes="1" containsNumber="1" minValue="0.217" maxValue="0.43100000000000005"/>
    </cacheField>
    <cacheField name="Göteborg" numFmtId="9">
      <sharedItems containsMixedTypes="1" containsNumber="1" minValue="0.27500000000000002" maxValue="0.34600000000000003"/>
    </cacheField>
    <cacheField name="Götene" numFmtId="9">
      <sharedItems containsMixedTypes="1" containsNumber="1" minValue="0.13200000000000001" maxValue="0.25900000000000001"/>
    </cacheField>
    <cacheField name="Herrljunga" numFmtId="9">
      <sharedItems containsMixedTypes="1" containsNumber="1" minValue="0.16300000000000001" maxValue="0.23300000000000001"/>
    </cacheField>
    <cacheField name="Hjo" numFmtId="9">
      <sharedItems containsMixedTypes="1" containsNumber="1" minValue="0.14800000000000002" maxValue="0.32"/>
    </cacheField>
    <cacheField name="Härryda" numFmtId="9">
      <sharedItems containsMixedTypes="1" containsNumber="1" minValue="0.11" maxValue="0.14099999999999999"/>
    </cacheField>
    <cacheField name="Karlsborg" numFmtId="9">
      <sharedItems containsMixedTypes="1" containsNumber="1" minValue="5.2999999999999999E-2" maxValue="0.16"/>
    </cacheField>
    <cacheField name="Kungälv" numFmtId="9">
      <sharedItems containsMixedTypes="1" containsNumber="1" minValue="0.14199999999999999" maxValue="0.23399999999999999"/>
    </cacheField>
    <cacheField name="Lerum" numFmtId="9">
      <sharedItems containsMixedTypes="1" containsNumber="1" minValue="0.13300000000000001" maxValue="0.22600000000000001"/>
    </cacheField>
    <cacheField name="Lidköping" numFmtId="9">
      <sharedItems containsMixedTypes="1" containsNumber="1" minValue="0.154" maxValue="0.25800000000000001"/>
    </cacheField>
    <cacheField name="Lilla Edet" numFmtId="9">
      <sharedItems containsMixedTypes="1" containsNumber="1" minValue="0.29600000000000004" maxValue="0.379"/>
    </cacheField>
    <cacheField name="Lysekil" numFmtId="9">
      <sharedItems containsMixedTypes="1" containsNumber="1" minValue="0.18300000000000002" maxValue="0.28899999999999998"/>
    </cacheField>
    <cacheField name="Mariestad" numFmtId="9">
      <sharedItems containsMixedTypes="1" containsNumber="1" minValue="0.20399999999999999" maxValue="0.27"/>
    </cacheField>
    <cacheField name="Mark" numFmtId="9">
      <sharedItems containsMixedTypes="1" containsNumber="1" minValue="0.22100000000000003" maxValue="0.27300000000000002"/>
    </cacheField>
    <cacheField name="Mellerud" numFmtId="9">
      <sharedItems containsMixedTypes="1" containsNumber="1" minValue="0.20699999999999999" maxValue="0.43200000000000005"/>
    </cacheField>
    <cacheField name="Munkedal" numFmtId="9">
      <sharedItems containsMixedTypes="1" containsNumber="1" minValue="0.18100000000000002" maxValue="0.33899999999999997"/>
    </cacheField>
    <cacheField name="Mölndal" numFmtId="9">
      <sharedItems containsMixedTypes="1" containsNumber="1" minValue="0.17" maxValue="0.22"/>
    </cacheField>
    <cacheField name="Orust" numFmtId="9">
      <sharedItems containsMixedTypes="1" containsNumber="1" minValue="0.159" maxValue="0.308"/>
    </cacheField>
    <cacheField name="Partille" numFmtId="9">
      <sharedItems containsMixedTypes="1" containsNumber="1" minValue="0.13500000000000001" maxValue="0.192"/>
    </cacheField>
    <cacheField name="Skara" numFmtId="9">
      <sharedItems containsMixedTypes="1" containsNumber="1" minValue="0.17699999999999999" maxValue="0.23300000000000001"/>
    </cacheField>
    <cacheField name="Skövde" numFmtId="9">
      <sharedItems containsMixedTypes="1" containsNumber="1" minValue="0.17" maxValue="0.27200000000000002"/>
    </cacheField>
    <cacheField name="Sotenäs" numFmtId="9">
      <sharedItems containsMixedTypes="1" containsNumber="1" minValue="0.02" maxValue="0.192"/>
    </cacheField>
    <cacheField name="Stenungssund" numFmtId="9">
      <sharedItems containsMixedTypes="1" containsNumber="1" minValue="0.111" maxValue="0.18100000000000002"/>
    </cacheField>
    <cacheField name="Strömstad" numFmtId="9">
      <sharedItems containsMixedTypes="1" containsNumber="1" minValue="0.14300000000000002" maxValue="0.33"/>
    </cacheField>
    <cacheField name="Svenljunga" numFmtId="9">
      <sharedItems containsMixedTypes="1" containsNumber="1" minValue="0.127" maxValue="0.39"/>
    </cacheField>
    <cacheField name="Tanum" numFmtId="9">
      <sharedItems containsMixedTypes="1" containsNumber="1" minValue="0.153" maxValue="0.28899999999999998"/>
    </cacheField>
    <cacheField name="Tibro" numFmtId="9">
      <sharedItems containsMixedTypes="1" containsNumber="1" minValue="0.20300000000000001" maxValue="0.4"/>
    </cacheField>
    <cacheField name="Tidaholm" numFmtId="9">
      <sharedItems containsMixedTypes="1" containsNumber="1" minValue="0.214" maxValue="0.29699999999999999"/>
    </cacheField>
    <cacheField name="Tjörn" numFmtId="9">
      <sharedItems containsMixedTypes="1" containsNumber="1" minValue="9.1999999999999998E-2" maxValue="0.14599999999999999"/>
    </cacheField>
    <cacheField name="Tranemo" numFmtId="9">
      <sharedItems containsMixedTypes="1" containsNumber="1" minValue="0.24300000000000002" maxValue="0.36200000000000004"/>
    </cacheField>
    <cacheField name="Trollhättan" numFmtId="9">
      <sharedItems containsMixedTypes="1" containsNumber="1" minValue="0.25600000000000001" maxValue="0.35399999999999998"/>
    </cacheField>
    <cacheField name="Töreboda" numFmtId="9">
      <sharedItems containsMixedTypes="1" containsNumber="1" minValue="0.20800000000000002" maxValue="0.28399999999999997"/>
    </cacheField>
    <cacheField name="Uddevalla" numFmtId="9">
      <sharedItems containsMixedTypes="1" containsNumber="1" minValue="0.20399999999999999" maxValue="0.30199999999999999"/>
    </cacheField>
    <cacheField name="Ulricehamn" numFmtId="9">
      <sharedItems containsMixedTypes="1" containsNumber="1" minValue="0.27100000000000002" maxValue="0.31900000000000001"/>
    </cacheField>
    <cacheField name="Vara" numFmtId="9">
      <sharedItems containsMixedTypes="1" containsNumber="1" minValue="0.20600000000000002" maxValue="0.23699999999999999"/>
    </cacheField>
    <cacheField name="Vårgårda" numFmtId="9">
      <sharedItems containsMixedTypes="1" containsNumber="1" minValue="0.17800000000000002" maxValue="0.29499999999999998"/>
    </cacheField>
    <cacheField name="Vänersborg" numFmtId="9">
      <sharedItems containsMixedTypes="1" containsNumber="1" minValue="0.245" maxValue="0.308"/>
    </cacheField>
    <cacheField name="Åmål" numFmtId="9">
      <sharedItems containsMixedTypes="1" containsNumber="1" minValue="0.16899999999999998" maxValue="0.30599999999999999"/>
    </cacheField>
    <cacheField name="Öckerö" numFmtId="9">
      <sharedItems containsMixedTypes="1" containsNumber="1" minValue="0.107" maxValue="0.19700000000000001"/>
    </cacheField>
    <cacheField name="VGR" numFmtId="9">
      <sharedItems containsMixedTypes="1" containsNumber="1" minValue="0.23100000000000001" maxValue="0.26300000000000001"/>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Alice Fredrikson" refreshedDate="42977.760019328707" createdVersion="6" refreshedVersion="6" minRefreshableVersion="3" recordCount="10">
  <cacheSource type="worksheet">
    <worksheetSource ref="A13:H23" sheet="B1.1.2 DATA"/>
  </cacheSource>
  <cacheFields count="8">
    <cacheField name="År" numFmtId="0">
      <sharedItems containsSemiMixedTypes="0" containsString="0" containsNumber="1" containsInteger="1" minValue="2016" maxValue="2025" count="10">
        <n v="2016"/>
        <n v="2017"/>
        <n v="2018"/>
        <n v="2019"/>
        <n v="2020"/>
        <n v="2021"/>
        <n v="2022"/>
        <n v="2023"/>
        <n v="2024"/>
        <n v="2025"/>
      </sharedItems>
    </cacheField>
    <cacheField name="Nyckeltal" numFmtId="0">
      <sharedItems count="1">
        <s v="Standardiserade bedömningsmetoder"/>
      </sharedItems>
    </cacheField>
    <cacheField name="Delregion Fyrbodal" numFmtId="9">
      <sharedItems containsMixedTypes="1" containsNumber="1" minValue="0" maxValue="0.23076923076923078"/>
    </cacheField>
    <cacheField name="Delregion Göteborg" numFmtId="9">
      <sharedItems containsMixedTypes="1" containsNumber="1" containsInteger="1" minValue="0" maxValue="0"/>
    </cacheField>
    <cacheField name="Delregion SIMBA" numFmtId="9">
      <sharedItems containsMixedTypes="1" containsNumber="1" containsInteger="1" minValue="0" maxValue="0"/>
    </cacheField>
    <cacheField name="Delregion Skaraborg" numFmtId="9">
      <sharedItems containsMixedTypes="1" containsNumber="1" minValue="0" maxValue="8.3333333333333329E-2"/>
    </cacheField>
    <cacheField name="Delregion Södra Älvsborg" numFmtId="9">
      <sharedItems containsMixedTypes="1" containsNumber="1" minValue="0" maxValue="0.1111111111111111"/>
    </cacheField>
    <cacheField name="VGR" numFmtId="9">
      <sharedItems containsMixedTypes="1" containsNumber="1" minValue="0" maxValue="0.125"/>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Alice Fredrikson" refreshedDate="42977.760019791669" createdVersion="6" refreshedVersion="6" minRefreshableVersion="3" recordCount="10">
  <cacheSource type="worksheet">
    <worksheetSource ref="A13:H23" sheet="B1.1.1 DATA"/>
  </cacheSource>
  <cacheFields count="8">
    <cacheField name="År" numFmtId="0">
      <sharedItems containsSemiMixedTypes="0" containsString="0" containsNumber="1" containsInteger="1" minValue="2016" maxValue="2025" count="10">
        <n v="2016"/>
        <n v="2017"/>
        <n v="2018"/>
        <n v="2019"/>
        <n v="2020"/>
        <n v="2021"/>
        <n v="2022"/>
        <n v="2023"/>
        <n v="2024"/>
        <n v="2025"/>
      </sharedItems>
    </cacheField>
    <cacheField name="Nyckeltal" numFmtId="0">
      <sharedItems count="1">
        <s v="Manualbaserad föräldrastöd"/>
      </sharedItems>
    </cacheField>
    <cacheField name="Delregion Fyrbodal" numFmtId="9">
      <sharedItems containsMixedTypes="1" containsNumber="1" minValue="0.46153846153846156" maxValue="0.46666666666666667"/>
    </cacheField>
    <cacheField name="Delregion Göteborg" numFmtId="9">
      <sharedItems containsMixedTypes="1" containsNumber="1" minValue="0" maxValue="0.5"/>
    </cacheField>
    <cacheField name="Delregion SIMBA" numFmtId="9">
      <sharedItems containsMixedTypes="1" containsNumber="1" minValue="0.25" maxValue="0.75"/>
    </cacheField>
    <cacheField name="Delregion Skaraborg" numFmtId="9">
      <sharedItems containsMixedTypes="1" containsNumber="1" minValue="0.53333333333333333" maxValue="0.66666666666666663"/>
    </cacheField>
    <cacheField name="Delregion Södra Älvsborg" numFmtId="9">
      <sharedItems containsMixedTypes="1" containsNumber="1" minValue="0.44444444444444442" maxValue="0.55555555555555558"/>
    </cacheField>
    <cacheField name="VGR" numFmtId="9">
      <sharedItems containsMixedTypes="1" containsNumber="1" minValue="0.5" maxValue="0.51111111111111107"/>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Alice Fredrikson" refreshedDate="42977.760020138892" createdVersion="6" refreshedVersion="6" minRefreshableVersion="3" recordCount="60">
  <cacheSource type="worksheet">
    <worksheetSource ref="A13:H73" sheet="V4.2.4 DATA"/>
  </cacheSource>
  <cacheFields count="8">
    <cacheField name="År" numFmtId="0">
      <sharedItems containsSemiMixedTypes="0" containsString="0" containsNumber="1" containsInteger="1" minValue="2016" maxValue="2025" count="10">
        <n v="2016"/>
        <n v="2017"/>
        <n v="2018"/>
        <n v="2019"/>
        <n v="2020"/>
        <n v="2021"/>
        <n v="2022"/>
        <n v="2023"/>
        <n v="2024"/>
        <n v="2025"/>
      </sharedItems>
    </cacheField>
    <cacheField name="Nyckeltal" numFmtId="0">
      <sharedItems count="6">
        <s v="Ekonomiskt bistånd - LSS"/>
        <s v="Ekonomiskt bistånd - Missbruk"/>
        <s v="Ekonomiskt bistånd - Socialpsykiatri"/>
        <s v="LSS - Missbruk"/>
        <s v="LSS - Socialpsykiatri"/>
        <s v="Missbruk - Socialpsykiatri"/>
      </sharedItems>
    </cacheField>
    <cacheField name="Delregion Fyrbodal" numFmtId="9">
      <sharedItems containsMixedTypes="1" containsNumber="1" minValue="0.33333333333333331" maxValue="0.8666666666666667"/>
    </cacheField>
    <cacheField name="Delregion Göteborg" numFmtId="9">
      <sharedItems containsMixedTypes="1" containsNumber="1" minValue="0" maxValue="1"/>
    </cacheField>
    <cacheField name="Delregion SIMBA" numFmtId="9">
      <sharedItems containsMixedTypes="1" containsNumber="1" minValue="0.25" maxValue="0.5"/>
    </cacheField>
    <cacheField name="Delregion Skaraborg" numFmtId="9">
      <sharedItems containsMixedTypes="1" containsNumber="1" minValue="0.33333333333333331" maxValue="0.91666666666666663"/>
    </cacheField>
    <cacheField name="Delregion Södra Älvsborg" numFmtId="9">
      <sharedItems containsMixedTypes="1" containsNumber="1" minValue="0.22222222222222221" maxValue="0.77777777777777779"/>
    </cacheField>
    <cacheField name="VGR" numFmtId="9">
      <sharedItems containsMixedTypes="1" containsNumber="1" minValue="0.32608695652173914" maxValue="0.73170731707317072"/>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Alice Fredrikson" refreshedDate="42977.760020486108" createdVersion="6" refreshedVersion="6" minRefreshableVersion="3" recordCount="10">
  <cacheSource type="worksheet">
    <worksheetSource ref="A13:H23" sheet="V4.2.3 DATA"/>
  </cacheSource>
  <cacheFields count="8">
    <cacheField name="År" numFmtId="0">
      <sharedItems containsSemiMixedTypes="0" containsString="0" containsNumber="1" containsInteger="1" minValue="2016" maxValue="2025" count="10">
        <n v="2016"/>
        <n v="2017"/>
        <n v="2018"/>
        <n v="2019"/>
        <n v="2020"/>
        <n v="2021"/>
        <n v="2022"/>
        <n v="2023"/>
        <n v="2024"/>
        <n v="2025"/>
      </sharedItems>
    </cacheField>
    <cacheField name="Nyckeltal" numFmtId="0">
      <sharedItems count="1">
        <s v="Case management"/>
      </sharedItems>
    </cacheField>
    <cacheField name="Delregion Fyrbodal" numFmtId="9">
      <sharedItems containsMixedTypes="1" containsNumber="1" minValue="7.6923076923076927E-2" maxValue="0.13333333333333333"/>
    </cacheField>
    <cacheField name="Delregion Göteborg" numFmtId="9">
      <sharedItems containsMixedTypes="1" containsNumber="1" minValue="0.66666666666666663" maxValue="0.66666666666666663"/>
    </cacheField>
    <cacheField name="Delregion SIMBA" numFmtId="9">
      <sharedItems containsMixedTypes="1" containsNumber="1" minValue="0.5" maxValue="0.75"/>
    </cacheField>
    <cacheField name="Delregion Skaraborg" numFmtId="9">
      <sharedItems containsMixedTypes="1" containsNumber="1" minValue="0.16666666666666666" maxValue="0.26666666666666666"/>
    </cacheField>
    <cacheField name="Delregion Södra Älvsborg" numFmtId="9">
      <sharedItems containsMixedTypes="1" containsNumber="1" minValue="0" maxValue="0.1111111111111111"/>
    </cacheField>
    <cacheField name="VGR" numFmtId="9">
      <sharedItems containsMixedTypes="1" containsNumber="1" minValue="0.21739130434782608" maxValue="0.21951219512195122"/>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edBy="Alice Fredrikson" refreshedDate="42977.760020949077" createdVersion="6" refreshedVersion="6" minRefreshableVersion="3" recordCount="16">
  <cacheSource type="worksheet">
    <worksheetSource ref="A11:C27" sheet="V4.2.1 DATA"/>
  </cacheSource>
  <cacheFields count="3">
    <cacheField name="År" numFmtId="0">
      <sharedItems containsSemiMixedTypes="0" containsString="0" containsNumber="1" containsInteger="1" minValue="2010" maxValue="2025" count="16">
        <n v="2010"/>
        <n v="2011"/>
        <n v="2012"/>
        <n v="2013"/>
        <n v="2014"/>
        <n v="2015"/>
        <n v="2016"/>
        <n v="2017"/>
        <n v="2018"/>
        <n v="2019"/>
        <n v="2020"/>
        <n v="2021"/>
        <n v="2022"/>
        <n v="2023"/>
        <n v="2024"/>
        <n v="2025"/>
      </sharedItems>
    </cacheField>
    <cacheField name="Kön" numFmtId="0">
      <sharedItems count="1">
        <s v="Båda könen"/>
      </sharedItems>
    </cacheField>
    <cacheField name="21-85+" numFmtId="0">
      <sharedItems containsString="0" containsBlank="1" containsNumber="1" minValue="13.68" maxValue="18.2"/>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r:id="rId1" refreshedBy="Alice Fredrikson" refreshedDate="42977.760021296293" createdVersion="6" refreshedVersion="6" minRefreshableVersion="3" recordCount="156">
  <cacheSource type="worksheet">
    <worksheetSource ref="G12:N168" sheet="V4.1.1 DATA"/>
  </cacheSource>
  <cacheFields count="8">
    <cacheField name="År" numFmtId="0">
      <sharedItems containsSemiMixedTypes="0" containsString="0" containsNumber="1" containsInteger="1" minValue="2014" maxValue="2025" count="12">
        <n v="2014"/>
        <n v="2015"/>
        <n v="2016"/>
        <n v="2017"/>
        <n v="2018"/>
        <n v="2019"/>
        <n v="2020"/>
        <n v="2021"/>
        <n v="2022"/>
        <n v="2023"/>
        <n v="2024"/>
        <n v="2025"/>
      </sharedItems>
    </cacheField>
    <cacheField name="Verksamhetsområde" numFmtId="0">
      <sharedItems count="13">
        <s v="Socialtjänst"/>
        <s v="Ekonomiskt bistånd"/>
        <s v="Funktionsnedsättning LSS"/>
        <s v="Funktionsnedsättning SoL"/>
        <s v="Missbruk"/>
        <s v="Äldreomsorg (inkl. HoS)"/>
        <s v="Övrig socialtjänst"/>
        <s v="Hälso- och sjukvård"/>
        <s v="Hemjukvård i ordinärt boende"/>
        <s v="Prehospital vård"/>
        <s v="Primärvård, utom hemsjukvård"/>
        <s v="Psykiatrisk specialistsjukvård"/>
        <s v="Totalt"/>
      </sharedItems>
    </cacheField>
    <cacheField name="Delregion Fyrbodal" numFmtId="0">
      <sharedItems containsMixedTypes="1" containsNumber="1" containsInteger="1" minValue="0" maxValue="94"/>
    </cacheField>
    <cacheField name="Delregion Göteborg" numFmtId="0">
      <sharedItems containsMixedTypes="1" containsNumber="1" containsInteger="1" minValue="0" maxValue="240"/>
    </cacheField>
    <cacheField name="Delregion SIMBA" numFmtId="0">
      <sharedItems containsMixedTypes="1" containsNumber="1" containsInteger="1" minValue="0" maxValue="46"/>
    </cacheField>
    <cacheField name="Delregion Skaraborg" numFmtId="0">
      <sharedItems containsMixedTypes="1" containsNumber="1" containsInteger="1" minValue="0" maxValue="82"/>
    </cacheField>
    <cacheField name="Delregion Södra Älvsborg" numFmtId="0">
      <sharedItems containsMixedTypes="1" containsNumber="1" containsInteger="1" minValue="0" maxValue="83"/>
    </cacheField>
    <cacheField name="VGR" numFmtId="0">
      <sharedItems containsMixedTypes="1" containsNumber="1" containsInteger="1" minValue="0" maxValue="545"/>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r:id="rId1" refreshedBy="Alice Fredrikson" refreshedDate="42977.760022106479" createdVersion="6" refreshedVersion="6" minRefreshableVersion="3" recordCount="27">
  <cacheSource type="worksheet">
    <worksheetSource ref="A13:H40" sheet="V3.1.3 DATA"/>
  </cacheSource>
  <cacheFields count="8">
    <cacheField name="År" numFmtId="0">
      <sharedItems containsSemiMixedTypes="0" containsString="0" containsNumber="1" containsInteger="1" minValue="2017" maxValue="2025" count="9">
        <n v="2017"/>
        <n v="2018"/>
        <n v="2019"/>
        <n v="2020"/>
        <n v="2021"/>
        <n v="2022"/>
        <n v="2023"/>
        <n v="2024"/>
        <n v="2025"/>
      </sharedItems>
    </cacheField>
    <cacheField name="Nyckeltal" numFmtId="0">
      <sharedItems count="3">
        <s v="LSS"/>
        <s v="Socialpsykiatri"/>
        <s v="Missbruk"/>
      </sharedItems>
    </cacheField>
    <cacheField name="Delregion Fyrbodal" numFmtId="9">
      <sharedItems containsMixedTypes="1" containsNumber="1" minValue="0.35714285714285715" maxValue="0.35714285714285715"/>
    </cacheField>
    <cacheField name="Delregion Göteborg" numFmtId="9">
      <sharedItems containsMixedTypes="1" containsNumber="1" minValue="0.4" maxValue="0.6"/>
    </cacheField>
    <cacheField name="Delregion SIMBA" numFmtId="9">
      <sharedItems containsMixedTypes="1" containsNumber="1" minValue="0.25" maxValue="0.25"/>
    </cacheField>
    <cacheField name="Delregion Skaraborg" numFmtId="9">
      <sharedItems containsMixedTypes="1" containsNumber="1" minValue="0.33333333333333331" maxValue="0.6"/>
    </cacheField>
    <cacheField name="Delregion Södra Älvsborg" numFmtId="9">
      <sharedItems containsMixedTypes="1" containsNumber="1" minValue="0.5" maxValue="0.625"/>
    </cacheField>
    <cacheField name="VGR" numFmtId="9">
      <sharedItems containsMixedTypes="1" containsNumber="1" minValue="0.36956521739130432" maxValue="0.47826086956521741"/>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r:id="rId1" refreshedBy="Alice Fredrikson" refreshedDate="42977.760022453702" createdVersion="6" refreshedVersion="6" minRefreshableVersion="3" recordCount="48">
  <cacheSource type="worksheet">
    <worksheetSource ref="A11:Q59" sheet="V2.1.2 DATA"/>
  </cacheSource>
  <cacheFields count="17">
    <cacheField name="År" numFmtId="0">
      <sharedItems containsSemiMixedTypes="0" containsString="0" containsNumber="1" containsInteger="1" minValue="2010" maxValue="2025" count="16">
        <n v="2010"/>
        <n v="2011"/>
        <n v="2012"/>
        <n v="2013"/>
        <n v="2014"/>
        <n v="2015"/>
        <n v="2016"/>
        <n v="2017"/>
        <n v="2018"/>
        <n v="2019"/>
        <n v="2020"/>
        <n v="2021"/>
        <n v="2022"/>
        <n v="2023"/>
        <n v="2024"/>
        <n v="2025"/>
      </sharedItems>
    </cacheField>
    <cacheField name="Kön" numFmtId="0">
      <sharedItems count="3">
        <s v="Män"/>
        <s v="Kvinnor"/>
        <s v="Båda könen"/>
      </sharedItems>
    </cacheField>
    <cacheField name="20­24" numFmtId="0">
      <sharedItems containsString="0" containsBlank="1" containsNumber="1" minValue="11577.02" maxValue="30087.05"/>
    </cacheField>
    <cacheField name="25­29" numFmtId="0">
      <sharedItems containsString="0" containsBlank="1" containsNumber="1" minValue="18187.439999999999" maxValue="42164.81"/>
    </cacheField>
    <cacheField name="30­34" numFmtId="0">
      <sharedItems containsString="0" containsBlank="1" containsNumber="1" minValue="21774.41" maxValue="50185.27"/>
    </cacheField>
    <cacheField name="35­39" numFmtId="0">
      <sharedItems containsString="0" containsBlank="1" containsNumber="1" minValue="25310" maxValue="56551.16"/>
    </cacheField>
    <cacheField name="40­44" numFmtId="0">
      <sharedItems containsString="0" containsBlank="1" containsNumber="1" minValue="27098.16" maxValue="63240.58"/>
    </cacheField>
    <cacheField name="45­49" numFmtId="0">
      <sharedItems containsString="0" containsBlank="1" containsNumber="1" minValue="32756.080000000002" maxValue="65480.33"/>
    </cacheField>
    <cacheField name="50­54" numFmtId="0">
      <sharedItems containsString="0" containsBlank="1" containsNumber="1" minValue="34355.230000000003" maxValue="71878.41"/>
    </cacheField>
    <cacheField name="55­59" numFmtId="0">
      <sharedItems containsString="0" containsBlank="1" containsNumber="1" minValue="35467.620000000003" maxValue="71223.850000000006"/>
    </cacheField>
    <cacheField name="60­64" numFmtId="0">
      <sharedItems containsString="0" containsBlank="1" containsNumber="1" minValue="32404.69" maxValue="70769.69"/>
    </cacheField>
    <cacheField name="65­69" numFmtId="0">
      <sharedItems containsString="0" containsBlank="1" containsNumber="1" minValue="32011.85" maxValue="62399.92" count="22">
        <n v="32011.85"/>
        <n v="59382.77"/>
        <n v="45733.23"/>
        <n v="33751.68"/>
        <n v="59977.67"/>
        <n v="46862.43"/>
        <n v="33522.57"/>
        <n v="60554.77"/>
        <n v="47057.9"/>
        <n v="34232.57"/>
        <n v="61556.31"/>
        <n v="47926.7"/>
        <n v="35529.78"/>
        <n v="61054.78"/>
        <n v="48351.15"/>
        <n v="36667.050000000003"/>
        <n v="62296.63"/>
        <n v="49530.89"/>
        <n v="37519.129999999997"/>
        <n v="62399.92"/>
        <n v="50035.45"/>
        <m/>
      </sharedItems>
    </cacheField>
    <cacheField name="70­74" numFmtId="0">
      <sharedItems containsString="0" containsBlank="1" containsNumber="1" minValue="33233.07" maxValue="69466.83"/>
    </cacheField>
    <cacheField name="75­79" numFmtId="0">
      <sharedItems containsString="0" containsBlank="1" containsNumber="1" minValue="40041.760000000002" maxValue="74390.98"/>
    </cacheField>
    <cacheField name="80­84" numFmtId="0">
      <sharedItems containsString="0" containsBlank="1" containsNumber="1" minValue="51032.53" maxValue="82835.16"/>
    </cacheField>
    <cacheField name="85+" numFmtId="0">
      <sharedItems containsString="0" containsBlank="1" containsNumber="1" minValue="64944.46" maxValue="107464.58" count="22">
        <n v="67013.820000000007"/>
        <n v="104351.95"/>
        <n v="91833.05"/>
        <n v="67467.570000000007"/>
        <n v="107464.58"/>
        <n v="94010.240000000005"/>
        <n v="64944.46"/>
        <n v="104214.61"/>
        <n v="90834.9"/>
        <n v="66357.75"/>
        <n v="105225.92"/>
        <n v="91868.27"/>
        <n v="66396.55"/>
        <n v="104350.28"/>
        <n v="91252.23"/>
        <n v="67887.460000000006"/>
        <n v="104899.58"/>
        <n v="92093.13"/>
        <n v="66389.55"/>
        <n v="104933.11"/>
        <n v="91467.09"/>
        <m/>
      </sharedItems>
    </cacheField>
    <cacheField name="20-85+" numFmtId="0">
      <sharedItems containsString="0" containsBlank="1" containsNumber="1" minValue="29339.88" maxValue="62214.93" count="22">
        <n v="29339.88"/>
        <n v="51523.21"/>
        <n v="40566.160000000003"/>
        <n v="30626.57"/>
        <n v="53556.28"/>
        <n v="42221.56"/>
        <n v="31183.86"/>
        <n v="55099.62"/>
        <n v="43268.53"/>
        <n v="32086.2"/>
        <n v="56960.639999999999"/>
        <n v="44650.46"/>
        <n v="33212.26"/>
        <n v="58787.73"/>
        <n v="46123.46"/>
        <n v="34519.18"/>
        <n v="61081.56"/>
        <n v="47913.47"/>
        <n v="35278.9"/>
        <n v="62214.93"/>
        <n v="48842.16"/>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lice Fredrikson" refreshedDate="42977.760014699074" createdVersion="6" refreshedVersion="6" minRefreshableVersion="3" recordCount="48">
  <cacheSource type="worksheet">
    <worksheetSource ref="A11:G59" sheet="B5.1.1 DATA"/>
  </cacheSource>
  <cacheFields count="7">
    <cacheField name="År" numFmtId="0">
      <sharedItems containsSemiMixedTypes="0" containsString="0" containsNumber="1" containsInteger="1" minValue="2010" maxValue="2025" count="16">
        <n v="2010"/>
        <n v="2011"/>
        <n v="2012"/>
        <n v="2013"/>
        <n v="2014"/>
        <n v="2015"/>
        <n v="2016"/>
        <n v="2017"/>
        <n v="2018"/>
        <n v="2019"/>
        <n v="2020"/>
        <n v="2021"/>
        <n v="2022"/>
        <n v="2023"/>
        <n v="2024"/>
        <n v="2025"/>
      </sharedItems>
    </cacheField>
    <cacheField name="Kön" numFmtId="0">
      <sharedItems count="3">
        <s v="Män"/>
        <s v="Kvinnor"/>
        <s v="Båda könen"/>
      </sharedItems>
    </cacheField>
    <cacheField name="0­4" numFmtId="0">
      <sharedItems containsBlank="1"/>
    </cacheField>
    <cacheField name="5­9" numFmtId="0">
      <sharedItems containsBlank="1"/>
    </cacheField>
    <cacheField name="10­14" numFmtId="0">
      <sharedItems containsBlank="1" containsMixedTypes="1" containsNumber="1" minValue="1.17" maxValue="2.4"/>
    </cacheField>
    <cacheField name="15­19" numFmtId="0">
      <sharedItems containsBlank="1" containsMixedTypes="1" containsNumber="1" minValue="3.88" maxValue="10.79"/>
    </cacheField>
    <cacheField name="0-19" numFmtId="0">
      <sharedItems containsBlank="1" containsMixedTypes="1" containsNumber="1" minValue="1.08" maxValue="2.65"/>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r:id="rId1" refreshedBy="Alice Fredrikson" refreshedDate="42977.760022800925" createdVersion="6" refreshedVersion="6" minRefreshableVersion="3" recordCount="30">
  <cacheSource type="worksheet">
    <worksheetSource ref="A13:H43" sheet="V2.1.1 DATA"/>
  </cacheSource>
  <cacheFields count="8">
    <cacheField name="År" numFmtId="0">
      <sharedItems containsSemiMixedTypes="0" containsString="0" containsNumber="1" containsInteger="1" minValue="2016" maxValue="2025" count="10">
        <n v="2016"/>
        <n v="2017"/>
        <n v="2018"/>
        <n v="2019"/>
        <n v="2020"/>
        <n v="2021"/>
        <n v="2022"/>
        <n v="2023"/>
        <n v="2024"/>
        <n v="2025"/>
      </sharedItems>
    </cacheField>
    <cacheField name="Nyckeltal" numFmtId="0">
      <sharedItems count="3">
        <s v="Äldreomsorg - LSS"/>
        <s v="Äldreomsorg - Missbruk"/>
        <s v="Äldreomsorg - socialpsykiatri"/>
      </sharedItems>
    </cacheField>
    <cacheField name="Delregion Fyrbodal" numFmtId="9">
      <sharedItems containsMixedTypes="1" containsNumber="1" minValue="0.33333333333333331" maxValue="0.5"/>
    </cacheField>
    <cacheField name="Delregion Göteborg" numFmtId="9">
      <sharedItems containsMixedTypes="1" containsNumber="1" minValue="0" maxValue="0.33333333333333331"/>
    </cacheField>
    <cacheField name="Delregion SIMBA" numFmtId="9">
      <sharedItems containsMixedTypes="1" containsNumber="1" minValue="0" maxValue="0.5"/>
    </cacheField>
    <cacheField name="Delregion Skaraborg" numFmtId="9">
      <sharedItems containsMixedTypes="1" containsNumber="1" minValue="0.25" maxValue="0.53333333333333333"/>
    </cacheField>
    <cacheField name="Delregion Södra Älvsborg" numFmtId="9">
      <sharedItems containsMixedTypes="1" containsNumber="1" minValue="0.22222222222222221" maxValue="0.5714285714285714"/>
    </cacheField>
    <cacheField name="VGR" numFmtId="9">
      <sharedItems containsMixedTypes="1" containsNumber="1" minValue="0.31707317073170732" maxValue="0.46666666666666667"/>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r:id="rId1" refreshedBy="Alice Fredrikson" refreshedDate="42977.760023148148" createdVersion="6" refreshedVersion="6" minRefreshableVersion="3" recordCount="48">
  <cacheSource type="worksheet">
    <worksheetSource ref="A11:Q59" sheet="V1.1.2 DATA"/>
  </cacheSource>
  <cacheFields count="17">
    <cacheField name="År" numFmtId="0">
      <sharedItems containsSemiMixedTypes="0" containsString="0" containsNumber="1" containsInteger="1" minValue="2010" maxValue="2025" count="16">
        <n v="2010"/>
        <n v="2011"/>
        <n v="2012"/>
        <n v="2013"/>
        <n v="2014"/>
        <n v="2015"/>
        <n v="2016"/>
        <n v="2017"/>
        <n v="2018"/>
        <n v="2019"/>
        <n v="2020"/>
        <n v="2021"/>
        <n v="2022"/>
        <n v="2023"/>
        <n v="2024"/>
        <n v="2025"/>
      </sharedItems>
    </cacheField>
    <cacheField name="Kön" numFmtId="0">
      <sharedItems count="3">
        <s v="Män"/>
        <s v="Kvinnor"/>
        <s v="Båda könen"/>
      </sharedItems>
    </cacheField>
    <cacheField name="20­24" numFmtId="0">
      <sharedItems containsString="0" containsBlank="1" containsNumber="1" minValue="98.67" maxValue="286.33999999999997"/>
    </cacheField>
    <cacheField name="25­29" numFmtId="0">
      <sharedItems containsString="0" containsBlank="1" containsNumber="1" minValue="75.41" maxValue="206.89"/>
    </cacheField>
    <cacheField name="30­34" numFmtId="0">
      <sharedItems containsString="0" containsBlank="1" containsNumber="1" minValue="70.819999999999993" maxValue="141.09"/>
    </cacheField>
    <cacheField name="35­39" numFmtId="0">
      <sharedItems containsString="0" containsBlank="1" containsNumber="1" minValue="57.33" maxValue="126.93"/>
    </cacheField>
    <cacheField name="40­44" numFmtId="0">
      <sharedItems containsString="0" containsBlank="1" containsNumber="1" minValue="56.86" maxValue="144.44999999999999"/>
    </cacheField>
    <cacheField name="45­49" numFmtId="0">
      <sharedItems containsString="0" containsBlank="1" containsNumber="1" minValue="62.25" maxValue="133.91"/>
    </cacheField>
    <cacheField name="50­54" numFmtId="0">
      <sharedItems containsString="0" containsBlank="1" containsNumber="1" minValue="50.73" maxValue="131.68"/>
    </cacheField>
    <cacheField name="55­59" numFmtId="0">
      <sharedItems containsString="0" containsBlank="1" containsNumber="1" minValue="45.4" maxValue="87.71"/>
    </cacheField>
    <cacheField name="60­64" numFmtId="0">
      <sharedItems containsString="0" containsBlank="1" containsNumber="1" minValue="38.49" maxValue="61.08"/>
    </cacheField>
    <cacheField name="65­69" numFmtId="0">
      <sharedItems containsString="0" containsBlank="1" containsNumber="1" minValue="28.7" maxValue="50.14"/>
    </cacheField>
    <cacheField name="70­74" numFmtId="0">
      <sharedItems containsString="0" containsBlank="1" containsNumber="1" minValue="26.59" maxValue="62.47"/>
    </cacheField>
    <cacheField name="75­79" numFmtId="0">
      <sharedItems containsString="0" containsBlank="1" containsNumber="1" minValue="17.670000000000002" maxValue="47.12"/>
    </cacheField>
    <cacheField name="80­84" numFmtId="0">
      <sharedItems containsString="0" containsBlank="1" containsNumber="1" minValue="23.27" maxValue="52.75"/>
    </cacheField>
    <cacheField name="85+" numFmtId="0">
      <sharedItems containsString="0" containsBlank="1" containsNumber="1" minValue="13.83" maxValue="94.84"/>
    </cacheField>
    <cacheField name="20-85+" numFmtId="0">
      <sharedItems containsString="0" containsBlank="1" containsNumber="1" minValue="63.88" maxValue="110.6"/>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r:id="rId1" refreshedBy="Alice Fredrikson" refreshedDate="42977.76002361111" createdVersion="6" refreshedVersion="6" minRefreshableVersion="3" recordCount="48">
  <cacheSource type="worksheet">
    <worksheetSource ref="A11:Q59" sheet="V1.1.1 DATA"/>
  </cacheSource>
  <cacheFields count="17">
    <cacheField name="År" numFmtId="0">
      <sharedItems containsSemiMixedTypes="0" containsString="0" containsNumber="1" containsInteger="1" minValue="2010" maxValue="2025" count="16">
        <n v="2010"/>
        <n v="2011"/>
        <n v="2012"/>
        <n v="2013"/>
        <n v="2014"/>
        <n v="2015"/>
        <n v="2016"/>
        <n v="2017"/>
        <n v="2018"/>
        <n v="2019"/>
        <n v="2020"/>
        <n v="2021"/>
        <n v="2022"/>
        <n v="2023"/>
        <n v="2024"/>
        <n v="2025"/>
      </sharedItems>
    </cacheField>
    <cacheField name="Kön" numFmtId="0">
      <sharedItems count="3">
        <s v="Män"/>
        <s v="Kvinnor"/>
        <s v="Båda könen"/>
      </sharedItems>
    </cacheField>
    <cacheField name="20­24" numFmtId="0">
      <sharedItems containsString="0" containsBlank="1" containsNumber="1" minValue="5.29" maxValue="17.82"/>
    </cacheField>
    <cacheField name="25­29" numFmtId="0">
      <sharedItems containsString="0" containsBlank="1" containsNumber="1" minValue="2.0099999999999998" maxValue="33.619999999999997"/>
    </cacheField>
    <cacheField name="30­34" numFmtId="0">
      <sharedItems containsString="0" containsBlank="1" containsNumber="1" minValue="4.07" maxValue="22.11"/>
    </cacheField>
    <cacheField name="35­39" numFmtId="0">
      <sharedItems containsString="0" containsBlank="1" containsNumber="1" minValue="3.8" maxValue="20.399999999999999"/>
    </cacheField>
    <cacheField name="40­44" numFmtId="0">
      <sharedItems containsString="0" containsBlank="1" containsNumber="1" minValue="7.36" maxValue="25.59"/>
    </cacheField>
    <cacheField name="45­49" numFmtId="0">
      <sharedItems containsString="0" containsBlank="1" containsNumber="1" minValue="1.78" maxValue="40.68"/>
    </cacheField>
    <cacheField name="50­54" numFmtId="0">
      <sharedItems containsString="0" containsBlank="1" containsNumber="1" minValue="7.65" maxValue="30.05"/>
    </cacheField>
    <cacheField name="55­59" numFmtId="0">
      <sharedItems containsString="0" containsBlank="1" containsNumber="1" minValue="4.16" maxValue="35.06"/>
    </cacheField>
    <cacheField name="60­64" numFmtId="0">
      <sharedItems containsString="0" containsBlank="1" containsNumber="1" minValue="6.17" maxValue="32.08"/>
    </cacheField>
    <cacheField name="65­69" numFmtId="0">
      <sharedItems containsString="0" containsBlank="1" containsNumber="1" minValue="6.36" maxValue="31.23"/>
    </cacheField>
    <cacheField name="70­74" numFmtId="0">
      <sharedItems containsString="0" containsBlank="1" containsNumber="1" minValue="3.07" maxValue="31"/>
    </cacheField>
    <cacheField name="75­79" numFmtId="0">
      <sharedItems containsString="0" containsBlank="1" containsNumber="1" minValue="3.39" maxValue="41.81"/>
    </cacheField>
    <cacheField name="80­84" numFmtId="0">
      <sharedItems containsBlank="1" containsMixedTypes="1" containsNumber="1" minValue="8.3800000000000008" maxValue="58.46"/>
    </cacheField>
    <cacheField name="85+" numFmtId="0">
      <sharedItems containsString="0" containsBlank="1" containsNumber="1" minValue="3.58" maxValue="56.96"/>
    </cacheField>
    <cacheField name="20-85+" numFmtId="0">
      <sharedItems containsString="0" containsBlank="1" containsNumber="1" minValue="7.71" maxValue="25.57"/>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r:id="rId1" refreshedBy="Alice Fredrikson" refreshedDate="42977.760023958333" createdVersion="6" refreshedVersion="6" minRefreshableVersion="3" recordCount="18">
  <cacheSource type="worksheet">
    <worksheetSource ref="A13:H31" sheet="V5.1.1 DATA"/>
  </cacheSource>
  <cacheFields count="8">
    <cacheField name="År" numFmtId="0">
      <sharedItems containsSemiMixedTypes="0" containsString="0" containsNumber="1" containsInteger="1" minValue="2017" maxValue="2025" count="9">
        <n v="2017"/>
        <n v="2018"/>
        <n v="2019"/>
        <n v="2020"/>
        <n v="2021"/>
        <n v="2022"/>
        <n v="2023"/>
        <n v="2024"/>
        <n v="2025"/>
      </sharedItems>
    </cacheField>
    <cacheField name="Nyckeltal" numFmtId="0">
      <sharedItems count="2">
        <s v="Ja, för alla"/>
        <s v="Ja, men inte för vissa"/>
      </sharedItems>
    </cacheField>
    <cacheField name="Delregion Fyrbodal" numFmtId="9">
      <sharedItems containsMixedTypes="1" containsNumber="1" minValue="0.2857142857142857" maxValue="0.5714285714285714"/>
    </cacheField>
    <cacheField name="Delregion Göteborg" numFmtId="9">
      <sharedItems containsMixedTypes="1" containsNumber="1" containsInteger="1" minValue="0" maxValue="1"/>
    </cacheField>
    <cacheField name="Delregion SIMBA" numFmtId="9">
      <sharedItems containsMixedTypes="1" containsNumber="1" minValue="0.25" maxValue="0.75"/>
    </cacheField>
    <cacheField name="Delregion Skaraborg" numFmtId="9">
      <sharedItems containsMixedTypes="1" containsNumber="1" minValue="0.2" maxValue="0.6"/>
    </cacheField>
    <cacheField name="Delregion Södra Älvsborg" numFmtId="9">
      <sharedItems containsMixedTypes="1" containsNumber="1" minValue="0.22222222222222221" maxValue="0.44444444444444442"/>
    </cacheField>
    <cacheField name="VGR" numFmtId="9">
      <sharedItems containsMixedTypes="1" containsNumber="1" minValue="0.22727272727272727" maxValue="0.59090909090909094"/>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r:id="rId1" refreshedBy="Alice Fredrikson" refreshedDate="42977.760024305557" createdVersion="6" refreshedVersion="6" minRefreshableVersion="3" recordCount="48">
  <cacheSource type="worksheet">
    <worksheetSource ref="A11:C59" sheet="B2.1.1 DATA"/>
  </cacheSource>
  <cacheFields count="3">
    <cacheField name="År" numFmtId="0">
      <sharedItems containsSemiMixedTypes="0" containsString="0" containsNumber="1" containsInteger="1" minValue="2010" maxValue="2025" count="16">
        <n v="2010"/>
        <n v="2011"/>
        <n v="2012"/>
        <n v="2013"/>
        <n v="2014"/>
        <n v="2015"/>
        <n v="2016"/>
        <n v="2017"/>
        <n v="2018"/>
        <n v="2019"/>
        <n v="2020"/>
        <n v="2021"/>
        <n v="2022"/>
        <n v="2023"/>
        <n v="2024"/>
        <n v="2025"/>
      </sharedItems>
    </cacheField>
    <cacheField name="Kön" numFmtId="0">
      <sharedItems count="3">
        <s v="Män"/>
        <s v="Kvinnor"/>
        <s v="Båda könen"/>
      </sharedItems>
    </cacheField>
    <cacheField name="VGR" numFmtId="0">
      <sharedItems containsString="0" containsBlank="1" containsNumber="1" containsInteger="1" minValue="359" maxValue="504"/>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r:id="rId1" refreshedBy="Alice Fredrikson" refreshedDate="42977.760024768519" createdVersion="6" refreshedVersion="6" minRefreshableVersion="3" recordCount="48">
  <cacheSource type="worksheet">
    <worksheetSource ref="A11:C59" sheet="V4.2.2 DATA"/>
  </cacheSource>
  <cacheFields count="3">
    <cacheField name="År" numFmtId="0">
      <sharedItems containsSemiMixedTypes="0" containsString="0" containsNumber="1" containsInteger="1" minValue="2010" maxValue="2025" count="16">
        <n v="2010"/>
        <n v="2011"/>
        <n v="2012"/>
        <n v="2013"/>
        <n v="2014"/>
        <n v="2015"/>
        <n v="2016"/>
        <n v="2017"/>
        <n v="2018"/>
        <n v="2019"/>
        <n v="2020"/>
        <n v="2021"/>
        <n v="2022"/>
        <n v="2023"/>
        <n v="2024"/>
        <n v="2025"/>
      </sharedItems>
    </cacheField>
    <cacheField name="Kön" numFmtId="0">
      <sharedItems count="3">
        <s v="Män"/>
        <s v="Kvinnor"/>
        <s v="Båda könen"/>
      </sharedItems>
    </cacheField>
    <cacheField name="VGR" numFmtId="0">
      <sharedItems containsString="0" containsBlank="1" containsNumber="1" containsInteger="1" minValue="1832" maxValue="2337"/>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r:id="rId1" refreshedBy="Alice Fredrikson" refreshedDate="42977.760025115742" createdVersion="6" refreshedVersion="6" minRefreshableVersion="3" recordCount="10">
  <cacheSource type="worksheet">
    <worksheetSource ref="A13:H23" sheet="B2.1.2 DATA"/>
  </cacheSource>
  <cacheFields count="8">
    <cacheField name="År" numFmtId="0">
      <sharedItems containsSemiMixedTypes="0" containsString="0" containsNumber="1" containsInteger="1" minValue="2016" maxValue="2025" count="10">
        <n v="2016"/>
        <n v="2017"/>
        <n v="2018"/>
        <n v="2019"/>
        <n v="2020"/>
        <n v="2021"/>
        <n v="2022"/>
        <n v="2023"/>
        <n v="2024"/>
        <n v="2025"/>
      </sharedItems>
    </cacheField>
    <cacheField name="Nyckeltal" numFmtId="0">
      <sharedItems count="1">
        <s v="Standardiserade bedömningsmetoder"/>
      </sharedItems>
    </cacheField>
    <cacheField name="Delregion Fyrbodal" numFmtId="9">
      <sharedItems containsMixedTypes="1" containsNumber="1" minValue="0.8666666666666667" maxValue="0.92307692307692313"/>
    </cacheField>
    <cacheField name="Delregion Göteborg" numFmtId="9">
      <sharedItems containsMixedTypes="1" containsNumber="1" containsInteger="1" minValue="1" maxValue="1"/>
    </cacheField>
    <cacheField name="Delregion SIMBA" numFmtId="9">
      <sharedItems containsMixedTypes="1" containsNumber="1" minValue="0.5" maxValue="0.75"/>
    </cacheField>
    <cacheField name="Delregion Skaraborg" numFmtId="9">
      <sharedItems containsMixedTypes="1" containsNumber="1" minValue="0.6" maxValue="0.75"/>
    </cacheField>
    <cacheField name="Delregion Södra Älvsborg" numFmtId="9">
      <sharedItems containsMixedTypes="1" containsNumber="1" minValue="0.55555555555555558" maxValue="0.77777777777777779"/>
    </cacheField>
    <cacheField name="VGR" numFmtId="9">
      <sharedItems containsMixedTypes="1" containsNumber="1" minValue="0.71111111111111114" maxValue="0.8"/>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r:id="rId1" refreshedBy="Alice Fredrikson" refreshedDate="42977.760025347219" createdVersion="6" refreshedVersion="6" minRefreshableVersion="3" recordCount="36">
  <cacheSource type="worksheet">
    <worksheetSource ref="A13:H49" sheet="V5.1.3 DATA"/>
  </cacheSource>
  <cacheFields count="8">
    <cacheField name="År" numFmtId="0">
      <sharedItems containsSemiMixedTypes="0" containsString="0" containsNumber="1" containsInteger="1" minValue="2017" maxValue="2025" count="9">
        <n v="2017"/>
        <n v="2018"/>
        <n v="2019"/>
        <n v="2020"/>
        <n v="2021"/>
        <n v="2022"/>
        <n v="2023"/>
        <n v="2024"/>
        <n v="2025"/>
      </sharedItems>
    </cacheField>
    <cacheField name="Nyckeltal" numFmtId="0">
      <sharedItems count="4">
        <s v="LSS - vuxna"/>
        <s v="Socialpsikiatri"/>
        <s v="Ekonomiskt bistånd"/>
        <s v="Äldreomsorg"/>
      </sharedItems>
    </cacheField>
    <cacheField name="Delregion Fyrbodal" numFmtId="9">
      <sharedItems containsMixedTypes="1" containsNumber="1" minValue="6.6666666666666666E-2" maxValue="0.33333333333333331"/>
    </cacheField>
    <cacheField name="Delregion Göteborg" numFmtId="9">
      <sharedItems containsMixedTypes="1" containsNumber="1" containsInteger="1" minValue="0" maxValue="0"/>
    </cacheField>
    <cacheField name="Delregion SIMBA" numFmtId="9">
      <sharedItems containsMixedTypes="1" containsNumber="1" minValue="0" maxValue="0.5"/>
    </cacheField>
    <cacheField name="Delregion Skaraborg" numFmtId="9">
      <sharedItems containsMixedTypes="1" containsNumber="1" minValue="0" maxValue="0.5"/>
    </cacheField>
    <cacheField name="Delregion Södra Älvsborg" numFmtId="9">
      <sharedItems containsMixedTypes="1" containsNumber="1" minValue="0" maxValue="0.22222222222222221"/>
    </cacheField>
    <cacheField name="VGR" numFmtId="9">
      <sharedItems containsMixedTypes="1" containsNumber="1" minValue="2.0833333333333332E-2" maxValue="0.31111111111111112"/>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r:id="rId1" refreshedBy="Alice Fredrikson" refreshedDate="42977.760025694442" createdVersion="6" refreshedVersion="6" minRefreshableVersion="3" recordCount="36">
  <cacheSource type="worksheet">
    <worksheetSource ref="A13:H49" sheet="V5.1.2 DATA"/>
  </cacheSource>
  <cacheFields count="8">
    <cacheField name="År" numFmtId="0">
      <sharedItems containsSemiMixedTypes="0" containsString="0" containsNumber="1" containsInteger="1" minValue="2017" maxValue="2025" count="9">
        <n v="2017"/>
        <n v="2018"/>
        <n v="2019"/>
        <n v="2020"/>
        <n v="2021"/>
        <n v="2022"/>
        <n v="2023"/>
        <n v="2024"/>
        <n v="2025"/>
      </sharedItems>
    </cacheField>
    <cacheField name="Nyckeltal" numFmtId="0">
      <sharedItems count="4">
        <s v="LSS - vuxna"/>
        <s v="Socialpsikiatri"/>
        <s v="Ekonomiskt bistånd"/>
        <s v="Äldreomsorg"/>
      </sharedItems>
    </cacheField>
    <cacheField name="Delregion Fyrbodal" numFmtId="9">
      <sharedItems containsMixedTypes="1" containsNumber="1" minValue="6.6666666666666666E-2" maxValue="0.53333333333333333"/>
    </cacheField>
    <cacheField name="Delregion Göteborg" numFmtId="9">
      <sharedItems containsMixedTypes="1" containsNumber="1" containsInteger="1" minValue="0" maxValue="0"/>
    </cacheField>
    <cacheField name="Delregion SIMBA" numFmtId="9">
      <sharedItems containsMixedTypes="1" containsNumber="1" minValue="0" maxValue="0.75"/>
    </cacheField>
    <cacheField name="Delregion Skaraborg" numFmtId="9">
      <sharedItems containsMixedTypes="1" containsNumber="1" minValue="6.6666666666666666E-2" maxValue="0.66666666666666663"/>
    </cacheField>
    <cacheField name="Delregion Södra Älvsborg" numFmtId="9">
      <sharedItems containsMixedTypes="1" containsNumber="1" minValue="0" maxValue="0.33333333333333331"/>
    </cacheField>
    <cacheField name="VGR" numFmtId="9">
      <sharedItems containsMixedTypes="1" containsNumber="1" minValue="4.1666666666666664E-2" maxValue="0.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lice Fredrikson" refreshedDate="42977.760015509259" createdVersion="6" refreshedVersion="6" minRefreshableVersion="3" recordCount="72">
  <cacheSource type="worksheet">
    <worksheetSource ref="G12:N84" sheet="B4.1.1 DATA"/>
  </cacheSource>
  <cacheFields count="8">
    <cacheField name="År" numFmtId="0">
      <sharedItems containsSemiMixedTypes="0" containsString="0" containsNumber="1" containsInteger="1" minValue="2014" maxValue="2025" count="12">
        <n v="2014"/>
        <n v="2015"/>
        <n v="2016"/>
        <n v="2017"/>
        <n v="2018"/>
        <n v="2019"/>
        <n v="2020"/>
        <n v="2021"/>
        <n v="2022"/>
        <n v="2023"/>
        <n v="2024"/>
        <n v="2025"/>
      </sharedItems>
    </cacheField>
    <cacheField name="Verksamhetsområde" numFmtId="0">
      <sharedItems count="6">
        <s v="Socialtjänst"/>
        <s v="Barn och familj"/>
        <s v="Familjerätt"/>
        <s v="Hälso- och sjukvård"/>
        <s v="Elevhälsa"/>
        <s v="Totalt"/>
      </sharedItems>
    </cacheField>
    <cacheField name="Delregion Fyrbodal" numFmtId="0">
      <sharedItems containsMixedTypes="1" containsNumber="1" containsInteger="1" minValue="0" maxValue="118"/>
    </cacheField>
    <cacheField name="Delregion Göteborg" numFmtId="0">
      <sharedItems containsMixedTypes="1" containsNumber="1" containsInteger="1" minValue="0" maxValue="246"/>
    </cacheField>
    <cacheField name="Delregion SIMBA" numFmtId="0">
      <sharedItems containsMixedTypes="1" containsNumber="1" containsInteger="1" minValue="0" maxValue="58"/>
    </cacheField>
    <cacheField name="Delregion Skaraborg" numFmtId="0">
      <sharedItems containsMixedTypes="1" containsNumber="1" containsInteger="1" minValue="0" maxValue="93"/>
    </cacheField>
    <cacheField name="Delregion Södra Älvsborg" numFmtId="0">
      <sharedItems containsMixedTypes="1" containsNumber="1" containsInteger="1" minValue="0" maxValue="95"/>
    </cacheField>
    <cacheField name="VGR" numFmtId="0">
      <sharedItems containsMixedTypes="1" containsNumber="1" containsInteger="1" minValue="0" maxValue="61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lice Fredrikson" refreshedDate="42977.760015972221" createdVersion="6" refreshedVersion="6" minRefreshableVersion="3" recordCount="18">
  <cacheSource type="worksheet">
    <worksheetSource ref="A13:H31" sheet="B3.1.3 DATA"/>
  </cacheSource>
  <cacheFields count="8">
    <cacheField name="År" numFmtId="0">
      <sharedItems containsSemiMixedTypes="0" containsString="0" containsNumber="1" containsInteger="1" minValue="2017" maxValue="2025" count="9">
        <n v="2017"/>
        <n v="2018"/>
        <n v="2019"/>
        <n v="2020"/>
        <n v="2021"/>
        <n v="2022"/>
        <n v="2023"/>
        <n v="2024"/>
        <n v="2025"/>
      </sharedItems>
    </cacheField>
    <cacheField name="Nyckeltal" numFmtId="0">
      <sharedItems count="2">
        <s v="LSS-barn"/>
        <s v="Social barn och ungdomsvård"/>
      </sharedItems>
    </cacheField>
    <cacheField name="Delregion Fyrbodal" numFmtId="9">
      <sharedItems containsMixedTypes="1" containsNumber="1" minValue="0.33333333333333331" maxValue="0.53333333333333333"/>
    </cacheField>
    <cacheField name="Delregion Göteborg" numFmtId="9">
      <sharedItems containsMixedTypes="1" containsNumber="1" minValue="0.33333333333333331" maxValue="0.66666666666666663"/>
    </cacheField>
    <cacheField name="Delregion SIMBA" numFmtId="9">
      <sharedItems containsMixedTypes="1" containsNumber="1" minValue="0.75" maxValue="0.75"/>
    </cacheField>
    <cacheField name="Delregion Skaraborg" numFmtId="9">
      <sharedItems containsMixedTypes="1" containsNumber="1" minValue="0.33333333333333331" maxValue="0.4"/>
    </cacheField>
    <cacheField name="Delregion Södra Älvsborg" numFmtId="9">
      <sharedItems containsMixedTypes="1" containsNumber="1" minValue="0.33333333333333331" maxValue="0.33333333333333331"/>
    </cacheField>
    <cacheField name="VGR" numFmtId="9">
      <sharedItems containsMixedTypes="1" containsNumber="1" minValue="0.39130434782608697" maxValue="0.45652173913043476"/>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Alice Fredrikson" refreshedDate="42977.760016435182" createdVersion="6" refreshedVersion="6" minRefreshableVersion="3" recordCount="30">
  <cacheSource type="worksheet">
    <worksheetSource ref="A11:AW41" sheet="B2.2.4 DATA"/>
  </cacheSource>
  <cacheFields count="49">
    <cacheField name="År" numFmtId="0">
      <sharedItems containsSemiMixedTypes="0" containsString="0" containsNumber="1" containsInteger="1" minValue="2016" maxValue="2025" count="10">
        <n v="2016"/>
        <n v="2017"/>
        <n v="2018"/>
        <n v="2019"/>
        <n v="2020"/>
        <n v="2021"/>
        <n v="2022"/>
        <n v="2023"/>
        <n v="2024"/>
        <n v="2025"/>
      </sharedItems>
    </cacheField>
    <cacheField name="Kön" numFmtId="0">
      <sharedItems count="3">
        <s v="Män"/>
        <s v="Kvinnor"/>
        <s v="Båda könen"/>
      </sharedItems>
    </cacheField>
    <cacheField name="Ale" numFmtId="9">
      <sharedItems containsMixedTypes="1" containsNumber="1" minValue="0.12790697674418605" maxValue="0.15555555555555556"/>
    </cacheField>
    <cacheField name="Alingsås" numFmtId="9">
      <sharedItems containsMixedTypes="1" containsNumber="1" minValue="8.7591240875912413E-2" maxValue="0.10526315789473684"/>
    </cacheField>
    <cacheField name="Bengtsfors" numFmtId="9">
      <sharedItems containsMixedTypes="1" containsNumber="1" minValue="0" maxValue="0.14545454545454545"/>
    </cacheField>
    <cacheField name="Bollebygd" numFmtId="9">
      <sharedItems containsMixedTypes="1" containsNumber="1" minValue="0" maxValue="0.125"/>
    </cacheField>
    <cacheField name="Borås" numFmtId="9">
      <sharedItems containsMixedTypes="1" containsNumber="1" minValue="0" maxValue="0.20779220779220781"/>
    </cacheField>
    <cacheField name="Falköping" numFmtId="9">
      <sharedItems containsMixedTypes="1" containsNumber="1" minValue="5.9405940594059403E-2" maxValue="0.18072289156626506"/>
    </cacheField>
    <cacheField name="Göteborg" numFmtId="9">
      <sharedItems containsMixedTypes="1" containsNumber="1" minValue="0.16026490066225166" maxValue="0.22671804752729607"/>
    </cacheField>
    <cacheField name="Götene" numFmtId="9">
      <sharedItems containsMixedTypes="1" containsNumber="1" minValue="0" maxValue="0.14606741573033707"/>
    </cacheField>
    <cacheField name="Hjo" numFmtId="9">
      <sharedItems containsMixedTypes="1" containsNumber="1" minValue="0" maxValue="4.6875E-2"/>
    </cacheField>
    <cacheField name="Karlsborg" numFmtId="9">
      <sharedItems containsMixedTypes="1" containsNumber="1" minValue="0" maxValue="0.14754098360655737"/>
    </cacheField>
    <cacheField name="Kungälv" numFmtId="9">
      <sharedItems containsMixedTypes="1" containsNumber="1" minValue="0.16528925619834714" maxValue="0.2030075187969925"/>
    </cacheField>
    <cacheField name="Lerum" numFmtId="9">
      <sharedItems containsMixedTypes="1" containsNumber="1" minValue="0.12925170068027211" maxValue="0.24444444444444444"/>
    </cacheField>
    <cacheField name="Lidköping" numFmtId="9">
      <sharedItems containsMixedTypes="1" containsNumber="1" minValue="0.10204081632653061" maxValue="0.14906832298136646"/>
    </cacheField>
    <cacheField name="Lilla Edet" numFmtId="9">
      <sharedItems containsMixedTypes="1" containsNumber="1" minValue="0" maxValue="0.16393442622950818"/>
    </cacheField>
    <cacheField name="Lysekil" numFmtId="9">
      <sharedItems containsMixedTypes="1" containsNumber="1" minValue="0.10638297872340426" maxValue="0.23333333333333334"/>
    </cacheField>
    <cacheField name="Mariestad" numFmtId="9">
      <sharedItems containsMixedTypes="1" containsNumber="1" minValue="9.5890410958904104E-2" maxValue="0.17117117117117117"/>
    </cacheField>
    <cacheField name="Mark" numFmtId="9">
      <sharedItems containsMixedTypes="1" containsNumber="1" minValue="0.16153846153846155" maxValue="0.18320610687022901"/>
    </cacheField>
    <cacheField name="Mellerud" numFmtId="9">
      <sharedItems containsMixedTypes="1" containsNumber="1" minValue="0" maxValue="8.771929824561403E-2"/>
    </cacheField>
    <cacheField name="Munkedal" numFmtId="9">
      <sharedItems containsMixedTypes="1" containsNumber="1" minValue="0" maxValue="8.6956521739130432E-2"/>
    </cacheField>
    <cacheField name="Mölndal" numFmtId="9">
      <sharedItems containsMixedTypes="1" containsNumber="1" minValue="0.13868613138686131" maxValue="0.23622047244094491"/>
    </cacheField>
    <cacheField name="Orust" numFmtId="9">
      <sharedItems containsMixedTypes="1" containsNumber="1" minValue="0" maxValue="0.11827956989247312"/>
    </cacheField>
    <cacheField name="Partille" numFmtId="9">
      <sharedItems containsMixedTypes="1" containsNumber="1" minValue="0.17475728155339806" maxValue="0.26"/>
    </cacheField>
    <cacheField name="Skara" numFmtId="9">
      <sharedItems containsMixedTypes="1" containsNumber="1" minValue="0.13043478260869565" maxValue="0.13698630136986301"/>
    </cacheField>
    <cacheField name="Skövde" numFmtId="9">
      <sharedItems containsMixedTypes="1" containsNumber="1" minValue="0.13775510204081631" maxValue="0.17256637168141592"/>
    </cacheField>
    <cacheField name="Sotenäs" numFmtId="9">
      <sharedItems containsMixedTypes="1" containsNumber="1" minValue="0" maxValue="0.13793103448275862"/>
    </cacheField>
    <cacheField name="Stenungssund" numFmtId="9">
      <sharedItems containsMixedTypes="1" containsNumber="1" minValue="0.11650485436893204" maxValue="0.12612612612612611"/>
    </cacheField>
    <cacheField name="Strömstad" numFmtId="9">
      <sharedItems containsMixedTypes="1" containsNumber="1" minValue="0" maxValue="5.7142857142857148E-2"/>
    </cacheField>
    <cacheField name="Svenljunga" numFmtId="9">
      <sharedItems containsMixedTypes="1" containsNumber="1" minValue="0" maxValue="0.15492957746478872"/>
    </cacheField>
    <cacheField name="Tanum" numFmtId="9">
      <sharedItems containsMixedTypes="1" containsNumber="1" minValue="0" maxValue="0.17241379310344829"/>
    </cacheField>
    <cacheField name="Tibro" numFmtId="9">
      <sharedItems containsMixedTypes="1" containsNumber="1" minValue="3.9215686274509803E-2" maxValue="0.12"/>
    </cacheField>
    <cacheField name="Tidaholm" numFmtId="9">
      <sharedItems containsMixedTypes="1" containsNumber="1" minValue="0" maxValue="9.2105263157894732E-2"/>
    </cacheField>
    <cacheField name="Tjörn" numFmtId="9">
      <sharedItems containsMixedTypes="1" containsNumber="1" minValue="8.7912087912087919E-2" maxValue="8.8888888888888892E-2"/>
    </cacheField>
    <cacheField name="Tranemo" numFmtId="9">
      <sharedItems containsMixedTypes="1" containsNumber="1" minValue="0" maxValue="0.18085106382978727"/>
    </cacheField>
    <cacheField name="Trollhättan" numFmtId="9">
      <sharedItems containsMixedTypes="1" containsNumber="1" minValue="8.2417582417582416E-2" maxValue="0.1965065502183406"/>
    </cacheField>
    <cacheField name="Töreboda" numFmtId="9">
      <sharedItems containsMixedTypes="1" containsNumber="1" minValue="0" maxValue="0.15"/>
    </cacheField>
    <cacheField name="Uddevalla" numFmtId="9">
      <sharedItems containsMixedTypes="1" containsNumber="1" minValue="0.14925373134328357" maxValue="0.20707070707070707"/>
    </cacheField>
    <cacheField name="Ulricehamn" numFmtId="9">
      <sharedItems containsMixedTypes="1" containsNumber="1" minValue="0" maxValue="0.1111111111111111"/>
    </cacheField>
    <cacheField name="Vara" numFmtId="9">
      <sharedItems containsMixedTypes="1" containsNumber="1" minValue="5.3571428571428568E-2" maxValue="8.3333333333333329E-2"/>
    </cacheField>
    <cacheField name="Vårgårda" numFmtId="9">
      <sharedItems containsMixedTypes="1" containsNumber="1" minValue="0" maxValue="0.11224489795918369"/>
    </cacheField>
    <cacheField name="Vänersborg" numFmtId="9">
      <sharedItems containsMixedTypes="1" containsNumber="1" minValue="8.8495575221238937E-2" maxValue="0.24"/>
    </cacheField>
    <cacheField name="Åmål" numFmtId="9">
      <sharedItems containsMixedTypes="1" containsNumber="1" minValue="0" maxValue="0.25974025974025972"/>
    </cacheField>
    <cacheField name="Öckerö" numFmtId="9">
      <sharedItems containsMixedTypes="1" containsNumber="1" minValue="0" maxValue="0.14606741573033707"/>
    </cacheField>
    <cacheField name="Norra HSN" numFmtId="9">
      <sharedItems containsMixedTypes="1" containsNumber="1" minValue="9.8203592814371257E-2" maxValue="0.21147715196599362"/>
    </cacheField>
    <cacheField name="Västra HSN + Göteborg" numFmtId="9">
      <sharedItems containsMixedTypes="1" containsNumber="1" minValue="0.15378517637732858" maxValue="0.20618955512572534"/>
    </cacheField>
    <cacheField name="Östra HSN" numFmtId="9">
      <sharedItems containsMixedTypes="1" containsNumber="1" minValue="0.10278372591006424" maxValue="0.14723926380368099"/>
    </cacheField>
    <cacheField name="Södra HSN" numFmtId="9">
      <sharedItems containsMixedTypes="1" containsNumber="1" minValue="0.15374507227332457" maxValue="0.19761273209549071"/>
    </cacheField>
    <cacheField name="VGR" numFmtId="9">
      <sharedItems containsMixedTypes="1" containsNumber="1" minValue="0.13452655889145496" maxValue="0.19460465116279069"/>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Alice Fredrikson" refreshedDate="42977.760016782406" createdVersion="6" refreshedVersion="6" minRefreshableVersion="3" recordCount="30">
  <cacheSource type="worksheet">
    <worksheetSource ref="A11:BA41" sheet="B2.2.3 DATA"/>
  </cacheSource>
  <cacheFields count="53">
    <cacheField name="År" numFmtId="0">
      <sharedItems containsSemiMixedTypes="0" containsString="0" containsNumber="1" containsInteger="1" minValue="2016" maxValue="2025" count="10">
        <n v="2016"/>
        <n v="2017"/>
        <n v="2018"/>
        <n v="2019"/>
        <n v="2020"/>
        <n v="2021"/>
        <n v="2022"/>
        <n v="2023"/>
        <n v="2024"/>
        <n v="2025"/>
      </sharedItems>
    </cacheField>
    <cacheField name="Kön" numFmtId="0">
      <sharedItems count="3">
        <s v="Män"/>
        <s v="Kvinnor"/>
        <s v="Båda könen"/>
      </sharedItems>
    </cacheField>
    <cacheField name="Ale" numFmtId="9">
      <sharedItems containsMixedTypes="1" containsNumber="1" minValue="5.6962025316455701E-2" maxValue="7.9136690647482008E-2"/>
    </cacheField>
    <cacheField name="Alingsås" numFmtId="9">
      <sharedItems containsMixedTypes="1" containsNumber="1" minValue="3.5714285714285712E-2" maxValue="3.8043478260869568E-2"/>
    </cacheField>
    <cacheField name="Bengtsfors" numFmtId="9">
      <sharedItems containsMixedTypes="1" containsNumber="1" minValue="0" maxValue="3.5294117647058823E-2"/>
    </cacheField>
    <cacheField name="Bollebygd" numFmtId="9">
      <sharedItems containsMixedTypes="1" containsNumber="1" minValue="0" maxValue="3.8461538461538464E-2"/>
    </cacheField>
    <cacheField name="Borås" numFmtId="9">
      <sharedItems containsMixedTypes="1" containsNumber="1" minValue="5.0377833753148624E-2" maxValue="6.6489361702127658E-2"/>
    </cacheField>
    <cacheField name="Essunga" numFmtId="9">
      <sharedItems containsMixedTypes="1" containsNumber="1" minValue="0" maxValue="9.6153846153846173E-2"/>
    </cacheField>
    <cacheField name="Falköping" numFmtId="9">
      <sharedItems containsMixedTypes="1" containsNumber="1" minValue="4.2253521126760563E-2" maxValue="4.5161290322580643E-2"/>
    </cacheField>
    <cacheField name="Färgelanda" numFmtId="9">
      <sharedItems containsMixedTypes="1" containsNumber="1" minValue="0" maxValue="5.3571428571428568E-2"/>
    </cacheField>
    <cacheField name="Grästorp" numFmtId="9">
      <sharedItems containsMixedTypes="1" containsNumber="1" containsInteger="1" minValue="0" maxValue="0"/>
    </cacheField>
    <cacheField name="Göteborg" numFmtId="9">
      <sharedItems containsMixedTypes="1" containsNumber="1" minValue="5.9168131224370243E-2" maxValue="6.5537957400327695E-2"/>
    </cacheField>
    <cacheField name="Götene" numFmtId="9">
      <sharedItems containsMixedTypes="1" containsNumber="1" minValue="0" maxValue="5.6603773584905669E-2"/>
    </cacheField>
    <cacheField name="Herrljunga" numFmtId="9">
      <sharedItems containsMixedTypes="1" containsNumber="1" minValue="0" maxValue="2.7397260273972601E-2"/>
    </cacheField>
    <cacheField name="Hjo" numFmtId="9">
      <sharedItems containsMixedTypes="1" containsNumber="1" minValue="0" maxValue="6.6666666666666666E-2"/>
    </cacheField>
    <cacheField name="Karlsborg" numFmtId="9">
      <sharedItems containsMixedTypes="1" containsNumber="1" minValue="0" maxValue="7.6923076923076927E-2"/>
    </cacheField>
    <cacheField name="Kungälv" numFmtId="9">
      <sharedItems containsMixedTypes="1" containsNumber="1" minValue="5.8419243986254296E-2" maxValue="6.0150375939849621E-2"/>
    </cacheField>
    <cacheField name="Lerum" numFmtId="9">
      <sharedItems containsMixedTypes="1" containsNumber="1" minValue="5.6250000000000001E-2" maxValue="9.3023255813953501E-2"/>
    </cacheField>
    <cacheField name="Lidköping" numFmtId="9">
      <sharedItems containsMixedTypes="1" containsNumber="1" minValue="1.4285714285714287E-2" maxValue="5.5214723926380369E-2"/>
    </cacheField>
    <cacheField name="Lilla Edet" numFmtId="9">
      <sharedItems containsMixedTypes="1" containsNumber="1" minValue="4.4444444444444446E-2" maxValue="0.25"/>
    </cacheField>
    <cacheField name="Lysekil" numFmtId="9">
      <sharedItems containsMixedTypes="1" containsNumber="1" minValue="0" maxValue="5.3191489361702128E-2"/>
    </cacheField>
    <cacheField name="Mariestad" numFmtId="9">
      <sharedItems containsMixedTypes="1" containsNumber="1" minValue="4.651162790697675E-2" maxValue="0.1111111111111111"/>
    </cacheField>
    <cacheField name="Mark" numFmtId="9">
      <sharedItems containsMixedTypes="1" containsNumber="1" minValue="2.4539877300613498E-2" maxValue="2.7397260273972601E-2"/>
    </cacheField>
    <cacheField name="Mellerud" numFmtId="9">
      <sharedItems containsMixedTypes="1" containsNumber="1" minValue="0" maxValue="0.10666666666666669"/>
    </cacheField>
    <cacheField name="Munkedal" numFmtId="9">
      <sharedItems containsMixedTypes="1" containsNumber="1" minValue="0" maxValue="3.0927835051546393E-2"/>
    </cacheField>
    <cacheField name="Mölndal" numFmtId="9">
      <sharedItems containsMixedTypes="1" containsNumber="1" minValue="4.296875E-2" maxValue="5.3846153846153849E-2"/>
    </cacheField>
    <cacheField name="Orust" numFmtId="9">
      <sharedItems containsMixedTypes="1" containsNumber="1" minValue="3.7735849056603772E-2" maxValue="6.5573770491803282E-2"/>
    </cacheField>
    <cacheField name="Partille" numFmtId="9">
      <sharedItems containsMixedTypes="1" containsNumber="1" minValue="3.2085561497326207E-2" maxValue="3.5502958579881658E-2"/>
    </cacheField>
    <cacheField name="Skara" numFmtId="9">
      <sharedItems containsMixedTypes="1" containsNumber="1" minValue="1.1363636363636366E-2" maxValue="1.2345679012345678E-2"/>
    </cacheField>
    <cacheField name="Skövde" numFmtId="9">
      <sharedItems containsMixedTypes="1" containsNumber="1" minValue="3.5897435897435895E-2" maxValue="5.5045871559633038E-2"/>
    </cacheField>
    <cacheField name="Sotenäs" numFmtId="9">
      <sharedItems containsMixedTypes="1" containsNumber="1" minValue="0" maxValue="1.5625E-2"/>
    </cacheField>
    <cacheField name="Stenungssund" numFmtId="9">
      <sharedItems containsMixedTypes="1" containsNumber="1" minValue="7.43801652892562E-2" maxValue="9.5238095238095233E-2"/>
    </cacheField>
    <cacheField name="Strömstad" numFmtId="9">
      <sharedItems containsMixedTypes="1" containsNumber="1" minValue="0" maxValue="5.6074766355140186E-2"/>
    </cacheField>
    <cacheField name="Svenljunga" numFmtId="9">
      <sharedItems containsMixedTypes="1" containsNumber="1" minValue="0" maxValue="2.0618556701030927E-2"/>
    </cacheField>
    <cacheField name="Tanum" numFmtId="9">
      <sharedItems containsMixedTypes="1" containsNumber="1" minValue="4.1666666666666664E-2" maxValue="4.2553191489361701E-2"/>
    </cacheField>
    <cacheField name="Tibro" numFmtId="9">
      <sharedItems containsMixedTypes="1" containsNumber="1" minValue="0" maxValue="4.4776119402985072E-2"/>
    </cacheField>
    <cacheField name="Tidaholm" numFmtId="9">
      <sharedItems containsMixedTypes="1" containsNumber="1" minValue="0" maxValue="9.0909090909090925E-2"/>
    </cacheField>
    <cacheField name="Tjörn" numFmtId="9">
      <sharedItems containsMixedTypes="1" containsNumber="1" minValue="5.1724137931034482E-2" maxValue="8.1632653061224497E-2"/>
    </cacheField>
    <cacheField name="Tranemo" numFmtId="9">
      <sharedItems containsMixedTypes="1" containsNumber="1" minValue="0" maxValue="2.0408163265306124E-2"/>
    </cacheField>
    <cacheField name="Trollhättan" numFmtId="9">
      <sharedItems containsMixedTypes="1" containsNumber="1" minValue="4.3269230769230768E-2" maxValue="5.9040590405904057E-2"/>
    </cacheField>
    <cacheField name="Töreboda" numFmtId="9">
      <sharedItems containsMixedTypes="1" containsNumber="1" minValue="0" maxValue="7.6923076923076927E-2"/>
    </cacheField>
    <cacheField name="Uddevalla" numFmtId="9">
      <sharedItems containsMixedTypes="1" containsNumber="1" minValue="4.633204633204633E-2" maxValue="6.6666666666666666E-2"/>
    </cacheField>
    <cacheField name="Ulricehamn" numFmtId="9">
      <sharedItems containsMixedTypes="1" containsNumber="1" minValue="4.3859649122807015E-2" maxValue="0.09"/>
    </cacheField>
    <cacheField name="Vara" numFmtId="9">
      <sharedItems containsMixedTypes="1" containsNumber="1" minValue="0.02" maxValue="4.6153846153846156E-2"/>
    </cacheField>
    <cacheField name="Vårgårda" numFmtId="9">
      <sharedItems containsMixedTypes="1" containsNumber="1" minValue="0" maxValue="0.01"/>
    </cacheField>
    <cacheField name="Vänersborg" numFmtId="9">
      <sharedItems containsMixedTypes="1" containsNumber="1" minValue="3.0120481927710847E-2" maxValue="6.2146892655367235E-2"/>
    </cacheField>
    <cacheField name="Åmål" numFmtId="9">
      <sharedItems containsMixedTypes="1" containsNumber="1" minValue="1.4925373134328358E-2" maxValue="0.02"/>
    </cacheField>
    <cacheField name="Öckerö" numFmtId="9">
      <sharedItems containsMixedTypes="1" containsNumber="1" minValue="2.1276595744680851E-2" maxValue="6.6666666666666666E-2"/>
    </cacheField>
    <cacheField name="Norra HSN" numFmtId="9">
      <sharedItems containsMixedTypes="1" containsNumber="1" minValue="4.0674603174603176E-2" maxValue="5.4276315789473693E-2"/>
    </cacheField>
    <cacheField name="Västra HSN + Göteborg" numFmtId="9">
      <sharedItems containsMixedTypes="1" containsNumber="1" minValue="6.1197041022192339E-2" maxValue="6.334699023006618E-2"/>
    </cacheField>
    <cacheField name="Östra HSN" numFmtId="9">
      <sharedItems containsMixedTypes="1" containsNumber="1" minValue="3.7145650048875857E-2" maxValue="5.4377880184331796E-2"/>
    </cacheField>
    <cacheField name="Södra HSN" numFmtId="9">
      <sharedItems containsMixedTypes="1" containsNumber="1" minValue="4.1079812206572773E-2" maxValue="4.6538024971623154E-2"/>
    </cacheField>
    <cacheField name="VGR" numFmtId="9">
      <sharedItems containsMixedTypes="1" containsNumber="1" minValue="5.0348698758292225E-2" maxValue="5.7476635514018694E-2"/>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Alice Fredrikson" refreshedDate="42977.760017361114" createdVersion="6" refreshedVersion="6" minRefreshableVersion="3" recordCount="30">
  <cacheSource type="worksheet">
    <worksheetSource ref="A11:AW41" sheet="B2.2.2 DATA"/>
  </cacheSource>
  <cacheFields count="49">
    <cacheField name="År" numFmtId="0">
      <sharedItems containsSemiMixedTypes="0" containsString="0" containsNumber="1" containsInteger="1" minValue="2016" maxValue="2025" count="10">
        <n v="2016"/>
        <n v="2017"/>
        <n v="2018"/>
        <n v="2019"/>
        <n v="2020"/>
        <n v="2021"/>
        <n v="2022"/>
        <n v="2023"/>
        <n v="2024"/>
        <n v="2025"/>
      </sharedItems>
    </cacheField>
    <cacheField name="Kön" numFmtId="0">
      <sharedItems count="3">
        <s v="Män"/>
        <s v="Kvinnor"/>
        <s v="Båda könen"/>
      </sharedItems>
    </cacheField>
    <cacheField name="Ale" numFmtId="9">
      <sharedItems containsMixedTypes="1" containsNumber="1" minValue="0.22093023255813954" maxValue="0.25555555555555554"/>
    </cacheField>
    <cacheField name="Alingsås" numFmtId="9">
      <sharedItems containsMixedTypes="1" containsNumber="1" minValue="0.22627737226277372" maxValue="0.24060150375939848"/>
    </cacheField>
    <cacheField name="Bengtsfors" numFmtId="9">
      <sharedItems containsMixedTypes="1" containsNumber="1" minValue="0" maxValue="0.38181818181818189"/>
    </cacheField>
    <cacheField name="Bollebygd" numFmtId="9">
      <sharedItems containsMixedTypes="1" containsNumber="1" minValue="0" maxValue="0.1875"/>
    </cacheField>
    <cacheField name="Borås" numFmtId="9">
      <sharedItems containsMixedTypes="1" containsNumber="1" minValue="0" maxValue="0.25714285714285712"/>
    </cacheField>
    <cacheField name="Falköping" numFmtId="9">
      <sharedItems containsMixedTypes="1" containsNumber="1" minValue="0.33663366336633666" maxValue="0.40963855421686746"/>
    </cacheField>
    <cacheField name="Göteborg" numFmtId="9">
      <sharedItems containsMixedTypes="1" containsNumber="1" minValue="0.22847682119205298" maxValue="0.30892742453436095"/>
    </cacheField>
    <cacheField name="Götene" numFmtId="9">
      <sharedItems containsMixedTypes="1" containsNumber="1" minValue="0" maxValue="0.2808988764044944"/>
    </cacheField>
    <cacheField name="Hjo" numFmtId="9">
      <sharedItems containsMixedTypes="1" containsNumber="1" minValue="0" maxValue="0.203125"/>
    </cacheField>
    <cacheField name="Karlsborg" numFmtId="9">
      <sharedItems containsMixedTypes="1" containsNumber="1" minValue="0" maxValue="0.34426229508196721"/>
    </cacheField>
    <cacheField name="Kungälv" numFmtId="9">
      <sharedItems containsMixedTypes="1" containsNumber="1" minValue="0.20661157024793389" maxValue="0.2781954887218045"/>
    </cacheField>
    <cacheField name="Lerum" numFmtId="9">
      <sharedItems containsMixedTypes="1" containsNumber="1" minValue="0.34693877551020408" maxValue="0.3611111111111111"/>
    </cacheField>
    <cacheField name="Lidköping" numFmtId="9">
      <sharedItems containsMixedTypes="1" containsNumber="1" minValue="0.27329192546583853" maxValue="0.32653061224489799"/>
    </cacheField>
    <cacheField name="Lilla Edet" numFmtId="9">
      <sharedItems containsMixedTypes="1" containsNumber="1" minValue="0" maxValue="0.24590163934426229"/>
    </cacheField>
    <cacheField name="Lysekil" numFmtId="9">
      <sharedItems containsMixedTypes="1" containsNumber="1" minValue="0.27659574468085107" maxValue="0.4"/>
    </cacheField>
    <cacheField name="Mariestad" numFmtId="9">
      <sharedItems containsMixedTypes="1" containsNumber="1" minValue="0.1981981981981982" maxValue="0.31506849315068491"/>
    </cacheField>
    <cacheField name="Mark" numFmtId="9">
      <sharedItems containsMixedTypes="1" containsNumber="1" minValue="0.22137404580152673" maxValue="0.24615384615384617"/>
    </cacheField>
    <cacheField name="Mellerud" numFmtId="9">
      <sharedItems containsMixedTypes="1" containsNumber="1" minValue="0" maxValue="0.2982456140350877"/>
    </cacheField>
    <cacheField name="Munkedal" numFmtId="9">
      <sharedItems containsMixedTypes="1" containsNumber="1" minValue="0" maxValue="0.21739130434782611"/>
    </cacheField>
    <cacheField name="Mölndal" numFmtId="9">
      <sharedItems containsMixedTypes="1" containsNumber="1" minValue="0.22627737226277372" maxValue="0.23622047244094491"/>
    </cacheField>
    <cacheField name="Orust" numFmtId="9">
      <sharedItems containsMixedTypes="1" containsNumber="1" minValue="0" maxValue="0.30107526881720431"/>
    </cacheField>
    <cacheField name="Partille" numFmtId="9">
      <sharedItems containsMixedTypes="1" containsNumber="1" minValue="0.27184466019417475" maxValue="0.3"/>
    </cacheField>
    <cacheField name="Skara" numFmtId="9">
      <sharedItems containsMixedTypes="1" containsNumber="1" minValue="0.15068493150684931" maxValue="0.27536231884057971"/>
    </cacheField>
    <cacheField name="Skövde" numFmtId="9">
      <sharedItems containsMixedTypes="1" containsNumber="1" minValue="0.22959183673469391" maxValue="0.34070796460176989"/>
    </cacheField>
    <cacheField name="Sotenäs" numFmtId="9">
      <sharedItems containsMixedTypes="1" containsNumber="1" minValue="0" maxValue="0.37931034482758619"/>
    </cacheField>
    <cacheField name="Stenungssund" numFmtId="9">
      <sharedItems containsMixedTypes="1" containsNumber="1" minValue="0.29126213592233008" maxValue="0.43243243243243246"/>
    </cacheField>
    <cacheField name="Strömstad" numFmtId="9">
      <sharedItems containsMixedTypes="1" containsNumber="1" minValue="0" maxValue="0.3"/>
    </cacheField>
    <cacheField name="Svenljunga" numFmtId="9">
      <sharedItems containsMixedTypes="1" containsNumber="1" minValue="0" maxValue="0.26760563380281688"/>
    </cacheField>
    <cacheField name="Tanum" numFmtId="9">
      <sharedItems containsMixedTypes="1" containsNumber="1" minValue="0" maxValue="0.22413793103448279"/>
    </cacheField>
    <cacheField name="Tibro" numFmtId="9">
      <sharedItems containsMixedTypes="1" containsNumber="1" minValue="0.21568627450980393" maxValue="0.34"/>
    </cacheField>
    <cacheField name="Tidaholm" numFmtId="9">
      <sharedItems containsMixedTypes="1" containsNumber="1" minValue="0" maxValue="0.35526315789473684"/>
    </cacheField>
    <cacheField name="Tjörn" numFmtId="9">
      <sharedItems containsMixedTypes="1" containsNumber="1" minValue="0.31111111111111112" maxValue="0.44444444444444442"/>
    </cacheField>
    <cacheField name="Tranemo" numFmtId="9">
      <sharedItems containsMixedTypes="1" containsNumber="1" minValue="0" maxValue="0.27659574468085107"/>
    </cacheField>
    <cacheField name="Trollhättan" numFmtId="9">
      <sharedItems containsMixedTypes="1" containsNumber="1" minValue="0.23076923076923078" maxValue="0.35807860262008734"/>
    </cacheField>
    <cacheField name="Töreboda" numFmtId="9">
      <sharedItems containsMixedTypes="1" containsNumber="1" minValue="0" maxValue="0.5"/>
    </cacheField>
    <cacheField name="Uddevalla" numFmtId="9">
      <sharedItems containsMixedTypes="1" containsNumber="1" minValue="0.21890547263681595" maxValue="0.28282828282828282"/>
    </cacheField>
    <cacheField name="Ulricehamn" numFmtId="9">
      <sharedItems containsMixedTypes="1" containsNumber="1" minValue="0" maxValue="0.24183006535947713"/>
    </cacheField>
    <cacheField name="Vara" numFmtId="9">
      <sharedItems containsMixedTypes="1" containsNumber="1" minValue="0.35714285714285715" maxValue="0.44444444444444442"/>
    </cacheField>
    <cacheField name="Vårgårda" numFmtId="9">
      <sharedItems containsMixedTypes="1" containsNumber="1" minValue="0" maxValue="0.20408163265306123"/>
    </cacheField>
    <cacheField name="Vänersborg" numFmtId="9">
      <sharedItems containsMixedTypes="1" containsNumber="1" minValue="0.21333333333333337" maxValue="0.23008849557522124"/>
    </cacheField>
    <cacheField name="Åmål" numFmtId="9">
      <sharedItems containsMixedTypes="1" containsNumber="1" minValue="0" maxValue="0.27272727272727271"/>
    </cacheField>
    <cacheField name="Öckerö" numFmtId="9">
      <sharedItems containsMixedTypes="1" containsNumber="1" minValue="0" maxValue="0.30337078651685395"/>
    </cacheField>
    <cacheField name="Norra HSN" numFmtId="9">
      <sharedItems containsMixedTypes="1" containsNumber="1" minValue="0.24550898203592814" maxValue="0.31137088204038255"/>
    </cacheField>
    <cacheField name="Västra HSN + Göteborg" numFmtId="9">
      <sharedItems containsMixedTypes="1" containsNumber="1" minValue="0.24732461355529134" maxValue="0.30328820116054156"/>
    </cacheField>
    <cacheField name="Östra HSN" numFmtId="9">
      <sharedItems containsMixedTypes="1" containsNumber="1" minValue="0.27087794432548179" maxValue="0.33333333333333331"/>
    </cacheField>
    <cacheField name="Södra HSN" numFmtId="9">
      <sharedItems containsMixedTypes="1" containsNumber="1" minValue="0.21813403416557162" maxValue="0.27851458885941643"/>
    </cacheField>
    <cacheField name="VGR" numFmtId="9">
      <sharedItems containsMixedTypes="1" containsNumber="1" minValue="0.24903772132409546" maxValue="0.30716279069767444"/>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Alice Fredrikson" refreshedDate="42977.760017708337" createdVersion="6" refreshedVersion="6" minRefreshableVersion="3" recordCount="30">
  <cacheSource type="worksheet">
    <worksheetSource ref="A11:BA41" sheet="B2.2.1 DATA"/>
  </cacheSource>
  <cacheFields count="53">
    <cacheField name="År" numFmtId="0">
      <sharedItems containsSemiMixedTypes="0" containsString="0" containsNumber="1" containsInteger="1" minValue="2016" maxValue="2025" count="10">
        <n v="2016"/>
        <n v="2017"/>
        <n v="2018"/>
        <n v="2019"/>
        <n v="2020"/>
        <n v="2021"/>
        <n v="2022"/>
        <n v="2023"/>
        <n v="2024"/>
        <n v="2025"/>
      </sharedItems>
    </cacheField>
    <cacheField name="Kön" numFmtId="0">
      <sharedItems count="3">
        <s v="Män"/>
        <s v="Kvinnor"/>
        <s v="Båda könen"/>
      </sharedItems>
    </cacheField>
    <cacheField name="Ale" numFmtId="9">
      <sharedItems containsMixedTypes="1" containsNumber="1" minValue="6.9620253164556958E-2" maxValue="9.3525179856115109E-2"/>
    </cacheField>
    <cacheField name="Alingsås" numFmtId="9">
      <sharedItems containsMixedTypes="1" containsNumber="1" minValue="4.2857142857142858E-2" maxValue="5.4347826086956527E-2"/>
    </cacheField>
    <cacheField name="Bengtsfors" numFmtId="9">
      <sharedItems containsMixedTypes="1" containsNumber="1" minValue="0" maxValue="8.2352941176470587E-2"/>
    </cacheField>
    <cacheField name="Bollebygd" numFmtId="9">
      <sharedItems containsMixedTypes="1" containsNumber="1" minValue="0" maxValue="5.128205128205128E-2"/>
    </cacheField>
    <cacheField name="Borås" numFmtId="9">
      <sharedItems containsMixedTypes="1" containsNumber="1" minValue="8.3123425692695221E-2" maxValue="9.0425531914893637E-2"/>
    </cacheField>
    <cacheField name="Essunga" numFmtId="9">
      <sharedItems containsMixedTypes="1" containsNumber="1" minValue="0" maxValue="3.8461538461538464E-2"/>
    </cacheField>
    <cacheField name="Falköping" numFmtId="9">
      <sharedItems containsMixedTypes="1" containsNumber="1" minValue="5.6338028169014093E-2" maxValue="0.11612903225806452"/>
    </cacheField>
    <cacheField name="Färgelanda" numFmtId="9">
      <sharedItems containsMixedTypes="1" containsNumber="1" minValue="0" maxValue="8.9285714285714288E-2"/>
    </cacheField>
    <cacheField name="Grästorp" numFmtId="9">
      <sharedItems containsMixedTypes="1" containsNumber="1" minValue="0" maxValue="0.02"/>
    </cacheField>
    <cacheField name="Göteborg" numFmtId="9">
      <sharedItems containsMixedTypes="1" containsNumber="1" minValue="6.1168760240305854E-2" maxValue="8.670181605155243E-2"/>
    </cacheField>
    <cacheField name="Götene" numFmtId="9">
      <sharedItems containsMixedTypes="1" containsNumber="1" minValue="3.5714285714285712E-2" maxValue="5.6603773584905669E-2"/>
    </cacheField>
    <cacheField name="Herrljunga" numFmtId="9">
      <sharedItems containsMixedTypes="1" containsNumber="1" minValue="0" maxValue="5.4794520547945202E-2"/>
    </cacheField>
    <cacheField name="Hjo" numFmtId="9">
      <sharedItems containsMixedTypes="1" containsNumber="1" minValue="0" maxValue="0.12"/>
    </cacheField>
    <cacheField name="Karlsborg" numFmtId="9">
      <sharedItems containsMixedTypes="1" containsNumber="1" minValue="0" maxValue="0.26923076923076922"/>
    </cacheField>
    <cacheField name="Kungälv" numFmtId="9">
      <sharedItems containsMixedTypes="1" containsNumber="1" minValue="5.2631578947368418E-2" maxValue="6.535947712418301E-2"/>
    </cacheField>
    <cacheField name="Lerum" numFmtId="9">
      <sharedItems containsMixedTypes="1" containsNumber="1" minValue="0.11046511627906977" maxValue="0.14374999999999999"/>
    </cacheField>
    <cacheField name="Lidköping" numFmtId="9">
      <sharedItems containsMixedTypes="1" containsNumber="1" minValue="6.1349693251533742E-2" maxValue="7.1661237785016291E-2"/>
    </cacheField>
    <cacheField name="Lilla Edet" numFmtId="9">
      <sharedItems containsMixedTypes="1" containsNumber="1" minValue="6.6666666666666666E-2" maxValue="0.2"/>
    </cacheField>
    <cacheField name="Lysekil" numFmtId="9">
      <sharedItems containsMixedTypes="1" containsNumber="1" minValue="0" maxValue="0.1702127659574468"/>
    </cacheField>
    <cacheField name="Mariestad" numFmtId="9">
      <sharedItems containsMixedTypes="1" containsNumber="1" minValue="0.12790697674418605" maxValue="0.16161616161616163"/>
    </cacheField>
    <cacheField name="Mark" numFmtId="9">
      <sharedItems containsMixedTypes="1" containsNumber="1" minValue="8.5889570552147243E-2" maxValue="8.9041095890410954E-2"/>
    </cacheField>
    <cacheField name="Mellerud" numFmtId="9">
      <sharedItems containsMixedTypes="1" containsNumber="1" minValue="0" maxValue="0.16"/>
    </cacheField>
    <cacheField name="Munkedal" numFmtId="9">
      <sharedItems containsMixedTypes="1" containsNumber="1" minValue="0" maxValue="0.15463917525773196"/>
    </cacheField>
    <cacheField name="Mölndal" numFmtId="9">
      <sharedItems containsMixedTypes="1" containsNumber="1" minValue="8.984375E-2" maxValue="9.6153846153846173E-2"/>
    </cacheField>
    <cacheField name="Orust" numFmtId="9">
      <sharedItems containsMixedTypes="1" containsNumber="1" minValue="0.13207547169811321" maxValue="0.14754098360655737"/>
    </cacheField>
    <cacheField name="Partille" numFmtId="9">
      <sharedItems containsMixedTypes="1" containsNumber="1" minValue="8.0213903743315509E-2" maxValue="8.8757396449704137E-2"/>
    </cacheField>
    <cacheField name="Skara" numFmtId="9">
      <sharedItems containsMixedTypes="1" containsNumber="1" minValue="0.11046511627906977" maxValue="0.11363636363636363"/>
    </cacheField>
    <cacheField name="Skövde" numFmtId="9">
      <sharedItems containsMixedTypes="1" containsNumber="1" minValue="8.256880733944956E-2" maxValue="8.7179487179487175E-2"/>
    </cacheField>
    <cacheField name="Sotenäs" numFmtId="9">
      <sharedItems containsMixedTypes="1" containsNumber="1" minValue="0" maxValue="0.109375"/>
    </cacheField>
    <cacheField name="Stenungssund" numFmtId="9">
      <sharedItems containsMixedTypes="1" containsNumber="1" minValue="9.9173553719008267E-2" maxValue="0.17142857142857143"/>
    </cacheField>
    <cacheField name="Strömstad" numFmtId="9">
      <sharedItems containsMixedTypes="1" containsNumber="1" minValue="0" maxValue="7.476635514018691E-2"/>
    </cacheField>
    <cacheField name="Svenljunga" numFmtId="9">
      <sharedItems containsMixedTypes="1" containsNumber="1" minValue="0" maxValue="8.247422680412371E-2"/>
    </cacheField>
    <cacheField name="Tanum" numFmtId="9">
      <sharedItems containsMixedTypes="1" containsNumber="1" minValue="8.3333333333333329E-2" maxValue="0.1276595744680851"/>
    </cacheField>
    <cacheField name="Tibro" numFmtId="9">
      <sharedItems containsMixedTypes="1" containsNumber="1" minValue="0" maxValue="5.9701492537313432E-2"/>
    </cacheField>
    <cacheField name="Tidaholm" numFmtId="9">
      <sharedItems containsMixedTypes="1" containsNumber="1" minValue="5.2631578947368418E-2" maxValue="5.4545454545454543E-2"/>
    </cacheField>
    <cacheField name="Tjörn" numFmtId="9">
      <sharedItems containsMixedTypes="1" containsNumber="1" minValue="8.6206896551724144E-2" maxValue="0.30612244897959184"/>
    </cacheField>
    <cacheField name="Tranemo" numFmtId="9">
      <sharedItems containsMixedTypes="1" containsNumber="1" minValue="8.6956521739130432E-2" maxValue="0.14285714285714285"/>
    </cacheField>
    <cacheField name="Trollhättan" numFmtId="9">
      <sharedItems containsMixedTypes="1" containsNumber="1" minValue="7.3800738007380073E-2" maxValue="9.1346153846153841E-2"/>
    </cacheField>
    <cacheField name="Töreboda" numFmtId="9">
      <sharedItems containsMixedTypes="1" containsNumber="1" minValue="0" maxValue="7.6923076923076927E-2"/>
    </cacheField>
    <cacheField name="Uddevalla" numFmtId="9">
      <sharedItems containsMixedTypes="1" containsNumber="1" minValue="2.3166023166023165E-2" maxValue="4.2857142857142858E-2"/>
    </cacheField>
    <cacheField name="Ulricehamn" numFmtId="9">
      <sharedItems containsMixedTypes="1" containsNumber="1" minValue="8.771929824561403E-2" maxValue="0.11"/>
    </cacheField>
    <cacheField name="Vara" numFmtId="9">
      <sharedItems containsMixedTypes="1" containsNumber="1" minValue="9.2307692307692313E-2" maxValue="0.10256410256410256"/>
    </cacheField>
    <cacheField name="Vårgårda" numFmtId="9">
      <sharedItems containsMixedTypes="1" containsNumber="1" minValue="0" maxValue="0.14000000000000001"/>
    </cacheField>
    <cacheField name="Vänersborg" numFmtId="9">
      <sharedItems containsMixedTypes="1" containsNumber="1" minValue="6.6265060240963861E-2" maxValue="0.10169491525423731"/>
    </cacheField>
    <cacheField name="Åmål" numFmtId="9">
      <sharedItems containsMixedTypes="1" containsNumber="1" minValue="0" maxValue="0.12"/>
    </cacheField>
    <cacheField name="Öckerö" numFmtId="9">
      <sharedItems containsMixedTypes="1" containsNumber="1" minValue="0.13333333333333333" maxValue="0.23404255319148937"/>
    </cacheField>
    <cacheField name="Norra HSN" numFmtId="9">
      <sharedItems containsMixedTypes="1" containsNumber="1" minValue="8.1414473684210537E-2" maxValue="9.1269841269841265E-2"/>
    </cacheField>
    <cacheField name="Västra HSN + Göteborg" numFmtId="9">
      <sharedItems containsMixedTypes="1" containsNumber="1" minValue="7.0829450139794969E-2" maxValue="9.8184263618022863E-2"/>
    </cacheField>
    <cacheField name="Östra HSN" numFmtId="9">
      <sharedItems containsMixedTypes="1" containsNumber="1" minValue="8.755760368663594E-2" maxValue="8.8826554464703153E-2"/>
    </cacheField>
    <cacheField name="Södra HSN" numFmtId="9">
      <sharedItems containsMixedTypes="1" containsNumber="1" minValue="8.2159624413145546E-2" maxValue="9.5346197502837682E-2"/>
    </cacheField>
    <cacheField name="VGR" numFmtId="9">
      <sharedItems containsMixedTypes="1" containsNumber="1" minValue="7.9595015576323994E-2" maxValue="9.2532743663888417E-2"/>
    </cacheField>
  </cacheFields>
  <extLst>
    <ext xmlns:x14="http://schemas.microsoft.com/office/spreadsheetml/2009/9/main" uri="{725AE2AE-9491-48be-B2B4-4EB974FC3084}">
      <x14:pivotCacheDefinition pivotCacheId="1"/>
    </ext>
  </extLst>
</pivotCacheDefinition>
</file>

<file path=xl/pivotCache/pivotCacheDefinition9.xml><?xml version="1.0" encoding="utf-8"?>
<pivotCacheDefinition xmlns="http://schemas.openxmlformats.org/spreadsheetml/2006/main" xmlns:r="http://schemas.openxmlformats.org/officeDocument/2006/relationships" r:id="rId1" refreshedBy="Alice Fredrikson" refreshedDate="42977.760018055553" createdVersion="6" refreshedVersion="6" minRefreshableVersion="3" recordCount="13">
  <cacheSource type="worksheet">
    <worksheetSource ref="A11:AW24" sheet="B1.2.3 DATA"/>
  </cacheSource>
  <cacheFields count="49">
    <cacheField name="År" numFmtId="0">
      <sharedItems count="13">
        <s v="2013/2014"/>
        <s v="2014/2015"/>
        <s v="2015/2016"/>
        <s v="2016/2017"/>
        <s v="2017/2018"/>
        <s v="2018/2019"/>
        <s v="2019/2020"/>
        <s v="2020/2021"/>
        <s v="2021/2022"/>
        <s v="2022/2023"/>
        <s v="2023/2024"/>
        <s v="2024/2025"/>
        <s v="2025/2026"/>
      </sharedItems>
    </cacheField>
    <cacheField name="Nyckeltal" numFmtId="0">
      <sharedItems count="1">
        <s v="Indragen studiehjälp"/>
      </sharedItems>
    </cacheField>
    <cacheField name="Ale" numFmtId="9">
      <sharedItems containsMixedTypes="1" containsNumber="1" minValue="1.3824884791999999E-2" maxValue="6.5040650406000003E-2"/>
    </cacheField>
    <cacheField name="Alingsås" numFmtId="9">
      <sharedItems containsMixedTypes="1" containsNumber="1" minValue="3.3730158730000001E-2" maxValue="5.56640625E-2"/>
    </cacheField>
    <cacheField name="Bengtsfors" numFmtId="9">
      <sharedItems containsMixedTypes="1" containsNumber="1" minValue="0" maxValue="2.5974025974E-2"/>
    </cacheField>
    <cacheField name="Bollebygd" numFmtId="9">
      <sharedItems containsMixedTypes="1" containsNumber="1" containsInteger="1" minValue="0" maxValue="0"/>
    </cacheField>
    <cacheField name="Borås" numFmtId="9">
      <sharedItems containsMixedTypes="1" containsNumber="1" minValue="8.7608695651999996E-2" maxValue="0.112599956775"/>
    </cacheField>
    <cacheField name="Dals-Ed" numFmtId="9">
      <sharedItems containsMixedTypes="1" containsNumber="1" minValue="0" maxValue="6.4102564102000006E-2"/>
    </cacheField>
    <cacheField name="Essunga" numFmtId="9">
      <sharedItems containsMixedTypes="1" containsNumber="1" minValue="0" maxValue="0.3"/>
    </cacheField>
    <cacheField name="Falköping" numFmtId="9">
      <sharedItems containsMixedTypes="1" containsNumber="1" minValue="4.1573033707000003E-2" maxValue="7.6751946606999993E-2"/>
    </cacheField>
    <cacheField name="Grästorp" numFmtId="9">
      <sharedItems containsMixedTypes="1" containsNumber="1" containsInteger="1" minValue="0" maxValue="0"/>
    </cacheField>
    <cacheField name="Göteborg" numFmtId="9">
      <sharedItems containsMixedTypes="1" containsNumber="1" minValue="6.8568867642E-2" maxValue="8.7064313838999999E-2"/>
    </cacheField>
    <cacheField name="Herrljunga" numFmtId="9">
      <sharedItems containsMixedTypes="1" containsNumber="1" minValue="5.8823529410999997E-2" maxValue="0.12550607287400001"/>
    </cacheField>
    <cacheField name="Hjo" numFmtId="9">
      <sharedItems containsMixedTypes="1" containsNumber="1" containsInteger="1" minValue="0" maxValue="0"/>
    </cacheField>
    <cacheField name="Härryda" numFmtId="9">
      <sharedItems containsMixedTypes="1" containsNumber="1" minValue="4.8137535815999999E-2" maxValue="6.7052023121000004E-2"/>
    </cacheField>
    <cacheField name="Karlsborg" numFmtId="9">
      <sharedItems containsMixedTypes="1" containsNumber="1" containsInteger="1" minValue="0" maxValue="0"/>
    </cacheField>
    <cacheField name="Kungälv" numFmtId="9">
      <sharedItems containsMixedTypes="1" containsNumber="1" minValue="6.5843621399000005E-2" maxValue="8.8508208421999995E-2"/>
    </cacheField>
    <cacheField name="Lerum" numFmtId="9">
      <sharedItems containsMixedTypes="1" containsNumber="1" minValue="5.9459459458999997E-2" maxValue="8.2273112807000004E-2"/>
    </cacheField>
    <cacheField name="Lidköping" numFmtId="9">
      <sharedItems containsMixedTypes="1" containsNumber="1" minValue="4.7365620009999998E-2" maxValue="5.7425742574000002E-2"/>
    </cacheField>
    <cacheField name="Lilla Edet" numFmtId="9">
      <sharedItems containsMixedTypes="1" containsNumber="1" minValue="0" maxValue="0.34285714285699997"/>
    </cacheField>
    <cacheField name="Lysekil" numFmtId="9">
      <sharedItems containsMixedTypes="1" containsNumber="1" minValue="1.7615176151E-2" maxValue="4.0293040293000001E-2"/>
    </cacheField>
    <cacheField name="Mariestad" numFmtId="9">
      <sharedItems containsMixedTypes="1" containsNumber="1" minValue="4.1176470588000003E-2" maxValue="5.9782608695000003E-2"/>
    </cacheField>
    <cacheField name="Mark" numFmtId="9">
      <sharedItems containsMixedTypes="1" containsNumber="1" minValue="8.2744702320000002E-2" maxValue="9.6808510638E-2"/>
    </cacheField>
    <cacheField name="Mellerud" numFmtId="9">
      <sharedItems containsMixedTypes="1" containsNumber="1" minValue="8.1632653060999996E-2" maxValue="0.121951219512"/>
    </cacheField>
    <cacheField name="Munkedal" numFmtId="9">
      <sharedItems containsMixedTypes="1" containsNumber="1" minValue="2.1416803953E-2" maxValue="3.4246575341999999E-2"/>
    </cacheField>
    <cacheField name="Mölndal" numFmtId="9">
      <sharedItems containsMixedTypes="1" containsNumber="1" minValue="6.8441064637999996E-2" maxValue="9.1836734692999994E-2"/>
    </cacheField>
    <cacheField name="Orust" numFmtId="9">
      <sharedItems containsMixedTypes="1" containsNumber="1" containsInteger="1" minValue="0" maxValue="0"/>
    </cacheField>
    <cacheField name="Partille" numFmtId="9">
      <sharedItems containsMixedTypes="1" containsNumber="1" minValue="0.13865546218399999" maxValue="0.23939393939299999"/>
    </cacheField>
    <cacheField name="Skara" numFmtId="9">
      <sharedItems containsMixedTypes="1" containsNumber="1" minValue="2.6205450732999999E-2" maxValue="4.3119266055000001E-2"/>
    </cacheField>
    <cacheField name="Skövde" numFmtId="9">
      <sharedItems containsMixedTypes="1" containsNumber="1" minValue="3.9364391477000001E-2" maxValue="5.0073099415000002E-2"/>
    </cacheField>
    <cacheField name="Sotenäs" numFmtId="9">
      <sharedItems containsMixedTypes="1" containsNumber="1" containsInteger="1" minValue="0" maxValue="0"/>
    </cacheField>
    <cacheField name="Stenungssund" numFmtId="9">
      <sharedItems containsMixedTypes="1" containsNumber="1" minValue="1.7625231910000001E-2" maxValue="2.5617566331E-2"/>
    </cacheField>
    <cacheField name="Strömstad" numFmtId="9">
      <sharedItems containsMixedTypes="1" containsNumber="1" minValue="2.5787965616000001E-2" maxValue="9.9397590361000002E-2"/>
    </cacheField>
    <cacheField name="Svenljunga" numFmtId="9">
      <sharedItems containsMixedTypes="1" containsNumber="1" minValue="0" maxValue="2.7972027972000001E-2"/>
    </cacheField>
    <cacheField name="Tanum" numFmtId="9">
      <sharedItems containsMixedTypes="1" containsNumber="1" minValue="0" maxValue="0.21126760563300001"/>
    </cacheField>
    <cacheField name="Tibro" numFmtId="9">
      <sharedItems containsMixedTypes="1" containsNumber="1" minValue="4.8888888887999998E-2" maxValue="0.10182767624"/>
    </cacheField>
    <cacheField name="Tidaholm" numFmtId="9">
      <sharedItems containsMixedTypes="1" containsNumber="1" minValue="3.7499999999999999E-2" maxValue="6.9343065693E-2"/>
    </cacheField>
    <cacheField name="Tjörn" numFmtId="9">
      <sharedItems containsMixedTypes="1" containsNumber="1" containsInteger="1" minValue="0" maxValue="0"/>
    </cacheField>
    <cacheField name="Tranemo" numFmtId="9">
      <sharedItems containsMixedTypes="1" containsNumber="1" minValue="4.1543026705999998E-2" maxValue="5.8441558440999998E-2"/>
    </cacheField>
    <cacheField name="Trollhättan" numFmtId="9">
      <sharedItems containsMixedTypes="1" containsNumber="1" minValue="4.5529801324000002E-2" maxValue="7.3057432431999997E-2"/>
    </cacheField>
    <cacheField name="Töreboda" numFmtId="9">
      <sharedItems containsMixedTypes="1" containsNumber="1" minValue="3.7383177570000002E-2" maxValue="4.7210300428999999E-2"/>
    </cacheField>
    <cacheField name="Uddevalla" numFmtId="9">
      <sharedItems containsMixedTypes="1" containsNumber="1" minValue="3.7822349569999997E-2" maxValue="4.8574752763000002E-2"/>
    </cacheField>
    <cacheField name="Ulricehamn" numFmtId="9">
      <sharedItems containsMixedTypes="1" containsNumber="1" minValue="3.0364372468999999E-2" maxValue="5.3719008264000001E-2"/>
    </cacheField>
    <cacheField name="Vara" numFmtId="9">
      <sharedItems containsMixedTypes="1" containsNumber="1" minValue="5.0980392155999997E-2" maxValue="8.2677165354000007E-2"/>
    </cacheField>
    <cacheField name="Vårgårda" numFmtId="9">
      <sharedItems containsMixedTypes="1" containsNumber="1" minValue="3.9087947881999999E-2" maxValue="7.7419354837999999E-2"/>
    </cacheField>
    <cacheField name="Vänersborg" numFmtId="9">
      <sharedItems containsMixedTypes="1" containsNumber="1" minValue="2.5518341306999998E-2" maxValue="4.4371405093999998E-2"/>
    </cacheField>
    <cacheField name="Åmål" numFmtId="9">
      <sharedItems containsMixedTypes="1" containsNumber="1" minValue="2.2429906542E-2" maxValue="2.9723991506999999E-2"/>
    </cacheField>
    <cacheField name="Öckerö" numFmtId="9">
      <sharedItems containsMixedTypes="1" containsNumber="1" minValue="0" maxValue="3.4246575341999999E-2"/>
    </cacheField>
    <cacheField name="VGR" numFmtId="9">
      <sharedItems containsMixedTypes="1" containsNumber="1" minValue="6.21875E-2" maxValue="7.0619662139000006E-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8">
  <r>
    <x v="0"/>
    <x v="0"/>
    <n v="0"/>
    <n v="0"/>
    <n v="4.75"/>
    <n v="80.239999999999995"/>
    <n v="23.93"/>
  </r>
  <r>
    <x v="0"/>
    <x v="1"/>
    <n v="0"/>
    <n v="0"/>
    <n v="30.25"/>
    <n v="279.88"/>
    <n v="86.58"/>
  </r>
  <r>
    <x v="0"/>
    <x v="2"/>
    <n v="0"/>
    <n v="0"/>
    <n v="17.12"/>
    <n v="177.33"/>
    <n v="54.38"/>
  </r>
  <r>
    <x v="1"/>
    <x v="0"/>
    <n v="0"/>
    <n v="0"/>
    <n v="9.5299999999999994"/>
    <n v="48.91"/>
    <n v="15.5"/>
  </r>
  <r>
    <x v="1"/>
    <x v="1"/>
    <n v="0"/>
    <n v="0"/>
    <n v="22.83"/>
    <n v="244.11"/>
    <n v="71.84"/>
  </r>
  <r>
    <x v="1"/>
    <x v="2"/>
    <n v="0"/>
    <n v="0"/>
    <n v="15.97"/>
    <n v="143.79"/>
    <n v="42.86"/>
  </r>
  <r>
    <x v="2"/>
    <x v="0"/>
    <n v="0"/>
    <n v="0"/>
    <n v="2.36"/>
    <n v="57.7"/>
    <n v="15.52"/>
  </r>
  <r>
    <x v="2"/>
    <x v="1"/>
    <n v="0"/>
    <n v="0"/>
    <n v="45.06"/>
    <n v="233.67"/>
    <n v="71.3"/>
  </r>
  <r>
    <x v="2"/>
    <x v="2"/>
    <n v="0"/>
    <n v="0"/>
    <n v="23.1"/>
    <n v="143.53"/>
    <n v="42.64"/>
  </r>
  <r>
    <x v="3"/>
    <x v="0"/>
    <n v="0"/>
    <n v="0"/>
    <n v="6.92"/>
    <n v="59.75"/>
    <n v="16.489999999999998"/>
  </r>
  <r>
    <x v="3"/>
    <x v="1"/>
    <n v="0"/>
    <n v="0"/>
    <n v="51.07"/>
    <n v="227.86"/>
    <n v="68.650000000000006"/>
  </r>
  <r>
    <x v="3"/>
    <x v="2"/>
    <n v="0"/>
    <n v="0"/>
    <n v="28.41"/>
    <n v="141.46"/>
    <n v="41.83"/>
  </r>
  <r>
    <x v="4"/>
    <x v="0"/>
    <n v="1.97"/>
    <n v="0"/>
    <n v="13.44"/>
    <n v="67.72"/>
    <n v="19.989999999999998"/>
  </r>
  <r>
    <x v="4"/>
    <x v="1"/>
    <n v="0"/>
    <n v="0"/>
    <n v="47.42"/>
    <n v="245.02"/>
    <n v="69.87"/>
  </r>
  <r>
    <x v="4"/>
    <x v="2"/>
    <n v="1.01"/>
    <n v="0"/>
    <n v="29.95"/>
    <n v="153.44999999999999"/>
    <n v="44.18"/>
  </r>
  <r>
    <x v="5"/>
    <x v="0"/>
    <n v="1.97"/>
    <n v="0"/>
    <n v="8.75"/>
    <n v="61.58"/>
    <n v="17.14"/>
  </r>
  <r>
    <x v="5"/>
    <x v="1"/>
    <n v="0"/>
    <n v="0"/>
    <n v="39.18"/>
    <n v="248.79"/>
    <n v="67.44"/>
  </r>
  <r>
    <x v="5"/>
    <x v="2"/>
    <n v="1.02"/>
    <n v="0"/>
    <n v="23.57"/>
    <n v="151.69"/>
    <n v="41.5"/>
  </r>
  <r>
    <x v="6"/>
    <x v="0"/>
    <m/>
    <m/>
    <m/>
    <m/>
    <m/>
  </r>
  <r>
    <x v="6"/>
    <x v="1"/>
    <m/>
    <m/>
    <m/>
    <m/>
    <m/>
  </r>
  <r>
    <x v="6"/>
    <x v="2"/>
    <m/>
    <m/>
    <m/>
    <m/>
    <m/>
  </r>
  <r>
    <x v="7"/>
    <x v="0"/>
    <m/>
    <m/>
    <m/>
    <m/>
    <m/>
  </r>
  <r>
    <x v="7"/>
    <x v="1"/>
    <m/>
    <m/>
    <m/>
    <m/>
    <m/>
  </r>
  <r>
    <x v="7"/>
    <x v="2"/>
    <m/>
    <m/>
    <m/>
    <m/>
    <m/>
  </r>
  <r>
    <x v="8"/>
    <x v="0"/>
    <m/>
    <m/>
    <m/>
    <m/>
    <m/>
  </r>
  <r>
    <x v="8"/>
    <x v="1"/>
    <m/>
    <m/>
    <m/>
    <m/>
    <m/>
  </r>
  <r>
    <x v="8"/>
    <x v="2"/>
    <m/>
    <m/>
    <m/>
    <m/>
    <m/>
  </r>
  <r>
    <x v="9"/>
    <x v="0"/>
    <m/>
    <m/>
    <m/>
    <m/>
    <m/>
  </r>
  <r>
    <x v="9"/>
    <x v="1"/>
    <m/>
    <m/>
    <m/>
    <m/>
    <m/>
  </r>
  <r>
    <x v="9"/>
    <x v="2"/>
    <m/>
    <m/>
    <m/>
    <m/>
    <m/>
  </r>
  <r>
    <x v="10"/>
    <x v="0"/>
    <m/>
    <m/>
    <m/>
    <m/>
    <m/>
  </r>
  <r>
    <x v="10"/>
    <x v="1"/>
    <m/>
    <m/>
    <m/>
    <m/>
    <m/>
  </r>
  <r>
    <x v="10"/>
    <x v="2"/>
    <m/>
    <m/>
    <m/>
    <m/>
    <m/>
  </r>
  <r>
    <x v="11"/>
    <x v="0"/>
    <m/>
    <m/>
    <m/>
    <m/>
    <m/>
  </r>
  <r>
    <x v="11"/>
    <x v="1"/>
    <m/>
    <m/>
    <m/>
    <m/>
    <m/>
  </r>
  <r>
    <x v="11"/>
    <x v="2"/>
    <m/>
    <m/>
    <m/>
    <m/>
    <m/>
  </r>
  <r>
    <x v="12"/>
    <x v="0"/>
    <m/>
    <m/>
    <m/>
    <m/>
    <m/>
  </r>
  <r>
    <x v="12"/>
    <x v="1"/>
    <m/>
    <m/>
    <m/>
    <m/>
    <m/>
  </r>
  <r>
    <x v="12"/>
    <x v="2"/>
    <m/>
    <m/>
    <m/>
    <m/>
    <m/>
  </r>
  <r>
    <x v="13"/>
    <x v="0"/>
    <m/>
    <m/>
    <m/>
    <m/>
    <m/>
  </r>
  <r>
    <x v="13"/>
    <x v="1"/>
    <m/>
    <m/>
    <m/>
    <m/>
    <m/>
  </r>
  <r>
    <x v="13"/>
    <x v="2"/>
    <m/>
    <m/>
    <m/>
    <m/>
    <m/>
  </r>
  <r>
    <x v="14"/>
    <x v="0"/>
    <m/>
    <m/>
    <m/>
    <m/>
    <m/>
  </r>
  <r>
    <x v="14"/>
    <x v="1"/>
    <m/>
    <m/>
    <m/>
    <m/>
    <m/>
  </r>
  <r>
    <x v="14"/>
    <x v="2"/>
    <m/>
    <m/>
    <m/>
    <m/>
    <m/>
  </r>
  <r>
    <x v="15"/>
    <x v="0"/>
    <m/>
    <m/>
    <m/>
    <m/>
    <m/>
  </r>
  <r>
    <x v="15"/>
    <x v="1"/>
    <m/>
    <m/>
    <m/>
    <m/>
    <m/>
  </r>
  <r>
    <x v="15"/>
    <x v="2"/>
    <m/>
    <m/>
    <m/>
    <m/>
    <m/>
  </r>
</pivotCacheRecords>
</file>

<file path=xl/pivotCache/pivotCacheRecords10.xml><?xml version="1.0" encoding="utf-8"?>
<pivotCacheRecords xmlns="http://schemas.openxmlformats.org/spreadsheetml/2006/main" xmlns:r="http://schemas.openxmlformats.org/officeDocument/2006/relationships" count="12">
  <r>
    <x v="0"/>
    <x v="0"/>
    <n v="0.62"/>
    <n v="0.66"/>
    <n v="0.64"/>
    <n v="0.73"/>
    <n v="0.65"/>
    <n v="0.72"/>
    <n v="0.52"/>
    <n v="0.63"/>
    <n v="0.41000000000000003"/>
    <n v="0.69000000000000006"/>
    <n v="0.65"/>
    <n v="0.57000000000000006"/>
    <n v="0.69000000000000006"/>
    <n v="0.73"/>
    <n v="0.65"/>
    <n v="0.70000000000000007"/>
    <n v="0.75"/>
    <n v="0.65"/>
    <n v="0.71"/>
    <n v="0.67"/>
    <n v="0.62"/>
    <n v="0.56000000000000005"/>
    <n v="0.69000000000000006"/>
    <n v="0.67"/>
    <n v="0.64"/>
    <n v="0.66"/>
    <n v="0.68"/>
    <n v="0.71"/>
    <n v="0.68"/>
    <n v="0.65"/>
    <n v="0.68"/>
    <n v="0.67"/>
    <n v="0.64"/>
    <n v="0.59"/>
    <n v="0.78"/>
    <n v="0.66"/>
    <n v="0.79"/>
    <n v="0.67"/>
    <n v="0.66"/>
    <n v="0.71"/>
    <n v="0.68"/>
    <n v="0.70000000000000007"/>
    <n v="0.64"/>
    <n v="0.68"/>
    <n v="0.6"/>
    <n v="0.61"/>
    <n v="0.73"/>
    <n v="0.72"/>
    <n v="0.71"/>
    <n v="0.64"/>
  </r>
  <r>
    <x v="1"/>
    <x v="0"/>
    <n v="0.64"/>
    <n v="0.67"/>
    <n v="0.67"/>
    <n v="0.70000000000000007"/>
    <n v="0.65"/>
    <n v="0.64"/>
    <n v="0.66"/>
    <n v="0.68"/>
    <n v="0.65"/>
    <n v="0.70000000000000007"/>
    <n v="0.52"/>
    <n v="0.61"/>
    <n v="0.62"/>
    <n v="0.69000000000000006"/>
    <n v="0.63"/>
    <n v="0.69000000000000006"/>
    <n v="0.70000000000000007"/>
    <n v="0.68"/>
    <n v="0.71"/>
    <n v="0.69000000000000006"/>
    <n v="0.59"/>
    <n v="0.62"/>
    <n v="0.77"/>
    <n v="0.66"/>
    <n v="0.63"/>
    <n v="0.68"/>
    <n v="0.67"/>
    <n v="0.71"/>
    <n v="0.73"/>
    <n v="0.66"/>
    <n v="0.76"/>
    <n v="0.62"/>
    <n v="0.69000000000000006"/>
    <n v="0.63"/>
    <n v="0.62"/>
    <n v="0.71"/>
    <n v="0.62"/>
    <n v="0.65"/>
    <n v="0.66"/>
    <n v="0.68"/>
    <n v="0.67"/>
    <n v="0.77"/>
    <n v="0.65"/>
    <n v="0.72"/>
    <n v="0.6"/>
    <n v="0.56000000000000005"/>
    <n v="0.71"/>
    <n v="0.66"/>
    <n v="0.64"/>
    <n v="0.66"/>
  </r>
  <r>
    <x v="2"/>
    <x v="0"/>
    <n v="0.59"/>
    <n v="0.68"/>
    <n v="0.65"/>
    <n v="0.68"/>
    <n v="0.65"/>
    <n v="0.69000000000000006"/>
    <n v="0.64"/>
    <n v="0.63"/>
    <n v="0.51"/>
    <n v="0.83000000000000007"/>
    <n v="0.56000000000000005"/>
    <n v="0.6"/>
    <n v="0.74"/>
    <n v="0.75"/>
    <n v="0.79"/>
    <n v="0.71"/>
    <n v="0.67"/>
    <n v="0.69000000000000006"/>
    <n v="0.70000000000000007"/>
    <n v="0.75"/>
    <n v="0.68"/>
    <n v="0.57999999999999996"/>
    <n v="0.70000000000000007"/>
    <n v="0.72"/>
    <n v="0.65"/>
    <n v="0.67"/>
    <n v="0.68"/>
    <n v="0.69000000000000006"/>
    <n v="0.72"/>
    <n v="0.72"/>
    <n v="0.70000000000000007"/>
    <n v="0.77"/>
    <n v="0.66"/>
    <n v="0.59"/>
    <n v="0.61"/>
    <n v="0.71"/>
    <n v="0.73"/>
    <n v="0.67"/>
    <n v="0.71"/>
    <n v="0.79"/>
    <n v="0.62"/>
    <n v="0.75"/>
    <n v="0.65"/>
    <n v="0.75"/>
    <n v="0.68"/>
    <n v="0.69000000000000006"/>
    <n v="0.68"/>
    <n v="0.69000000000000006"/>
    <n v="0.79"/>
    <n v="0.66"/>
  </r>
  <r>
    <x v="3"/>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4"/>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5"/>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6"/>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7"/>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8"/>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9"/>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0"/>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1"/>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pivotCacheRecords>
</file>

<file path=xl/pivotCache/pivotCacheRecords11.xml><?xml version="1.0" encoding="utf-8"?>
<pivotCacheRecords xmlns="http://schemas.openxmlformats.org/spreadsheetml/2006/main" xmlns:r="http://schemas.openxmlformats.org/officeDocument/2006/relationships" count="16">
  <r>
    <x v="0"/>
    <x v="0"/>
    <n v="0.32600000000000001"/>
    <n v="0.19600000000000001"/>
    <n v="0.311"/>
    <n v="0.193"/>
    <n v="0.26200000000000001"/>
    <n v="0.436"/>
    <n v="3.7000000000000005E-2"/>
    <n v="0.26200000000000001"/>
    <n v="0.33"/>
    <n v="0.21300000000000002"/>
    <n v="0.29100000000000004"/>
    <n v="0.27500000000000002"/>
    <n v="0.13200000000000001"/>
    <n v="0.23100000000000001"/>
    <n v="0.158"/>
    <n v="0.11699999999999999"/>
    <n v="0.16"/>
    <n v="0.19899999999999998"/>
    <n v="0.22600000000000001"/>
    <n v="0.23"/>
    <n v="0.379"/>
    <n v="0.19800000000000001"/>
    <n v="0.222"/>
    <n v="0.22100000000000003"/>
    <n v="0.34899999999999998"/>
    <n v="0.18100000000000002"/>
    <n v="0.18300000000000002"/>
    <n v="0.22"/>
    <n v="0.15"/>
    <n v="0.223"/>
    <n v="0.20500000000000002"/>
    <n v="8.199999999999999E-2"/>
    <n v="0.13400000000000001"/>
    <n v="0.25700000000000001"/>
    <n v="0.255"/>
    <n v="0.28899999999999998"/>
    <n v="0.26200000000000001"/>
    <n v="0.28000000000000003"/>
    <n v="0.13699999999999998"/>
    <n v="0.28899999999999998"/>
    <n v="0.33200000000000002"/>
    <n v="0.23500000000000001"/>
    <n v="0.20399999999999999"/>
    <n v="0.31900000000000001"/>
    <n v="0.215"/>
    <n v="0.26900000000000002"/>
    <n v="0.29899999999999999"/>
    <n v="0.30199999999999999"/>
    <n v="0.19700000000000001"/>
    <n v="0.24"/>
  </r>
  <r>
    <x v="1"/>
    <x v="0"/>
    <n v="0.29399999999999998"/>
    <n v="0.115"/>
    <n v="0.379"/>
    <n v="0.18300000000000002"/>
    <n v="0.22"/>
    <n v="0.105"/>
    <n v="0.106"/>
    <n v="0.25800000000000001"/>
    <n v="0.4"/>
    <n v="0.24199999999999999"/>
    <n v="0.41700000000000004"/>
    <n v="0.3"/>
    <n v="0.17399999999999999"/>
    <n v="0.16300000000000001"/>
    <n v="0.26100000000000001"/>
    <n v="0.11"/>
    <n v="8.6999999999999994E-2"/>
    <n v="0.22800000000000001"/>
    <n v="0.13300000000000001"/>
    <n v="0.187"/>
    <n v="0.34200000000000003"/>
    <n v="0.18300000000000002"/>
    <n v="0.27"/>
    <n v="0.25600000000000001"/>
    <n v="0.43200000000000005"/>
    <n v="0.30199999999999999"/>
    <n v="0.17"/>
    <n v="0.159"/>
    <n v="0.13500000000000001"/>
    <n v="0.21199999999999999"/>
    <n v="0.222"/>
    <n v="0.02"/>
    <n v="0.13100000000000001"/>
    <n v="0.2"/>
    <n v="0.127"/>
    <n v="0.26500000000000001"/>
    <n v="0.20300000000000001"/>
    <n v="0.27"/>
    <n v="0.14599999999999999"/>
    <n v="0.34299999999999997"/>
    <n v="0.25600000000000001"/>
    <n v="0.20800000000000002"/>
    <n v="0.223"/>
    <n v="0.27100000000000002"/>
    <n v="0.21600000000000003"/>
    <n v="0.22399999999999998"/>
    <n v="0.26900000000000002"/>
    <n v="0.23199999999999998"/>
    <n v="0.122"/>
    <n v="0.23100000000000001"/>
  </r>
  <r>
    <x v="2"/>
    <x v="0"/>
    <n v="0.28399999999999997"/>
    <n v="0.18300000000000002"/>
    <n v="0.33"/>
    <n v="0.129"/>
    <n v="0.222"/>
    <n v="0.24399999999999999"/>
    <n v="0.155"/>
    <n v="0.255"/>
    <n v="0.36100000000000004"/>
    <n v="0.28399999999999997"/>
    <n v="0.43100000000000005"/>
    <n v="0.32"/>
    <n v="0.25900000000000001"/>
    <n v="0.23100000000000001"/>
    <n v="0.32"/>
    <n v="0.14099999999999999"/>
    <n v="0.10800000000000001"/>
    <n v="0.23399999999999999"/>
    <n v="0.17600000000000002"/>
    <n v="0.21100000000000002"/>
    <n v="0.35499999999999998"/>
    <n v="0.20899999999999999"/>
    <n v="0.20399999999999999"/>
    <n v="0.25900000000000001"/>
    <n v="0.39700000000000002"/>
    <n v="0.33899999999999997"/>
    <n v="0.19500000000000001"/>
    <n v="0.215"/>
    <n v="0.187"/>
    <n v="0.19800000000000001"/>
    <n v="0.22800000000000001"/>
    <n v="0.17699999999999999"/>
    <n v="0.111"/>
    <n v="0.17500000000000002"/>
    <n v="0.32700000000000001"/>
    <n v="0.22800000000000001"/>
    <n v="0.28199999999999997"/>
    <n v="0.29699999999999999"/>
    <n v="9.1999999999999998E-2"/>
    <n v="0.36200000000000004"/>
    <n v="0.28500000000000003"/>
    <n v="0.24"/>
    <n v="0.23600000000000002"/>
    <n v="0.29699999999999999"/>
    <n v="0.20800000000000002"/>
    <n v="0.20199999999999999"/>
    <n v="0.245"/>
    <n v="0.30599999999999999"/>
    <n v="0.17300000000000001"/>
    <n v="0.249"/>
  </r>
  <r>
    <x v="3"/>
    <x v="0"/>
    <n v="0.39200000000000002"/>
    <n v="0.18600000000000003"/>
    <n v="0.27200000000000002"/>
    <n v="0.18"/>
    <n v="0.25600000000000001"/>
    <n v="0.26"/>
    <n v="0.28600000000000003"/>
    <n v="0.26400000000000001"/>
    <n v="0.317"/>
    <n v="0.22600000000000001"/>
    <n v="0.375"/>
    <n v="0.34600000000000003"/>
    <n v="0.21199999999999999"/>
    <n v="0.21199999999999999"/>
    <n v="0.14800000000000002"/>
    <n v="0.12400000000000001"/>
    <n v="8.199999999999999E-2"/>
    <n v="0.20399999999999999"/>
    <n v="0.158"/>
    <n v="0.187"/>
    <n v="0.29799999999999999"/>
    <n v="0.185"/>
    <n v="0.218"/>
    <n v="0.27100000000000002"/>
    <n v="0.29699999999999999"/>
    <n v="0.27"/>
    <n v="0.18600000000000003"/>
    <n v="0.19600000000000001"/>
    <n v="0.192"/>
    <n v="0.17699999999999999"/>
    <n v="0.27200000000000002"/>
    <n v="0.11800000000000001"/>
    <n v="0.152"/>
    <n v="0.23899999999999999"/>
    <n v="0.31900000000000001"/>
    <n v="0.19700000000000001"/>
    <n v="0.26300000000000001"/>
    <n v="0.28999999999999998"/>
    <n v="0.129"/>
    <n v="0.24300000000000002"/>
    <n v="0.31"/>
    <n v="0.28399999999999997"/>
    <n v="0.20600000000000002"/>
    <n v="0.27800000000000002"/>
    <n v="0.23100000000000001"/>
    <n v="0.17800000000000002"/>
    <n v="0.308"/>
    <n v="0.28600000000000003"/>
    <n v="0.107"/>
    <n v="0.25600000000000001"/>
  </r>
  <r>
    <x v="4"/>
    <x v="0"/>
    <n v="0.40700000000000003"/>
    <n v="0.192"/>
    <n v="0.29499999999999998"/>
    <n v="0.26700000000000002"/>
    <n v="0.22700000000000001"/>
    <n v="0.27300000000000002"/>
    <n v="0.14499999999999999"/>
    <n v="0.33200000000000002"/>
    <n v="0.314"/>
    <n v="0.222"/>
    <n v="0.35499999999999998"/>
    <n v="0.312"/>
    <n v="0.185"/>
    <n v="0.23300000000000001"/>
    <n v="0.14899999999999999"/>
    <n v="0.14099999999999999"/>
    <n v="8.199999999999999E-2"/>
    <n v="0.184"/>
    <n v="0.16399999999999998"/>
    <n v="0.154"/>
    <n v="0.35899999999999999"/>
    <n v="0.28899999999999998"/>
    <n v="0.26200000000000001"/>
    <n v="0.23"/>
    <n v="0.223"/>
    <n v="0.28000000000000003"/>
    <n v="0.21100000000000002"/>
    <n v="0.308"/>
    <n v="0.14699999999999999"/>
    <n v="0.19"/>
    <n v="0.22700000000000001"/>
    <n v="9.6000000000000002E-2"/>
    <n v="0.17100000000000001"/>
    <n v="0.14300000000000002"/>
    <n v="0.34299999999999997"/>
    <n v="0.153"/>
    <n v="0.4"/>
    <n v="0.23699999999999999"/>
    <n v="0.11699999999999999"/>
    <n v="0.32"/>
    <n v="0.3"/>
    <n v="0.28100000000000003"/>
    <n v="0.30199999999999999"/>
    <n v="0.312"/>
    <n v="0.23699999999999999"/>
    <n v="0.19500000000000001"/>
    <n v="0.29300000000000004"/>
    <n v="0.25900000000000001"/>
    <n v="0.185"/>
    <n v="0.253"/>
  </r>
  <r>
    <x v="5"/>
    <x v="0"/>
    <n v="0.34700000000000003"/>
    <n v="0.23500000000000001"/>
    <n v="0.41200000000000003"/>
    <n v="0.152"/>
    <n v="0.245"/>
    <n v="0.35399999999999998"/>
    <n v="0.214"/>
    <n v="0.32200000000000001"/>
    <n v="0.53200000000000003"/>
    <n v="0.19399999999999998"/>
    <n v="0.217"/>
    <n v="0.33400000000000002"/>
    <n v="0.21300000000000002"/>
    <n v="0.19800000000000001"/>
    <n v="0.19100000000000003"/>
    <n v="0.13200000000000001"/>
    <n v="5.2999999999999999E-2"/>
    <n v="0.14199999999999999"/>
    <n v="0.2"/>
    <n v="0.25800000000000001"/>
    <n v="0.29600000000000004"/>
    <n v="0.25"/>
    <n v="0.218"/>
    <n v="0.27300000000000002"/>
    <n v="0.20699999999999999"/>
    <n v="0.252"/>
    <n v="0.22"/>
    <n v="0.24300000000000002"/>
    <n v="0.17199999999999999"/>
    <n v="0.23300000000000001"/>
    <n v="0.17"/>
    <n v="0.192"/>
    <n v="0.18100000000000002"/>
    <n v="0.33"/>
    <n v="0.39"/>
    <n v="0.21300000000000002"/>
    <n v="0.35299999999999998"/>
    <n v="0.214"/>
    <n v="0.14300000000000002"/>
    <n v="0.32"/>
    <n v="0.35399999999999998"/>
    <n v="0.26"/>
    <n v="0.27700000000000002"/>
    <n v="0.30599999999999999"/>
    <n v="0.20600000000000002"/>
    <n v="0.29499999999999998"/>
    <n v="0.27800000000000002"/>
    <n v="0.16899999999999998"/>
    <n v="0.16700000000000001"/>
    <n v="0.26300000000000001"/>
  </r>
  <r>
    <x v="6"/>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7"/>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8"/>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9"/>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0"/>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1"/>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2"/>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3"/>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4"/>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5"/>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pivotCacheRecords>
</file>

<file path=xl/pivotCache/pivotCacheRecords12.xml><?xml version="1.0" encoding="utf-8"?>
<pivotCacheRecords xmlns="http://schemas.openxmlformats.org/spreadsheetml/2006/main" xmlns:r="http://schemas.openxmlformats.org/officeDocument/2006/relationships" count="10">
  <r>
    <x v="0"/>
    <x v="0"/>
    <n v="0.23076923076923078"/>
    <n v="0"/>
    <n v="0"/>
    <n v="8.3333333333333329E-2"/>
    <n v="0.1111111111111111"/>
    <n v="0.125"/>
  </r>
  <r>
    <x v="1"/>
    <x v="0"/>
    <n v="0"/>
    <n v="0"/>
    <n v="0"/>
    <n v="0"/>
    <n v="0"/>
    <n v="0"/>
  </r>
  <r>
    <x v="2"/>
    <x v="0"/>
    <e v="#DIV/0!"/>
    <e v="#DIV/0!"/>
    <e v="#DIV/0!"/>
    <e v="#DIV/0!"/>
    <e v="#DIV/0!"/>
    <e v="#DIV/0!"/>
  </r>
  <r>
    <x v="3"/>
    <x v="0"/>
    <e v="#DIV/0!"/>
    <e v="#DIV/0!"/>
    <e v="#DIV/0!"/>
    <e v="#DIV/0!"/>
    <e v="#DIV/0!"/>
    <e v="#DIV/0!"/>
  </r>
  <r>
    <x v="4"/>
    <x v="0"/>
    <e v="#DIV/0!"/>
    <e v="#DIV/0!"/>
    <e v="#DIV/0!"/>
    <e v="#DIV/0!"/>
    <e v="#DIV/0!"/>
    <e v="#DIV/0!"/>
  </r>
  <r>
    <x v="5"/>
    <x v="0"/>
    <e v="#DIV/0!"/>
    <e v="#DIV/0!"/>
    <e v="#DIV/0!"/>
    <e v="#DIV/0!"/>
    <e v="#DIV/0!"/>
    <e v="#DIV/0!"/>
  </r>
  <r>
    <x v="6"/>
    <x v="0"/>
    <e v="#DIV/0!"/>
    <e v="#DIV/0!"/>
    <e v="#DIV/0!"/>
    <e v="#DIV/0!"/>
    <e v="#DIV/0!"/>
    <e v="#DIV/0!"/>
  </r>
  <r>
    <x v="7"/>
    <x v="0"/>
    <e v="#DIV/0!"/>
    <e v="#DIV/0!"/>
    <e v="#DIV/0!"/>
    <e v="#DIV/0!"/>
    <e v="#DIV/0!"/>
    <e v="#DIV/0!"/>
  </r>
  <r>
    <x v="8"/>
    <x v="0"/>
    <e v="#DIV/0!"/>
    <e v="#DIV/0!"/>
    <e v="#DIV/0!"/>
    <e v="#DIV/0!"/>
    <e v="#DIV/0!"/>
    <e v="#DIV/0!"/>
  </r>
  <r>
    <x v="9"/>
    <x v="0"/>
    <e v="#DIV/0!"/>
    <e v="#DIV/0!"/>
    <e v="#DIV/0!"/>
    <e v="#DIV/0!"/>
    <e v="#DIV/0!"/>
    <e v="#DIV/0!"/>
  </r>
</pivotCacheRecords>
</file>

<file path=xl/pivotCache/pivotCacheRecords13.xml><?xml version="1.0" encoding="utf-8"?>
<pivotCacheRecords xmlns="http://schemas.openxmlformats.org/spreadsheetml/2006/main" xmlns:r="http://schemas.openxmlformats.org/officeDocument/2006/relationships" count="10">
  <r>
    <x v="0"/>
    <x v="0"/>
    <n v="0.46153846153846156"/>
    <n v="0.5"/>
    <n v="0.25"/>
    <n v="0.66666666666666663"/>
    <n v="0.44444444444444442"/>
    <n v="0.5"/>
  </r>
  <r>
    <x v="1"/>
    <x v="0"/>
    <n v="0.46666666666666667"/>
    <n v="0"/>
    <n v="0.75"/>
    <n v="0.53333333333333333"/>
    <n v="0.55555555555555558"/>
    <n v="0.51111111111111107"/>
  </r>
  <r>
    <x v="2"/>
    <x v="0"/>
    <e v="#DIV/0!"/>
    <e v="#DIV/0!"/>
    <e v="#DIV/0!"/>
    <e v="#DIV/0!"/>
    <e v="#DIV/0!"/>
    <e v="#DIV/0!"/>
  </r>
  <r>
    <x v="3"/>
    <x v="0"/>
    <e v="#DIV/0!"/>
    <e v="#DIV/0!"/>
    <e v="#DIV/0!"/>
    <e v="#DIV/0!"/>
    <e v="#DIV/0!"/>
    <e v="#DIV/0!"/>
  </r>
  <r>
    <x v="4"/>
    <x v="0"/>
    <e v="#DIV/0!"/>
    <e v="#DIV/0!"/>
    <e v="#DIV/0!"/>
    <e v="#DIV/0!"/>
    <e v="#DIV/0!"/>
    <e v="#DIV/0!"/>
  </r>
  <r>
    <x v="5"/>
    <x v="0"/>
    <e v="#DIV/0!"/>
    <e v="#DIV/0!"/>
    <e v="#DIV/0!"/>
    <e v="#DIV/0!"/>
    <e v="#DIV/0!"/>
    <e v="#DIV/0!"/>
  </r>
  <r>
    <x v="6"/>
    <x v="0"/>
    <e v="#DIV/0!"/>
    <e v="#DIV/0!"/>
    <e v="#DIV/0!"/>
    <e v="#DIV/0!"/>
    <e v="#DIV/0!"/>
    <e v="#DIV/0!"/>
  </r>
  <r>
    <x v="7"/>
    <x v="0"/>
    <e v="#DIV/0!"/>
    <e v="#DIV/0!"/>
    <e v="#DIV/0!"/>
    <e v="#DIV/0!"/>
    <e v="#DIV/0!"/>
    <e v="#DIV/0!"/>
  </r>
  <r>
    <x v="8"/>
    <x v="0"/>
    <e v="#DIV/0!"/>
    <e v="#DIV/0!"/>
    <e v="#DIV/0!"/>
    <e v="#DIV/0!"/>
    <e v="#DIV/0!"/>
    <e v="#DIV/0!"/>
  </r>
  <r>
    <x v="9"/>
    <x v="0"/>
    <e v="#DIV/0!"/>
    <e v="#DIV/0!"/>
    <e v="#DIV/0!"/>
    <e v="#DIV/0!"/>
    <e v="#DIV/0!"/>
    <e v="#DIV/0!"/>
  </r>
</pivotCacheRecords>
</file>

<file path=xl/pivotCache/pivotCacheRecords14.xml><?xml version="1.0" encoding="utf-8"?>
<pivotCacheRecords xmlns="http://schemas.openxmlformats.org/spreadsheetml/2006/main" xmlns:r="http://schemas.openxmlformats.org/officeDocument/2006/relationships" count="60">
  <r>
    <x v="0"/>
    <x v="0"/>
    <n v="0.38461538461538464"/>
    <n v="0"/>
    <n v="0.25"/>
    <n v="0.33333333333333331"/>
    <n v="0.55555555555555558"/>
    <n v="0.36585365853658536"/>
  </r>
  <r>
    <x v="0"/>
    <x v="1"/>
    <n v="0.76923076923076927"/>
    <n v="0.33333333333333331"/>
    <n v="0.25"/>
    <n v="0.91666666666666663"/>
    <n v="0.77777777777777779"/>
    <n v="0.73170731707317072"/>
  </r>
  <r>
    <x v="0"/>
    <x v="2"/>
    <n v="0.53846153846153844"/>
    <n v="0"/>
    <n v="0.5"/>
    <n v="0.33333333333333331"/>
    <n v="0.66666666666666663"/>
    <n v="0.46341463414634149"/>
  </r>
  <r>
    <x v="0"/>
    <x v="3"/>
    <n v="0.46153846153846156"/>
    <n v="0.33333333333333331"/>
    <n v="0.25"/>
    <n v="0.41666666666666669"/>
    <n v="0.77777777777777779"/>
    <n v="0.48780487804878048"/>
  </r>
  <r>
    <x v="0"/>
    <x v="4"/>
    <n v="0.61538461538461542"/>
    <n v="1"/>
    <n v="0.25"/>
    <n v="0.5"/>
    <n v="0.44444444444444442"/>
    <n v="0.53658536585365857"/>
  </r>
  <r>
    <x v="0"/>
    <x v="5"/>
    <n v="0.61538461538461542"/>
    <n v="1"/>
    <n v="0.5"/>
    <n v="0.66666666666666663"/>
    <n v="0.77777777777777779"/>
    <n v="0.68292682926829273"/>
  </r>
  <r>
    <x v="1"/>
    <x v="0"/>
    <n v="0.33333333333333331"/>
    <n v="0"/>
    <n v="0.25"/>
    <n v="0.46666666666666667"/>
    <n v="0.22222222222222221"/>
    <n v="0.32608695652173914"/>
  </r>
  <r>
    <x v="1"/>
    <x v="1"/>
    <n v="0.8666666666666667"/>
    <n v="0.33333333333333331"/>
    <n v="0.5"/>
    <n v="0.8"/>
    <n v="0.44444444444444442"/>
    <n v="0.69565217391304346"/>
  </r>
  <r>
    <x v="1"/>
    <x v="2"/>
    <n v="0.6"/>
    <n v="0"/>
    <n v="0.5"/>
    <n v="0.46666666666666667"/>
    <n v="0.44444444444444442"/>
    <n v="0.47826086956521741"/>
  </r>
  <r>
    <x v="1"/>
    <x v="3"/>
    <n v="0.33333333333333331"/>
    <n v="0.33333333333333331"/>
    <n v="0.25"/>
    <n v="0.46666666666666667"/>
    <n v="0.33333333333333331"/>
    <n v="0.36956521739130432"/>
  </r>
  <r>
    <x v="1"/>
    <x v="4"/>
    <n v="0.53333333333333333"/>
    <n v="0"/>
    <n v="0.5"/>
    <n v="0.6"/>
    <n v="0.33333333333333331"/>
    <n v="0.47826086956521741"/>
  </r>
  <r>
    <x v="1"/>
    <x v="5"/>
    <n v="0.66666666666666663"/>
    <n v="1"/>
    <n v="0.5"/>
    <n v="0.53333333333333333"/>
    <n v="0.55555555555555558"/>
    <n v="0.60869565217391308"/>
  </r>
  <r>
    <x v="2"/>
    <x v="0"/>
    <e v="#DIV/0!"/>
    <e v="#DIV/0!"/>
    <e v="#DIV/0!"/>
    <e v="#DIV/0!"/>
    <e v="#DIV/0!"/>
    <e v="#DIV/0!"/>
  </r>
  <r>
    <x v="2"/>
    <x v="1"/>
    <e v="#DIV/0!"/>
    <e v="#DIV/0!"/>
    <e v="#DIV/0!"/>
    <e v="#DIV/0!"/>
    <e v="#DIV/0!"/>
    <e v="#DIV/0!"/>
  </r>
  <r>
    <x v="2"/>
    <x v="2"/>
    <e v="#DIV/0!"/>
    <e v="#DIV/0!"/>
    <e v="#DIV/0!"/>
    <e v="#DIV/0!"/>
    <e v="#DIV/0!"/>
    <e v="#DIV/0!"/>
  </r>
  <r>
    <x v="2"/>
    <x v="3"/>
    <e v="#DIV/0!"/>
    <e v="#DIV/0!"/>
    <e v="#DIV/0!"/>
    <e v="#DIV/0!"/>
    <e v="#DIV/0!"/>
    <e v="#DIV/0!"/>
  </r>
  <r>
    <x v="2"/>
    <x v="4"/>
    <e v="#DIV/0!"/>
    <e v="#DIV/0!"/>
    <e v="#DIV/0!"/>
    <e v="#DIV/0!"/>
    <e v="#DIV/0!"/>
    <e v="#DIV/0!"/>
  </r>
  <r>
    <x v="2"/>
    <x v="5"/>
    <e v="#DIV/0!"/>
    <e v="#DIV/0!"/>
    <e v="#DIV/0!"/>
    <e v="#DIV/0!"/>
    <e v="#DIV/0!"/>
    <e v="#DIV/0!"/>
  </r>
  <r>
    <x v="3"/>
    <x v="0"/>
    <e v="#DIV/0!"/>
    <e v="#DIV/0!"/>
    <e v="#DIV/0!"/>
    <e v="#DIV/0!"/>
    <e v="#DIV/0!"/>
    <e v="#DIV/0!"/>
  </r>
  <r>
    <x v="3"/>
    <x v="1"/>
    <e v="#DIV/0!"/>
    <e v="#DIV/0!"/>
    <e v="#DIV/0!"/>
    <e v="#DIV/0!"/>
    <e v="#DIV/0!"/>
    <e v="#DIV/0!"/>
  </r>
  <r>
    <x v="3"/>
    <x v="2"/>
    <e v="#DIV/0!"/>
    <e v="#DIV/0!"/>
    <e v="#DIV/0!"/>
    <e v="#DIV/0!"/>
    <e v="#DIV/0!"/>
    <e v="#DIV/0!"/>
  </r>
  <r>
    <x v="3"/>
    <x v="3"/>
    <e v="#DIV/0!"/>
    <e v="#DIV/0!"/>
    <e v="#DIV/0!"/>
    <e v="#DIV/0!"/>
    <e v="#DIV/0!"/>
    <e v="#DIV/0!"/>
  </r>
  <r>
    <x v="3"/>
    <x v="4"/>
    <e v="#DIV/0!"/>
    <e v="#DIV/0!"/>
    <e v="#DIV/0!"/>
    <e v="#DIV/0!"/>
    <e v="#DIV/0!"/>
    <e v="#DIV/0!"/>
  </r>
  <r>
    <x v="3"/>
    <x v="5"/>
    <e v="#DIV/0!"/>
    <e v="#DIV/0!"/>
    <e v="#DIV/0!"/>
    <e v="#DIV/0!"/>
    <e v="#DIV/0!"/>
    <e v="#DIV/0!"/>
  </r>
  <r>
    <x v="4"/>
    <x v="0"/>
    <e v="#DIV/0!"/>
    <e v="#DIV/0!"/>
    <e v="#DIV/0!"/>
    <e v="#DIV/0!"/>
    <e v="#DIV/0!"/>
    <e v="#DIV/0!"/>
  </r>
  <r>
    <x v="4"/>
    <x v="1"/>
    <e v="#DIV/0!"/>
    <e v="#DIV/0!"/>
    <e v="#DIV/0!"/>
    <e v="#DIV/0!"/>
    <e v="#DIV/0!"/>
    <e v="#DIV/0!"/>
  </r>
  <r>
    <x v="4"/>
    <x v="2"/>
    <e v="#DIV/0!"/>
    <e v="#DIV/0!"/>
    <e v="#DIV/0!"/>
    <e v="#DIV/0!"/>
    <e v="#DIV/0!"/>
    <e v="#DIV/0!"/>
  </r>
  <r>
    <x v="4"/>
    <x v="3"/>
    <e v="#DIV/0!"/>
    <e v="#DIV/0!"/>
    <e v="#DIV/0!"/>
    <e v="#DIV/0!"/>
    <e v="#DIV/0!"/>
    <e v="#DIV/0!"/>
  </r>
  <r>
    <x v="4"/>
    <x v="4"/>
    <e v="#DIV/0!"/>
    <e v="#DIV/0!"/>
    <e v="#DIV/0!"/>
    <e v="#DIV/0!"/>
    <e v="#DIV/0!"/>
    <e v="#DIV/0!"/>
  </r>
  <r>
    <x v="4"/>
    <x v="5"/>
    <e v="#DIV/0!"/>
    <e v="#DIV/0!"/>
    <e v="#DIV/0!"/>
    <e v="#DIV/0!"/>
    <e v="#DIV/0!"/>
    <e v="#DIV/0!"/>
  </r>
  <r>
    <x v="5"/>
    <x v="0"/>
    <e v="#DIV/0!"/>
    <e v="#DIV/0!"/>
    <e v="#DIV/0!"/>
    <e v="#DIV/0!"/>
    <e v="#DIV/0!"/>
    <e v="#DIV/0!"/>
  </r>
  <r>
    <x v="5"/>
    <x v="1"/>
    <e v="#DIV/0!"/>
    <e v="#DIV/0!"/>
    <e v="#DIV/0!"/>
    <e v="#DIV/0!"/>
    <e v="#DIV/0!"/>
    <e v="#DIV/0!"/>
  </r>
  <r>
    <x v="5"/>
    <x v="2"/>
    <e v="#DIV/0!"/>
    <e v="#DIV/0!"/>
    <e v="#DIV/0!"/>
    <e v="#DIV/0!"/>
    <e v="#DIV/0!"/>
    <e v="#DIV/0!"/>
  </r>
  <r>
    <x v="5"/>
    <x v="3"/>
    <e v="#DIV/0!"/>
    <e v="#DIV/0!"/>
    <e v="#DIV/0!"/>
    <e v="#DIV/0!"/>
    <e v="#DIV/0!"/>
    <e v="#DIV/0!"/>
  </r>
  <r>
    <x v="5"/>
    <x v="4"/>
    <e v="#DIV/0!"/>
    <e v="#DIV/0!"/>
    <e v="#DIV/0!"/>
    <e v="#DIV/0!"/>
    <e v="#DIV/0!"/>
    <e v="#DIV/0!"/>
  </r>
  <r>
    <x v="5"/>
    <x v="5"/>
    <e v="#DIV/0!"/>
    <e v="#DIV/0!"/>
    <e v="#DIV/0!"/>
    <e v="#DIV/0!"/>
    <e v="#DIV/0!"/>
    <e v="#DIV/0!"/>
  </r>
  <r>
    <x v="6"/>
    <x v="0"/>
    <e v="#DIV/0!"/>
    <e v="#DIV/0!"/>
    <e v="#DIV/0!"/>
    <e v="#DIV/0!"/>
    <e v="#DIV/0!"/>
    <e v="#DIV/0!"/>
  </r>
  <r>
    <x v="6"/>
    <x v="1"/>
    <e v="#DIV/0!"/>
    <e v="#DIV/0!"/>
    <e v="#DIV/0!"/>
    <e v="#DIV/0!"/>
    <e v="#DIV/0!"/>
    <e v="#DIV/0!"/>
  </r>
  <r>
    <x v="6"/>
    <x v="2"/>
    <e v="#DIV/0!"/>
    <e v="#DIV/0!"/>
    <e v="#DIV/0!"/>
    <e v="#DIV/0!"/>
    <e v="#DIV/0!"/>
    <e v="#DIV/0!"/>
  </r>
  <r>
    <x v="6"/>
    <x v="3"/>
    <e v="#DIV/0!"/>
    <e v="#DIV/0!"/>
    <e v="#DIV/0!"/>
    <e v="#DIV/0!"/>
    <e v="#DIV/0!"/>
    <e v="#DIV/0!"/>
  </r>
  <r>
    <x v="6"/>
    <x v="4"/>
    <e v="#DIV/0!"/>
    <e v="#DIV/0!"/>
    <e v="#DIV/0!"/>
    <e v="#DIV/0!"/>
    <e v="#DIV/0!"/>
    <e v="#DIV/0!"/>
  </r>
  <r>
    <x v="6"/>
    <x v="5"/>
    <e v="#DIV/0!"/>
    <e v="#DIV/0!"/>
    <e v="#DIV/0!"/>
    <e v="#DIV/0!"/>
    <e v="#DIV/0!"/>
    <e v="#DIV/0!"/>
  </r>
  <r>
    <x v="7"/>
    <x v="0"/>
    <e v="#DIV/0!"/>
    <e v="#DIV/0!"/>
    <e v="#DIV/0!"/>
    <e v="#DIV/0!"/>
    <e v="#DIV/0!"/>
    <e v="#DIV/0!"/>
  </r>
  <r>
    <x v="7"/>
    <x v="1"/>
    <e v="#DIV/0!"/>
    <e v="#DIV/0!"/>
    <e v="#DIV/0!"/>
    <e v="#DIV/0!"/>
    <e v="#DIV/0!"/>
    <e v="#DIV/0!"/>
  </r>
  <r>
    <x v="7"/>
    <x v="2"/>
    <e v="#DIV/0!"/>
    <e v="#DIV/0!"/>
    <e v="#DIV/0!"/>
    <e v="#DIV/0!"/>
    <e v="#DIV/0!"/>
    <e v="#DIV/0!"/>
  </r>
  <r>
    <x v="7"/>
    <x v="3"/>
    <e v="#DIV/0!"/>
    <e v="#DIV/0!"/>
    <e v="#DIV/0!"/>
    <e v="#DIV/0!"/>
    <e v="#DIV/0!"/>
    <e v="#DIV/0!"/>
  </r>
  <r>
    <x v="7"/>
    <x v="4"/>
    <e v="#DIV/0!"/>
    <e v="#DIV/0!"/>
    <e v="#DIV/0!"/>
    <e v="#DIV/0!"/>
    <e v="#DIV/0!"/>
    <e v="#DIV/0!"/>
  </r>
  <r>
    <x v="7"/>
    <x v="5"/>
    <e v="#DIV/0!"/>
    <e v="#DIV/0!"/>
    <e v="#DIV/0!"/>
    <e v="#DIV/0!"/>
    <e v="#DIV/0!"/>
    <e v="#DIV/0!"/>
  </r>
  <r>
    <x v="8"/>
    <x v="0"/>
    <e v="#DIV/0!"/>
    <e v="#DIV/0!"/>
    <e v="#DIV/0!"/>
    <e v="#DIV/0!"/>
    <e v="#DIV/0!"/>
    <e v="#DIV/0!"/>
  </r>
  <r>
    <x v="8"/>
    <x v="1"/>
    <e v="#DIV/0!"/>
    <e v="#DIV/0!"/>
    <e v="#DIV/0!"/>
    <e v="#DIV/0!"/>
    <e v="#DIV/0!"/>
    <e v="#DIV/0!"/>
  </r>
  <r>
    <x v="8"/>
    <x v="2"/>
    <e v="#DIV/0!"/>
    <e v="#DIV/0!"/>
    <e v="#DIV/0!"/>
    <e v="#DIV/0!"/>
    <e v="#DIV/0!"/>
    <e v="#DIV/0!"/>
  </r>
  <r>
    <x v="8"/>
    <x v="3"/>
    <e v="#DIV/0!"/>
    <e v="#DIV/0!"/>
    <e v="#DIV/0!"/>
    <e v="#DIV/0!"/>
    <e v="#DIV/0!"/>
    <e v="#DIV/0!"/>
  </r>
  <r>
    <x v="8"/>
    <x v="4"/>
    <e v="#DIV/0!"/>
    <e v="#DIV/0!"/>
    <e v="#DIV/0!"/>
    <e v="#DIV/0!"/>
    <e v="#DIV/0!"/>
    <e v="#DIV/0!"/>
  </r>
  <r>
    <x v="8"/>
    <x v="5"/>
    <e v="#DIV/0!"/>
    <e v="#DIV/0!"/>
    <e v="#DIV/0!"/>
    <e v="#DIV/0!"/>
    <e v="#DIV/0!"/>
    <e v="#DIV/0!"/>
  </r>
  <r>
    <x v="9"/>
    <x v="0"/>
    <e v="#DIV/0!"/>
    <e v="#DIV/0!"/>
    <e v="#DIV/0!"/>
    <e v="#DIV/0!"/>
    <e v="#DIV/0!"/>
    <e v="#DIV/0!"/>
  </r>
  <r>
    <x v="9"/>
    <x v="1"/>
    <e v="#DIV/0!"/>
    <e v="#DIV/0!"/>
    <e v="#DIV/0!"/>
    <e v="#DIV/0!"/>
    <e v="#DIV/0!"/>
    <e v="#DIV/0!"/>
  </r>
  <r>
    <x v="9"/>
    <x v="2"/>
    <e v="#DIV/0!"/>
    <e v="#DIV/0!"/>
    <e v="#DIV/0!"/>
    <e v="#DIV/0!"/>
    <e v="#DIV/0!"/>
    <e v="#DIV/0!"/>
  </r>
  <r>
    <x v="9"/>
    <x v="3"/>
    <e v="#DIV/0!"/>
    <e v="#DIV/0!"/>
    <e v="#DIV/0!"/>
    <e v="#DIV/0!"/>
    <e v="#DIV/0!"/>
    <e v="#DIV/0!"/>
  </r>
  <r>
    <x v="9"/>
    <x v="4"/>
    <e v="#DIV/0!"/>
    <e v="#DIV/0!"/>
    <e v="#DIV/0!"/>
    <e v="#DIV/0!"/>
    <e v="#DIV/0!"/>
    <e v="#DIV/0!"/>
  </r>
  <r>
    <x v="9"/>
    <x v="5"/>
    <e v="#DIV/0!"/>
    <e v="#DIV/0!"/>
    <e v="#DIV/0!"/>
    <e v="#DIV/0!"/>
    <e v="#DIV/0!"/>
    <e v="#DIV/0!"/>
  </r>
</pivotCacheRecords>
</file>

<file path=xl/pivotCache/pivotCacheRecords15.xml><?xml version="1.0" encoding="utf-8"?>
<pivotCacheRecords xmlns="http://schemas.openxmlformats.org/spreadsheetml/2006/main" xmlns:r="http://schemas.openxmlformats.org/officeDocument/2006/relationships" count="10">
  <r>
    <x v="0"/>
    <x v="0"/>
    <n v="7.6923076923076927E-2"/>
    <n v="0.66666666666666663"/>
    <n v="0.75"/>
    <n v="0.16666666666666666"/>
    <n v="0.1111111111111111"/>
    <n v="0.21951219512195122"/>
  </r>
  <r>
    <x v="1"/>
    <x v="0"/>
    <n v="0.13333333333333333"/>
    <n v="0.66666666666666663"/>
    <n v="0.5"/>
    <n v="0.26666666666666666"/>
    <n v="0"/>
    <n v="0.21739130434782608"/>
  </r>
  <r>
    <x v="2"/>
    <x v="0"/>
    <e v="#DIV/0!"/>
    <e v="#DIV/0!"/>
    <e v="#DIV/0!"/>
    <e v="#DIV/0!"/>
    <e v="#DIV/0!"/>
    <e v="#DIV/0!"/>
  </r>
  <r>
    <x v="3"/>
    <x v="0"/>
    <e v="#DIV/0!"/>
    <e v="#DIV/0!"/>
    <e v="#DIV/0!"/>
    <e v="#DIV/0!"/>
    <e v="#DIV/0!"/>
    <e v="#DIV/0!"/>
  </r>
  <r>
    <x v="4"/>
    <x v="0"/>
    <e v="#DIV/0!"/>
    <e v="#DIV/0!"/>
    <e v="#DIV/0!"/>
    <e v="#DIV/0!"/>
    <e v="#DIV/0!"/>
    <e v="#DIV/0!"/>
  </r>
  <r>
    <x v="5"/>
    <x v="0"/>
    <e v="#DIV/0!"/>
    <e v="#DIV/0!"/>
    <e v="#DIV/0!"/>
    <e v="#DIV/0!"/>
    <e v="#DIV/0!"/>
    <e v="#DIV/0!"/>
  </r>
  <r>
    <x v="6"/>
    <x v="0"/>
    <e v="#DIV/0!"/>
    <e v="#DIV/0!"/>
    <e v="#DIV/0!"/>
    <e v="#DIV/0!"/>
    <e v="#DIV/0!"/>
    <e v="#DIV/0!"/>
  </r>
  <r>
    <x v="7"/>
    <x v="0"/>
    <e v="#DIV/0!"/>
    <e v="#DIV/0!"/>
    <e v="#DIV/0!"/>
    <e v="#DIV/0!"/>
    <e v="#DIV/0!"/>
    <e v="#DIV/0!"/>
  </r>
  <r>
    <x v="8"/>
    <x v="0"/>
    <e v="#DIV/0!"/>
    <e v="#DIV/0!"/>
    <e v="#DIV/0!"/>
    <e v="#DIV/0!"/>
    <e v="#DIV/0!"/>
    <e v="#DIV/0!"/>
  </r>
  <r>
    <x v="9"/>
    <x v="0"/>
    <e v="#DIV/0!"/>
    <e v="#DIV/0!"/>
    <e v="#DIV/0!"/>
    <e v="#DIV/0!"/>
    <e v="#DIV/0!"/>
    <e v="#DIV/0!"/>
  </r>
</pivotCacheRecords>
</file>

<file path=xl/pivotCache/pivotCacheRecords16.xml><?xml version="1.0" encoding="utf-8"?>
<pivotCacheRecords xmlns="http://schemas.openxmlformats.org/spreadsheetml/2006/main" xmlns:r="http://schemas.openxmlformats.org/officeDocument/2006/relationships" count="16">
  <r>
    <x v="0"/>
    <x v="0"/>
    <n v="18.2"/>
  </r>
  <r>
    <x v="1"/>
    <x v="0"/>
    <n v="17.190000000000001"/>
  </r>
  <r>
    <x v="2"/>
    <x v="0"/>
    <n v="15.39"/>
  </r>
  <r>
    <x v="3"/>
    <x v="0"/>
    <n v="13.68"/>
  </r>
  <r>
    <x v="4"/>
    <x v="0"/>
    <n v="16.420000000000002"/>
  </r>
  <r>
    <x v="5"/>
    <x v="0"/>
    <n v="17.61"/>
  </r>
  <r>
    <x v="6"/>
    <x v="0"/>
    <m/>
  </r>
  <r>
    <x v="7"/>
    <x v="0"/>
    <m/>
  </r>
  <r>
    <x v="8"/>
    <x v="0"/>
    <m/>
  </r>
  <r>
    <x v="9"/>
    <x v="0"/>
    <m/>
  </r>
  <r>
    <x v="10"/>
    <x v="0"/>
    <m/>
  </r>
  <r>
    <x v="11"/>
    <x v="0"/>
    <m/>
  </r>
  <r>
    <x v="12"/>
    <x v="0"/>
    <m/>
  </r>
  <r>
    <x v="13"/>
    <x v="0"/>
    <m/>
  </r>
  <r>
    <x v="14"/>
    <x v="0"/>
    <m/>
  </r>
  <r>
    <x v="15"/>
    <x v="0"/>
    <m/>
  </r>
</pivotCacheRecords>
</file>

<file path=xl/pivotCache/pivotCacheRecords17.xml><?xml version="1.0" encoding="utf-8"?>
<pivotCacheRecords xmlns="http://schemas.openxmlformats.org/spreadsheetml/2006/main" xmlns:r="http://schemas.openxmlformats.org/officeDocument/2006/relationships" count="156">
  <r>
    <x v="0"/>
    <x v="0"/>
    <n v="30"/>
    <n v="61"/>
    <n v="11"/>
    <n v="20"/>
    <n v="21"/>
    <n v="143"/>
  </r>
  <r>
    <x v="0"/>
    <x v="1"/>
    <n v="3"/>
    <n v="13"/>
    <n v="2"/>
    <n v="1"/>
    <n v="2"/>
    <n v="21"/>
  </r>
  <r>
    <x v="0"/>
    <x v="2"/>
    <n v="2"/>
    <n v="6"/>
    <n v="1"/>
    <n v="1"/>
    <n v="1"/>
    <n v="11"/>
  </r>
  <r>
    <x v="0"/>
    <x v="3"/>
    <n v="1"/>
    <n v="3"/>
    <n v="0"/>
    <n v="0"/>
    <n v="1"/>
    <n v="5"/>
  </r>
  <r>
    <x v="0"/>
    <x v="4"/>
    <n v="0"/>
    <n v="1"/>
    <n v="1"/>
    <n v="1"/>
    <n v="2"/>
    <n v="5"/>
  </r>
  <r>
    <x v="0"/>
    <x v="5"/>
    <n v="6"/>
    <n v="13"/>
    <n v="2"/>
    <n v="3"/>
    <n v="2"/>
    <n v="26"/>
  </r>
  <r>
    <x v="0"/>
    <x v="6"/>
    <n v="1"/>
    <n v="1"/>
    <n v="0"/>
    <n v="0"/>
    <n v="0"/>
    <n v="2"/>
  </r>
  <r>
    <x v="0"/>
    <x v="7"/>
    <n v="19"/>
    <n v="51"/>
    <n v="6"/>
    <n v="8"/>
    <n v="19"/>
    <n v="103"/>
  </r>
  <r>
    <x v="0"/>
    <x v="8"/>
    <n v="0"/>
    <n v="0"/>
    <n v="0"/>
    <n v="0"/>
    <n v="0"/>
    <n v="0"/>
  </r>
  <r>
    <x v="0"/>
    <x v="9"/>
    <n v="0"/>
    <n v="2"/>
    <n v="0"/>
    <n v="0"/>
    <n v="0"/>
    <n v="2"/>
  </r>
  <r>
    <x v="0"/>
    <x v="10"/>
    <n v="8"/>
    <n v="8"/>
    <n v="1"/>
    <n v="1"/>
    <n v="6"/>
    <n v="24"/>
  </r>
  <r>
    <x v="0"/>
    <x v="11"/>
    <n v="2"/>
    <n v="6"/>
    <n v="0"/>
    <n v="1"/>
    <n v="4"/>
    <n v="13"/>
  </r>
  <r>
    <x v="0"/>
    <x v="12"/>
    <n v="62"/>
    <n v="149"/>
    <n v="23"/>
    <n v="34"/>
    <n v="48"/>
    <n v="316"/>
  </r>
  <r>
    <x v="1"/>
    <x v="0"/>
    <n v="22"/>
    <n v="61"/>
    <n v="9"/>
    <n v="23"/>
    <n v="19"/>
    <n v="134"/>
  </r>
  <r>
    <x v="1"/>
    <x v="1"/>
    <n v="3"/>
    <n v="8"/>
    <n v="1"/>
    <n v="4"/>
    <n v="6"/>
    <n v="22"/>
  </r>
  <r>
    <x v="1"/>
    <x v="2"/>
    <n v="0"/>
    <n v="3"/>
    <n v="0"/>
    <n v="1"/>
    <n v="4"/>
    <n v="8"/>
  </r>
  <r>
    <x v="1"/>
    <x v="3"/>
    <n v="2"/>
    <n v="1"/>
    <n v="0"/>
    <n v="0"/>
    <n v="2"/>
    <n v="5"/>
  </r>
  <r>
    <x v="1"/>
    <x v="4"/>
    <n v="1"/>
    <n v="2"/>
    <n v="0"/>
    <n v="0"/>
    <n v="0"/>
    <n v="3"/>
  </r>
  <r>
    <x v="1"/>
    <x v="5"/>
    <n v="1"/>
    <n v="0"/>
    <n v="0"/>
    <n v="1"/>
    <n v="2"/>
    <n v="4"/>
  </r>
  <r>
    <x v="1"/>
    <x v="6"/>
    <n v="0"/>
    <n v="2"/>
    <n v="0"/>
    <n v="0"/>
    <n v="0"/>
    <n v="2"/>
  </r>
  <r>
    <x v="1"/>
    <x v="7"/>
    <n v="14"/>
    <n v="65"/>
    <n v="3"/>
    <n v="9"/>
    <n v="12"/>
    <n v="103"/>
  </r>
  <r>
    <x v="1"/>
    <x v="8"/>
    <n v="0"/>
    <n v="1"/>
    <n v="0"/>
    <n v="0"/>
    <n v="0"/>
    <n v="1"/>
  </r>
  <r>
    <x v="1"/>
    <x v="9"/>
    <n v="1"/>
    <n v="1"/>
    <n v="1"/>
    <n v="0"/>
    <n v="1"/>
    <n v="4"/>
  </r>
  <r>
    <x v="1"/>
    <x v="10"/>
    <n v="3"/>
    <n v="11"/>
    <n v="0"/>
    <n v="0"/>
    <n v="3"/>
    <n v="17"/>
  </r>
  <r>
    <x v="1"/>
    <x v="11"/>
    <n v="1"/>
    <n v="9"/>
    <n v="0"/>
    <n v="3"/>
    <n v="0"/>
    <n v="13"/>
  </r>
  <r>
    <x v="1"/>
    <x v="12"/>
    <n v="43"/>
    <n v="142"/>
    <n v="13"/>
    <n v="38"/>
    <n v="45"/>
    <n v="281"/>
  </r>
  <r>
    <x v="2"/>
    <x v="0"/>
    <n v="52"/>
    <n v="92"/>
    <n v="27"/>
    <n v="36"/>
    <n v="38"/>
    <n v="245"/>
  </r>
  <r>
    <x v="2"/>
    <x v="1"/>
    <n v="6"/>
    <n v="20"/>
    <n v="1"/>
    <n v="5"/>
    <n v="4"/>
    <n v="36"/>
  </r>
  <r>
    <x v="2"/>
    <x v="2"/>
    <n v="1"/>
    <n v="5"/>
    <n v="0"/>
    <n v="2"/>
    <n v="3"/>
    <n v="11"/>
  </r>
  <r>
    <x v="2"/>
    <x v="3"/>
    <n v="1"/>
    <n v="4"/>
    <n v="1"/>
    <n v="1"/>
    <n v="0"/>
    <n v="7"/>
  </r>
  <r>
    <x v="2"/>
    <x v="4"/>
    <n v="0"/>
    <n v="2"/>
    <n v="2"/>
    <n v="2"/>
    <n v="1"/>
    <n v="7"/>
  </r>
  <r>
    <x v="2"/>
    <x v="5"/>
    <n v="4"/>
    <n v="8"/>
    <n v="1"/>
    <n v="2"/>
    <n v="4"/>
    <n v="19"/>
  </r>
  <r>
    <x v="2"/>
    <x v="6"/>
    <n v="2"/>
    <n v="3"/>
    <n v="2"/>
    <n v="0"/>
    <n v="1"/>
    <n v="8"/>
  </r>
  <r>
    <x v="2"/>
    <x v="7"/>
    <n v="28"/>
    <n v="106"/>
    <n v="12"/>
    <n v="34"/>
    <n v="32"/>
    <n v="212"/>
  </r>
  <r>
    <x v="2"/>
    <x v="8"/>
    <n v="0"/>
    <n v="0"/>
    <n v="0"/>
    <n v="1"/>
    <n v="0"/>
    <n v="1"/>
  </r>
  <r>
    <x v="2"/>
    <x v="9"/>
    <s v=" "/>
    <n v="2"/>
    <n v="1"/>
    <n v="0"/>
    <n v="0"/>
    <n v="3"/>
  </r>
  <r>
    <x v="2"/>
    <x v="10"/>
    <n v="8"/>
    <n v="28"/>
    <n v="3"/>
    <n v="13"/>
    <n v="12"/>
    <n v="64"/>
  </r>
  <r>
    <x v="2"/>
    <x v="11"/>
    <n v="7"/>
    <n v="17"/>
    <n v="5"/>
    <n v="9"/>
    <n v="10"/>
    <n v="48"/>
  </r>
  <r>
    <x v="2"/>
    <x v="12"/>
    <n v="94"/>
    <n v="240"/>
    <n v="46"/>
    <n v="82"/>
    <n v="83"/>
    <n v="545"/>
  </r>
  <r>
    <x v="3"/>
    <x v="0"/>
    <e v="#VALUE!"/>
    <e v="#VALUE!"/>
    <e v="#VALUE!"/>
    <e v="#VALUE!"/>
    <e v="#VALUE!"/>
    <e v="#VALUE!"/>
  </r>
  <r>
    <x v="3"/>
    <x v="1"/>
    <e v="#VALUE!"/>
    <e v="#VALUE!"/>
    <e v="#VALUE!"/>
    <e v="#VALUE!"/>
    <e v="#VALUE!"/>
    <e v="#VALUE!"/>
  </r>
  <r>
    <x v="3"/>
    <x v="2"/>
    <e v="#VALUE!"/>
    <e v="#VALUE!"/>
    <e v="#VALUE!"/>
    <e v="#VALUE!"/>
    <e v="#VALUE!"/>
    <e v="#VALUE!"/>
  </r>
  <r>
    <x v="3"/>
    <x v="3"/>
    <e v="#VALUE!"/>
    <e v="#VALUE!"/>
    <e v="#VALUE!"/>
    <e v="#VALUE!"/>
    <e v="#VALUE!"/>
    <e v="#VALUE!"/>
  </r>
  <r>
    <x v="3"/>
    <x v="4"/>
    <e v="#VALUE!"/>
    <e v="#VALUE!"/>
    <e v="#VALUE!"/>
    <e v="#VALUE!"/>
    <e v="#VALUE!"/>
    <e v="#VALUE!"/>
  </r>
  <r>
    <x v="3"/>
    <x v="5"/>
    <e v="#VALUE!"/>
    <e v="#VALUE!"/>
    <e v="#VALUE!"/>
    <e v="#VALUE!"/>
    <e v="#VALUE!"/>
    <e v="#VALUE!"/>
  </r>
  <r>
    <x v="3"/>
    <x v="6"/>
    <e v="#VALUE!"/>
    <e v="#VALUE!"/>
    <e v="#VALUE!"/>
    <e v="#VALUE!"/>
    <e v="#VALUE!"/>
    <e v="#VALUE!"/>
  </r>
  <r>
    <x v="3"/>
    <x v="7"/>
    <e v="#VALUE!"/>
    <e v="#VALUE!"/>
    <e v="#VALUE!"/>
    <e v="#VALUE!"/>
    <e v="#VALUE!"/>
    <e v="#VALUE!"/>
  </r>
  <r>
    <x v="3"/>
    <x v="8"/>
    <e v="#VALUE!"/>
    <e v="#VALUE!"/>
    <e v="#VALUE!"/>
    <e v="#VALUE!"/>
    <e v="#VALUE!"/>
    <e v="#VALUE!"/>
  </r>
  <r>
    <x v="3"/>
    <x v="9"/>
    <e v="#VALUE!"/>
    <e v="#VALUE!"/>
    <e v="#VALUE!"/>
    <e v="#VALUE!"/>
    <e v="#VALUE!"/>
    <e v="#VALUE!"/>
  </r>
  <r>
    <x v="3"/>
    <x v="10"/>
    <e v="#VALUE!"/>
    <e v="#VALUE!"/>
    <e v="#VALUE!"/>
    <e v="#VALUE!"/>
    <e v="#VALUE!"/>
    <e v="#VALUE!"/>
  </r>
  <r>
    <x v="3"/>
    <x v="11"/>
    <e v="#VALUE!"/>
    <e v="#VALUE!"/>
    <e v="#VALUE!"/>
    <e v="#VALUE!"/>
    <e v="#VALUE!"/>
    <e v="#VALUE!"/>
  </r>
  <r>
    <x v="3"/>
    <x v="12"/>
    <e v="#VALUE!"/>
    <e v="#VALUE!"/>
    <e v="#VALUE!"/>
    <e v="#VALUE!"/>
    <e v="#VALUE!"/>
    <e v="#VALUE!"/>
  </r>
  <r>
    <x v="4"/>
    <x v="0"/>
    <e v="#VALUE!"/>
    <e v="#VALUE!"/>
    <e v="#VALUE!"/>
    <e v="#VALUE!"/>
    <e v="#VALUE!"/>
    <e v="#VALUE!"/>
  </r>
  <r>
    <x v="4"/>
    <x v="1"/>
    <e v="#VALUE!"/>
    <e v="#VALUE!"/>
    <e v="#VALUE!"/>
    <e v="#VALUE!"/>
    <e v="#VALUE!"/>
    <e v="#VALUE!"/>
  </r>
  <r>
    <x v="4"/>
    <x v="2"/>
    <e v="#VALUE!"/>
    <e v="#VALUE!"/>
    <e v="#VALUE!"/>
    <e v="#VALUE!"/>
    <e v="#VALUE!"/>
    <e v="#VALUE!"/>
  </r>
  <r>
    <x v="4"/>
    <x v="3"/>
    <e v="#VALUE!"/>
    <e v="#VALUE!"/>
    <e v="#VALUE!"/>
    <e v="#VALUE!"/>
    <e v="#VALUE!"/>
    <e v="#VALUE!"/>
  </r>
  <r>
    <x v="4"/>
    <x v="4"/>
    <e v="#VALUE!"/>
    <e v="#VALUE!"/>
    <e v="#VALUE!"/>
    <e v="#VALUE!"/>
    <e v="#VALUE!"/>
    <e v="#VALUE!"/>
  </r>
  <r>
    <x v="4"/>
    <x v="5"/>
    <e v="#VALUE!"/>
    <e v="#VALUE!"/>
    <e v="#VALUE!"/>
    <e v="#VALUE!"/>
    <e v="#VALUE!"/>
    <e v="#VALUE!"/>
  </r>
  <r>
    <x v="4"/>
    <x v="6"/>
    <e v="#VALUE!"/>
    <e v="#VALUE!"/>
    <e v="#VALUE!"/>
    <e v="#VALUE!"/>
    <e v="#VALUE!"/>
    <e v="#VALUE!"/>
  </r>
  <r>
    <x v="4"/>
    <x v="7"/>
    <e v="#VALUE!"/>
    <e v="#VALUE!"/>
    <e v="#VALUE!"/>
    <e v="#VALUE!"/>
    <e v="#VALUE!"/>
    <e v="#VALUE!"/>
  </r>
  <r>
    <x v="4"/>
    <x v="8"/>
    <e v="#VALUE!"/>
    <e v="#VALUE!"/>
    <e v="#VALUE!"/>
    <e v="#VALUE!"/>
    <e v="#VALUE!"/>
    <e v="#VALUE!"/>
  </r>
  <r>
    <x v="4"/>
    <x v="9"/>
    <e v="#VALUE!"/>
    <e v="#VALUE!"/>
    <e v="#VALUE!"/>
    <e v="#VALUE!"/>
    <e v="#VALUE!"/>
    <e v="#VALUE!"/>
  </r>
  <r>
    <x v="4"/>
    <x v="10"/>
    <e v="#VALUE!"/>
    <e v="#VALUE!"/>
    <e v="#VALUE!"/>
    <e v="#VALUE!"/>
    <e v="#VALUE!"/>
    <e v="#VALUE!"/>
  </r>
  <r>
    <x v="4"/>
    <x v="11"/>
    <e v="#VALUE!"/>
    <e v="#VALUE!"/>
    <e v="#VALUE!"/>
    <e v="#VALUE!"/>
    <e v="#VALUE!"/>
    <e v="#VALUE!"/>
  </r>
  <r>
    <x v="4"/>
    <x v="12"/>
    <e v="#VALUE!"/>
    <e v="#VALUE!"/>
    <e v="#VALUE!"/>
    <e v="#VALUE!"/>
    <e v="#VALUE!"/>
    <e v="#VALUE!"/>
  </r>
  <r>
    <x v="5"/>
    <x v="0"/>
    <e v="#VALUE!"/>
    <e v="#VALUE!"/>
    <e v="#VALUE!"/>
    <e v="#VALUE!"/>
    <e v="#VALUE!"/>
    <e v="#VALUE!"/>
  </r>
  <r>
    <x v="5"/>
    <x v="1"/>
    <e v="#VALUE!"/>
    <e v="#VALUE!"/>
    <e v="#VALUE!"/>
    <e v="#VALUE!"/>
    <e v="#VALUE!"/>
    <e v="#VALUE!"/>
  </r>
  <r>
    <x v="5"/>
    <x v="2"/>
    <e v="#VALUE!"/>
    <e v="#VALUE!"/>
    <e v="#VALUE!"/>
    <e v="#VALUE!"/>
    <e v="#VALUE!"/>
    <e v="#VALUE!"/>
  </r>
  <r>
    <x v="5"/>
    <x v="3"/>
    <e v="#VALUE!"/>
    <e v="#VALUE!"/>
    <e v="#VALUE!"/>
    <e v="#VALUE!"/>
    <e v="#VALUE!"/>
    <e v="#VALUE!"/>
  </r>
  <r>
    <x v="5"/>
    <x v="4"/>
    <e v="#VALUE!"/>
    <e v="#VALUE!"/>
    <e v="#VALUE!"/>
    <e v="#VALUE!"/>
    <e v="#VALUE!"/>
    <e v="#VALUE!"/>
  </r>
  <r>
    <x v="5"/>
    <x v="5"/>
    <e v="#VALUE!"/>
    <e v="#VALUE!"/>
    <e v="#VALUE!"/>
    <e v="#VALUE!"/>
    <e v="#VALUE!"/>
    <e v="#VALUE!"/>
  </r>
  <r>
    <x v="5"/>
    <x v="6"/>
    <e v="#VALUE!"/>
    <e v="#VALUE!"/>
    <e v="#VALUE!"/>
    <e v="#VALUE!"/>
    <e v="#VALUE!"/>
    <e v="#VALUE!"/>
  </r>
  <r>
    <x v="5"/>
    <x v="7"/>
    <e v="#VALUE!"/>
    <e v="#VALUE!"/>
    <e v="#VALUE!"/>
    <e v="#VALUE!"/>
    <e v="#VALUE!"/>
    <e v="#VALUE!"/>
  </r>
  <r>
    <x v="5"/>
    <x v="8"/>
    <e v="#VALUE!"/>
    <e v="#VALUE!"/>
    <e v="#VALUE!"/>
    <e v="#VALUE!"/>
    <e v="#VALUE!"/>
    <e v="#VALUE!"/>
  </r>
  <r>
    <x v="5"/>
    <x v="9"/>
    <e v="#VALUE!"/>
    <e v="#VALUE!"/>
    <e v="#VALUE!"/>
    <e v="#VALUE!"/>
    <e v="#VALUE!"/>
    <e v="#VALUE!"/>
  </r>
  <r>
    <x v="5"/>
    <x v="10"/>
    <e v="#VALUE!"/>
    <e v="#VALUE!"/>
    <e v="#VALUE!"/>
    <e v="#VALUE!"/>
    <e v="#VALUE!"/>
    <e v="#VALUE!"/>
  </r>
  <r>
    <x v="5"/>
    <x v="11"/>
    <e v="#VALUE!"/>
    <e v="#VALUE!"/>
    <e v="#VALUE!"/>
    <e v="#VALUE!"/>
    <e v="#VALUE!"/>
    <e v="#VALUE!"/>
  </r>
  <r>
    <x v="5"/>
    <x v="12"/>
    <e v="#VALUE!"/>
    <e v="#VALUE!"/>
    <e v="#VALUE!"/>
    <e v="#VALUE!"/>
    <e v="#VALUE!"/>
    <e v="#VALUE!"/>
  </r>
  <r>
    <x v="6"/>
    <x v="0"/>
    <e v="#VALUE!"/>
    <e v="#VALUE!"/>
    <e v="#VALUE!"/>
    <e v="#VALUE!"/>
    <e v="#VALUE!"/>
    <e v="#VALUE!"/>
  </r>
  <r>
    <x v="6"/>
    <x v="1"/>
    <e v="#VALUE!"/>
    <e v="#VALUE!"/>
    <e v="#VALUE!"/>
    <e v="#VALUE!"/>
    <e v="#VALUE!"/>
    <e v="#VALUE!"/>
  </r>
  <r>
    <x v="6"/>
    <x v="2"/>
    <e v="#VALUE!"/>
    <e v="#VALUE!"/>
    <e v="#VALUE!"/>
    <e v="#VALUE!"/>
    <e v="#VALUE!"/>
    <e v="#VALUE!"/>
  </r>
  <r>
    <x v="6"/>
    <x v="3"/>
    <e v="#VALUE!"/>
    <e v="#VALUE!"/>
    <e v="#VALUE!"/>
    <e v="#VALUE!"/>
    <e v="#VALUE!"/>
    <e v="#VALUE!"/>
  </r>
  <r>
    <x v="6"/>
    <x v="4"/>
    <e v="#VALUE!"/>
    <e v="#VALUE!"/>
    <e v="#VALUE!"/>
    <e v="#VALUE!"/>
    <e v="#VALUE!"/>
    <e v="#VALUE!"/>
  </r>
  <r>
    <x v="6"/>
    <x v="5"/>
    <e v="#VALUE!"/>
    <e v="#VALUE!"/>
    <e v="#VALUE!"/>
    <e v="#VALUE!"/>
    <e v="#VALUE!"/>
    <e v="#VALUE!"/>
  </r>
  <r>
    <x v="6"/>
    <x v="6"/>
    <e v="#VALUE!"/>
    <e v="#VALUE!"/>
    <e v="#VALUE!"/>
    <e v="#VALUE!"/>
    <e v="#VALUE!"/>
    <e v="#VALUE!"/>
  </r>
  <r>
    <x v="6"/>
    <x v="7"/>
    <e v="#VALUE!"/>
    <e v="#VALUE!"/>
    <e v="#VALUE!"/>
    <e v="#VALUE!"/>
    <e v="#VALUE!"/>
    <e v="#VALUE!"/>
  </r>
  <r>
    <x v="6"/>
    <x v="8"/>
    <e v="#VALUE!"/>
    <e v="#VALUE!"/>
    <e v="#VALUE!"/>
    <e v="#VALUE!"/>
    <e v="#VALUE!"/>
    <e v="#VALUE!"/>
  </r>
  <r>
    <x v="6"/>
    <x v="9"/>
    <e v="#VALUE!"/>
    <e v="#VALUE!"/>
    <e v="#VALUE!"/>
    <e v="#VALUE!"/>
    <e v="#VALUE!"/>
    <e v="#VALUE!"/>
  </r>
  <r>
    <x v="6"/>
    <x v="10"/>
    <e v="#VALUE!"/>
    <e v="#VALUE!"/>
    <e v="#VALUE!"/>
    <e v="#VALUE!"/>
    <e v="#VALUE!"/>
    <e v="#VALUE!"/>
  </r>
  <r>
    <x v="6"/>
    <x v="11"/>
    <e v="#VALUE!"/>
    <e v="#VALUE!"/>
    <e v="#VALUE!"/>
    <e v="#VALUE!"/>
    <e v="#VALUE!"/>
    <e v="#VALUE!"/>
  </r>
  <r>
    <x v="6"/>
    <x v="12"/>
    <e v="#VALUE!"/>
    <e v="#VALUE!"/>
    <e v="#VALUE!"/>
    <e v="#VALUE!"/>
    <e v="#VALUE!"/>
    <e v="#VALUE!"/>
  </r>
  <r>
    <x v="7"/>
    <x v="0"/>
    <e v="#VALUE!"/>
    <e v="#VALUE!"/>
    <e v="#VALUE!"/>
    <e v="#VALUE!"/>
    <e v="#VALUE!"/>
    <e v="#VALUE!"/>
  </r>
  <r>
    <x v="7"/>
    <x v="1"/>
    <e v="#VALUE!"/>
    <e v="#VALUE!"/>
    <e v="#VALUE!"/>
    <e v="#VALUE!"/>
    <e v="#VALUE!"/>
    <e v="#VALUE!"/>
  </r>
  <r>
    <x v="7"/>
    <x v="2"/>
    <e v="#VALUE!"/>
    <e v="#VALUE!"/>
    <e v="#VALUE!"/>
    <e v="#VALUE!"/>
    <e v="#VALUE!"/>
    <e v="#VALUE!"/>
  </r>
  <r>
    <x v="7"/>
    <x v="3"/>
    <e v="#VALUE!"/>
    <e v="#VALUE!"/>
    <e v="#VALUE!"/>
    <e v="#VALUE!"/>
    <e v="#VALUE!"/>
    <e v="#VALUE!"/>
  </r>
  <r>
    <x v="7"/>
    <x v="4"/>
    <e v="#VALUE!"/>
    <e v="#VALUE!"/>
    <e v="#VALUE!"/>
    <e v="#VALUE!"/>
    <e v="#VALUE!"/>
    <e v="#VALUE!"/>
  </r>
  <r>
    <x v="7"/>
    <x v="5"/>
    <e v="#VALUE!"/>
    <e v="#VALUE!"/>
    <e v="#VALUE!"/>
    <e v="#VALUE!"/>
    <e v="#VALUE!"/>
    <e v="#VALUE!"/>
  </r>
  <r>
    <x v="7"/>
    <x v="6"/>
    <e v="#VALUE!"/>
    <e v="#VALUE!"/>
    <e v="#VALUE!"/>
    <e v="#VALUE!"/>
    <e v="#VALUE!"/>
    <e v="#VALUE!"/>
  </r>
  <r>
    <x v="7"/>
    <x v="7"/>
    <e v="#VALUE!"/>
    <e v="#VALUE!"/>
    <e v="#VALUE!"/>
    <e v="#VALUE!"/>
    <e v="#VALUE!"/>
    <e v="#VALUE!"/>
  </r>
  <r>
    <x v="7"/>
    <x v="8"/>
    <e v="#VALUE!"/>
    <e v="#VALUE!"/>
    <e v="#VALUE!"/>
    <e v="#VALUE!"/>
    <e v="#VALUE!"/>
    <e v="#VALUE!"/>
  </r>
  <r>
    <x v="7"/>
    <x v="9"/>
    <e v="#VALUE!"/>
    <e v="#VALUE!"/>
    <e v="#VALUE!"/>
    <e v="#VALUE!"/>
    <e v="#VALUE!"/>
    <e v="#VALUE!"/>
  </r>
  <r>
    <x v="7"/>
    <x v="10"/>
    <e v="#VALUE!"/>
    <e v="#VALUE!"/>
    <e v="#VALUE!"/>
    <e v="#VALUE!"/>
    <e v="#VALUE!"/>
    <e v="#VALUE!"/>
  </r>
  <r>
    <x v="7"/>
    <x v="11"/>
    <e v="#VALUE!"/>
    <e v="#VALUE!"/>
    <e v="#VALUE!"/>
    <e v="#VALUE!"/>
    <e v="#VALUE!"/>
    <e v="#VALUE!"/>
  </r>
  <r>
    <x v="7"/>
    <x v="12"/>
    <e v="#VALUE!"/>
    <e v="#VALUE!"/>
    <e v="#VALUE!"/>
    <e v="#VALUE!"/>
    <e v="#VALUE!"/>
    <e v="#VALUE!"/>
  </r>
  <r>
    <x v="8"/>
    <x v="0"/>
    <e v="#VALUE!"/>
    <e v="#VALUE!"/>
    <e v="#VALUE!"/>
    <e v="#VALUE!"/>
    <e v="#VALUE!"/>
    <e v="#VALUE!"/>
  </r>
  <r>
    <x v="8"/>
    <x v="1"/>
    <e v="#VALUE!"/>
    <e v="#VALUE!"/>
    <e v="#VALUE!"/>
    <e v="#VALUE!"/>
    <e v="#VALUE!"/>
    <e v="#VALUE!"/>
  </r>
  <r>
    <x v="8"/>
    <x v="2"/>
    <e v="#VALUE!"/>
    <e v="#VALUE!"/>
    <e v="#VALUE!"/>
    <e v="#VALUE!"/>
    <e v="#VALUE!"/>
    <e v="#VALUE!"/>
  </r>
  <r>
    <x v="8"/>
    <x v="3"/>
    <e v="#VALUE!"/>
    <e v="#VALUE!"/>
    <e v="#VALUE!"/>
    <e v="#VALUE!"/>
    <e v="#VALUE!"/>
    <e v="#VALUE!"/>
  </r>
  <r>
    <x v="8"/>
    <x v="4"/>
    <e v="#VALUE!"/>
    <e v="#VALUE!"/>
    <e v="#VALUE!"/>
    <e v="#VALUE!"/>
    <e v="#VALUE!"/>
    <e v="#VALUE!"/>
  </r>
  <r>
    <x v="8"/>
    <x v="5"/>
    <e v="#VALUE!"/>
    <e v="#VALUE!"/>
    <e v="#VALUE!"/>
    <e v="#VALUE!"/>
    <e v="#VALUE!"/>
    <e v="#VALUE!"/>
  </r>
  <r>
    <x v="8"/>
    <x v="6"/>
    <e v="#VALUE!"/>
    <e v="#VALUE!"/>
    <e v="#VALUE!"/>
    <e v="#VALUE!"/>
    <e v="#VALUE!"/>
    <e v="#VALUE!"/>
  </r>
  <r>
    <x v="8"/>
    <x v="7"/>
    <e v="#VALUE!"/>
    <e v="#VALUE!"/>
    <e v="#VALUE!"/>
    <e v="#VALUE!"/>
    <e v="#VALUE!"/>
    <e v="#VALUE!"/>
  </r>
  <r>
    <x v="8"/>
    <x v="8"/>
    <e v="#VALUE!"/>
    <e v="#VALUE!"/>
    <e v="#VALUE!"/>
    <e v="#VALUE!"/>
    <e v="#VALUE!"/>
    <e v="#VALUE!"/>
  </r>
  <r>
    <x v="8"/>
    <x v="9"/>
    <e v="#VALUE!"/>
    <e v="#VALUE!"/>
    <e v="#VALUE!"/>
    <e v="#VALUE!"/>
    <e v="#VALUE!"/>
    <e v="#VALUE!"/>
  </r>
  <r>
    <x v="8"/>
    <x v="10"/>
    <e v="#VALUE!"/>
    <e v="#VALUE!"/>
    <e v="#VALUE!"/>
    <e v="#VALUE!"/>
    <e v="#VALUE!"/>
    <e v="#VALUE!"/>
  </r>
  <r>
    <x v="8"/>
    <x v="11"/>
    <e v="#VALUE!"/>
    <e v="#VALUE!"/>
    <e v="#VALUE!"/>
    <e v="#VALUE!"/>
    <e v="#VALUE!"/>
    <e v="#VALUE!"/>
  </r>
  <r>
    <x v="8"/>
    <x v="12"/>
    <e v="#VALUE!"/>
    <e v="#VALUE!"/>
    <e v="#VALUE!"/>
    <e v="#VALUE!"/>
    <e v="#VALUE!"/>
    <e v="#VALUE!"/>
  </r>
  <r>
    <x v="9"/>
    <x v="0"/>
    <e v="#VALUE!"/>
    <e v="#VALUE!"/>
    <e v="#VALUE!"/>
    <e v="#VALUE!"/>
    <e v="#VALUE!"/>
    <e v="#VALUE!"/>
  </r>
  <r>
    <x v="9"/>
    <x v="1"/>
    <e v="#VALUE!"/>
    <e v="#VALUE!"/>
    <e v="#VALUE!"/>
    <e v="#VALUE!"/>
    <e v="#VALUE!"/>
    <e v="#VALUE!"/>
  </r>
  <r>
    <x v="9"/>
    <x v="2"/>
    <e v="#VALUE!"/>
    <e v="#VALUE!"/>
    <e v="#VALUE!"/>
    <e v="#VALUE!"/>
    <e v="#VALUE!"/>
    <e v="#VALUE!"/>
  </r>
  <r>
    <x v="9"/>
    <x v="3"/>
    <e v="#VALUE!"/>
    <e v="#VALUE!"/>
    <e v="#VALUE!"/>
    <e v="#VALUE!"/>
    <e v="#VALUE!"/>
    <e v="#VALUE!"/>
  </r>
  <r>
    <x v="9"/>
    <x v="4"/>
    <e v="#VALUE!"/>
    <e v="#VALUE!"/>
    <e v="#VALUE!"/>
    <e v="#VALUE!"/>
    <e v="#VALUE!"/>
    <e v="#VALUE!"/>
  </r>
  <r>
    <x v="9"/>
    <x v="5"/>
    <e v="#VALUE!"/>
    <e v="#VALUE!"/>
    <e v="#VALUE!"/>
    <e v="#VALUE!"/>
    <e v="#VALUE!"/>
    <e v="#VALUE!"/>
  </r>
  <r>
    <x v="9"/>
    <x v="6"/>
    <e v="#VALUE!"/>
    <e v="#VALUE!"/>
    <e v="#VALUE!"/>
    <e v="#VALUE!"/>
    <e v="#VALUE!"/>
    <e v="#VALUE!"/>
  </r>
  <r>
    <x v="9"/>
    <x v="7"/>
    <e v="#VALUE!"/>
    <e v="#VALUE!"/>
    <e v="#VALUE!"/>
    <e v="#VALUE!"/>
    <e v="#VALUE!"/>
    <e v="#VALUE!"/>
  </r>
  <r>
    <x v="9"/>
    <x v="8"/>
    <e v="#VALUE!"/>
    <e v="#VALUE!"/>
    <e v="#VALUE!"/>
    <e v="#VALUE!"/>
    <e v="#VALUE!"/>
    <e v="#VALUE!"/>
  </r>
  <r>
    <x v="9"/>
    <x v="9"/>
    <e v="#VALUE!"/>
    <e v="#VALUE!"/>
    <e v="#VALUE!"/>
    <e v="#VALUE!"/>
    <e v="#VALUE!"/>
    <e v="#VALUE!"/>
  </r>
  <r>
    <x v="9"/>
    <x v="10"/>
    <e v="#VALUE!"/>
    <e v="#VALUE!"/>
    <e v="#VALUE!"/>
    <e v="#VALUE!"/>
    <e v="#VALUE!"/>
    <e v="#VALUE!"/>
  </r>
  <r>
    <x v="9"/>
    <x v="11"/>
    <e v="#VALUE!"/>
    <e v="#VALUE!"/>
    <e v="#VALUE!"/>
    <e v="#VALUE!"/>
    <e v="#VALUE!"/>
    <e v="#VALUE!"/>
  </r>
  <r>
    <x v="9"/>
    <x v="12"/>
    <e v="#VALUE!"/>
    <e v="#VALUE!"/>
    <e v="#VALUE!"/>
    <e v="#VALUE!"/>
    <e v="#VALUE!"/>
    <e v="#VALUE!"/>
  </r>
  <r>
    <x v="10"/>
    <x v="0"/>
    <e v="#VALUE!"/>
    <e v="#VALUE!"/>
    <e v="#VALUE!"/>
    <e v="#VALUE!"/>
    <e v="#VALUE!"/>
    <e v="#VALUE!"/>
  </r>
  <r>
    <x v="10"/>
    <x v="1"/>
    <e v="#VALUE!"/>
    <e v="#VALUE!"/>
    <e v="#VALUE!"/>
    <e v="#VALUE!"/>
    <e v="#VALUE!"/>
    <e v="#VALUE!"/>
  </r>
  <r>
    <x v="10"/>
    <x v="2"/>
    <e v="#VALUE!"/>
    <e v="#VALUE!"/>
    <e v="#VALUE!"/>
    <e v="#VALUE!"/>
    <e v="#VALUE!"/>
    <e v="#VALUE!"/>
  </r>
  <r>
    <x v="10"/>
    <x v="3"/>
    <e v="#VALUE!"/>
    <e v="#VALUE!"/>
    <e v="#VALUE!"/>
    <e v="#VALUE!"/>
    <e v="#VALUE!"/>
    <e v="#VALUE!"/>
  </r>
  <r>
    <x v="10"/>
    <x v="4"/>
    <e v="#VALUE!"/>
    <e v="#VALUE!"/>
    <e v="#VALUE!"/>
    <e v="#VALUE!"/>
    <e v="#VALUE!"/>
    <e v="#VALUE!"/>
  </r>
  <r>
    <x v="10"/>
    <x v="5"/>
    <e v="#VALUE!"/>
    <e v="#VALUE!"/>
    <e v="#VALUE!"/>
    <e v="#VALUE!"/>
    <e v="#VALUE!"/>
    <e v="#VALUE!"/>
  </r>
  <r>
    <x v="10"/>
    <x v="6"/>
    <e v="#VALUE!"/>
    <e v="#VALUE!"/>
    <e v="#VALUE!"/>
    <e v="#VALUE!"/>
    <e v="#VALUE!"/>
    <e v="#VALUE!"/>
  </r>
  <r>
    <x v="10"/>
    <x v="7"/>
    <e v="#VALUE!"/>
    <e v="#VALUE!"/>
    <e v="#VALUE!"/>
    <e v="#VALUE!"/>
    <e v="#VALUE!"/>
    <e v="#VALUE!"/>
  </r>
  <r>
    <x v="10"/>
    <x v="8"/>
    <e v="#VALUE!"/>
    <e v="#VALUE!"/>
    <e v="#VALUE!"/>
    <e v="#VALUE!"/>
    <e v="#VALUE!"/>
    <e v="#VALUE!"/>
  </r>
  <r>
    <x v="10"/>
    <x v="9"/>
    <e v="#VALUE!"/>
    <e v="#VALUE!"/>
    <e v="#VALUE!"/>
    <e v="#VALUE!"/>
    <e v="#VALUE!"/>
    <e v="#VALUE!"/>
  </r>
  <r>
    <x v="10"/>
    <x v="10"/>
    <e v="#VALUE!"/>
    <e v="#VALUE!"/>
    <e v="#VALUE!"/>
    <e v="#VALUE!"/>
    <e v="#VALUE!"/>
    <e v="#VALUE!"/>
  </r>
  <r>
    <x v="10"/>
    <x v="11"/>
    <e v="#VALUE!"/>
    <e v="#VALUE!"/>
    <e v="#VALUE!"/>
    <e v="#VALUE!"/>
    <e v="#VALUE!"/>
    <e v="#VALUE!"/>
  </r>
  <r>
    <x v="10"/>
    <x v="12"/>
    <e v="#VALUE!"/>
    <e v="#VALUE!"/>
    <e v="#VALUE!"/>
    <e v="#VALUE!"/>
    <e v="#VALUE!"/>
    <e v="#VALUE!"/>
  </r>
  <r>
    <x v="11"/>
    <x v="0"/>
    <e v="#VALUE!"/>
    <e v="#VALUE!"/>
    <e v="#VALUE!"/>
    <e v="#VALUE!"/>
    <e v="#VALUE!"/>
    <e v="#VALUE!"/>
  </r>
  <r>
    <x v="11"/>
    <x v="1"/>
    <e v="#VALUE!"/>
    <e v="#VALUE!"/>
    <e v="#VALUE!"/>
    <e v="#VALUE!"/>
    <e v="#VALUE!"/>
    <e v="#VALUE!"/>
  </r>
  <r>
    <x v="11"/>
    <x v="2"/>
    <e v="#VALUE!"/>
    <e v="#VALUE!"/>
    <e v="#VALUE!"/>
    <e v="#VALUE!"/>
    <e v="#VALUE!"/>
    <e v="#VALUE!"/>
  </r>
  <r>
    <x v="11"/>
    <x v="3"/>
    <e v="#VALUE!"/>
    <e v="#VALUE!"/>
    <e v="#VALUE!"/>
    <e v="#VALUE!"/>
    <e v="#VALUE!"/>
    <e v="#VALUE!"/>
  </r>
  <r>
    <x v="11"/>
    <x v="4"/>
    <e v="#VALUE!"/>
    <e v="#VALUE!"/>
    <e v="#VALUE!"/>
    <e v="#VALUE!"/>
    <e v="#VALUE!"/>
    <e v="#VALUE!"/>
  </r>
  <r>
    <x v="11"/>
    <x v="5"/>
    <e v="#VALUE!"/>
    <e v="#VALUE!"/>
    <e v="#VALUE!"/>
    <e v="#VALUE!"/>
    <e v="#VALUE!"/>
    <e v="#VALUE!"/>
  </r>
  <r>
    <x v="11"/>
    <x v="6"/>
    <e v="#VALUE!"/>
    <e v="#VALUE!"/>
    <e v="#VALUE!"/>
    <e v="#VALUE!"/>
    <e v="#VALUE!"/>
    <e v="#VALUE!"/>
  </r>
  <r>
    <x v="11"/>
    <x v="7"/>
    <e v="#VALUE!"/>
    <e v="#VALUE!"/>
    <e v="#VALUE!"/>
    <e v="#VALUE!"/>
    <e v="#VALUE!"/>
    <e v="#VALUE!"/>
  </r>
  <r>
    <x v="11"/>
    <x v="8"/>
    <e v="#VALUE!"/>
    <e v="#VALUE!"/>
    <e v="#VALUE!"/>
    <e v="#VALUE!"/>
    <e v="#VALUE!"/>
    <e v="#VALUE!"/>
  </r>
  <r>
    <x v="11"/>
    <x v="9"/>
    <e v="#VALUE!"/>
    <e v="#VALUE!"/>
    <e v="#VALUE!"/>
    <e v="#VALUE!"/>
    <e v="#VALUE!"/>
    <e v="#VALUE!"/>
  </r>
  <r>
    <x v="11"/>
    <x v="10"/>
    <e v="#VALUE!"/>
    <e v="#VALUE!"/>
    <e v="#VALUE!"/>
    <e v="#VALUE!"/>
    <e v="#VALUE!"/>
    <e v="#VALUE!"/>
  </r>
  <r>
    <x v="11"/>
    <x v="11"/>
    <e v="#VALUE!"/>
    <e v="#VALUE!"/>
    <e v="#VALUE!"/>
    <e v="#VALUE!"/>
    <e v="#VALUE!"/>
    <e v="#VALUE!"/>
  </r>
  <r>
    <x v="11"/>
    <x v="12"/>
    <e v="#VALUE!"/>
    <e v="#VALUE!"/>
    <e v="#VALUE!"/>
    <e v="#VALUE!"/>
    <e v="#VALUE!"/>
    <e v="#VALUE!"/>
  </r>
</pivotCacheRecords>
</file>

<file path=xl/pivotCache/pivotCacheRecords18.xml><?xml version="1.0" encoding="utf-8"?>
<pivotCacheRecords xmlns="http://schemas.openxmlformats.org/spreadsheetml/2006/main" xmlns:r="http://schemas.openxmlformats.org/officeDocument/2006/relationships" count="27">
  <r>
    <x v="0"/>
    <x v="0"/>
    <n v="0.35714285714285715"/>
    <n v="0.4"/>
    <n v="0.25"/>
    <n v="0.33333333333333331"/>
    <n v="0.5"/>
    <n v="0.36956521739130432"/>
  </r>
  <r>
    <x v="0"/>
    <x v="1"/>
    <n v="0.35714285714285715"/>
    <n v="0.6"/>
    <n v="0.25"/>
    <n v="0.53333333333333333"/>
    <n v="0.625"/>
    <n v="0.47826086956521741"/>
  </r>
  <r>
    <x v="0"/>
    <x v="2"/>
    <n v="0.35714285714285715"/>
    <n v="0.6"/>
    <n v="0.25"/>
    <n v="0.6"/>
    <n v="0.5"/>
    <n v="0.47826086956521741"/>
  </r>
  <r>
    <x v="1"/>
    <x v="0"/>
    <e v="#DIV/0!"/>
    <e v="#DIV/0!"/>
    <e v="#DIV/0!"/>
    <e v="#DIV/0!"/>
    <e v="#DIV/0!"/>
    <e v="#DIV/0!"/>
  </r>
  <r>
    <x v="1"/>
    <x v="1"/>
    <e v="#DIV/0!"/>
    <e v="#DIV/0!"/>
    <e v="#DIV/0!"/>
    <e v="#DIV/0!"/>
    <e v="#DIV/0!"/>
    <e v="#DIV/0!"/>
  </r>
  <r>
    <x v="1"/>
    <x v="2"/>
    <e v="#DIV/0!"/>
    <e v="#DIV/0!"/>
    <e v="#DIV/0!"/>
    <e v="#DIV/0!"/>
    <e v="#DIV/0!"/>
    <e v="#DIV/0!"/>
  </r>
  <r>
    <x v="2"/>
    <x v="0"/>
    <e v="#DIV/0!"/>
    <e v="#DIV/0!"/>
    <e v="#DIV/0!"/>
    <e v="#DIV/0!"/>
    <e v="#DIV/0!"/>
    <e v="#DIV/0!"/>
  </r>
  <r>
    <x v="2"/>
    <x v="1"/>
    <e v="#DIV/0!"/>
    <e v="#DIV/0!"/>
    <e v="#DIV/0!"/>
    <e v="#DIV/0!"/>
    <e v="#DIV/0!"/>
    <e v="#DIV/0!"/>
  </r>
  <r>
    <x v="2"/>
    <x v="2"/>
    <e v="#DIV/0!"/>
    <e v="#DIV/0!"/>
    <e v="#DIV/0!"/>
    <e v="#DIV/0!"/>
    <e v="#DIV/0!"/>
    <e v="#DIV/0!"/>
  </r>
  <r>
    <x v="3"/>
    <x v="0"/>
    <e v="#DIV/0!"/>
    <e v="#DIV/0!"/>
    <e v="#DIV/0!"/>
    <e v="#DIV/0!"/>
    <e v="#DIV/0!"/>
    <e v="#DIV/0!"/>
  </r>
  <r>
    <x v="3"/>
    <x v="1"/>
    <e v="#DIV/0!"/>
    <e v="#DIV/0!"/>
    <e v="#DIV/0!"/>
    <e v="#DIV/0!"/>
    <e v="#DIV/0!"/>
    <e v="#DIV/0!"/>
  </r>
  <r>
    <x v="3"/>
    <x v="2"/>
    <e v="#DIV/0!"/>
    <e v="#DIV/0!"/>
    <e v="#DIV/0!"/>
    <e v="#DIV/0!"/>
    <e v="#DIV/0!"/>
    <e v="#DIV/0!"/>
  </r>
  <r>
    <x v="4"/>
    <x v="0"/>
    <e v="#DIV/0!"/>
    <e v="#DIV/0!"/>
    <e v="#DIV/0!"/>
    <e v="#DIV/0!"/>
    <e v="#DIV/0!"/>
    <e v="#DIV/0!"/>
  </r>
  <r>
    <x v="4"/>
    <x v="1"/>
    <e v="#DIV/0!"/>
    <e v="#DIV/0!"/>
    <e v="#DIV/0!"/>
    <e v="#DIV/0!"/>
    <e v="#DIV/0!"/>
    <e v="#DIV/0!"/>
  </r>
  <r>
    <x v="4"/>
    <x v="2"/>
    <e v="#DIV/0!"/>
    <e v="#DIV/0!"/>
    <e v="#DIV/0!"/>
    <e v="#DIV/0!"/>
    <e v="#DIV/0!"/>
    <e v="#DIV/0!"/>
  </r>
  <r>
    <x v="5"/>
    <x v="0"/>
    <e v="#DIV/0!"/>
    <e v="#DIV/0!"/>
    <e v="#DIV/0!"/>
    <e v="#DIV/0!"/>
    <e v="#DIV/0!"/>
    <e v="#DIV/0!"/>
  </r>
  <r>
    <x v="5"/>
    <x v="1"/>
    <e v="#DIV/0!"/>
    <e v="#DIV/0!"/>
    <e v="#DIV/0!"/>
    <e v="#DIV/0!"/>
    <e v="#DIV/0!"/>
    <e v="#DIV/0!"/>
  </r>
  <r>
    <x v="5"/>
    <x v="2"/>
    <e v="#DIV/0!"/>
    <e v="#DIV/0!"/>
    <e v="#DIV/0!"/>
    <e v="#DIV/0!"/>
    <e v="#DIV/0!"/>
    <e v="#DIV/0!"/>
  </r>
  <r>
    <x v="6"/>
    <x v="0"/>
    <e v="#DIV/0!"/>
    <e v="#DIV/0!"/>
    <e v="#DIV/0!"/>
    <e v="#DIV/0!"/>
    <e v="#DIV/0!"/>
    <e v="#DIV/0!"/>
  </r>
  <r>
    <x v="6"/>
    <x v="1"/>
    <e v="#DIV/0!"/>
    <e v="#DIV/0!"/>
    <e v="#DIV/0!"/>
    <e v="#DIV/0!"/>
    <e v="#DIV/0!"/>
    <e v="#DIV/0!"/>
  </r>
  <r>
    <x v="6"/>
    <x v="2"/>
    <e v="#DIV/0!"/>
    <e v="#DIV/0!"/>
    <e v="#DIV/0!"/>
    <e v="#DIV/0!"/>
    <e v="#DIV/0!"/>
    <e v="#DIV/0!"/>
  </r>
  <r>
    <x v="7"/>
    <x v="0"/>
    <e v="#DIV/0!"/>
    <e v="#DIV/0!"/>
    <e v="#DIV/0!"/>
    <e v="#DIV/0!"/>
    <e v="#DIV/0!"/>
    <e v="#DIV/0!"/>
  </r>
  <r>
    <x v="7"/>
    <x v="1"/>
    <e v="#DIV/0!"/>
    <e v="#DIV/0!"/>
    <e v="#DIV/0!"/>
    <e v="#DIV/0!"/>
    <e v="#DIV/0!"/>
    <e v="#DIV/0!"/>
  </r>
  <r>
    <x v="7"/>
    <x v="2"/>
    <e v="#DIV/0!"/>
    <e v="#DIV/0!"/>
    <e v="#DIV/0!"/>
    <e v="#DIV/0!"/>
    <e v="#DIV/0!"/>
    <e v="#DIV/0!"/>
  </r>
  <r>
    <x v="8"/>
    <x v="0"/>
    <e v="#DIV/0!"/>
    <e v="#DIV/0!"/>
    <e v="#DIV/0!"/>
    <e v="#DIV/0!"/>
    <e v="#DIV/0!"/>
    <e v="#DIV/0!"/>
  </r>
  <r>
    <x v="8"/>
    <x v="1"/>
    <e v="#DIV/0!"/>
    <e v="#DIV/0!"/>
    <e v="#DIV/0!"/>
    <e v="#DIV/0!"/>
    <e v="#DIV/0!"/>
    <e v="#DIV/0!"/>
  </r>
  <r>
    <x v="8"/>
    <x v="2"/>
    <e v="#DIV/0!"/>
    <e v="#DIV/0!"/>
    <e v="#DIV/0!"/>
    <e v="#DIV/0!"/>
    <e v="#DIV/0!"/>
    <e v="#DIV/0!"/>
  </r>
</pivotCacheRecords>
</file>

<file path=xl/pivotCache/pivotCacheRecords19.xml><?xml version="1.0" encoding="utf-8"?>
<pivotCacheRecords xmlns="http://schemas.openxmlformats.org/spreadsheetml/2006/main" xmlns:r="http://schemas.openxmlformats.org/officeDocument/2006/relationships" count="48">
  <r>
    <x v="0"/>
    <x v="0"/>
    <n v="11577.02"/>
    <n v="18187.439999999999"/>
    <n v="21774.41"/>
    <n v="25310"/>
    <n v="27098.16"/>
    <n v="32756.080000000002"/>
    <n v="34355.230000000003"/>
    <n v="35467.620000000003"/>
    <n v="32404.69"/>
    <x v="0"/>
    <n v="33233.07"/>
    <n v="40041.760000000002"/>
    <n v="52178.93"/>
    <x v="0"/>
    <x v="0"/>
  </r>
  <r>
    <x v="0"/>
    <x v="1"/>
    <n v="21347.63"/>
    <n v="28268.79"/>
    <n v="33592.68"/>
    <n v="40574.32"/>
    <n v="48339.93"/>
    <n v="57058.05"/>
    <n v="57715.91"/>
    <n v="58811.27"/>
    <n v="58108.63"/>
    <x v="1"/>
    <n v="58687.24"/>
    <n v="65231.040000000001"/>
    <n v="78158.210000000006"/>
    <x v="1"/>
    <x v="1"/>
  </r>
  <r>
    <x v="0"/>
    <x v="2"/>
    <n v="16353.21"/>
    <n v="23109.88"/>
    <n v="27541.58"/>
    <n v="32800.370000000003"/>
    <n v="37505.69"/>
    <n v="44711.35"/>
    <n v="45914.59"/>
    <n v="47134.559999999998"/>
    <n v="45180.89"/>
    <x v="2"/>
    <n v="46505.31"/>
    <n v="54010.62"/>
    <n v="67424.710000000006"/>
    <x v="2"/>
    <x v="2"/>
  </r>
  <r>
    <x v="1"/>
    <x v="0"/>
    <n v="12658.31"/>
    <n v="18705.95"/>
    <n v="23532.84"/>
    <n v="26410.27"/>
    <n v="28860.47"/>
    <n v="33767.58"/>
    <n v="35492.93"/>
    <n v="37961.72"/>
    <n v="33910.83"/>
    <x v="3"/>
    <n v="34289.56"/>
    <n v="42142.53"/>
    <n v="51494.66"/>
    <x v="3"/>
    <x v="3"/>
  </r>
  <r>
    <x v="1"/>
    <x v="1"/>
    <n v="23637.09"/>
    <n v="30842.7"/>
    <n v="35847.57"/>
    <n v="42068.18"/>
    <n v="50151.59"/>
    <n v="58677.01"/>
    <n v="60699.7"/>
    <n v="60398.62"/>
    <n v="61082.12"/>
    <x v="4"/>
    <n v="60951.31"/>
    <n v="67178.41"/>
    <n v="80726.48"/>
    <x v="4"/>
    <x v="4"/>
  </r>
  <r>
    <x v="1"/>
    <x v="2"/>
    <n v="18040.03"/>
    <n v="24609.64"/>
    <n v="29550.77"/>
    <n v="34073.21"/>
    <n v="39339.47"/>
    <n v="45983.49"/>
    <n v="47964.08"/>
    <n v="49190.080000000002"/>
    <n v="47452.79"/>
    <x v="5"/>
    <n v="48164.12"/>
    <n v="55935.31"/>
    <n v="68552.55"/>
    <x v="5"/>
    <x v="5"/>
  </r>
  <r>
    <x v="2"/>
    <x v="0"/>
    <n v="13441.64"/>
    <n v="19184.86"/>
    <n v="24428.560000000001"/>
    <n v="27235.66"/>
    <n v="30041.96"/>
    <n v="33318.07"/>
    <n v="37115.089999999997"/>
    <n v="37222.82"/>
    <n v="36070.21"/>
    <x v="6"/>
    <n v="36362.67"/>
    <n v="41008.01"/>
    <n v="51676.54"/>
    <x v="6"/>
    <x v="6"/>
  </r>
  <r>
    <x v="2"/>
    <x v="1"/>
    <n v="24670.94"/>
    <n v="33563.9"/>
    <n v="38674.31"/>
    <n v="44252.37"/>
    <n v="52775.34"/>
    <n v="60018.38"/>
    <n v="63017.2"/>
    <n v="62747.99"/>
    <n v="62028.7"/>
    <x v="7"/>
    <n v="63307.11"/>
    <n v="67355.81"/>
    <n v="82835.16"/>
    <x v="7"/>
    <x v="7"/>
  </r>
  <r>
    <x v="2"/>
    <x v="2"/>
    <n v="18948.98"/>
    <n v="26184.15"/>
    <n v="31384.77"/>
    <n v="35581.03"/>
    <n v="41242.25"/>
    <n v="46416.41"/>
    <n v="49929.83"/>
    <n v="49941.57"/>
    <n v="49052.5"/>
    <x v="8"/>
    <n v="50286.98"/>
    <n v="55428.93"/>
    <n v="69811.31"/>
    <x v="8"/>
    <x v="8"/>
  </r>
  <r>
    <x v="3"/>
    <x v="0"/>
    <n v="13483.54"/>
    <n v="19974.98"/>
    <n v="25314.87"/>
    <n v="28195.39"/>
    <n v="32162.16"/>
    <n v="33496"/>
    <n v="38934.19"/>
    <n v="38014.28"/>
    <n v="37805.019999999997"/>
    <x v="9"/>
    <n v="36350.769999999997"/>
    <n v="42705.14"/>
    <n v="51032.53"/>
    <x v="9"/>
    <x v="9"/>
  </r>
  <r>
    <x v="3"/>
    <x v="1"/>
    <n v="25691.68"/>
    <n v="36815.919999999998"/>
    <n v="41440.910000000003"/>
    <n v="47927.45"/>
    <n v="55893.67"/>
    <n v="59821.74"/>
    <n v="65990.63"/>
    <n v="63838"/>
    <n v="64416.05"/>
    <x v="10"/>
    <n v="64628.69"/>
    <n v="70956.160000000003"/>
    <n v="81143.56"/>
    <x v="10"/>
    <x v="10"/>
  </r>
  <r>
    <x v="3"/>
    <x v="2"/>
    <n v="19455.2"/>
    <n v="28206.73"/>
    <n v="33203.919999999998"/>
    <n v="37845.800000000003"/>
    <n v="43890.38"/>
    <n v="46441.7"/>
    <n v="52265.34"/>
    <n v="50903.45"/>
    <n v="51126.44"/>
    <x v="11"/>
    <n v="50885.29"/>
    <n v="58062.67"/>
    <n v="68571.31"/>
    <x v="11"/>
    <x v="11"/>
  </r>
  <r>
    <x v="4"/>
    <x v="0"/>
    <n v="14116.95"/>
    <n v="20931.169999999998"/>
    <n v="26490.05"/>
    <n v="29913.119999999999"/>
    <n v="33116.589999999997"/>
    <n v="33981.81"/>
    <n v="40512.379999999997"/>
    <n v="40120.239999999998"/>
    <n v="39171.050000000003"/>
    <x v="12"/>
    <n v="37525.64"/>
    <n v="43268.36"/>
    <n v="51741.69"/>
    <x v="12"/>
    <x v="12"/>
  </r>
  <r>
    <x v="4"/>
    <x v="1"/>
    <n v="27094.45"/>
    <n v="38063.94"/>
    <n v="43708.2"/>
    <n v="52054.8"/>
    <n v="58767.07"/>
    <n v="61813.25"/>
    <n v="68675.509999999995"/>
    <n v="68517.350000000006"/>
    <n v="65463.9"/>
    <x v="13"/>
    <n v="66017.36"/>
    <n v="71377.149999999994"/>
    <n v="82703.8"/>
    <x v="13"/>
    <x v="13"/>
  </r>
  <r>
    <x v="4"/>
    <x v="2"/>
    <n v="20485.91"/>
    <n v="29322.26"/>
    <n v="34890.160000000003"/>
    <n v="40742.6"/>
    <n v="45780.61"/>
    <n v="47702.19"/>
    <n v="54382.41"/>
    <n v="54258.99"/>
    <n v="52349.02"/>
    <x v="14"/>
    <n v="52100.99"/>
    <n v="58400.46"/>
    <n v="69699.7"/>
    <x v="14"/>
    <x v="14"/>
  </r>
  <r>
    <x v="5"/>
    <x v="0"/>
    <n v="15082.28"/>
    <n v="21776.85"/>
    <n v="28172.04"/>
    <n v="32277.35"/>
    <n v="34415.21"/>
    <n v="35439.51"/>
    <n v="41620.910000000003"/>
    <n v="41749.980000000003"/>
    <n v="40900.18"/>
    <x v="15"/>
    <n v="39100.53"/>
    <n v="42343.92"/>
    <n v="52449.88"/>
    <x v="15"/>
    <x v="15"/>
  </r>
  <r>
    <x v="5"/>
    <x v="1"/>
    <n v="28182.87"/>
    <n v="40241.699999999997"/>
    <n v="47361.17"/>
    <n v="54522.44"/>
    <n v="62435.519999999997"/>
    <n v="64512.7"/>
    <n v="71193.149999999994"/>
    <n v="71113.8"/>
    <n v="68873.42"/>
    <x v="16"/>
    <n v="69466.83"/>
    <n v="71515.179999999993"/>
    <n v="82831.19"/>
    <x v="16"/>
    <x v="16"/>
  </r>
  <r>
    <x v="5"/>
    <x v="2"/>
    <n v="21501.09"/>
    <n v="30817.56"/>
    <n v="37526.300000000003"/>
    <n v="43156.36"/>
    <n v="48220.82"/>
    <n v="49748.84"/>
    <n v="56203.69"/>
    <n v="56342.64"/>
    <n v="54963.99"/>
    <x v="17"/>
    <n v="54583.12"/>
    <n v="57925.62"/>
    <n v="70018.899999999994"/>
    <x v="17"/>
    <x v="17"/>
  </r>
  <r>
    <x v="6"/>
    <x v="0"/>
    <n v="15968.48"/>
    <n v="23331.27"/>
    <n v="27814.95"/>
    <n v="32976.04"/>
    <n v="34497.480000000003"/>
    <n v="36808.49"/>
    <n v="41170.82"/>
    <n v="43203.199999999997"/>
    <n v="42470.38"/>
    <x v="18"/>
    <n v="39810.1"/>
    <n v="43469.52"/>
    <n v="53226.82"/>
    <x v="18"/>
    <x v="18"/>
  </r>
  <r>
    <x v="6"/>
    <x v="1"/>
    <n v="30087.05"/>
    <n v="42164.81"/>
    <n v="50185.27"/>
    <n v="56551.16"/>
    <n v="63240.58"/>
    <n v="65480.33"/>
    <n v="71878.41"/>
    <n v="71223.850000000006"/>
    <n v="70769.69"/>
    <x v="19"/>
    <n v="68008.42"/>
    <n v="74390.98"/>
    <n v="81816.77"/>
    <x v="19"/>
    <x v="19"/>
  </r>
  <r>
    <x v="6"/>
    <x v="2"/>
    <n v="22861.29"/>
    <n v="32569.84"/>
    <n v="38673.599999999999"/>
    <n v="44515.6"/>
    <n v="48605.37"/>
    <n v="50963.35"/>
    <n v="56271.31"/>
    <n v="57107.040000000001"/>
    <n v="56715.08"/>
    <x v="20"/>
    <n v="54142.03"/>
    <n v="59932.06"/>
    <n v="69610.06"/>
    <x v="20"/>
    <x v="20"/>
  </r>
  <r>
    <x v="7"/>
    <x v="0"/>
    <m/>
    <m/>
    <m/>
    <m/>
    <m/>
    <m/>
    <m/>
    <m/>
    <m/>
    <x v="21"/>
    <m/>
    <m/>
    <m/>
    <x v="21"/>
    <x v="21"/>
  </r>
  <r>
    <x v="7"/>
    <x v="1"/>
    <m/>
    <m/>
    <m/>
    <m/>
    <m/>
    <m/>
    <m/>
    <m/>
    <m/>
    <x v="21"/>
    <m/>
    <m/>
    <m/>
    <x v="21"/>
    <x v="21"/>
  </r>
  <r>
    <x v="7"/>
    <x v="2"/>
    <m/>
    <m/>
    <m/>
    <m/>
    <m/>
    <m/>
    <m/>
    <m/>
    <m/>
    <x v="21"/>
    <m/>
    <m/>
    <m/>
    <x v="21"/>
    <x v="21"/>
  </r>
  <r>
    <x v="8"/>
    <x v="0"/>
    <m/>
    <m/>
    <m/>
    <m/>
    <m/>
    <m/>
    <m/>
    <m/>
    <m/>
    <x v="21"/>
    <m/>
    <m/>
    <m/>
    <x v="21"/>
    <x v="21"/>
  </r>
  <r>
    <x v="8"/>
    <x v="1"/>
    <m/>
    <m/>
    <m/>
    <m/>
    <m/>
    <m/>
    <m/>
    <m/>
    <m/>
    <x v="21"/>
    <m/>
    <m/>
    <m/>
    <x v="21"/>
    <x v="21"/>
  </r>
  <r>
    <x v="8"/>
    <x v="2"/>
    <m/>
    <m/>
    <m/>
    <m/>
    <m/>
    <m/>
    <m/>
    <m/>
    <m/>
    <x v="21"/>
    <m/>
    <m/>
    <m/>
    <x v="21"/>
    <x v="21"/>
  </r>
  <r>
    <x v="9"/>
    <x v="0"/>
    <m/>
    <m/>
    <m/>
    <m/>
    <m/>
    <m/>
    <m/>
    <m/>
    <m/>
    <x v="21"/>
    <m/>
    <m/>
    <m/>
    <x v="21"/>
    <x v="21"/>
  </r>
  <r>
    <x v="9"/>
    <x v="1"/>
    <m/>
    <m/>
    <m/>
    <m/>
    <m/>
    <m/>
    <m/>
    <m/>
    <m/>
    <x v="21"/>
    <m/>
    <m/>
    <m/>
    <x v="21"/>
    <x v="21"/>
  </r>
  <r>
    <x v="9"/>
    <x v="2"/>
    <m/>
    <m/>
    <m/>
    <m/>
    <m/>
    <m/>
    <m/>
    <m/>
    <m/>
    <x v="21"/>
    <m/>
    <m/>
    <m/>
    <x v="21"/>
    <x v="21"/>
  </r>
  <r>
    <x v="10"/>
    <x v="0"/>
    <m/>
    <m/>
    <m/>
    <m/>
    <m/>
    <m/>
    <m/>
    <m/>
    <m/>
    <x v="21"/>
    <m/>
    <m/>
    <m/>
    <x v="21"/>
    <x v="21"/>
  </r>
  <r>
    <x v="10"/>
    <x v="1"/>
    <m/>
    <m/>
    <m/>
    <m/>
    <m/>
    <m/>
    <m/>
    <m/>
    <m/>
    <x v="21"/>
    <m/>
    <m/>
    <m/>
    <x v="21"/>
    <x v="21"/>
  </r>
  <r>
    <x v="10"/>
    <x v="2"/>
    <m/>
    <m/>
    <m/>
    <m/>
    <m/>
    <m/>
    <m/>
    <m/>
    <m/>
    <x v="21"/>
    <m/>
    <m/>
    <m/>
    <x v="21"/>
    <x v="21"/>
  </r>
  <r>
    <x v="11"/>
    <x v="0"/>
    <m/>
    <m/>
    <m/>
    <m/>
    <m/>
    <m/>
    <m/>
    <m/>
    <m/>
    <x v="21"/>
    <m/>
    <m/>
    <m/>
    <x v="21"/>
    <x v="21"/>
  </r>
  <r>
    <x v="11"/>
    <x v="1"/>
    <m/>
    <m/>
    <m/>
    <m/>
    <m/>
    <m/>
    <m/>
    <m/>
    <m/>
    <x v="21"/>
    <m/>
    <m/>
    <m/>
    <x v="21"/>
    <x v="21"/>
  </r>
  <r>
    <x v="11"/>
    <x v="2"/>
    <m/>
    <m/>
    <m/>
    <m/>
    <m/>
    <m/>
    <m/>
    <m/>
    <m/>
    <x v="21"/>
    <m/>
    <m/>
    <m/>
    <x v="21"/>
    <x v="21"/>
  </r>
  <r>
    <x v="12"/>
    <x v="0"/>
    <m/>
    <m/>
    <m/>
    <m/>
    <m/>
    <m/>
    <m/>
    <m/>
    <m/>
    <x v="21"/>
    <m/>
    <m/>
    <m/>
    <x v="21"/>
    <x v="21"/>
  </r>
  <r>
    <x v="12"/>
    <x v="1"/>
    <m/>
    <m/>
    <m/>
    <m/>
    <m/>
    <m/>
    <m/>
    <m/>
    <m/>
    <x v="21"/>
    <m/>
    <m/>
    <m/>
    <x v="21"/>
    <x v="21"/>
  </r>
  <r>
    <x v="12"/>
    <x v="2"/>
    <m/>
    <m/>
    <m/>
    <m/>
    <m/>
    <m/>
    <m/>
    <m/>
    <m/>
    <x v="21"/>
    <m/>
    <m/>
    <m/>
    <x v="21"/>
    <x v="21"/>
  </r>
  <r>
    <x v="13"/>
    <x v="0"/>
    <m/>
    <m/>
    <m/>
    <m/>
    <m/>
    <m/>
    <m/>
    <m/>
    <m/>
    <x v="21"/>
    <m/>
    <m/>
    <m/>
    <x v="21"/>
    <x v="21"/>
  </r>
  <r>
    <x v="13"/>
    <x v="1"/>
    <m/>
    <m/>
    <m/>
    <m/>
    <m/>
    <m/>
    <m/>
    <m/>
    <m/>
    <x v="21"/>
    <m/>
    <m/>
    <m/>
    <x v="21"/>
    <x v="21"/>
  </r>
  <r>
    <x v="13"/>
    <x v="2"/>
    <m/>
    <m/>
    <m/>
    <m/>
    <m/>
    <m/>
    <m/>
    <m/>
    <m/>
    <x v="21"/>
    <m/>
    <m/>
    <m/>
    <x v="21"/>
    <x v="21"/>
  </r>
  <r>
    <x v="14"/>
    <x v="0"/>
    <m/>
    <m/>
    <m/>
    <m/>
    <m/>
    <m/>
    <m/>
    <m/>
    <m/>
    <x v="21"/>
    <m/>
    <m/>
    <m/>
    <x v="21"/>
    <x v="21"/>
  </r>
  <r>
    <x v="14"/>
    <x v="1"/>
    <m/>
    <m/>
    <m/>
    <m/>
    <m/>
    <m/>
    <m/>
    <m/>
    <m/>
    <x v="21"/>
    <m/>
    <m/>
    <m/>
    <x v="21"/>
    <x v="21"/>
  </r>
  <r>
    <x v="14"/>
    <x v="2"/>
    <m/>
    <m/>
    <m/>
    <m/>
    <m/>
    <m/>
    <m/>
    <m/>
    <m/>
    <x v="21"/>
    <m/>
    <m/>
    <m/>
    <x v="21"/>
    <x v="21"/>
  </r>
  <r>
    <x v="15"/>
    <x v="0"/>
    <m/>
    <m/>
    <m/>
    <m/>
    <m/>
    <m/>
    <m/>
    <m/>
    <m/>
    <x v="21"/>
    <m/>
    <m/>
    <m/>
    <x v="21"/>
    <x v="21"/>
  </r>
  <r>
    <x v="15"/>
    <x v="1"/>
    <m/>
    <m/>
    <m/>
    <m/>
    <m/>
    <m/>
    <m/>
    <m/>
    <m/>
    <x v="21"/>
    <m/>
    <m/>
    <m/>
    <x v="21"/>
    <x v="21"/>
  </r>
  <r>
    <x v="15"/>
    <x v="2"/>
    <m/>
    <m/>
    <m/>
    <m/>
    <m/>
    <m/>
    <m/>
    <m/>
    <m/>
    <x v="21"/>
    <m/>
    <m/>
    <m/>
    <x v="21"/>
    <x v="21"/>
  </r>
</pivotCacheRecords>
</file>

<file path=xl/pivotCache/pivotCacheRecords2.xml><?xml version="1.0" encoding="utf-8"?>
<pivotCacheRecords xmlns="http://schemas.openxmlformats.org/spreadsheetml/2006/main" xmlns:r="http://schemas.openxmlformats.org/officeDocument/2006/relationships" count="48">
  <r>
    <x v="0"/>
    <x v="0"/>
    <s v="­­"/>
    <s v="­­"/>
    <s v="­­"/>
    <n v="9.16"/>
    <n v="2.65"/>
  </r>
  <r>
    <x v="0"/>
    <x v="1"/>
    <s v="­­"/>
    <s v="­­"/>
    <s v="­­"/>
    <n v="3.88"/>
    <n v="1.1200000000000001"/>
  </r>
  <r>
    <x v="0"/>
    <x v="2"/>
    <s v="­­"/>
    <s v="­­"/>
    <s v="­­"/>
    <n v="6.59"/>
    <n v="1.91"/>
  </r>
  <r>
    <x v="1"/>
    <x v="0"/>
    <s v="­­"/>
    <s v="­­"/>
    <s v="­­"/>
    <n v="5.73"/>
    <n v="1.6"/>
  </r>
  <r>
    <x v="1"/>
    <x v="1"/>
    <s v="­­"/>
    <s v="­­"/>
    <s v="­­"/>
    <n v="8.07"/>
    <n v="2.2599999999999998"/>
  </r>
  <r>
    <x v="1"/>
    <x v="2"/>
    <s v="­­"/>
    <s v="­­"/>
    <s v="­­"/>
    <n v="6.87"/>
    <n v="1.92"/>
  </r>
  <r>
    <x v="2"/>
    <x v="0"/>
    <s v="­­"/>
    <s v="­­"/>
    <n v="2.37"/>
    <n v="4.01"/>
    <n v="1.6"/>
  </r>
  <r>
    <x v="2"/>
    <x v="1"/>
    <s v="­­"/>
    <s v="­­"/>
    <s v="­­"/>
    <n v="6.35"/>
    <n v="1.7"/>
  </r>
  <r>
    <x v="2"/>
    <x v="2"/>
    <s v="­­"/>
    <s v="­­"/>
    <n v="1.22"/>
    <n v="5.15"/>
    <n v="1.65"/>
  </r>
  <r>
    <x v="3"/>
    <x v="0"/>
    <s v="­­"/>
    <s v="­­"/>
    <s v="­­"/>
    <n v="8.39"/>
    <n v="2.13"/>
  </r>
  <r>
    <x v="3"/>
    <x v="1"/>
    <s v="­­"/>
    <s v="­­"/>
    <s v="­­"/>
    <n v="4.42"/>
    <n v="1.1299999999999999"/>
  </r>
  <r>
    <x v="3"/>
    <x v="2"/>
    <s v="­­"/>
    <s v="­­"/>
    <s v="­­"/>
    <n v="6.45"/>
    <n v="1.65"/>
  </r>
  <r>
    <x v="4"/>
    <x v="0"/>
    <s v="­­"/>
    <s v="­­"/>
    <s v="­­"/>
    <n v="10.79"/>
    <n v="2.64"/>
  </r>
  <r>
    <x v="4"/>
    <x v="1"/>
    <s v="­­"/>
    <s v="­­"/>
    <n v="2.4"/>
    <n v="6.88"/>
    <n v="2.2400000000000002"/>
  </r>
  <r>
    <x v="4"/>
    <x v="2"/>
    <s v="­­"/>
    <s v="­­"/>
    <n v="1.17"/>
    <n v="8.9"/>
    <n v="2.4500000000000002"/>
  </r>
  <r>
    <x v="5"/>
    <x v="0"/>
    <s v="­­"/>
    <s v="­­"/>
    <s v="­­"/>
    <n v="8.77"/>
    <n v="2.09"/>
  </r>
  <r>
    <x v="5"/>
    <x v="1"/>
    <s v="­­"/>
    <s v="­­"/>
    <s v="­­"/>
    <s v="­­"/>
    <s v="­­"/>
  </r>
  <r>
    <x v="5"/>
    <x v="2"/>
    <s v="­­"/>
    <s v="­­"/>
    <s v="­­"/>
    <n v="4.54"/>
    <n v="1.08"/>
  </r>
  <r>
    <x v="6"/>
    <x v="0"/>
    <m/>
    <m/>
    <m/>
    <m/>
    <m/>
  </r>
  <r>
    <x v="6"/>
    <x v="1"/>
    <m/>
    <m/>
    <m/>
    <m/>
    <m/>
  </r>
  <r>
    <x v="6"/>
    <x v="2"/>
    <m/>
    <m/>
    <m/>
    <m/>
    <m/>
  </r>
  <r>
    <x v="7"/>
    <x v="0"/>
    <m/>
    <m/>
    <m/>
    <m/>
    <m/>
  </r>
  <r>
    <x v="7"/>
    <x v="1"/>
    <m/>
    <m/>
    <m/>
    <m/>
    <m/>
  </r>
  <r>
    <x v="7"/>
    <x v="2"/>
    <m/>
    <m/>
    <m/>
    <m/>
    <m/>
  </r>
  <r>
    <x v="8"/>
    <x v="0"/>
    <m/>
    <m/>
    <m/>
    <m/>
    <m/>
  </r>
  <r>
    <x v="8"/>
    <x v="1"/>
    <m/>
    <m/>
    <m/>
    <m/>
    <m/>
  </r>
  <r>
    <x v="8"/>
    <x v="2"/>
    <m/>
    <m/>
    <m/>
    <m/>
    <m/>
  </r>
  <r>
    <x v="9"/>
    <x v="0"/>
    <m/>
    <m/>
    <m/>
    <m/>
    <m/>
  </r>
  <r>
    <x v="9"/>
    <x v="1"/>
    <m/>
    <m/>
    <m/>
    <m/>
    <m/>
  </r>
  <r>
    <x v="9"/>
    <x v="2"/>
    <m/>
    <m/>
    <m/>
    <m/>
    <m/>
  </r>
  <r>
    <x v="10"/>
    <x v="0"/>
    <m/>
    <m/>
    <m/>
    <m/>
    <m/>
  </r>
  <r>
    <x v="10"/>
    <x v="1"/>
    <m/>
    <m/>
    <m/>
    <m/>
    <m/>
  </r>
  <r>
    <x v="10"/>
    <x v="2"/>
    <m/>
    <m/>
    <m/>
    <m/>
    <m/>
  </r>
  <r>
    <x v="11"/>
    <x v="0"/>
    <m/>
    <m/>
    <m/>
    <m/>
    <m/>
  </r>
  <r>
    <x v="11"/>
    <x v="1"/>
    <m/>
    <m/>
    <m/>
    <m/>
    <m/>
  </r>
  <r>
    <x v="11"/>
    <x v="2"/>
    <m/>
    <m/>
    <m/>
    <m/>
    <m/>
  </r>
  <r>
    <x v="12"/>
    <x v="0"/>
    <m/>
    <m/>
    <m/>
    <m/>
    <m/>
  </r>
  <r>
    <x v="12"/>
    <x v="1"/>
    <m/>
    <m/>
    <m/>
    <m/>
    <m/>
  </r>
  <r>
    <x v="12"/>
    <x v="2"/>
    <m/>
    <m/>
    <m/>
    <m/>
    <m/>
  </r>
  <r>
    <x v="13"/>
    <x v="0"/>
    <m/>
    <m/>
    <m/>
    <m/>
    <m/>
  </r>
  <r>
    <x v="13"/>
    <x v="1"/>
    <m/>
    <m/>
    <m/>
    <m/>
    <m/>
  </r>
  <r>
    <x v="13"/>
    <x v="2"/>
    <m/>
    <m/>
    <m/>
    <m/>
    <m/>
  </r>
  <r>
    <x v="14"/>
    <x v="0"/>
    <m/>
    <m/>
    <m/>
    <m/>
    <m/>
  </r>
  <r>
    <x v="14"/>
    <x v="1"/>
    <m/>
    <m/>
    <m/>
    <m/>
    <m/>
  </r>
  <r>
    <x v="14"/>
    <x v="2"/>
    <m/>
    <m/>
    <m/>
    <m/>
    <m/>
  </r>
  <r>
    <x v="15"/>
    <x v="0"/>
    <m/>
    <m/>
    <m/>
    <m/>
    <m/>
  </r>
  <r>
    <x v="15"/>
    <x v="1"/>
    <m/>
    <m/>
    <m/>
    <m/>
    <m/>
  </r>
  <r>
    <x v="15"/>
    <x v="2"/>
    <m/>
    <m/>
    <m/>
    <m/>
    <m/>
  </r>
</pivotCacheRecords>
</file>

<file path=xl/pivotCache/pivotCacheRecords20.xml><?xml version="1.0" encoding="utf-8"?>
<pivotCacheRecords xmlns="http://schemas.openxmlformats.org/spreadsheetml/2006/main" xmlns:r="http://schemas.openxmlformats.org/officeDocument/2006/relationships" count="30">
  <r>
    <x v="0"/>
    <x v="0"/>
    <n v="0.46153846153846156"/>
    <n v="0"/>
    <n v="0.5"/>
    <n v="0.33333333333333331"/>
    <n v="0.44444444444444442"/>
    <n v="0.3902439024390244"/>
  </r>
  <r>
    <x v="0"/>
    <x v="1"/>
    <n v="0.46153846153846156"/>
    <n v="0"/>
    <n v="0.25"/>
    <n v="0.25"/>
    <n v="0.33333333333333331"/>
    <n v="0.31707317073170732"/>
  </r>
  <r>
    <x v="0"/>
    <x v="2"/>
    <n v="0.41666666666666669"/>
    <n v="0.33333333333333331"/>
    <n v="0.25"/>
    <n v="0.41666666666666669"/>
    <n v="0.22222222222222221"/>
    <n v="0.35"/>
  </r>
  <r>
    <x v="1"/>
    <x v="0"/>
    <n v="0.46666666666666667"/>
    <n v="0"/>
    <n v="0.25"/>
    <n v="0.46666666666666667"/>
    <n v="0.33333333333333331"/>
    <n v="0.39130434782608697"/>
  </r>
  <r>
    <x v="1"/>
    <x v="1"/>
    <n v="0.33333333333333331"/>
    <n v="0.33333333333333331"/>
    <n v="0"/>
    <n v="0.4"/>
    <n v="0.44444444444444442"/>
    <n v="0.34782608695652173"/>
  </r>
  <r>
    <x v="1"/>
    <x v="2"/>
    <n v="0.5"/>
    <n v="0"/>
    <n v="0.5"/>
    <n v="0.53333333333333333"/>
    <n v="0.5714285714285714"/>
    <n v="0.46666666666666667"/>
  </r>
  <r>
    <x v="2"/>
    <x v="0"/>
    <e v="#DIV/0!"/>
    <e v="#DIV/0!"/>
    <e v="#DIV/0!"/>
    <e v="#DIV/0!"/>
    <e v="#DIV/0!"/>
    <e v="#DIV/0!"/>
  </r>
  <r>
    <x v="2"/>
    <x v="1"/>
    <e v="#DIV/0!"/>
    <e v="#DIV/0!"/>
    <e v="#DIV/0!"/>
    <e v="#DIV/0!"/>
    <e v="#DIV/0!"/>
    <e v="#DIV/0!"/>
  </r>
  <r>
    <x v="2"/>
    <x v="2"/>
    <e v="#DIV/0!"/>
    <e v="#DIV/0!"/>
    <e v="#DIV/0!"/>
    <e v="#DIV/0!"/>
    <e v="#DIV/0!"/>
    <e v="#DIV/0!"/>
  </r>
  <r>
    <x v="3"/>
    <x v="0"/>
    <e v="#DIV/0!"/>
    <e v="#DIV/0!"/>
    <e v="#DIV/0!"/>
    <e v="#DIV/0!"/>
    <e v="#DIV/0!"/>
    <e v="#DIV/0!"/>
  </r>
  <r>
    <x v="3"/>
    <x v="1"/>
    <e v="#DIV/0!"/>
    <e v="#DIV/0!"/>
    <e v="#DIV/0!"/>
    <e v="#DIV/0!"/>
    <e v="#DIV/0!"/>
    <e v="#DIV/0!"/>
  </r>
  <r>
    <x v="3"/>
    <x v="2"/>
    <e v="#DIV/0!"/>
    <e v="#DIV/0!"/>
    <e v="#DIV/0!"/>
    <e v="#DIV/0!"/>
    <e v="#DIV/0!"/>
    <e v="#DIV/0!"/>
  </r>
  <r>
    <x v="4"/>
    <x v="0"/>
    <e v="#DIV/0!"/>
    <e v="#DIV/0!"/>
    <e v="#DIV/0!"/>
    <e v="#DIV/0!"/>
    <e v="#DIV/0!"/>
    <e v="#DIV/0!"/>
  </r>
  <r>
    <x v="4"/>
    <x v="1"/>
    <e v="#DIV/0!"/>
    <e v="#DIV/0!"/>
    <e v="#DIV/0!"/>
    <e v="#DIV/0!"/>
    <e v="#DIV/0!"/>
    <e v="#DIV/0!"/>
  </r>
  <r>
    <x v="4"/>
    <x v="2"/>
    <e v="#DIV/0!"/>
    <e v="#DIV/0!"/>
    <e v="#DIV/0!"/>
    <e v="#DIV/0!"/>
    <e v="#DIV/0!"/>
    <e v="#DIV/0!"/>
  </r>
  <r>
    <x v="5"/>
    <x v="0"/>
    <e v="#DIV/0!"/>
    <e v="#DIV/0!"/>
    <e v="#DIV/0!"/>
    <e v="#DIV/0!"/>
    <e v="#DIV/0!"/>
    <e v="#DIV/0!"/>
  </r>
  <r>
    <x v="5"/>
    <x v="1"/>
    <e v="#DIV/0!"/>
    <e v="#DIV/0!"/>
    <e v="#DIV/0!"/>
    <e v="#DIV/0!"/>
    <e v="#DIV/0!"/>
    <e v="#DIV/0!"/>
  </r>
  <r>
    <x v="5"/>
    <x v="2"/>
    <e v="#DIV/0!"/>
    <e v="#DIV/0!"/>
    <e v="#DIV/0!"/>
    <e v="#DIV/0!"/>
    <e v="#DIV/0!"/>
    <e v="#DIV/0!"/>
  </r>
  <r>
    <x v="6"/>
    <x v="0"/>
    <e v="#DIV/0!"/>
    <e v="#DIV/0!"/>
    <e v="#DIV/0!"/>
    <e v="#DIV/0!"/>
    <e v="#DIV/0!"/>
    <e v="#DIV/0!"/>
  </r>
  <r>
    <x v="6"/>
    <x v="1"/>
    <e v="#DIV/0!"/>
    <e v="#DIV/0!"/>
    <e v="#DIV/0!"/>
    <e v="#DIV/0!"/>
    <e v="#DIV/0!"/>
    <e v="#DIV/0!"/>
  </r>
  <r>
    <x v="6"/>
    <x v="2"/>
    <e v="#DIV/0!"/>
    <e v="#DIV/0!"/>
    <e v="#DIV/0!"/>
    <e v="#DIV/0!"/>
    <e v="#DIV/0!"/>
    <e v="#DIV/0!"/>
  </r>
  <r>
    <x v="7"/>
    <x v="0"/>
    <e v="#DIV/0!"/>
    <e v="#DIV/0!"/>
    <e v="#DIV/0!"/>
    <e v="#DIV/0!"/>
    <e v="#DIV/0!"/>
    <e v="#DIV/0!"/>
  </r>
  <r>
    <x v="7"/>
    <x v="1"/>
    <e v="#DIV/0!"/>
    <e v="#DIV/0!"/>
    <e v="#DIV/0!"/>
    <e v="#DIV/0!"/>
    <e v="#DIV/0!"/>
    <e v="#DIV/0!"/>
  </r>
  <r>
    <x v="7"/>
    <x v="2"/>
    <e v="#DIV/0!"/>
    <e v="#DIV/0!"/>
    <e v="#DIV/0!"/>
    <e v="#DIV/0!"/>
    <e v="#DIV/0!"/>
    <e v="#DIV/0!"/>
  </r>
  <r>
    <x v="8"/>
    <x v="0"/>
    <e v="#DIV/0!"/>
    <e v="#DIV/0!"/>
    <e v="#DIV/0!"/>
    <e v="#DIV/0!"/>
    <e v="#DIV/0!"/>
    <e v="#DIV/0!"/>
  </r>
  <r>
    <x v="8"/>
    <x v="1"/>
    <e v="#DIV/0!"/>
    <e v="#DIV/0!"/>
    <e v="#DIV/0!"/>
    <e v="#DIV/0!"/>
    <e v="#DIV/0!"/>
    <e v="#DIV/0!"/>
  </r>
  <r>
    <x v="8"/>
    <x v="2"/>
    <e v="#DIV/0!"/>
    <e v="#DIV/0!"/>
    <e v="#DIV/0!"/>
    <e v="#DIV/0!"/>
    <e v="#DIV/0!"/>
    <e v="#DIV/0!"/>
  </r>
  <r>
    <x v="9"/>
    <x v="0"/>
    <e v="#DIV/0!"/>
    <e v="#DIV/0!"/>
    <e v="#DIV/0!"/>
    <e v="#DIV/0!"/>
    <e v="#DIV/0!"/>
    <e v="#DIV/0!"/>
  </r>
  <r>
    <x v="9"/>
    <x v="1"/>
    <e v="#DIV/0!"/>
    <e v="#DIV/0!"/>
    <e v="#DIV/0!"/>
    <e v="#DIV/0!"/>
    <e v="#DIV/0!"/>
    <e v="#DIV/0!"/>
  </r>
  <r>
    <x v="9"/>
    <x v="2"/>
    <e v="#DIV/0!"/>
    <e v="#DIV/0!"/>
    <e v="#DIV/0!"/>
    <e v="#DIV/0!"/>
    <e v="#DIV/0!"/>
    <e v="#DIV/0!"/>
  </r>
</pivotCacheRecords>
</file>

<file path=xl/pivotCache/pivotCacheRecords21.xml><?xml version="1.0" encoding="utf-8"?>
<pivotCacheRecords xmlns="http://schemas.openxmlformats.org/spreadsheetml/2006/main" xmlns:r="http://schemas.openxmlformats.org/officeDocument/2006/relationships" count="48">
  <r>
    <x v="0"/>
    <x v="0"/>
    <n v="101.3"/>
    <n v="130.31"/>
    <n v="107.35"/>
    <n v="68.2"/>
    <n v="62.84"/>
    <n v="87.12"/>
    <n v="102.52"/>
    <n v="61.02"/>
    <n v="47.64"/>
    <n v="34.17"/>
    <n v="42.78"/>
    <n v="17.670000000000002"/>
    <n v="29.25"/>
    <n v="35.42"/>
    <n v="74.3"/>
  </r>
  <r>
    <x v="0"/>
    <x v="1"/>
    <n v="246.44"/>
    <n v="155.52000000000001"/>
    <n v="93.94"/>
    <n v="126.93"/>
    <n v="107.45"/>
    <n v="133.91"/>
    <n v="119.07"/>
    <n v="69.319999999999993"/>
    <n v="45.95"/>
    <n v="50.14"/>
    <n v="30.33"/>
    <n v="28.8"/>
    <n v="45.93"/>
    <n v="35.909999999999997"/>
    <n v="101.78"/>
  </r>
  <r>
    <x v="0"/>
    <x v="2"/>
    <n v="172.45"/>
    <n v="142.57"/>
    <n v="100.8"/>
    <n v="96.94"/>
    <n v="84.8"/>
    <n v="110.07"/>
    <n v="110.71"/>
    <n v="65.17"/>
    <n v="46.8"/>
    <n v="42.15"/>
    <n v="36.299999999999997"/>
    <n v="23.8"/>
    <n v="38.99"/>
    <n v="35.74"/>
    <n v="88.2"/>
  </r>
  <r>
    <x v="1"/>
    <x v="0"/>
    <n v="154.46"/>
    <n v="96.26"/>
    <n v="110.54"/>
    <n v="65.33"/>
    <n v="80.41"/>
    <n v="75.819999999999993"/>
    <n v="60.27"/>
    <n v="56"/>
    <n v="55"/>
    <n v="41.02"/>
    <n v="28.67"/>
    <n v="30.51"/>
    <n v="52.75"/>
    <n v="13.83"/>
    <n v="73.989999999999995"/>
  </r>
  <r>
    <x v="1"/>
    <x v="1"/>
    <n v="286.3"/>
    <n v="206.89"/>
    <n v="101.61"/>
    <n v="118.3"/>
    <n v="120.44"/>
    <n v="109.86"/>
    <n v="80.010000000000005"/>
    <n v="87.71"/>
    <n v="61.08"/>
    <n v="32.29"/>
    <n v="44.68"/>
    <n v="36.049999999999997"/>
    <n v="42.09"/>
    <n v="39.32"/>
    <n v="108.09"/>
  </r>
  <r>
    <x v="1"/>
    <x v="2"/>
    <n v="219.12"/>
    <n v="150.11000000000001"/>
    <n v="106.18"/>
    <n v="91.31"/>
    <n v="100.13"/>
    <n v="92.51"/>
    <n v="70.03"/>
    <n v="71.8"/>
    <n v="58.04"/>
    <n v="36.65"/>
    <n v="36.94"/>
    <n v="33.549999999999997"/>
    <n v="46.54"/>
    <n v="30.64"/>
    <n v="91.22"/>
  </r>
  <r>
    <x v="2"/>
    <x v="0"/>
    <n v="140.52000000000001"/>
    <n v="102.47"/>
    <n v="104.06"/>
    <n v="86.91"/>
    <n v="100.28"/>
    <n v="72.44"/>
    <n v="61.95"/>
    <n v="45.4"/>
    <n v="43.7"/>
    <n v="33.520000000000003"/>
    <n v="57.35"/>
    <n v="42.67"/>
    <n v="35.03"/>
    <n v="68.959999999999994"/>
    <n v="76.62"/>
  </r>
  <r>
    <x v="2"/>
    <x v="1"/>
    <n v="286.33999999999997"/>
    <n v="149.27000000000001"/>
    <n v="120.72"/>
    <n v="124.34"/>
    <n v="144.44999999999999"/>
    <n v="115.87"/>
    <n v="131.68"/>
    <n v="68.34"/>
    <n v="45.67"/>
    <n v="41.7"/>
    <n v="45.67"/>
    <n v="42.99"/>
    <n v="41.85"/>
    <n v="43.33"/>
    <n v="110.6"/>
  </r>
  <r>
    <x v="2"/>
    <x v="2"/>
    <n v="211.85"/>
    <n v="125.34"/>
    <n v="112.21"/>
    <n v="105.22"/>
    <n v="122.11"/>
    <n v="93.8"/>
    <n v="96.31"/>
    <n v="56.85"/>
    <n v="44.68"/>
    <n v="37.619999999999997"/>
    <n v="51.35"/>
    <n v="42.84"/>
    <n v="39"/>
    <n v="52.14"/>
    <n v="93.78"/>
  </r>
  <r>
    <x v="3"/>
    <x v="0"/>
    <n v="122.6"/>
    <n v="86.76"/>
    <n v="91.07"/>
    <n v="57.33"/>
    <n v="59.47"/>
    <n v="62.25"/>
    <n v="50.73"/>
    <n v="72.150000000000006"/>
    <n v="55.09"/>
    <n v="35.17"/>
    <n v="36.770000000000003"/>
    <n v="32.79"/>
    <n v="46.84"/>
    <n v="68.319999999999993"/>
    <n v="66.27"/>
  </r>
  <r>
    <x v="3"/>
    <x v="1"/>
    <n v="180.22"/>
    <n v="145.72999999999999"/>
    <n v="105.56"/>
    <n v="105.8"/>
    <n v="110.54"/>
    <n v="85.37"/>
    <n v="92.49"/>
    <n v="64.44"/>
    <n v="59.04"/>
    <n v="28.7"/>
    <n v="27.01"/>
    <n v="38.67"/>
    <n v="25.44"/>
    <n v="32.4"/>
    <n v="86.89"/>
  </r>
  <r>
    <x v="3"/>
    <x v="2"/>
    <n v="150.88"/>
    <n v="115.64"/>
    <n v="98.14"/>
    <n v="81.03"/>
    <n v="84.68"/>
    <n v="73.650000000000006"/>
    <n v="71.3"/>
    <n v="68.31"/>
    <n v="57.07"/>
    <n v="31.92"/>
    <n v="31.78"/>
    <n v="35.96"/>
    <n v="34.42"/>
    <n v="44.79"/>
    <n v="76.680000000000007"/>
  </r>
  <r>
    <x v="4"/>
    <x v="0"/>
    <n v="118.54"/>
    <n v="75.41"/>
    <n v="70.819999999999993"/>
    <n v="69.33"/>
    <n v="56.86"/>
    <n v="70.09"/>
    <n v="60.54"/>
    <n v="61.24"/>
    <n v="53.98"/>
    <n v="28.92"/>
    <n v="26.59"/>
    <n v="47.12"/>
    <n v="23.27"/>
    <n v="94.84"/>
    <n v="63.88"/>
  </r>
  <r>
    <x v="4"/>
    <x v="1"/>
    <n v="186.86"/>
    <n v="137.56"/>
    <n v="141.09"/>
    <n v="92.56"/>
    <n v="130.31"/>
    <n v="77.739999999999995"/>
    <n v="85.57"/>
    <n v="76.45"/>
    <n v="55.52"/>
    <n v="38.950000000000003"/>
    <n v="33.24"/>
    <n v="44.52"/>
    <n v="33.94"/>
    <n v="32.26"/>
    <n v="91.38"/>
  </r>
  <r>
    <x v="4"/>
    <x v="2"/>
    <n v="152.02000000000001"/>
    <n v="105.84"/>
    <n v="105.07"/>
    <n v="80.69"/>
    <n v="93.05"/>
    <n v="73.849999999999994"/>
    <n v="72.88"/>
    <n v="68.8"/>
    <n v="54.76"/>
    <n v="33.96"/>
    <n v="29.98"/>
    <n v="45.73"/>
    <n v="29.44"/>
    <n v="53.91"/>
    <n v="77.75"/>
  </r>
  <r>
    <x v="5"/>
    <x v="0"/>
    <n v="98.67"/>
    <n v="100.61"/>
    <n v="92.9"/>
    <n v="80.36"/>
    <n v="83.79"/>
    <n v="71.42"/>
    <n v="56.44"/>
    <n v="57.09"/>
    <n v="39.020000000000003"/>
    <n v="44.09"/>
    <n v="32.28"/>
    <n v="30.51"/>
    <n v="46.1"/>
    <n v="33.25"/>
    <n v="67.760000000000005"/>
  </r>
  <r>
    <x v="5"/>
    <x v="1"/>
    <n v="212.31"/>
    <n v="155.88"/>
    <n v="117.8"/>
    <n v="91.79"/>
    <n v="113.38"/>
    <n v="93.39"/>
    <n v="111.01"/>
    <n v="60.03"/>
    <n v="38.49"/>
    <n v="35.26"/>
    <n v="62.47"/>
    <n v="36.85"/>
    <n v="51.53"/>
    <n v="28.57"/>
    <n v="94.38"/>
  </r>
  <r>
    <x v="5"/>
    <x v="2"/>
    <n v="154.15"/>
    <n v="127.72"/>
    <n v="104.99"/>
    <n v="85.95"/>
    <n v="98.31"/>
    <n v="82.27"/>
    <n v="83.28"/>
    <n v="58.55"/>
    <n v="38.75"/>
    <n v="39.65"/>
    <n v="47.62"/>
    <n v="33.89"/>
    <n v="49.21"/>
    <n v="30.2"/>
    <n v="81.16"/>
  </r>
  <r>
    <x v="6"/>
    <x v="0"/>
    <m/>
    <m/>
    <m/>
    <m/>
    <m/>
    <m/>
    <m/>
    <m/>
    <m/>
    <m/>
    <m/>
    <m/>
    <m/>
    <m/>
    <m/>
  </r>
  <r>
    <x v="6"/>
    <x v="1"/>
    <m/>
    <m/>
    <m/>
    <m/>
    <m/>
    <m/>
    <m/>
    <m/>
    <m/>
    <m/>
    <m/>
    <m/>
    <m/>
    <m/>
    <m/>
  </r>
  <r>
    <x v="6"/>
    <x v="2"/>
    <m/>
    <m/>
    <m/>
    <m/>
    <m/>
    <m/>
    <m/>
    <m/>
    <m/>
    <m/>
    <m/>
    <m/>
    <m/>
    <m/>
    <m/>
  </r>
  <r>
    <x v="7"/>
    <x v="0"/>
    <m/>
    <m/>
    <m/>
    <m/>
    <m/>
    <m/>
    <m/>
    <m/>
    <m/>
    <m/>
    <m/>
    <m/>
    <m/>
    <m/>
    <m/>
  </r>
  <r>
    <x v="7"/>
    <x v="1"/>
    <m/>
    <m/>
    <m/>
    <m/>
    <m/>
    <m/>
    <m/>
    <m/>
    <m/>
    <m/>
    <m/>
    <m/>
    <m/>
    <m/>
    <m/>
  </r>
  <r>
    <x v="7"/>
    <x v="2"/>
    <m/>
    <m/>
    <m/>
    <m/>
    <m/>
    <m/>
    <m/>
    <m/>
    <m/>
    <m/>
    <m/>
    <m/>
    <m/>
    <m/>
    <m/>
  </r>
  <r>
    <x v="8"/>
    <x v="0"/>
    <m/>
    <m/>
    <m/>
    <m/>
    <m/>
    <m/>
    <m/>
    <m/>
    <m/>
    <m/>
    <m/>
    <m/>
    <m/>
    <m/>
    <m/>
  </r>
  <r>
    <x v="8"/>
    <x v="1"/>
    <m/>
    <m/>
    <m/>
    <m/>
    <m/>
    <m/>
    <m/>
    <m/>
    <m/>
    <m/>
    <m/>
    <m/>
    <m/>
    <m/>
    <m/>
  </r>
  <r>
    <x v="8"/>
    <x v="2"/>
    <m/>
    <m/>
    <m/>
    <m/>
    <m/>
    <m/>
    <m/>
    <m/>
    <m/>
    <m/>
    <m/>
    <m/>
    <m/>
    <m/>
    <m/>
  </r>
  <r>
    <x v="9"/>
    <x v="0"/>
    <m/>
    <m/>
    <m/>
    <m/>
    <m/>
    <m/>
    <m/>
    <m/>
    <m/>
    <m/>
    <m/>
    <m/>
    <m/>
    <m/>
    <m/>
  </r>
  <r>
    <x v="9"/>
    <x v="1"/>
    <m/>
    <m/>
    <m/>
    <m/>
    <m/>
    <m/>
    <m/>
    <m/>
    <m/>
    <m/>
    <m/>
    <m/>
    <m/>
    <m/>
    <m/>
  </r>
  <r>
    <x v="9"/>
    <x v="2"/>
    <m/>
    <m/>
    <m/>
    <m/>
    <m/>
    <m/>
    <m/>
    <m/>
    <m/>
    <m/>
    <m/>
    <m/>
    <m/>
    <m/>
    <m/>
  </r>
  <r>
    <x v="10"/>
    <x v="0"/>
    <m/>
    <m/>
    <m/>
    <m/>
    <m/>
    <m/>
    <m/>
    <m/>
    <m/>
    <m/>
    <m/>
    <m/>
    <m/>
    <m/>
    <m/>
  </r>
  <r>
    <x v="10"/>
    <x v="1"/>
    <m/>
    <m/>
    <m/>
    <m/>
    <m/>
    <m/>
    <m/>
    <m/>
    <m/>
    <m/>
    <m/>
    <m/>
    <m/>
    <m/>
    <m/>
  </r>
  <r>
    <x v="10"/>
    <x v="2"/>
    <m/>
    <m/>
    <m/>
    <m/>
    <m/>
    <m/>
    <m/>
    <m/>
    <m/>
    <m/>
    <m/>
    <m/>
    <m/>
    <m/>
    <m/>
  </r>
  <r>
    <x v="11"/>
    <x v="0"/>
    <m/>
    <m/>
    <m/>
    <m/>
    <m/>
    <m/>
    <m/>
    <m/>
    <m/>
    <m/>
    <m/>
    <m/>
    <m/>
    <m/>
    <m/>
  </r>
  <r>
    <x v="11"/>
    <x v="1"/>
    <m/>
    <m/>
    <m/>
    <m/>
    <m/>
    <m/>
    <m/>
    <m/>
    <m/>
    <m/>
    <m/>
    <m/>
    <m/>
    <m/>
    <m/>
  </r>
  <r>
    <x v="11"/>
    <x v="2"/>
    <m/>
    <m/>
    <m/>
    <m/>
    <m/>
    <m/>
    <m/>
    <m/>
    <m/>
    <m/>
    <m/>
    <m/>
    <m/>
    <m/>
    <m/>
  </r>
  <r>
    <x v="12"/>
    <x v="0"/>
    <m/>
    <m/>
    <m/>
    <m/>
    <m/>
    <m/>
    <m/>
    <m/>
    <m/>
    <m/>
    <m/>
    <m/>
    <m/>
    <m/>
    <m/>
  </r>
  <r>
    <x v="12"/>
    <x v="1"/>
    <m/>
    <m/>
    <m/>
    <m/>
    <m/>
    <m/>
    <m/>
    <m/>
    <m/>
    <m/>
    <m/>
    <m/>
    <m/>
    <m/>
    <m/>
  </r>
  <r>
    <x v="12"/>
    <x v="2"/>
    <m/>
    <m/>
    <m/>
    <m/>
    <m/>
    <m/>
    <m/>
    <m/>
    <m/>
    <m/>
    <m/>
    <m/>
    <m/>
    <m/>
    <m/>
  </r>
  <r>
    <x v="13"/>
    <x v="0"/>
    <m/>
    <m/>
    <m/>
    <m/>
    <m/>
    <m/>
    <m/>
    <m/>
    <m/>
    <m/>
    <m/>
    <m/>
    <m/>
    <m/>
    <m/>
  </r>
  <r>
    <x v="13"/>
    <x v="1"/>
    <m/>
    <m/>
    <m/>
    <m/>
    <m/>
    <m/>
    <m/>
    <m/>
    <m/>
    <m/>
    <m/>
    <m/>
    <m/>
    <m/>
    <m/>
  </r>
  <r>
    <x v="13"/>
    <x v="2"/>
    <m/>
    <m/>
    <m/>
    <m/>
    <m/>
    <m/>
    <m/>
    <m/>
    <m/>
    <m/>
    <m/>
    <m/>
    <m/>
    <m/>
    <m/>
  </r>
  <r>
    <x v="14"/>
    <x v="0"/>
    <m/>
    <m/>
    <m/>
    <m/>
    <m/>
    <m/>
    <m/>
    <m/>
    <m/>
    <m/>
    <m/>
    <m/>
    <m/>
    <m/>
    <m/>
  </r>
  <r>
    <x v="14"/>
    <x v="1"/>
    <m/>
    <m/>
    <m/>
    <m/>
    <m/>
    <m/>
    <m/>
    <m/>
    <m/>
    <m/>
    <m/>
    <m/>
    <m/>
    <m/>
    <m/>
  </r>
  <r>
    <x v="14"/>
    <x v="2"/>
    <m/>
    <m/>
    <m/>
    <m/>
    <m/>
    <m/>
    <m/>
    <m/>
    <m/>
    <m/>
    <m/>
    <m/>
    <m/>
    <m/>
    <m/>
  </r>
  <r>
    <x v="15"/>
    <x v="0"/>
    <m/>
    <m/>
    <m/>
    <m/>
    <m/>
    <m/>
    <m/>
    <m/>
    <m/>
    <m/>
    <m/>
    <m/>
    <m/>
    <m/>
    <m/>
  </r>
  <r>
    <x v="15"/>
    <x v="1"/>
    <m/>
    <m/>
    <m/>
    <m/>
    <m/>
    <m/>
    <m/>
    <m/>
    <m/>
    <m/>
    <m/>
    <m/>
    <m/>
    <m/>
    <m/>
  </r>
  <r>
    <x v="15"/>
    <x v="2"/>
    <m/>
    <m/>
    <m/>
    <m/>
    <m/>
    <m/>
    <m/>
    <m/>
    <m/>
    <m/>
    <m/>
    <m/>
    <m/>
    <m/>
    <m/>
  </r>
</pivotCacheRecords>
</file>

<file path=xl/pivotCache/pivotCacheRecords22.xml><?xml version="1.0" encoding="utf-8"?>
<pivotCacheRecords xmlns="http://schemas.openxmlformats.org/spreadsheetml/2006/main" xmlns:r="http://schemas.openxmlformats.org/officeDocument/2006/relationships" count="48">
  <r>
    <x v="0"/>
    <x v="0"/>
    <n v="11.03"/>
    <n v="28.6"/>
    <n v="15.62"/>
    <n v="11.08"/>
    <n v="14.2"/>
    <n v="22.18"/>
    <n v="26.12"/>
    <n v="20.97"/>
    <n v="19.670000000000002"/>
    <n v="18.84"/>
    <n v="16.670000000000002"/>
    <n v="4.42"/>
    <n v="41.09"/>
    <n v="56.96"/>
    <n v="19.600000000000001"/>
  </r>
  <r>
    <x v="0"/>
    <x v="1"/>
    <n v="9.59"/>
    <n v="2.0099999999999998"/>
    <n v="4.09"/>
    <n v="5.76"/>
    <n v="7.36"/>
    <n v="5.75"/>
    <n v="14.36"/>
    <n v="8.39"/>
    <n v="19.86"/>
    <n v="14.1"/>
    <n v="3.07"/>
    <n v="3.58"/>
    <s v="­­"/>
    <n v="10.8"/>
    <n v="8.18"/>
  </r>
  <r>
    <x v="0"/>
    <x v="2"/>
    <n v="10.32"/>
    <n v="15.64"/>
    <n v="9.99"/>
    <n v="8.4700000000000006"/>
    <n v="10.84"/>
    <n v="14.11"/>
    <n v="20.3"/>
    <n v="14.68"/>
    <n v="19.760000000000002"/>
    <n v="16.46"/>
    <n v="9.58"/>
    <n v="3.95"/>
    <n v="17.05"/>
    <n v="26.3"/>
    <n v="13.82"/>
  </r>
  <r>
    <x v="1"/>
    <x v="0"/>
    <n v="17.82"/>
    <n v="13.09"/>
    <n v="9.73"/>
    <n v="20.399999999999999"/>
    <n v="16.3"/>
    <n v="17.89"/>
    <n v="22.1"/>
    <n v="27.16"/>
    <n v="16.079999999999998"/>
    <n v="19.95"/>
    <n v="16.190000000000001"/>
    <n v="17.55"/>
    <n v="23.42"/>
    <n v="21"/>
    <n v="18.059999999999999"/>
  </r>
  <r>
    <x v="1"/>
    <x v="1"/>
    <n v="5.56"/>
    <n v="5.92"/>
    <n v="4.07"/>
    <n v="7.73"/>
    <n v="11.2"/>
    <n v="16.72"/>
    <n v="12.31"/>
    <n v="6.28"/>
    <n v="16.13"/>
    <n v="15.5"/>
    <n v="12.02"/>
    <n v="7.21"/>
    <n v="8.3800000000000008"/>
    <n v="3.58"/>
    <n v="9.73"/>
  </r>
  <r>
    <x v="1"/>
    <x v="2"/>
    <n v="11.8"/>
    <n v="9.6"/>
    <n v="6.97"/>
    <n v="14.19"/>
    <n v="13.79"/>
    <n v="17.32"/>
    <n v="17.260000000000002"/>
    <n v="16.73"/>
    <n v="16.11"/>
    <n v="17.72"/>
    <n v="14.03"/>
    <n v="11.87"/>
    <n v="14.66"/>
    <n v="9.48"/>
    <n v="13.85"/>
  </r>
  <r>
    <x v="2"/>
    <x v="0"/>
    <n v="13.87"/>
    <n v="27.61"/>
    <n v="17.399999999999999"/>
    <n v="18.78"/>
    <n v="23.95"/>
    <n v="22.67"/>
    <n v="30.05"/>
    <n v="22.76"/>
    <n v="16.47"/>
    <n v="23.39"/>
    <n v="31"/>
    <n v="17.25"/>
    <n v="35.090000000000003"/>
    <n v="55.25"/>
    <n v="23.13"/>
  </r>
  <r>
    <x v="2"/>
    <x v="1"/>
    <n v="9.0299999999999994"/>
    <n v="3.87"/>
    <n v="6.07"/>
    <n v="7.83"/>
    <n v="9.4600000000000009"/>
    <n v="12.65"/>
    <n v="10.27"/>
    <n v="4.16"/>
    <n v="6.17"/>
    <n v="6.36"/>
    <n v="5.83"/>
    <n v="7.19"/>
    <n v="12.59"/>
    <n v="7.18"/>
    <n v="7.71"/>
  </r>
  <r>
    <x v="2"/>
    <x v="2"/>
    <n v="11.5"/>
    <n v="16.03"/>
    <n v="11.86"/>
    <n v="13.41"/>
    <n v="16.8"/>
    <n v="17.75"/>
    <n v="20.29"/>
    <n v="13.48"/>
    <n v="11.31"/>
    <n v="14.86"/>
    <n v="18.03"/>
    <n v="11.76"/>
    <n v="21.99"/>
    <n v="23.63"/>
    <n v="15.34"/>
  </r>
  <r>
    <x v="3"/>
    <x v="0"/>
    <n v="11.96"/>
    <n v="16.2"/>
    <n v="19.12"/>
    <n v="3.8"/>
    <n v="16.72"/>
    <n v="15.54"/>
    <n v="25.67"/>
    <n v="35.06"/>
    <n v="31.49"/>
    <n v="31.23"/>
    <n v="29.21"/>
    <n v="41.81"/>
    <n v="58.46"/>
    <n v="48.04"/>
    <n v="23.24"/>
  </r>
  <r>
    <x v="3"/>
    <x v="1"/>
    <n v="8.89"/>
    <n v="13.15"/>
    <n v="6.01"/>
    <n v="9.92"/>
    <n v="15.23"/>
    <n v="1.78"/>
    <n v="16.27"/>
    <n v="8.3000000000000007"/>
    <n v="10.46"/>
    <n v="8.27"/>
    <n v="11.1"/>
    <n v="10.65"/>
    <n v="8.42"/>
    <n v="3.61"/>
    <n v="9.56"/>
  </r>
  <r>
    <x v="3"/>
    <x v="2"/>
    <n v="10.45"/>
    <n v="14.71"/>
    <n v="12.71"/>
    <n v="6.8"/>
    <n v="15.98"/>
    <n v="8.77"/>
    <n v="21.04"/>
    <n v="21.72"/>
    <n v="20.96"/>
    <n v="19.71"/>
    <n v="19.920000000000002"/>
    <n v="24.95"/>
    <n v="29.38"/>
    <n v="18.91"/>
    <n v="16.329999999999998"/>
  </r>
  <r>
    <x v="4"/>
    <x v="0"/>
    <n v="13.58"/>
    <n v="13.93"/>
    <n v="13.16"/>
    <n v="15.35"/>
    <n v="16.62"/>
    <n v="27.85"/>
    <n v="23.05"/>
    <n v="26.67"/>
    <n v="32.08"/>
    <n v="14.47"/>
    <n v="5.48"/>
    <n v="28.08"/>
    <n v="52.52"/>
    <n v="40.82"/>
    <n v="20.41"/>
  </r>
  <r>
    <x v="4"/>
    <x v="1"/>
    <n v="5.29"/>
    <n v="7.26"/>
    <n v="9.8800000000000008"/>
    <n v="14.03"/>
    <n v="11.38"/>
    <n v="12.55"/>
    <n v="17.79"/>
    <n v="14.51"/>
    <n v="8.49"/>
    <n v="14.35"/>
    <n v="10.51"/>
    <n v="6.94"/>
    <n v="21.2"/>
    <n v="14.37"/>
    <n v="11.68"/>
  </r>
  <r>
    <x v="4"/>
    <x v="2"/>
    <n v="9.52"/>
    <n v="10.67"/>
    <n v="11.56"/>
    <n v="14.7"/>
    <n v="14.04"/>
    <n v="20.309999999999999"/>
    <n v="20.46"/>
    <n v="20.62"/>
    <n v="20.239999999999998"/>
    <n v="14.41"/>
    <n v="8.0500000000000007"/>
    <n v="16.739999999999998"/>
    <n v="34.380000000000003"/>
    <n v="23.51"/>
    <n v="16"/>
  </r>
  <r>
    <x v="5"/>
    <x v="0"/>
    <n v="11.98"/>
    <n v="33.619999999999997"/>
    <n v="22.11"/>
    <n v="13.44"/>
    <n v="25.59"/>
    <n v="40.68"/>
    <n v="27.83"/>
    <n v="26.52"/>
    <n v="23.8"/>
    <n v="20.83"/>
    <n v="23.11"/>
    <n v="30.96"/>
    <n v="23.16"/>
    <n v="53.69"/>
    <n v="25.57"/>
  </r>
  <r>
    <x v="5"/>
    <x v="1"/>
    <n v="7.15"/>
    <n v="10.49"/>
    <n v="7.78"/>
    <n v="8.02"/>
    <n v="7.56"/>
    <n v="12.74"/>
    <n v="7.65"/>
    <n v="8.27"/>
    <n v="6.41"/>
    <n v="10.31"/>
    <n v="4.95"/>
    <n v="3.39"/>
    <n v="8.5399999999999991"/>
    <n v="10.73"/>
    <n v="8.2899999999999991"/>
  </r>
  <r>
    <x v="5"/>
    <x v="2"/>
    <n v="9.6199999999999992"/>
    <n v="22.29"/>
    <n v="15.14"/>
    <n v="10.78"/>
    <n v="16.72"/>
    <n v="26.91"/>
    <n v="17.899999999999999"/>
    <n v="17.46"/>
    <n v="15.05"/>
    <n v="15.54"/>
    <n v="13.87"/>
    <n v="16.260000000000002"/>
    <n v="14.74"/>
    <n v="25.67"/>
    <n v="16.86"/>
  </r>
  <r>
    <x v="6"/>
    <x v="0"/>
    <m/>
    <m/>
    <m/>
    <m/>
    <m/>
    <m/>
    <m/>
    <m/>
    <m/>
    <m/>
    <m/>
    <m/>
    <m/>
    <m/>
    <m/>
  </r>
  <r>
    <x v="6"/>
    <x v="1"/>
    <m/>
    <m/>
    <m/>
    <m/>
    <m/>
    <m/>
    <m/>
    <m/>
    <m/>
    <m/>
    <m/>
    <m/>
    <m/>
    <m/>
    <m/>
  </r>
  <r>
    <x v="6"/>
    <x v="2"/>
    <m/>
    <m/>
    <m/>
    <m/>
    <m/>
    <m/>
    <m/>
    <m/>
    <m/>
    <m/>
    <m/>
    <m/>
    <m/>
    <m/>
    <m/>
  </r>
  <r>
    <x v="7"/>
    <x v="0"/>
    <m/>
    <m/>
    <m/>
    <m/>
    <m/>
    <m/>
    <m/>
    <m/>
    <m/>
    <m/>
    <m/>
    <m/>
    <m/>
    <m/>
    <m/>
  </r>
  <r>
    <x v="7"/>
    <x v="1"/>
    <m/>
    <m/>
    <m/>
    <m/>
    <m/>
    <m/>
    <m/>
    <m/>
    <m/>
    <m/>
    <m/>
    <m/>
    <m/>
    <m/>
    <m/>
  </r>
  <r>
    <x v="7"/>
    <x v="2"/>
    <m/>
    <m/>
    <m/>
    <m/>
    <m/>
    <m/>
    <m/>
    <m/>
    <m/>
    <m/>
    <m/>
    <m/>
    <m/>
    <m/>
    <m/>
  </r>
  <r>
    <x v="8"/>
    <x v="0"/>
    <m/>
    <m/>
    <m/>
    <m/>
    <m/>
    <m/>
    <m/>
    <m/>
    <m/>
    <m/>
    <m/>
    <m/>
    <m/>
    <m/>
    <m/>
  </r>
  <r>
    <x v="8"/>
    <x v="1"/>
    <m/>
    <m/>
    <m/>
    <m/>
    <m/>
    <m/>
    <m/>
    <m/>
    <m/>
    <m/>
    <m/>
    <m/>
    <m/>
    <m/>
    <m/>
  </r>
  <r>
    <x v="8"/>
    <x v="2"/>
    <m/>
    <m/>
    <m/>
    <m/>
    <m/>
    <m/>
    <m/>
    <m/>
    <m/>
    <m/>
    <m/>
    <m/>
    <m/>
    <m/>
    <m/>
  </r>
  <r>
    <x v="9"/>
    <x v="0"/>
    <m/>
    <m/>
    <m/>
    <m/>
    <m/>
    <m/>
    <m/>
    <m/>
    <m/>
    <m/>
    <m/>
    <m/>
    <m/>
    <m/>
    <m/>
  </r>
  <r>
    <x v="9"/>
    <x v="1"/>
    <m/>
    <m/>
    <m/>
    <m/>
    <m/>
    <m/>
    <m/>
    <m/>
    <m/>
    <m/>
    <m/>
    <m/>
    <m/>
    <m/>
    <m/>
  </r>
  <r>
    <x v="9"/>
    <x v="2"/>
    <m/>
    <m/>
    <m/>
    <m/>
    <m/>
    <m/>
    <m/>
    <m/>
    <m/>
    <m/>
    <m/>
    <m/>
    <m/>
    <m/>
    <m/>
  </r>
  <r>
    <x v="10"/>
    <x v="0"/>
    <m/>
    <m/>
    <m/>
    <m/>
    <m/>
    <m/>
    <m/>
    <m/>
    <m/>
    <m/>
    <m/>
    <m/>
    <m/>
    <m/>
    <m/>
  </r>
  <r>
    <x v="10"/>
    <x v="1"/>
    <m/>
    <m/>
    <m/>
    <m/>
    <m/>
    <m/>
    <m/>
    <m/>
    <m/>
    <m/>
    <m/>
    <m/>
    <m/>
    <m/>
    <m/>
  </r>
  <r>
    <x v="10"/>
    <x v="2"/>
    <m/>
    <m/>
    <m/>
    <m/>
    <m/>
    <m/>
    <m/>
    <m/>
    <m/>
    <m/>
    <m/>
    <m/>
    <m/>
    <m/>
    <m/>
  </r>
  <r>
    <x v="11"/>
    <x v="0"/>
    <m/>
    <m/>
    <m/>
    <m/>
    <m/>
    <m/>
    <m/>
    <m/>
    <m/>
    <m/>
    <m/>
    <m/>
    <m/>
    <m/>
    <m/>
  </r>
  <r>
    <x v="11"/>
    <x v="1"/>
    <m/>
    <m/>
    <m/>
    <m/>
    <m/>
    <m/>
    <m/>
    <m/>
    <m/>
    <m/>
    <m/>
    <m/>
    <m/>
    <m/>
    <m/>
  </r>
  <r>
    <x v="11"/>
    <x v="2"/>
    <m/>
    <m/>
    <m/>
    <m/>
    <m/>
    <m/>
    <m/>
    <m/>
    <m/>
    <m/>
    <m/>
    <m/>
    <m/>
    <m/>
    <m/>
  </r>
  <r>
    <x v="12"/>
    <x v="0"/>
    <m/>
    <m/>
    <m/>
    <m/>
    <m/>
    <m/>
    <m/>
    <m/>
    <m/>
    <m/>
    <m/>
    <m/>
    <m/>
    <m/>
    <m/>
  </r>
  <r>
    <x v="12"/>
    <x v="1"/>
    <m/>
    <m/>
    <m/>
    <m/>
    <m/>
    <m/>
    <m/>
    <m/>
    <m/>
    <m/>
    <m/>
    <m/>
    <m/>
    <m/>
    <m/>
  </r>
  <r>
    <x v="12"/>
    <x v="2"/>
    <m/>
    <m/>
    <m/>
    <m/>
    <m/>
    <m/>
    <m/>
    <m/>
    <m/>
    <m/>
    <m/>
    <m/>
    <m/>
    <m/>
    <m/>
  </r>
  <r>
    <x v="13"/>
    <x v="0"/>
    <m/>
    <m/>
    <m/>
    <m/>
    <m/>
    <m/>
    <m/>
    <m/>
    <m/>
    <m/>
    <m/>
    <m/>
    <m/>
    <m/>
    <m/>
  </r>
  <r>
    <x v="13"/>
    <x v="1"/>
    <m/>
    <m/>
    <m/>
    <m/>
    <m/>
    <m/>
    <m/>
    <m/>
    <m/>
    <m/>
    <m/>
    <m/>
    <m/>
    <m/>
    <m/>
  </r>
  <r>
    <x v="13"/>
    <x v="2"/>
    <m/>
    <m/>
    <m/>
    <m/>
    <m/>
    <m/>
    <m/>
    <m/>
    <m/>
    <m/>
    <m/>
    <m/>
    <m/>
    <m/>
    <m/>
  </r>
  <r>
    <x v="14"/>
    <x v="0"/>
    <m/>
    <m/>
    <m/>
    <m/>
    <m/>
    <m/>
    <m/>
    <m/>
    <m/>
    <m/>
    <m/>
    <m/>
    <m/>
    <m/>
    <m/>
  </r>
  <r>
    <x v="14"/>
    <x v="1"/>
    <m/>
    <m/>
    <m/>
    <m/>
    <m/>
    <m/>
    <m/>
    <m/>
    <m/>
    <m/>
    <m/>
    <m/>
    <m/>
    <m/>
    <m/>
  </r>
  <r>
    <x v="14"/>
    <x v="2"/>
    <m/>
    <m/>
    <m/>
    <m/>
    <m/>
    <m/>
    <m/>
    <m/>
    <m/>
    <m/>
    <m/>
    <m/>
    <m/>
    <m/>
    <m/>
  </r>
  <r>
    <x v="15"/>
    <x v="0"/>
    <m/>
    <m/>
    <m/>
    <m/>
    <m/>
    <m/>
    <m/>
    <m/>
    <m/>
    <m/>
    <m/>
    <m/>
    <m/>
    <m/>
    <m/>
  </r>
  <r>
    <x v="15"/>
    <x v="1"/>
    <m/>
    <m/>
    <m/>
    <m/>
    <m/>
    <m/>
    <m/>
    <m/>
    <m/>
    <m/>
    <m/>
    <m/>
    <m/>
    <m/>
    <m/>
  </r>
  <r>
    <x v="15"/>
    <x v="2"/>
    <m/>
    <m/>
    <m/>
    <m/>
    <m/>
    <m/>
    <m/>
    <m/>
    <m/>
    <m/>
    <m/>
    <m/>
    <m/>
    <m/>
    <m/>
  </r>
</pivotCacheRecords>
</file>

<file path=xl/pivotCache/pivotCacheRecords23.xml><?xml version="1.0" encoding="utf-8"?>
<pivotCacheRecords xmlns="http://schemas.openxmlformats.org/spreadsheetml/2006/main" xmlns:r="http://schemas.openxmlformats.org/officeDocument/2006/relationships" count="18">
  <r>
    <x v="0"/>
    <x v="0"/>
    <n v="0.2857142857142857"/>
    <n v="0"/>
    <n v="0.25"/>
    <n v="0.2"/>
    <n v="0.22222222222222221"/>
    <n v="0.22727272727272727"/>
  </r>
  <r>
    <x v="0"/>
    <x v="1"/>
    <n v="0.5714285714285714"/>
    <n v="1"/>
    <n v="0.75"/>
    <n v="0.6"/>
    <n v="0.44444444444444442"/>
    <n v="0.59090909090909094"/>
  </r>
  <r>
    <x v="1"/>
    <x v="0"/>
    <e v="#DIV/0!"/>
    <e v="#DIV/0!"/>
    <e v="#DIV/0!"/>
    <e v="#DIV/0!"/>
    <e v="#DIV/0!"/>
    <e v="#DIV/0!"/>
  </r>
  <r>
    <x v="1"/>
    <x v="1"/>
    <e v="#DIV/0!"/>
    <e v="#DIV/0!"/>
    <e v="#DIV/0!"/>
    <e v="#DIV/0!"/>
    <e v="#DIV/0!"/>
    <e v="#DIV/0!"/>
  </r>
  <r>
    <x v="2"/>
    <x v="0"/>
    <e v="#DIV/0!"/>
    <e v="#DIV/0!"/>
    <e v="#DIV/0!"/>
    <e v="#DIV/0!"/>
    <e v="#DIV/0!"/>
    <e v="#DIV/0!"/>
  </r>
  <r>
    <x v="2"/>
    <x v="1"/>
    <e v="#DIV/0!"/>
    <e v="#DIV/0!"/>
    <e v="#DIV/0!"/>
    <e v="#DIV/0!"/>
    <e v="#DIV/0!"/>
    <e v="#DIV/0!"/>
  </r>
  <r>
    <x v="3"/>
    <x v="0"/>
    <e v="#DIV/0!"/>
    <e v="#DIV/0!"/>
    <e v="#DIV/0!"/>
    <e v="#DIV/0!"/>
    <e v="#DIV/0!"/>
    <e v="#DIV/0!"/>
  </r>
  <r>
    <x v="3"/>
    <x v="1"/>
    <e v="#DIV/0!"/>
    <e v="#DIV/0!"/>
    <e v="#DIV/0!"/>
    <e v="#DIV/0!"/>
    <e v="#DIV/0!"/>
    <e v="#DIV/0!"/>
  </r>
  <r>
    <x v="4"/>
    <x v="0"/>
    <e v="#DIV/0!"/>
    <e v="#DIV/0!"/>
    <e v="#DIV/0!"/>
    <e v="#DIV/0!"/>
    <e v="#DIV/0!"/>
    <e v="#DIV/0!"/>
  </r>
  <r>
    <x v="4"/>
    <x v="1"/>
    <e v="#DIV/0!"/>
    <e v="#DIV/0!"/>
    <e v="#DIV/0!"/>
    <e v="#DIV/0!"/>
    <e v="#DIV/0!"/>
    <e v="#DIV/0!"/>
  </r>
  <r>
    <x v="5"/>
    <x v="0"/>
    <e v="#DIV/0!"/>
    <e v="#DIV/0!"/>
    <e v="#DIV/0!"/>
    <e v="#DIV/0!"/>
    <e v="#DIV/0!"/>
    <e v="#DIV/0!"/>
  </r>
  <r>
    <x v="5"/>
    <x v="1"/>
    <e v="#DIV/0!"/>
    <e v="#DIV/0!"/>
    <e v="#DIV/0!"/>
    <e v="#DIV/0!"/>
    <e v="#DIV/0!"/>
    <e v="#DIV/0!"/>
  </r>
  <r>
    <x v="6"/>
    <x v="0"/>
    <e v="#DIV/0!"/>
    <e v="#DIV/0!"/>
    <e v="#DIV/0!"/>
    <e v="#DIV/0!"/>
    <e v="#DIV/0!"/>
    <e v="#DIV/0!"/>
  </r>
  <r>
    <x v="6"/>
    <x v="1"/>
    <e v="#DIV/0!"/>
    <e v="#DIV/0!"/>
    <e v="#DIV/0!"/>
    <e v="#DIV/0!"/>
    <e v="#DIV/0!"/>
    <e v="#DIV/0!"/>
  </r>
  <r>
    <x v="7"/>
    <x v="0"/>
    <e v="#DIV/0!"/>
    <e v="#DIV/0!"/>
    <e v="#DIV/0!"/>
    <e v="#DIV/0!"/>
    <e v="#DIV/0!"/>
    <e v="#DIV/0!"/>
  </r>
  <r>
    <x v="7"/>
    <x v="1"/>
    <e v="#DIV/0!"/>
    <e v="#DIV/0!"/>
    <e v="#DIV/0!"/>
    <e v="#DIV/0!"/>
    <e v="#DIV/0!"/>
    <e v="#DIV/0!"/>
  </r>
  <r>
    <x v="8"/>
    <x v="0"/>
    <e v="#DIV/0!"/>
    <e v="#DIV/0!"/>
    <e v="#DIV/0!"/>
    <e v="#DIV/0!"/>
    <e v="#DIV/0!"/>
    <e v="#DIV/0!"/>
  </r>
  <r>
    <x v="8"/>
    <x v="1"/>
    <e v="#DIV/0!"/>
    <e v="#DIV/0!"/>
    <e v="#DIV/0!"/>
    <e v="#DIV/0!"/>
    <e v="#DIV/0!"/>
    <e v="#DIV/0!"/>
  </r>
</pivotCacheRecords>
</file>

<file path=xl/pivotCache/pivotCacheRecords24.xml><?xml version="1.0" encoding="utf-8"?>
<pivotCacheRecords xmlns="http://schemas.openxmlformats.org/spreadsheetml/2006/main" xmlns:r="http://schemas.openxmlformats.org/officeDocument/2006/relationships" count="48">
  <r>
    <x v="0"/>
    <x v="0"/>
    <n v="359"/>
  </r>
  <r>
    <x v="0"/>
    <x v="1"/>
    <n v="466"/>
  </r>
  <r>
    <x v="0"/>
    <x v="2"/>
    <n v="411"/>
  </r>
  <r>
    <x v="1"/>
    <x v="0"/>
    <n v="375"/>
  </r>
  <r>
    <x v="1"/>
    <x v="1"/>
    <n v="504"/>
  </r>
  <r>
    <x v="1"/>
    <x v="2"/>
    <n v="438"/>
  </r>
  <r>
    <x v="2"/>
    <x v="0"/>
    <n v="372"/>
  </r>
  <r>
    <x v="2"/>
    <x v="1"/>
    <n v="477"/>
  </r>
  <r>
    <x v="2"/>
    <x v="2"/>
    <n v="423"/>
  </r>
  <r>
    <x v="3"/>
    <x v="0"/>
    <n v="360"/>
  </r>
  <r>
    <x v="3"/>
    <x v="1"/>
    <n v="444"/>
  </r>
  <r>
    <x v="3"/>
    <x v="2"/>
    <n v="401"/>
  </r>
  <r>
    <x v="4"/>
    <x v="0"/>
    <n v="360"/>
  </r>
  <r>
    <x v="4"/>
    <x v="1"/>
    <n v="452"/>
  </r>
  <r>
    <x v="4"/>
    <x v="2"/>
    <n v="405"/>
  </r>
  <r>
    <x v="5"/>
    <x v="0"/>
    <n v="399"/>
  </r>
  <r>
    <x v="5"/>
    <x v="1"/>
    <n v="474"/>
  </r>
  <r>
    <x v="5"/>
    <x v="2"/>
    <n v="435"/>
  </r>
  <r>
    <x v="6"/>
    <x v="0"/>
    <m/>
  </r>
  <r>
    <x v="6"/>
    <x v="1"/>
    <m/>
  </r>
  <r>
    <x v="6"/>
    <x v="2"/>
    <m/>
  </r>
  <r>
    <x v="7"/>
    <x v="0"/>
    <m/>
  </r>
  <r>
    <x v="7"/>
    <x v="1"/>
    <m/>
  </r>
  <r>
    <x v="7"/>
    <x v="2"/>
    <m/>
  </r>
  <r>
    <x v="8"/>
    <x v="0"/>
    <m/>
  </r>
  <r>
    <x v="8"/>
    <x v="1"/>
    <m/>
  </r>
  <r>
    <x v="8"/>
    <x v="2"/>
    <m/>
  </r>
  <r>
    <x v="9"/>
    <x v="0"/>
    <m/>
  </r>
  <r>
    <x v="9"/>
    <x v="1"/>
    <m/>
  </r>
  <r>
    <x v="9"/>
    <x v="2"/>
    <m/>
  </r>
  <r>
    <x v="10"/>
    <x v="0"/>
    <m/>
  </r>
  <r>
    <x v="10"/>
    <x v="1"/>
    <m/>
  </r>
  <r>
    <x v="10"/>
    <x v="2"/>
    <m/>
  </r>
  <r>
    <x v="11"/>
    <x v="0"/>
    <m/>
  </r>
  <r>
    <x v="11"/>
    <x v="1"/>
    <m/>
  </r>
  <r>
    <x v="11"/>
    <x v="2"/>
    <m/>
  </r>
  <r>
    <x v="12"/>
    <x v="0"/>
    <m/>
  </r>
  <r>
    <x v="12"/>
    <x v="1"/>
    <m/>
  </r>
  <r>
    <x v="12"/>
    <x v="2"/>
    <m/>
  </r>
  <r>
    <x v="13"/>
    <x v="0"/>
    <m/>
  </r>
  <r>
    <x v="13"/>
    <x v="1"/>
    <m/>
  </r>
  <r>
    <x v="13"/>
    <x v="2"/>
    <m/>
  </r>
  <r>
    <x v="14"/>
    <x v="0"/>
    <m/>
  </r>
  <r>
    <x v="14"/>
    <x v="1"/>
    <m/>
  </r>
  <r>
    <x v="14"/>
    <x v="2"/>
    <m/>
  </r>
  <r>
    <x v="15"/>
    <x v="0"/>
    <m/>
  </r>
  <r>
    <x v="15"/>
    <x v="1"/>
    <m/>
  </r>
  <r>
    <x v="15"/>
    <x v="2"/>
    <m/>
  </r>
</pivotCacheRecords>
</file>

<file path=xl/pivotCache/pivotCacheRecords25.xml><?xml version="1.0" encoding="utf-8"?>
<pivotCacheRecords xmlns="http://schemas.openxmlformats.org/spreadsheetml/2006/main" xmlns:r="http://schemas.openxmlformats.org/officeDocument/2006/relationships" count="48">
  <r>
    <x v="0"/>
    <x v="0"/>
    <n v="1991"/>
  </r>
  <r>
    <x v="0"/>
    <x v="1"/>
    <n v="1937"/>
  </r>
  <r>
    <x v="0"/>
    <x v="2"/>
    <n v="1966"/>
  </r>
  <r>
    <x v="1"/>
    <x v="0"/>
    <n v="2195"/>
  </r>
  <r>
    <x v="1"/>
    <x v="1"/>
    <n v="2006"/>
  </r>
  <r>
    <x v="1"/>
    <x v="2"/>
    <n v="2107"/>
  </r>
  <r>
    <x v="2"/>
    <x v="0"/>
    <n v="2121"/>
  </r>
  <r>
    <x v="2"/>
    <x v="1"/>
    <n v="2337"/>
  </r>
  <r>
    <x v="2"/>
    <x v="2"/>
    <n v="2223"/>
  </r>
  <r>
    <x v="3"/>
    <x v="0"/>
    <n v="2082"/>
  </r>
  <r>
    <x v="3"/>
    <x v="1"/>
    <n v="1904"/>
  </r>
  <r>
    <x v="3"/>
    <x v="2"/>
    <n v="1998"/>
  </r>
  <r>
    <x v="4"/>
    <x v="0"/>
    <n v="1832"/>
  </r>
  <r>
    <x v="4"/>
    <x v="1"/>
    <n v="1928"/>
  </r>
  <r>
    <x v="4"/>
    <x v="2"/>
    <n v="1877"/>
  </r>
  <r>
    <x v="5"/>
    <x v="0"/>
    <m/>
  </r>
  <r>
    <x v="5"/>
    <x v="1"/>
    <m/>
  </r>
  <r>
    <x v="5"/>
    <x v="2"/>
    <m/>
  </r>
  <r>
    <x v="6"/>
    <x v="0"/>
    <m/>
  </r>
  <r>
    <x v="6"/>
    <x v="1"/>
    <m/>
  </r>
  <r>
    <x v="6"/>
    <x v="2"/>
    <m/>
  </r>
  <r>
    <x v="7"/>
    <x v="0"/>
    <m/>
  </r>
  <r>
    <x v="7"/>
    <x v="1"/>
    <m/>
  </r>
  <r>
    <x v="7"/>
    <x v="2"/>
    <m/>
  </r>
  <r>
    <x v="8"/>
    <x v="0"/>
    <m/>
  </r>
  <r>
    <x v="8"/>
    <x v="1"/>
    <m/>
  </r>
  <r>
    <x v="8"/>
    <x v="2"/>
    <m/>
  </r>
  <r>
    <x v="9"/>
    <x v="0"/>
    <m/>
  </r>
  <r>
    <x v="9"/>
    <x v="1"/>
    <m/>
  </r>
  <r>
    <x v="9"/>
    <x v="2"/>
    <m/>
  </r>
  <r>
    <x v="10"/>
    <x v="0"/>
    <m/>
  </r>
  <r>
    <x v="10"/>
    <x v="1"/>
    <m/>
  </r>
  <r>
    <x v="10"/>
    <x v="2"/>
    <m/>
  </r>
  <r>
    <x v="11"/>
    <x v="0"/>
    <m/>
  </r>
  <r>
    <x v="11"/>
    <x v="1"/>
    <m/>
  </r>
  <r>
    <x v="11"/>
    <x v="2"/>
    <m/>
  </r>
  <r>
    <x v="12"/>
    <x v="0"/>
    <m/>
  </r>
  <r>
    <x v="12"/>
    <x v="1"/>
    <m/>
  </r>
  <r>
    <x v="12"/>
    <x v="2"/>
    <m/>
  </r>
  <r>
    <x v="13"/>
    <x v="0"/>
    <m/>
  </r>
  <r>
    <x v="13"/>
    <x v="1"/>
    <m/>
  </r>
  <r>
    <x v="13"/>
    <x v="2"/>
    <m/>
  </r>
  <r>
    <x v="14"/>
    <x v="0"/>
    <m/>
  </r>
  <r>
    <x v="14"/>
    <x v="1"/>
    <m/>
  </r>
  <r>
    <x v="14"/>
    <x v="2"/>
    <m/>
  </r>
  <r>
    <x v="15"/>
    <x v="0"/>
    <m/>
  </r>
  <r>
    <x v="15"/>
    <x v="1"/>
    <m/>
  </r>
  <r>
    <x v="15"/>
    <x v="2"/>
    <m/>
  </r>
</pivotCacheRecords>
</file>

<file path=xl/pivotCache/pivotCacheRecords26.xml><?xml version="1.0" encoding="utf-8"?>
<pivotCacheRecords xmlns="http://schemas.openxmlformats.org/spreadsheetml/2006/main" xmlns:r="http://schemas.openxmlformats.org/officeDocument/2006/relationships" count="10">
  <r>
    <x v="0"/>
    <x v="0"/>
    <n v="0.92307692307692313"/>
    <n v="1"/>
    <n v="0.5"/>
    <n v="0.75"/>
    <n v="0.77777777777777779"/>
    <n v="0.8"/>
  </r>
  <r>
    <x v="1"/>
    <x v="0"/>
    <n v="0.8666666666666667"/>
    <n v="1"/>
    <n v="0.75"/>
    <n v="0.6"/>
    <n v="0.55555555555555558"/>
    <n v="0.71111111111111114"/>
  </r>
  <r>
    <x v="2"/>
    <x v="0"/>
    <e v="#DIV/0!"/>
    <e v="#DIV/0!"/>
    <e v="#DIV/0!"/>
    <e v="#DIV/0!"/>
    <e v="#DIV/0!"/>
    <e v="#DIV/0!"/>
  </r>
  <r>
    <x v="3"/>
    <x v="0"/>
    <e v="#DIV/0!"/>
    <e v="#DIV/0!"/>
    <e v="#DIV/0!"/>
    <e v="#DIV/0!"/>
    <e v="#DIV/0!"/>
    <e v="#DIV/0!"/>
  </r>
  <r>
    <x v="4"/>
    <x v="0"/>
    <e v="#DIV/0!"/>
    <e v="#DIV/0!"/>
    <e v="#DIV/0!"/>
    <e v="#DIV/0!"/>
    <e v="#DIV/0!"/>
    <e v="#DIV/0!"/>
  </r>
  <r>
    <x v="5"/>
    <x v="0"/>
    <e v="#DIV/0!"/>
    <e v="#DIV/0!"/>
    <e v="#DIV/0!"/>
    <e v="#DIV/0!"/>
    <e v="#DIV/0!"/>
    <e v="#DIV/0!"/>
  </r>
  <r>
    <x v="6"/>
    <x v="0"/>
    <e v="#DIV/0!"/>
    <e v="#DIV/0!"/>
    <e v="#DIV/0!"/>
    <e v="#DIV/0!"/>
    <e v="#DIV/0!"/>
    <e v="#DIV/0!"/>
  </r>
  <r>
    <x v="7"/>
    <x v="0"/>
    <e v="#DIV/0!"/>
    <e v="#DIV/0!"/>
    <e v="#DIV/0!"/>
    <e v="#DIV/0!"/>
    <e v="#DIV/0!"/>
    <e v="#DIV/0!"/>
  </r>
  <r>
    <x v="8"/>
    <x v="0"/>
    <e v="#DIV/0!"/>
    <e v="#DIV/0!"/>
    <e v="#DIV/0!"/>
    <e v="#DIV/0!"/>
    <e v="#DIV/0!"/>
    <e v="#DIV/0!"/>
  </r>
  <r>
    <x v="9"/>
    <x v="0"/>
    <e v="#DIV/0!"/>
    <e v="#DIV/0!"/>
    <e v="#DIV/0!"/>
    <e v="#DIV/0!"/>
    <e v="#DIV/0!"/>
    <e v="#DIV/0!"/>
  </r>
</pivotCacheRecords>
</file>

<file path=xl/pivotCache/pivotCacheRecords27.xml><?xml version="1.0" encoding="utf-8"?>
<pivotCacheRecords xmlns="http://schemas.openxmlformats.org/spreadsheetml/2006/main" xmlns:r="http://schemas.openxmlformats.org/officeDocument/2006/relationships" count="36">
  <r>
    <x v="0"/>
    <x v="0"/>
    <n v="6.6666666666666666E-2"/>
    <n v="0"/>
    <n v="0"/>
    <n v="0"/>
    <n v="0"/>
    <n v="2.0833333333333332E-2"/>
  </r>
  <r>
    <x v="0"/>
    <x v="1"/>
    <n v="0.2"/>
    <n v="0"/>
    <n v="0.5"/>
    <n v="0.5"/>
    <n v="0.22222222222222221"/>
    <n v="0.31111111111111112"/>
  </r>
  <r>
    <x v="0"/>
    <x v="2"/>
    <n v="0.33333333333333331"/>
    <n v="0"/>
    <n v="0.5"/>
    <n v="0.4"/>
    <n v="0.1111111111111111"/>
    <n v="0.30434782608695654"/>
  </r>
  <r>
    <x v="0"/>
    <x v="3"/>
    <n v="6.6666666666666666E-2"/>
    <n v="0"/>
    <n v="0"/>
    <n v="0"/>
    <n v="0"/>
    <n v="2.2222222222222223E-2"/>
  </r>
  <r>
    <x v="1"/>
    <x v="0"/>
    <e v="#DIV/0!"/>
    <e v="#DIV/0!"/>
    <e v="#DIV/0!"/>
    <e v="#DIV/0!"/>
    <e v="#DIV/0!"/>
    <e v="#DIV/0!"/>
  </r>
  <r>
    <x v="1"/>
    <x v="1"/>
    <e v="#DIV/0!"/>
    <e v="#DIV/0!"/>
    <e v="#DIV/0!"/>
    <e v="#DIV/0!"/>
    <e v="#DIV/0!"/>
    <e v="#DIV/0!"/>
  </r>
  <r>
    <x v="1"/>
    <x v="2"/>
    <e v="#DIV/0!"/>
    <e v="#DIV/0!"/>
    <e v="#DIV/0!"/>
    <e v="#DIV/0!"/>
    <e v="#DIV/0!"/>
    <e v="#DIV/0!"/>
  </r>
  <r>
    <x v="1"/>
    <x v="3"/>
    <e v="#DIV/0!"/>
    <e v="#DIV/0!"/>
    <e v="#DIV/0!"/>
    <e v="#DIV/0!"/>
    <e v="#DIV/0!"/>
    <e v="#DIV/0!"/>
  </r>
  <r>
    <x v="2"/>
    <x v="0"/>
    <e v="#DIV/0!"/>
    <e v="#DIV/0!"/>
    <e v="#DIV/0!"/>
    <e v="#DIV/0!"/>
    <e v="#DIV/0!"/>
    <e v="#DIV/0!"/>
  </r>
  <r>
    <x v="2"/>
    <x v="1"/>
    <e v="#DIV/0!"/>
    <e v="#DIV/0!"/>
    <e v="#DIV/0!"/>
    <e v="#DIV/0!"/>
    <e v="#DIV/0!"/>
    <e v="#DIV/0!"/>
  </r>
  <r>
    <x v="2"/>
    <x v="2"/>
    <e v="#DIV/0!"/>
    <e v="#DIV/0!"/>
    <e v="#DIV/0!"/>
    <e v="#DIV/0!"/>
    <e v="#DIV/0!"/>
    <e v="#DIV/0!"/>
  </r>
  <r>
    <x v="2"/>
    <x v="3"/>
    <e v="#DIV/0!"/>
    <e v="#DIV/0!"/>
    <e v="#DIV/0!"/>
    <e v="#DIV/0!"/>
    <e v="#DIV/0!"/>
    <e v="#DIV/0!"/>
  </r>
  <r>
    <x v="3"/>
    <x v="0"/>
    <e v="#DIV/0!"/>
    <e v="#DIV/0!"/>
    <e v="#DIV/0!"/>
    <e v="#DIV/0!"/>
    <e v="#DIV/0!"/>
    <e v="#DIV/0!"/>
  </r>
  <r>
    <x v="3"/>
    <x v="1"/>
    <e v="#DIV/0!"/>
    <e v="#DIV/0!"/>
    <e v="#DIV/0!"/>
    <e v="#DIV/0!"/>
    <e v="#DIV/0!"/>
    <e v="#DIV/0!"/>
  </r>
  <r>
    <x v="3"/>
    <x v="2"/>
    <e v="#DIV/0!"/>
    <e v="#DIV/0!"/>
    <e v="#DIV/0!"/>
    <e v="#DIV/0!"/>
    <e v="#DIV/0!"/>
    <e v="#DIV/0!"/>
  </r>
  <r>
    <x v="3"/>
    <x v="3"/>
    <e v="#DIV/0!"/>
    <e v="#DIV/0!"/>
    <e v="#DIV/0!"/>
    <e v="#DIV/0!"/>
    <e v="#DIV/0!"/>
    <e v="#DIV/0!"/>
  </r>
  <r>
    <x v="4"/>
    <x v="0"/>
    <e v="#DIV/0!"/>
    <e v="#DIV/0!"/>
    <e v="#DIV/0!"/>
    <e v="#DIV/0!"/>
    <e v="#DIV/0!"/>
    <e v="#DIV/0!"/>
  </r>
  <r>
    <x v="4"/>
    <x v="1"/>
    <e v="#DIV/0!"/>
    <e v="#DIV/0!"/>
    <e v="#DIV/0!"/>
    <e v="#DIV/0!"/>
    <e v="#DIV/0!"/>
    <e v="#DIV/0!"/>
  </r>
  <r>
    <x v="4"/>
    <x v="2"/>
    <e v="#DIV/0!"/>
    <e v="#DIV/0!"/>
    <e v="#DIV/0!"/>
    <e v="#DIV/0!"/>
    <e v="#DIV/0!"/>
    <e v="#DIV/0!"/>
  </r>
  <r>
    <x v="4"/>
    <x v="3"/>
    <e v="#DIV/0!"/>
    <e v="#DIV/0!"/>
    <e v="#DIV/0!"/>
    <e v="#DIV/0!"/>
    <e v="#DIV/0!"/>
    <e v="#DIV/0!"/>
  </r>
  <r>
    <x v="5"/>
    <x v="0"/>
    <e v="#DIV/0!"/>
    <e v="#DIV/0!"/>
    <e v="#DIV/0!"/>
    <e v="#DIV/0!"/>
    <e v="#DIV/0!"/>
    <e v="#DIV/0!"/>
  </r>
  <r>
    <x v="5"/>
    <x v="1"/>
    <e v="#DIV/0!"/>
    <e v="#DIV/0!"/>
    <e v="#DIV/0!"/>
    <e v="#DIV/0!"/>
    <e v="#DIV/0!"/>
    <e v="#DIV/0!"/>
  </r>
  <r>
    <x v="5"/>
    <x v="2"/>
    <e v="#DIV/0!"/>
    <e v="#DIV/0!"/>
    <e v="#DIV/0!"/>
    <e v="#DIV/0!"/>
    <e v="#DIV/0!"/>
    <e v="#DIV/0!"/>
  </r>
  <r>
    <x v="5"/>
    <x v="3"/>
    <e v="#DIV/0!"/>
    <e v="#DIV/0!"/>
    <e v="#DIV/0!"/>
    <e v="#DIV/0!"/>
    <e v="#DIV/0!"/>
    <e v="#DIV/0!"/>
  </r>
  <r>
    <x v="6"/>
    <x v="0"/>
    <e v="#DIV/0!"/>
    <e v="#DIV/0!"/>
    <e v="#DIV/0!"/>
    <e v="#DIV/0!"/>
    <e v="#DIV/0!"/>
    <e v="#DIV/0!"/>
  </r>
  <r>
    <x v="6"/>
    <x v="1"/>
    <e v="#DIV/0!"/>
    <e v="#DIV/0!"/>
    <e v="#DIV/0!"/>
    <e v="#DIV/0!"/>
    <e v="#DIV/0!"/>
    <e v="#DIV/0!"/>
  </r>
  <r>
    <x v="6"/>
    <x v="2"/>
    <e v="#DIV/0!"/>
    <e v="#DIV/0!"/>
    <e v="#DIV/0!"/>
    <e v="#DIV/0!"/>
    <e v="#DIV/0!"/>
    <e v="#DIV/0!"/>
  </r>
  <r>
    <x v="6"/>
    <x v="3"/>
    <e v="#DIV/0!"/>
    <e v="#DIV/0!"/>
    <e v="#DIV/0!"/>
    <e v="#DIV/0!"/>
    <e v="#DIV/0!"/>
    <e v="#DIV/0!"/>
  </r>
  <r>
    <x v="7"/>
    <x v="0"/>
    <e v="#DIV/0!"/>
    <e v="#DIV/0!"/>
    <e v="#DIV/0!"/>
    <e v="#DIV/0!"/>
    <e v="#DIV/0!"/>
    <e v="#DIV/0!"/>
  </r>
  <r>
    <x v="7"/>
    <x v="1"/>
    <e v="#DIV/0!"/>
    <e v="#DIV/0!"/>
    <e v="#DIV/0!"/>
    <e v="#DIV/0!"/>
    <e v="#DIV/0!"/>
    <e v="#DIV/0!"/>
  </r>
  <r>
    <x v="7"/>
    <x v="2"/>
    <e v="#DIV/0!"/>
    <e v="#DIV/0!"/>
    <e v="#DIV/0!"/>
    <e v="#DIV/0!"/>
    <e v="#DIV/0!"/>
    <e v="#DIV/0!"/>
  </r>
  <r>
    <x v="7"/>
    <x v="3"/>
    <e v="#DIV/0!"/>
    <e v="#DIV/0!"/>
    <e v="#DIV/0!"/>
    <e v="#DIV/0!"/>
    <e v="#DIV/0!"/>
    <e v="#DIV/0!"/>
  </r>
  <r>
    <x v="8"/>
    <x v="0"/>
    <e v="#DIV/0!"/>
    <e v="#DIV/0!"/>
    <e v="#DIV/0!"/>
    <e v="#DIV/0!"/>
    <e v="#DIV/0!"/>
    <e v="#DIV/0!"/>
  </r>
  <r>
    <x v="8"/>
    <x v="1"/>
    <e v="#DIV/0!"/>
    <e v="#DIV/0!"/>
    <e v="#DIV/0!"/>
    <e v="#DIV/0!"/>
    <e v="#DIV/0!"/>
    <e v="#DIV/0!"/>
  </r>
  <r>
    <x v="8"/>
    <x v="2"/>
    <e v="#DIV/0!"/>
    <e v="#DIV/0!"/>
    <e v="#DIV/0!"/>
    <e v="#DIV/0!"/>
    <e v="#DIV/0!"/>
    <e v="#DIV/0!"/>
  </r>
  <r>
    <x v="8"/>
    <x v="3"/>
    <e v="#DIV/0!"/>
    <e v="#DIV/0!"/>
    <e v="#DIV/0!"/>
    <e v="#DIV/0!"/>
    <e v="#DIV/0!"/>
    <e v="#DIV/0!"/>
  </r>
</pivotCacheRecords>
</file>

<file path=xl/pivotCache/pivotCacheRecords28.xml><?xml version="1.0" encoding="utf-8"?>
<pivotCacheRecords xmlns="http://schemas.openxmlformats.org/spreadsheetml/2006/main" xmlns:r="http://schemas.openxmlformats.org/officeDocument/2006/relationships" count="36">
  <r>
    <x v="0"/>
    <x v="0"/>
    <n v="6.6666666666666666E-2"/>
    <n v="0"/>
    <n v="0"/>
    <n v="6.6666666666666666E-2"/>
    <n v="0"/>
    <n v="4.1666666666666664E-2"/>
  </r>
  <r>
    <x v="0"/>
    <x v="1"/>
    <n v="0.2"/>
    <n v="0"/>
    <n v="0.5"/>
    <n v="0.5714285714285714"/>
    <n v="0.33333333333333331"/>
    <n v="0.35555555555555557"/>
  </r>
  <r>
    <x v="0"/>
    <x v="2"/>
    <n v="0.53333333333333333"/>
    <n v="0"/>
    <n v="0.75"/>
    <n v="0.66666666666666663"/>
    <n v="0.22222222222222221"/>
    <n v="0.5"/>
  </r>
  <r>
    <x v="0"/>
    <x v="3"/>
    <n v="6.6666666666666666E-2"/>
    <n v="0"/>
    <n v="0"/>
    <n v="7.1428571428571425E-2"/>
    <n v="0.1111111111111111"/>
    <n v="6.6666666666666666E-2"/>
  </r>
  <r>
    <x v="1"/>
    <x v="0"/>
    <e v="#DIV/0!"/>
    <e v="#DIV/0!"/>
    <e v="#DIV/0!"/>
    <e v="#DIV/0!"/>
    <e v="#DIV/0!"/>
    <e v="#DIV/0!"/>
  </r>
  <r>
    <x v="1"/>
    <x v="1"/>
    <e v="#DIV/0!"/>
    <e v="#DIV/0!"/>
    <e v="#DIV/0!"/>
    <e v="#DIV/0!"/>
    <e v="#DIV/0!"/>
    <e v="#DIV/0!"/>
  </r>
  <r>
    <x v="1"/>
    <x v="2"/>
    <e v="#DIV/0!"/>
    <e v="#DIV/0!"/>
    <e v="#DIV/0!"/>
    <e v="#DIV/0!"/>
    <e v="#DIV/0!"/>
    <e v="#DIV/0!"/>
  </r>
  <r>
    <x v="1"/>
    <x v="3"/>
    <e v="#DIV/0!"/>
    <e v="#DIV/0!"/>
    <e v="#DIV/0!"/>
    <e v="#DIV/0!"/>
    <e v="#DIV/0!"/>
    <e v="#DIV/0!"/>
  </r>
  <r>
    <x v="2"/>
    <x v="0"/>
    <e v="#DIV/0!"/>
    <e v="#DIV/0!"/>
    <e v="#DIV/0!"/>
    <e v="#DIV/0!"/>
    <e v="#DIV/0!"/>
    <e v="#DIV/0!"/>
  </r>
  <r>
    <x v="2"/>
    <x v="1"/>
    <e v="#DIV/0!"/>
    <e v="#DIV/0!"/>
    <e v="#DIV/0!"/>
    <e v="#DIV/0!"/>
    <e v="#DIV/0!"/>
    <e v="#DIV/0!"/>
  </r>
  <r>
    <x v="2"/>
    <x v="2"/>
    <e v="#DIV/0!"/>
    <e v="#DIV/0!"/>
    <e v="#DIV/0!"/>
    <e v="#DIV/0!"/>
    <e v="#DIV/0!"/>
    <e v="#DIV/0!"/>
  </r>
  <r>
    <x v="2"/>
    <x v="3"/>
    <e v="#DIV/0!"/>
    <e v="#DIV/0!"/>
    <e v="#DIV/0!"/>
    <e v="#DIV/0!"/>
    <e v="#DIV/0!"/>
    <e v="#DIV/0!"/>
  </r>
  <r>
    <x v="3"/>
    <x v="0"/>
    <e v="#DIV/0!"/>
    <e v="#DIV/0!"/>
    <e v="#DIV/0!"/>
    <e v="#DIV/0!"/>
    <e v="#DIV/0!"/>
    <e v="#DIV/0!"/>
  </r>
  <r>
    <x v="3"/>
    <x v="1"/>
    <e v="#DIV/0!"/>
    <e v="#DIV/0!"/>
    <e v="#DIV/0!"/>
    <e v="#DIV/0!"/>
    <e v="#DIV/0!"/>
    <e v="#DIV/0!"/>
  </r>
  <r>
    <x v="3"/>
    <x v="2"/>
    <e v="#DIV/0!"/>
    <e v="#DIV/0!"/>
    <e v="#DIV/0!"/>
    <e v="#DIV/0!"/>
    <e v="#DIV/0!"/>
    <e v="#DIV/0!"/>
  </r>
  <r>
    <x v="3"/>
    <x v="3"/>
    <e v="#DIV/0!"/>
    <e v="#DIV/0!"/>
    <e v="#DIV/0!"/>
    <e v="#DIV/0!"/>
    <e v="#DIV/0!"/>
    <e v="#DIV/0!"/>
  </r>
  <r>
    <x v="4"/>
    <x v="0"/>
    <e v="#DIV/0!"/>
    <e v="#DIV/0!"/>
    <e v="#DIV/0!"/>
    <e v="#DIV/0!"/>
    <e v="#DIV/0!"/>
    <e v="#DIV/0!"/>
  </r>
  <r>
    <x v="4"/>
    <x v="1"/>
    <e v="#DIV/0!"/>
    <e v="#DIV/0!"/>
    <e v="#DIV/0!"/>
    <e v="#DIV/0!"/>
    <e v="#DIV/0!"/>
    <e v="#DIV/0!"/>
  </r>
  <r>
    <x v="4"/>
    <x v="2"/>
    <e v="#DIV/0!"/>
    <e v="#DIV/0!"/>
    <e v="#DIV/0!"/>
    <e v="#DIV/0!"/>
    <e v="#DIV/0!"/>
    <e v="#DIV/0!"/>
  </r>
  <r>
    <x v="4"/>
    <x v="3"/>
    <e v="#DIV/0!"/>
    <e v="#DIV/0!"/>
    <e v="#DIV/0!"/>
    <e v="#DIV/0!"/>
    <e v="#DIV/0!"/>
    <e v="#DIV/0!"/>
  </r>
  <r>
    <x v="5"/>
    <x v="0"/>
    <e v="#DIV/0!"/>
    <e v="#DIV/0!"/>
    <e v="#DIV/0!"/>
    <e v="#DIV/0!"/>
    <e v="#DIV/0!"/>
    <e v="#DIV/0!"/>
  </r>
  <r>
    <x v="5"/>
    <x v="1"/>
    <e v="#DIV/0!"/>
    <e v="#DIV/0!"/>
    <e v="#DIV/0!"/>
    <e v="#DIV/0!"/>
    <e v="#DIV/0!"/>
    <e v="#DIV/0!"/>
  </r>
  <r>
    <x v="5"/>
    <x v="2"/>
    <e v="#DIV/0!"/>
    <e v="#DIV/0!"/>
    <e v="#DIV/0!"/>
    <e v="#DIV/0!"/>
    <e v="#DIV/0!"/>
    <e v="#DIV/0!"/>
  </r>
  <r>
    <x v="5"/>
    <x v="3"/>
    <e v="#DIV/0!"/>
    <e v="#DIV/0!"/>
    <e v="#DIV/0!"/>
    <e v="#DIV/0!"/>
    <e v="#DIV/0!"/>
    <e v="#DIV/0!"/>
  </r>
  <r>
    <x v="6"/>
    <x v="0"/>
    <e v="#DIV/0!"/>
    <e v="#DIV/0!"/>
    <e v="#DIV/0!"/>
    <e v="#DIV/0!"/>
    <e v="#DIV/0!"/>
    <e v="#DIV/0!"/>
  </r>
  <r>
    <x v="6"/>
    <x v="1"/>
    <e v="#DIV/0!"/>
    <e v="#DIV/0!"/>
    <e v="#DIV/0!"/>
    <e v="#DIV/0!"/>
    <e v="#DIV/0!"/>
    <e v="#DIV/0!"/>
  </r>
  <r>
    <x v="6"/>
    <x v="2"/>
    <e v="#DIV/0!"/>
    <e v="#DIV/0!"/>
    <e v="#DIV/0!"/>
    <e v="#DIV/0!"/>
    <e v="#DIV/0!"/>
    <e v="#DIV/0!"/>
  </r>
  <r>
    <x v="6"/>
    <x v="3"/>
    <e v="#DIV/0!"/>
    <e v="#DIV/0!"/>
    <e v="#DIV/0!"/>
    <e v="#DIV/0!"/>
    <e v="#DIV/0!"/>
    <e v="#DIV/0!"/>
  </r>
  <r>
    <x v="7"/>
    <x v="0"/>
    <e v="#DIV/0!"/>
    <e v="#DIV/0!"/>
    <e v="#DIV/0!"/>
    <e v="#DIV/0!"/>
    <e v="#DIV/0!"/>
    <e v="#DIV/0!"/>
  </r>
  <r>
    <x v="7"/>
    <x v="1"/>
    <e v="#DIV/0!"/>
    <e v="#DIV/0!"/>
    <e v="#DIV/0!"/>
    <e v="#DIV/0!"/>
    <e v="#DIV/0!"/>
    <e v="#DIV/0!"/>
  </r>
  <r>
    <x v="7"/>
    <x v="2"/>
    <e v="#DIV/0!"/>
    <e v="#DIV/0!"/>
    <e v="#DIV/0!"/>
    <e v="#DIV/0!"/>
    <e v="#DIV/0!"/>
    <e v="#DIV/0!"/>
  </r>
  <r>
    <x v="7"/>
    <x v="3"/>
    <e v="#DIV/0!"/>
    <e v="#DIV/0!"/>
    <e v="#DIV/0!"/>
    <e v="#DIV/0!"/>
    <e v="#DIV/0!"/>
    <e v="#DIV/0!"/>
  </r>
  <r>
    <x v="8"/>
    <x v="0"/>
    <e v="#DIV/0!"/>
    <e v="#DIV/0!"/>
    <e v="#DIV/0!"/>
    <e v="#DIV/0!"/>
    <e v="#DIV/0!"/>
    <e v="#DIV/0!"/>
  </r>
  <r>
    <x v="8"/>
    <x v="1"/>
    <e v="#DIV/0!"/>
    <e v="#DIV/0!"/>
    <e v="#DIV/0!"/>
    <e v="#DIV/0!"/>
    <e v="#DIV/0!"/>
    <e v="#DIV/0!"/>
  </r>
  <r>
    <x v="8"/>
    <x v="2"/>
    <e v="#DIV/0!"/>
    <e v="#DIV/0!"/>
    <e v="#DIV/0!"/>
    <e v="#DIV/0!"/>
    <e v="#DIV/0!"/>
    <e v="#DIV/0!"/>
  </r>
  <r>
    <x v="8"/>
    <x v="3"/>
    <e v="#DIV/0!"/>
    <e v="#DIV/0!"/>
    <e v="#DIV/0!"/>
    <e v="#DIV/0!"/>
    <e v="#DIV/0!"/>
    <e v="#DIV/0!"/>
  </r>
</pivotCacheRecords>
</file>

<file path=xl/pivotCache/pivotCacheRecords3.xml><?xml version="1.0" encoding="utf-8"?>
<pivotCacheRecords xmlns="http://schemas.openxmlformats.org/spreadsheetml/2006/main" xmlns:r="http://schemas.openxmlformats.org/officeDocument/2006/relationships" count="72">
  <r>
    <x v="0"/>
    <x v="0"/>
    <n v="30"/>
    <n v="61"/>
    <n v="11"/>
    <n v="20"/>
    <n v="21"/>
    <n v="143"/>
  </r>
  <r>
    <x v="0"/>
    <x v="1"/>
    <n v="16"/>
    <n v="23"/>
    <n v="6"/>
    <n v="13"/>
    <n v="11"/>
    <n v="69"/>
  </r>
  <r>
    <x v="0"/>
    <x v="2"/>
    <n v="1"/>
    <n v="2"/>
    <n v="0"/>
    <n v="2"/>
    <n v="2"/>
    <n v="7"/>
  </r>
  <r>
    <x v="0"/>
    <x v="3"/>
    <n v="19"/>
    <n v="51"/>
    <n v="6"/>
    <n v="8"/>
    <n v="19"/>
    <n v="103"/>
  </r>
  <r>
    <x v="0"/>
    <x v="4"/>
    <n v="0"/>
    <n v="0"/>
    <n v="0"/>
    <n v="0"/>
    <n v="0"/>
    <n v="0"/>
  </r>
  <r>
    <x v="0"/>
    <x v="5"/>
    <n v="66"/>
    <n v="137"/>
    <n v="23"/>
    <n v="43"/>
    <n v="53"/>
    <n v="322"/>
  </r>
  <r>
    <x v="1"/>
    <x v="0"/>
    <n v="22"/>
    <n v="61"/>
    <n v="9"/>
    <n v="23"/>
    <n v="19"/>
    <n v="134"/>
  </r>
  <r>
    <x v="1"/>
    <x v="1"/>
    <n v="15"/>
    <n v="42"/>
    <n v="8"/>
    <n v="16"/>
    <n v="4"/>
    <n v="85"/>
  </r>
  <r>
    <x v="1"/>
    <x v="2"/>
    <n v="1"/>
    <n v="3"/>
    <n v="0"/>
    <n v="2"/>
    <n v="1"/>
    <n v="7"/>
  </r>
  <r>
    <x v="1"/>
    <x v="3"/>
    <n v="14"/>
    <n v="65"/>
    <n v="3"/>
    <n v="9"/>
    <n v="12"/>
    <n v="103"/>
  </r>
  <r>
    <x v="1"/>
    <x v="4"/>
    <n v="0"/>
    <n v="1"/>
    <n v="0"/>
    <n v="0"/>
    <n v="0"/>
    <n v="1"/>
  </r>
  <r>
    <x v="1"/>
    <x v="5"/>
    <n v="52"/>
    <n v="171"/>
    <n v="20"/>
    <n v="50"/>
    <n v="36"/>
    <n v="329"/>
  </r>
  <r>
    <x v="2"/>
    <x v="0"/>
    <n v="52"/>
    <n v="92"/>
    <n v="27"/>
    <n v="36"/>
    <n v="38"/>
    <n v="245"/>
  </r>
  <r>
    <x v="2"/>
    <x v="1"/>
    <n v="35"/>
    <n v="47"/>
    <n v="19"/>
    <n v="18"/>
    <n v="24"/>
    <n v="143"/>
  </r>
  <r>
    <x v="2"/>
    <x v="2"/>
    <n v="3"/>
    <n v="1"/>
    <n v="0"/>
    <n v="5"/>
    <n v="1"/>
    <n v="10"/>
  </r>
  <r>
    <x v="2"/>
    <x v="3"/>
    <n v="28"/>
    <n v="106"/>
    <n v="12"/>
    <n v="34"/>
    <n v="32"/>
    <n v="212"/>
  </r>
  <r>
    <x v="2"/>
    <x v="4"/>
    <s v=" "/>
    <n v="0"/>
    <n v="0"/>
    <n v="0"/>
    <n v="1"/>
    <n v="1"/>
  </r>
  <r>
    <x v="2"/>
    <x v="5"/>
    <n v="118"/>
    <n v="246"/>
    <n v="58"/>
    <n v="93"/>
    <n v="95"/>
    <n v="610"/>
  </r>
  <r>
    <x v="3"/>
    <x v="0"/>
    <e v="#VALUE!"/>
    <e v="#VALUE!"/>
    <e v="#VALUE!"/>
    <e v="#VALUE!"/>
    <e v="#VALUE!"/>
    <e v="#VALUE!"/>
  </r>
  <r>
    <x v="3"/>
    <x v="1"/>
    <e v="#VALUE!"/>
    <e v="#VALUE!"/>
    <e v="#VALUE!"/>
    <e v="#VALUE!"/>
    <e v="#VALUE!"/>
    <e v="#VALUE!"/>
  </r>
  <r>
    <x v="3"/>
    <x v="2"/>
    <e v="#VALUE!"/>
    <e v="#VALUE!"/>
    <e v="#VALUE!"/>
    <e v="#VALUE!"/>
    <e v="#VALUE!"/>
    <e v="#VALUE!"/>
  </r>
  <r>
    <x v="3"/>
    <x v="3"/>
    <e v="#VALUE!"/>
    <e v="#VALUE!"/>
    <e v="#VALUE!"/>
    <e v="#VALUE!"/>
    <e v="#VALUE!"/>
    <e v="#VALUE!"/>
  </r>
  <r>
    <x v="3"/>
    <x v="4"/>
    <e v="#VALUE!"/>
    <e v="#VALUE!"/>
    <e v="#VALUE!"/>
    <e v="#VALUE!"/>
    <e v="#VALUE!"/>
    <e v="#VALUE!"/>
  </r>
  <r>
    <x v="3"/>
    <x v="5"/>
    <e v="#VALUE!"/>
    <e v="#VALUE!"/>
    <e v="#VALUE!"/>
    <e v="#VALUE!"/>
    <e v="#VALUE!"/>
    <e v="#VALUE!"/>
  </r>
  <r>
    <x v="4"/>
    <x v="0"/>
    <e v="#VALUE!"/>
    <e v="#VALUE!"/>
    <e v="#VALUE!"/>
    <e v="#VALUE!"/>
    <e v="#VALUE!"/>
    <e v="#VALUE!"/>
  </r>
  <r>
    <x v="4"/>
    <x v="1"/>
    <e v="#VALUE!"/>
    <e v="#VALUE!"/>
    <e v="#VALUE!"/>
    <e v="#VALUE!"/>
    <e v="#VALUE!"/>
    <e v="#VALUE!"/>
  </r>
  <r>
    <x v="4"/>
    <x v="2"/>
    <e v="#VALUE!"/>
    <e v="#VALUE!"/>
    <e v="#VALUE!"/>
    <e v="#VALUE!"/>
    <e v="#VALUE!"/>
    <e v="#VALUE!"/>
  </r>
  <r>
    <x v="4"/>
    <x v="3"/>
    <e v="#VALUE!"/>
    <e v="#VALUE!"/>
    <e v="#VALUE!"/>
    <e v="#VALUE!"/>
    <e v="#VALUE!"/>
    <e v="#VALUE!"/>
  </r>
  <r>
    <x v="4"/>
    <x v="4"/>
    <e v="#VALUE!"/>
    <e v="#VALUE!"/>
    <e v="#VALUE!"/>
    <e v="#VALUE!"/>
    <e v="#VALUE!"/>
    <e v="#VALUE!"/>
  </r>
  <r>
    <x v="4"/>
    <x v="5"/>
    <e v="#VALUE!"/>
    <e v="#VALUE!"/>
    <e v="#VALUE!"/>
    <e v="#VALUE!"/>
    <e v="#VALUE!"/>
    <e v="#VALUE!"/>
  </r>
  <r>
    <x v="5"/>
    <x v="0"/>
    <e v="#VALUE!"/>
    <e v="#VALUE!"/>
    <e v="#VALUE!"/>
    <e v="#VALUE!"/>
    <e v="#VALUE!"/>
    <e v="#VALUE!"/>
  </r>
  <r>
    <x v="5"/>
    <x v="1"/>
    <e v="#VALUE!"/>
    <e v="#VALUE!"/>
    <e v="#VALUE!"/>
    <e v="#VALUE!"/>
    <e v="#VALUE!"/>
    <e v="#VALUE!"/>
  </r>
  <r>
    <x v="5"/>
    <x v="2"/>
    <e v="#VALUE!"/>
    <e v="#VALUE!"/>
    <e v="#VALUE!"/>
    <e v="#VALUE!"/>
    <e v="#VALUE!"/>
    <e v="#VALUE!"/>
  </r>
  <r>
    <x v="5"/>
    <x v="3"/>
    <e v="#VALUE!"/>
    <e v="#VALUE!"/>
    <e v="#VALUE!"/>
    <e v="#VALUE!"/>
    <e v="#VALUE!"/>
    <e v="#VALUE!"/>
  </r>
  <r>
    <x v="5"/>
    <x v="4"/>
    <e v="#VALUE!"/>
    <e v="#VALUE!"/>
    <e v="#VALUE!"/>
    <e v="#VALUE!"/>
    <e v="#VALUE!"/>
    <e v="#VALUE!"/>
  </r>
  <r>
    <x v="5"/>
    <x v="5"/>
    <e v="#VALUE!"/>
    <e v="#VALUE!"/>
    <e v="#VALUE!"/>
    <e v="#VALUE!"/>
    <e v="#VALUE!"/>
    <e v="#VALUE!"/>
  </r>
  <r>
    <x v="6"/>
    <x v="0"/>
    <e v="#VALUE!"/>
    <e v="#VALUE!"/>
    <e v="#VALUE!"/>
    <e v="#VALUE!"/>
    <e v="#VALUE!"/>
    <e v="#VALUE!"/>
  </r>
  <r>
    <x v="6"/>
    <x v="1"/>
    <e v="#VALUE!"/>
    <e v="#VALUE!"/>
    <e v="#VALUE!"/>
    <e v="#VALUE!"/>
    <e v="#VALUE!"/>
    <e v="#VALUE!"/>
  </r>
  <r>
    <x v="6"/>
    <x v="2"/>
    <e v="#VALUE!"/>
    <e v="#VALUE!"/>
    <e v="#VALUE!"/>
    <e v="#VALUE!"/>
    <e v="#VALUE!"/>
    <e v="#VALUE!"/>
  </r>
  <r>
    <x v="6"/>
    <x v="3"/>
    <e v="#VALUE!"/>
    <e v="#VALUE!"/>
    <e v="#VALUE!"/>
    <e v="#VALUE!"/>
    <e v="#VALUE!"/>
    <e v="#VALUE!"/>
  </r>
  <r>
    <x v="6"/>
    <x v="4"/>
    <e v="#VALUE!"/>
    <e v="#VALUE!"/>
    <e v="#VALUE!"/>
    <e v="#VALUE!"/>
    <e v="#VALUE!"/>
    <e v="#VALUE!"/>
  </r>
  <r>
    <x v="6"/>
    <x v="5"/>
    <e v="#VALUE!"/>
    <e v="#VALUE!"/>
    <e v="#VALUE!"/>
    <e v="#VALUE!"/>
    <e v="#VALUE!"/>
    <e v="#VALUE!"/>
  </r>
  <r>
    <x v="7"/>
    <x v="0"/>
    <e v="#VALUE!"/>
    <e v="#VALUE!"/>
    <e v="#VALUE!"/>
    <e v="#VALUE!"/>
    <e v="#VALUE!"/>
    <e v="#VALUE!"/>
  </r>
  <r>
    <x v="7"/>
    <x v="1"/>
    <e v="#VALUE!"/>
    <e v="#VALUE!"/>
    <e v="#VALUE!"/>
    <e v="#VALUE!"/>
    <e v="#VALUE!"/>
    <e v="#VALUE!"/>
  </r>
  <r>
    <x v="7"/>
    <x v="2"/>
    <e v="#VALUE!"/>
    <e v="#VALUE!"/>
    <e v="#VALUE!"/>
    <e v="#VALUE!"/>
    <e v="#VALUE!"/>
    <e v="#VALUE!"/>
  </r>
  <r>
    <x v="7"/>
    <x v="3"/>
    <e v="#VALUE!"/>
    <e v="#VALUE!"/>
    <e v="#VALUE!"/>
    <e v="#VALUE!"/>
    <e v="#VALUE!"/>
    <e v="#VALUE!"/>
  </r>
  <r>
    <x v="7"/>
    <x v="4"/>
    <e v="#VALUE!"/>
    <e v="#VALUE!"/>
    <e v="#VALUE!"/>
    <e v="#VALUE!"/>
    <e v="#VALUE!"/>
    <e v="#VALUE!"/>
  </r>
  <r>
    <x v="7"/>
    <x v="5"/>
    <e v="#VALUE!"/>
    <e v="#VALUE!"/>
    <e v="#VALUE!"/>
    <e v="#VALUE!"/>
    <e v="#VALUE!"/>
    <e v="#VALUE!"/>
  </r>
  <r>
    <x v="8"/>
    <x v="0"/>
    <e v="#VALUE!"/>
    <e v="#VALUE!"/>
    <e v="#VALUE!"/>
    <e v="#VALUE!"/>
    <e v="#VALUE!"/>
    <e v="#VALUE!"/>
  </r>
  <r>
    <x v="8"/>
    <x v="1"/>
    <e v="#VALUE!"/>
    <e v="#VALUE!"/>
    <e v="#VALUE!"/>
    <e v="#VALUE!"/>
    <e v="#VALUE!"/>
    <e v="#VALUE!"/>
  </r>
  <r>
    <x v="8"/>
    <x v="2"/>
    <e v="#VALUE!"/>
    <e v="#VALUE!"/>
    <e v="#VALUE!"/>
    <e v="#VALUE!"/>
    <e v="#VALUE!"/>
    <e v="#VALUE!"/>
  </r>
  <r>
    <x v="8"/>
    <x v="3"/>
    <e v="#VALUE!"/>
    <e v="#VALUE!"/>
    <e v="#VALUE!"/>
    <e v="#VALUE!"/>
    <e v="#VALUE!"/>
    <e v="#VALUE!"/>
  </r>
  <r>
    <x v="8"/>
    <x v="4"/>
    <e v="#VALUE!"/>
    <e v="#VALUE!"/>
    <e v="#VALUE!"/>
    <e v="#VALUE!"/>
    <e v="#VALUE!"/>
    <e v="#VALUE!"/>
  </r>
  <r>
    <x v="8"/>
    <x v="5"/>
    <e v="#VALUE!"/>
    <e v="#VALUE!"/>
    <e v="#VALUE!"/>
    <e v="#VALUE!"/>
    <e v="#VALUE!"/>
    <e v="#VALUE!"/>
  </r>
  <r>
    <x v="9"/>
    <x v="0"/>
    <e v="#VALUE!"/>
    <e v="#VALUE!"/>
    <e v="#VALUE!"/>
    <e v="#VALUE!"/>
    <e v="#VALUE!"/>
    <e v="#VALUE!"/>
  </r>
  <r>
    <x v="9"/>
    <x v="1"/>
    <e v="#VALUE!"/>
    <e v="#VALUE!"/>
    <e v="#VALUE!"/>
    <e v="#VALUE!"/>
    <e v="#VALUE!"/>
    <e v="#VALUE!"/>
  </r>
  <r>
    <x v="9"/>
    <x v="2"/>
    <e v="#VALUE!"/>
    <e v="#VALUE!"/>
    <e v="#VALUE!"/>
    <e v="#VALUE!"/>
    <e v="#VALUE!"/>
    <e v="#VALUE!"/>
  </r>
  <r>
    <x v="9"/>
    <x v="3"/>
    <e v="#VALUE!"/>
    <e v="#VALUE!"/>
    <e v="#VALUE!"/>
    <e v="#VALUE!"/>
    <e v="#VALUE!"/>
    <e v="#VALUE!"/>
  </r>
  <r>
    <x v="9"/>
    <x v="4"/>
    <e v="#VALUE!"/>
    <e v="#VALUE!"/>
    <e v="#VALUE!"/>
    <e v="#VALUE!"/>
    <e v="#VALUE!"/>
    <e v="#VALUE!"/>
  </r>
  <r>
    <x v="9"/>
    <x v="5"/>
    <e v="#VALUE!"/>
    <e v="#VALUE!"/>
    <e v="#VALUE!"/>
    <e v="#VALUE!"/>
    <e v="#VALUE!"/>
    <e v="#VALUE!"/>
  </r>
  <r>
    <x v="10"/>
    <x v="0"/>
    <e v="#VALUE!"/>
    <e v="#VALUE!"/>
    <e v="#VALUE!"/>
    <e v="#VALUE!"/>
    <e v="#VALUE!"/>
    <e v="#VALUE!"/>
  </r>
  <r>
    <x v="10"/>
    <x v="1"/>
    <e v="#VALUE!"/>
    <e v="#VALUE!"/>
    <e v="#VALUE!"/>
    <e v="#VALUE!"/>
    <e v="#VALUE!"/>
    <e v="#VALUE!"/>
  </r>
  <r>
    <x v="10"/>
    <x v="2"/>
    <e v="#VALUE!"/>
    <e v="#VALUE!"/>
    <e v="#VALUE!"/>
    <e v="#VALUE!"/>
    <e v="#VALUE!"/>
    <e v="#VALUE!"/>
  </r>
  <r>
    <x v="10"/>
    <x v="3"/>
    <e v="#VALUE!"/>
    <e v="#VALUE!"/>
    <e v="#VALUE!"/>
    <e v="#VALUE!"/>
    <e v="#VALUE!"/>
    <e v="#VALUE!"/>
  </r>
  <r>
    <x v="10"/>
    <x v="4"/>
    <e v="#VALUE!"/>
    <e v="#VALUE!"/>
    <e v="#VALUE!"/>
    <e v="#VALUE!"/>
    <e v="#VALUE!"/>
    <e v="#VALUE!"/>
  </r>
  <r>
    <x v="10"/>
    <x v="5"/>
    <e v="#VALUE!"/>
    <e v="#VALUE!"/>
    <e v="#VALUE!"/>
    <e v="#VALUE!"/>
    <e v="#VALUE!"/>
    <e v="#VALUE!"/>
  </r>
  <r>
    <x v="11"/>
    <x v="0"/>
    <e v="#VALUE!"/>
    <e v="#VALUE!"/>
    <e v="#VALUE!"/>
    <e v="#VALUE!"/>
    <e v="#VALUE!"/>
    <e v="#VALUE!"/>
  </r>
  <r>
    <x v="11"/>
    <x v="1"/>
    <e v="#VALUE!"/>
    <e v="#VALUE!"/>
    <e v="#VALUE!"/>
    <e v="#VALUE!"/>
    <e v="#VALUE!"/>
    <e v="#VALUE!"/>
  </r>
  <r>
    <x v="11"/>
    <x v="2"/>
    <e v="#VALUE!"/>
    <e v="#VALUE!"/>
    <e v="#VALUE!"/>
    <e v="#VALUE!"/>
    <e v="#VALUE!"/>
    <e v="#VALUE!"/>
  </r>
  <r>
    <x v="11"/>
    <x v="3"/>
    <e v="#VALUE!"/>
    <e v="#VALUE!"/>
    <e v="#VALUE!"/>
    <e v="#VALUE!"/>
    <e v="#VALUE!"/>
    <e v="#VALUE!"/>
  </r>
  <r>
    <x v="11"/>
    <x v="4"/>
    <e v="#VALUE!"/>
    <e v="#VALUE!"/>
    <e v="#VALUE!"/>
    <e v="#VALUE!"/>
    <e v="#VALUE!"/>
    <e v="#VALUE!"/>
  </r>
  <r>
    <x v="11"/>
    <x v="5"/>
    <e v="#VALUE!"/>
    <e v="#VALUE!"/>
    <e v="#VALUE!"/>
    <e v="#VALUE!"/>
    <e v="#VALUE!"/>
    <e v="#VALUE!"/>
  </r>
</pivotCacheRecords>
</file>

<file path=xl/pivotCache/pivotCacheRecords4.xml><?xml version="1.0" encoding="utf-8"?>
<pivotCacheRecords xmlns="http://schemas.openxmlformats.org/spreadsheetml/2006/main" xmlns:r="http://schemas.openxmlformats.org/officeDocument/2006/relationships" count="18">
  <r>
    <x v="0"/>
    <x v="0"/>
    <n v="0.33333333333333331"/>
    <n v="0.33333333333333331"/>
    <n v="0.75"/>
    <n v="0.4"/>
    <n v="0.33333333333333331"/>
    <n v="0.39130434782608697"/>
  </r>
  <r>
    <x v="0"/>
    <x v="1"/>
    <n v="0.53333333333333333"/>
    <n v="0.66666666666666663"/>
    <n v="0.75"/>
    <n v="0.33333333333333331"/>
    <n v="0.33333333333333331"/>
    <n v="0.45652173913043476"/>
  </r>
  <r>
    <x v="1"/>
    <x v="0"/>
    <e v="#DIV/0!"/>
    <e v="#DIV/0!"/>
    <e v="#DIV/0!"/>
    <e v="#DIV/0!"/>
    <e v="#DIV/0!"/>
    <e v="#DIV/0!"/>
  </r>
  <r>
    <x v="1"/>
    <x v="1"/>
    <e v="#DIV/0!"/>
    <e v="#DIV/0!"/>
    <e v="#DIV/0!"/>
    <e v="#DIV/0!"/>
    <e v="#DIV/0!"/>
    <e v="#DIV/0!"/>
  </r>
  <r>
    <x v="2"/>
    <x v="0"/>
    <e v="#DIV/0!"/>
    <e v="#DIV/0!"/>
    <e v="#DIV/0!"/>
    <e v="#DIV/0!"/>
    <e v="#DIV/0!"/>
    <e v="#DIV/0!"/>
  </r>
  <r>
    <x v="2"/>
    <x v="1"/>
    <e v="#DIV/0!"/>
    <e v="#DIV/0!"/>
    <e v="#DIV/0!"/>
    <e v="#DIV/0!"/>
    <e v="#DIV/0!"/>
    <e v="#DIV/0!"/>
  </r>
  <r>
    <x v="3"/>
    <x v="0"/>
    <e v="#DIV/0!"/>
    <e v="#DIV/0!"/>
    <e v="#DIV/0!"/>
    <e v="#DIV/0!"/>
    <e v="#DIV/0!"/>
    <e v="#DIV/0!"/>
  </r>
  <r>
    <x v="3"/>
    <x v="1"/>
    <e v="#DIV/0!"/>
    <e v="#DIV/0!"/>
    <e v="#DIV/0!"/>
    <e v="#DIV/0!"/>
    <e v="#DIV/0!"/>
    <e v="#DIV/0!"/>
  </r>
  <r>
    <x v="4"/>
    <x v="0"/>
    <e v="#DIV/0!"/>
    <e v="#DIV/0!"/>
    <e v="#DIV/0!"/>
    <e v="#DIV/0!"/>
    <e v="#DIV/0!"/>
    <e v="#DIV/0!"/>
  </r>
  <r>
    <x v="4"/>
    <x v="1"/>
    <e v="#DIV/0!"/>
    <e v="#DIV/0!"/>
    <e v="#DIV/0!"/>
    <e v="#DIV/0!"/>
    <e v="#DIV/0!"/>
    <e v="#DIV/0!"/>
  </r>
  <r>
    <x v="5"/>
    <x v="0"/>
    <e v="#DIV/0!"/>
    <e v="#DIV/0!"/>
    <e v="#DIV/0!"/>
    <e v="#DIV/0!"/>
    <e v="#DIV/0!"/>
    <e v="#DIV/0!"/>
  </r>
  <r>
    <x v="5"/>
    <x v="1"/>
    <e v="#DIV/0!"/>
    <e v="#DIV/0!"/>
    <e v="#DIV/0!"/>
    <e v="#DIV/0!"/>
    <e v="#DIV/0!"/>
    <e v="#DIV/0!"/>
  </r>
  <r>
    <x v="6"/>
    <x v="0"/>
    <e v="#DIV/0!"/>
    <e v="#DIV/0!"/>
    <e v="#DIV/0!"/>
    <e v="#DIV/0!"/>
    <e v="#DIV/0!"/>
    <e v="#DIV/0!"/>
  </r>
  <r>
    <x v="6"/>
    <x v="1"/>
    <e v="#DIV/0!"/>
    <e v="#DIV/0!"/>
    <e v="#DIV/0!"/>
    <e v="#DIV/0!"/>
    <e v="#DIV/0!"/>
    <e v="#DIV/0!"/>
  </r>
  <r>
    <x v="7"/>
    <x v="0"/>
    <e v="#DIV/0!"/>
    <e v="#DIV/0!"/>
    <e v="#DIV/0!"/>
    <e v="#DIV/0!"/>
    <e v="#DIV/0!"/>
    <e v="#DIV/0!"/>
  </r>
  <r>
    <x v="7"/>
    <x v="1"/>
    <e v="#DIV/0!"/>
    <e v="#DIV/0!"/>
    <e v="#DIV/0!"/>
    <e v="#DIV/0!"/>
    <e v="#DIV/0!"/>
    <e v="#DIV/0!"/>
  </r>
  <r>
    <x v="8"/>
    <x v="0"/>
    <e v="#DIV/0!"/>
    <e v="#DIV/0!"/>
    <e v="#DIV/0!"/>
    <e v="#DIV/0!"/>
    <e v="#DIV/0!"/>
    <e v="#DIV/0!"/>
  </r>
  <r>
    <x v="8"/>
    <x v="1"/>
    <e v="#DIV/0!"/>
    <e v="#DIV/0!"/>
    <e v="#DIV/0!"/>
    <e v="#DIV/0!"/>
    <e v="#DIV/0!"/>
    <e v="#DIV/0!"/>
  </r>
</pivotCacheRecords>
</file>

<file path=xl/pivotCache/pivotCacheRecords5.xml><?xml version="1.0" encoding="utf-8"?>
<pivotCacheRecords xmlns="http://schemas.openxmlformats.org/spreadsheetml/2006/main" xmlns:r="http://schemas.openxmlformats.org/officeDocument/2006/relationships" count="30">
  <r>
    <x v="0"/>
    <x v="0"/>
    <n v="0.15555555555555556"/>
    <n v="8.7591240875912413E-2"/>
    <n v="0"/>
    <n v="0"/>
    <n v="0"/>
    <n v="0.18072289156626506"/>
    <n v="0.22671804752729607"/>
    <n v="0"/>
    <n v="0"/>
    <n v="0"/>
    <n v="0.16528925619834714"/>
    <n v="0.24444444444444444"/>
    <n v="0.10204081632653061"/>
    <n v="0"/>
    <n v="0.23333333333333334"/>
    <n v="0.17117117117117117"/>
    <n v="0.16153846153846155"/>
    <n v="0"/>
    <n v="0"/>
    <n v="0.23622047244094491"/>
    <n v="0"/>
    <n v="0.17475728155339806"/>
    <n v="0.13043478260869565"/>
    <n v="0.17256637168141592"/>
    <n v="0"/>
    <n v="0.12612612612612611"/>
    <n v="0"/>
    <n v="0"/>
    <n v="0"/>
    <n v="0.12"/>
    <n v="0"/>
    <n v="8.8888888888888892E-2"/>
    <n v="0"/>
    <n v="0.1965065502183406"/>
    <n v="0"/>
    <n v="0.20707070707070707"/>
    <n v="0"/>
    <n v="8.3333333333333329E-2"/>
    <n v="0"/>
    <n v="0.24"/>
    <n v="0"/>
    <n v="0"/>
    <n v="0.21147715196599362"/>
    <n v="0.20618955512572534"/>
    <n v="0.14723926380368099"/>
    <n v="0.19761273209549071"/>
    <n v="0.19460465116279069"/>
  </r>
  <r>
    <x v="0"/>
    <x v="1"/>
    <n v="0.12790697674418605"/>
    <n v="0.10526315789473684"/>
    <n v="0"/>
    <n v="0"/>
    <n v="0"/>
    <n v="5.9405940594059403E-2"/>
    <n v="0.16026490066225166"/>
    <n v="0"/>
    <n v="0"/>
    <n v="0"/>
    <n v="0.2030075187969925"/>
    <n v="0.12925170068027211"/>
    <n v="0.14906832298136646"/>
    <n v="0"/>
    <n v="0.10638297872340426"/>
    <n v="9.5890410958904104E-2"/>
    <n v="0.18320610687022901"/>
    <n v="0"/>
    <n v="0"/>
    <n v="0.13868613138686131"/>
    <n v="0"/>
    <n v="0.26"/>
    <n v="0.13698630136986301"/>
    <n v="0.13775510204081631"/>
    <n v="0"/>
    <n v="0.11650485436893204"/>
    <n v="0"/>
    <n v="0"/>
    <n v="0"/>
    <n v="3.9215686274509803E-2"/>
    <n v="0"/>
    <n v="8.8888888888888892E-2"/>
    <n v="0"/>
    <n v="8.2417582417582416E-2"/>
    <n v="0"/>
    <n v="0.14925373134328357"/>
    <n v="0"/>
    <n v="5.3571428571428568E-2"/>
    <n v="0"/>
    <n v="8.8495575221238937E-2"/>
    <n v="0"/>
    <n v="0"/>
    <n v="9.8203592814371257E-2"/>
    <n v="0.15378517637732858"/>
    <n v="0.10278372591006424"/>
    <n v="0.15374507227332457"/>
    <n v="0.13452655889145496"/>
  </r>
  <r>
    <x v="0"/>
    <x v="2"/>
    <n v="0.14207650273224043"/>
    <n v="0.10108303249097472"/>
    <n v="0.14545454545454545"/>
    <n v="0.125"/>
    <n v="0.20779220779220781"/>
    <n v="0.11351351351351353"/>
    <n v="0.19814932992980219"/>
    <n v="0.14606741573033707"/>
    <n v="4.6875E-2"/>
    <n v="0.14754098360655737"/>
    <n v="0.1875"/>
    <n v="0.19696969696969696"/>
    <n v="0.12460063897763578"/>
    <n v="0.16393442622950818"/>
    <n v="0.1875"/>
    <n v="0.14285714285714285"/>
    <n v="0.17293233082706766"/>
    <n v="8.771929824561403E-2"/>
    <n v="8.6956521739130432E-2"/>
    <n v="0.18283582089552242"/>
    <n v="0.11827956989247312"/>
    <n v="0.22009569377990432"/>
    <n v="0.13194444444444445"/>
    <n v="0.15456674473067916"/>
    <n v="0.13793103448275862"/>
    <n v="0.12093023255813953"/>
    <n v="5.7142857142857148E-2"/>
    <n v="0.15492957746478872"/>
    <n v="0.17241379310344829"/>
    <n v="7.9207920792079209E-2"/>
    <n v="9.2105263157894732E-2"/>
    <n v="8.7912087912087919E-2"/>
    <n v="0.18085106382978727"/>
    <n v="0.15238095238095239"/>
    <n v="0.15"/>
    <n v="0.17936117936117937"/>
    <n v="0.1111111111111111"/>
    <n v="6.9767441860465115E-2"/>
    <n v="0.11224489795918369"/>
    <n v="0.17358490566037735"/>
    <n v="0.25974025974025972"/>
    <n v="0.14606741573033707"/>
    <n v="0.16004415011037529"/>
    <n v="0.18338768463456742"/>
    <n v="0.12480660134089737"/>
    <n v="0.17585983127839069"/>
    <n v="0.16683687679881165"/>
  </r>
  <r>
    <x v="1"/>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2"/>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2"/>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2"/>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3"/>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3"/>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3"/>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4"/>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4"/>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4"/>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5"/>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5"/>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5"/>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6"/>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6"/>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6"/>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7"/>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7"/>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7"/>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8"/>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8"/>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8"/>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9"/>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9"/>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9"/>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pivotCacheRecords>
</file>

<file path=xl/pivotCache/pivotCacheRecords6.xml><?xml version="1.0" encoding="utf-8"?>
<pivotCacheRecords xmlns="http://schemas.openxmlformats.org/spreadsheetml/2006/main" xmlns:r="http://schemas.openxmlformats.org/officeDocument/2006/relationships" count="30">
  <r>
    <x v="0"/>
    <x v="0"/>
    <n v="5.6962025316455701E-2"/>
    <n v="3.8043478260869568E-2"/>
    <n v="0"/>
    <n v="0"/>
    <n v="6.6489361702127658E-2"/>
    <n v="0"/>
    <n v="4.2253521126760563E-2"/>
    <n v="0"/>
    <n v="0"/>
    <n v="6.5537957400327695E-2"/>
    <n v="5.6603773584905669E-2"/>
    <n v="0"/>
    <n v="0"/>
    <n v="0"/>
    <n v="5.8823529411764705E-2"/>
    <n v="9.3023255813953501E-2"/>
    <n v="5.5214723926380369E-2"/>
    <n v="4.4444444444444446E-2"/>
    <n v="0"/>
    <n v="0.1111111111111111"/>
    <n v="2.4539877300613498E-2"/>
    <n v="0"/>
    <n v="0"/>
    <n v="5.3846153846153849E-2"/>
    <n v="6.5573770491803282E-2"/>
    <n v="3.2085561497326207E-2"/>
    <n v="1.2345679012345678E-2"/>
    <n v="5.5045871559633038E-2"/>
    <n v="0"/>
    <n v="7.43801652892562E-2"/>
    <n v="0"/>
    <n v="0"/>
    <n v="4.2553191489361701E-2"/>
    <n v="0"/>
    <n v="0"/>
    <n v="5.1724137931034482E-2"/>
    <n v="2.0408163265306124E-2"/>
    <n v="5.9040590405904057E-2"/>
    <n v="0"/>
    <n v="4.633204633204633E-2"/>
    <n v="4.3859649122807015E-2"/>
    <n v="4.6153846153846156E-2"/>
    <n v="0"/>
    <n v="6.2146892655367235E-2"/>
    <n v="1.4925373134328358E-2"/>
    <n v="6.6666666666666666E-2"/>
    <n v="5.4276315789473693E-2"/>
    <n v="6.1509785647716683E-2"/>
    <n v="5.4377880184331796E-2"/>
    <n v="4.6538024971623154E-2"/>
    <n v="5.7476635514018694E-2"/>
  </r>
  <r>
    <x v="0"/>
    <x v="1"/>
    <n v="7.9136690647482008E-2"/>
    <n v="3.5714285714285712E-2"/>
    <n v="0"/>
    <n v="0"/>
    <n v="5.0377833753148624E-2"/>
    <n v="0"/>
    <n v="4.5161290322580643E-2"/>
    <n v="0"/>
    <n v="0"/>
    <n v="5.9168131224370243E-2"/>
    <n v="0"/>
    <n v="0"/>
    <n v="0"/>
    <n v="0"/>
    <n v="6.0150375939849621E-2"/>
    <n v="5.6250000000000001E-2"/>
    <n v="1.4285714285714287E-2"/>
    <n v="0.25"/>
    <n v="0"/>
    <n v="4.651162790697675E-2"/>
    <n v="2.7397260273972601E-2"/>
    <n v="0"/>
    <n v="0"/>
    <n v="4.296875E-2"/>
    <n v="3.7735849056603772E-2"/>
    <n v="3.5502958579881658E-2"/>
    <n v="1.1363636363636366E-2"/>
    <n v="3.5897435897435895E-2"/>
    <n v="0"/>
    <n v="9.5238095238095233E-2"/>
    <n v="0"/>
    <n v="0"/>
    <n v="4.1666666666666664E-2"/>
    <n v="0"/>
    <n v="9.0909090909090925E-2"/>
    <n v="8.1632653061224497E-2"/>
    <n v="0"/>
    <n v="4.3269230769230768E-2"/>
    <n v="0"/>
    <n v="6.6666666666666666E-2"/>
    <n v="0.09"/>
    <n v="0.02"/>
    <n v="0"/>
    <n v="3.0120481927710847E-2"/>
    <n v="0.02"/>
    <n v="2.1276595744680851E-2"/>
    <n v="4.0674603174603176E-2"/>
    <n v="6.1197041022192339E-2"/>
    <n v="3.7145650048875857E-2"/>
    <n v="4.1079812206572773E-2"/>
    <n v="5.0348698758292225E-2"/>
  </r>
  <r>
    <x v="0"/>
    <x v="2"/>
    <n v="6.8627450980392163E-2"/>
    <n v="3.669724770642202E-2"/>
    <n v="3.5294117647058823E-2"/>
    <n v="3.8461538461538464E-2"/>
    <n v="5.9343434343434344E-2"/>
    <n v="9.6153846153846173E-2"/>
    <n v="4.3333333333333342E-2"/>
    <n v="5.3571428571428568E-2"/>
    <n v="0"/>
    <n v="6.5121412803532008E-2"/>
    <n v="2.7027027027027029E-2"/>
    <n v="2.7397260273972601E-2"/>
    <n v="6.6666666666666666E-2"/>
    <n v="7.6923076923076927E-2"/>
    <n v="5.8419243986254296E-2"/>
    <n v="7.6246334310850442E-2"/>
    <n v="3.9087947882736153E-2"/>
    <n v="0.15887850467289719"/>
    <n v="5.3191489361702128E-2"/>
    <n v="9.0909090909090925E-2"/>
    <n v="2.4922118380062305E-2"/>
    <n v="0.10666666666666669"/>
    <n v="3.0927835051546393E-2"/>
    <n v="5.1625239005736144E-2"/>
    <n v="5.128205128205128E-2"/>
    <n v="3.2786885245901641E-2"/>
    <n v="1.1627906976744188E-2"/>
    <n v="4.5454545454545463E-2"/>
    <n v="1.5625E-2"/>
    <n v="8.5106382978723402E-2"/>
    <n v="5.6074766355140186E-2"/>
    <n v="2.0618556701030927E-2"/>
    <n v="4.1666666666666664E-2"/>
    <n v="4.4776119402985072E-2"/>
    <n v="4.3859649122807015E-2"/>
    <n v="6.9565217391304349E-2"/>
    <n v="1.9801980198019802E-2"/>
    <n v="5.7026476578411409E-2"/>
    <n v="7.6923076923076927E-2"/>
    <n v="5.8823529411764705E-2"/>
    <n v="7.3394495412844041E-2"/>
    <n v="4.2735042735042736E-2"/>
    <n v="0.01"/>
    <n v="4.9275362318840589E-2"/>
    <n v="1.6949152542372881E-2"/>
    <n v="5.1546391752577317E-2"/>
    <n v="5.1236749116607777E-2"/>
    <n v="6.334699023006618E-2"/>
    <n v="4.7685834502103785E-2"/>
    <n v="4.5505617977528091E-2"/>
    <n v="5.6240553655238251E-2"/>
  </r>
  <r>
    <x v="1"/>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2"/>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2"/>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2"/>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3"/>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3"/>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3"/>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4"/>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4"/>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4"/>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5"/>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5"/>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5"/>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6"/>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6"/>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6"/>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7"/>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7"/>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7"/>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8"/>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8"/>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8"/>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9"/>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9"/>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9"/>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pivotCacheRecords>
</file>

<file path=xl/pivotCache/pivotCacheRecords7.xml><?xml version="1.0" encoding="utf-8"?>
<pivotCacheRecords xmlns="http://schemas.openxmlformats.org/spreadsheetml/2006/main" xmlns:r="http://schemas.openxmlformats.org/officeDocument/2006/relationships" count="30">
  <r>
    <x v="0"/>
    <x v="0"/>
    <n v="0.25555555555555554"/>
    <n v="0.22627737226277372"/>
    <n v="0"/>
    <n v="0"/>
    <n v="0"/>
    <n v="0.40963855421686746"/>
    <n v="0.30892742453436095"/>
    <n v="0"/>
    <n v="0"/>
    <n v="0"/>
    <n v="0.20661157024793389"/>
    <n v="0.3611111111111111"/>
    <n v="0.32653061224489799"/>
    <n v="0"/>
    <n v="0.4"/>
    <n v="0.1981981981981982"/>
    <n v="0.24615384615384617"/>
    <n v="0"/>
    <n v="0"/>
    <n v="0.23622047244094491"/>
    <n v="0"/>
    <n v="0.27184466019417475"/>
    <n v="0.27536231884057971"/>
    <n v="0.34070796460176989"/>
    <n v="0"/>
    <n v="0.43243243243243246"/>
    <n v="0"/>
    <n v="0"/>
    <n v="0"/>
    <n v="0.34"/>
    <n v="0"/>
    <n v="0.44444444444444442"/>
    <n v="0"/>
    <n v="0.35807860262008734"/>
    <n v="0"/>
    <n v="0.28282828282828282"/>
    <n v="0"/>
    <n v="0.44444444444444442"/>
    <n v="0"/>
    <n v="0.21333333333333337"/>
    <n v="0"/>
    <n v="0"/>
    <n v="0.31137088204038255"/>
    <n v="0.30328820116054156"/>
    <n v="0.33333333333333331"/>
    <n v="0.27851458885941643"/>
    <n v="0.30716279069767444"/>
  </r>
  <r>
    <x v="0"/>
    <x v="1"/>
    <n v="0.22093023255813954"/>
    <n v="0.24060150375939848"/>
    <n v="0"/>
    <n v="0"/>
    <n v="0"/>
    <n v="0.33663366336633666"/>
    <n v="0.22847682119205298"/>
    <n v="0"/>
    <n v="0"/>
    <n v="0"/>
    <n v="0.2781954887218045"/>
    <n v="0.34693877551020408"/>
    <n v="0.27329192546583853"/>
    <n v="0"/>
    <n v="0.27659574468085107"/>
    <n v="0.31506849315068491"/>
    <n v="0.22137404580152673"/>
    <n v="0"/>
    <n v="0"/>
    <n v="0.22627737226277372"/>
    <n v="0"/>
    <n v="0.3"/>
    <n v="0.15068493150684931"/>
    <n v="0.22959183673469391"/>
    <n v="0"/>
    <n v="0.29126213592233008"/>
    <n v="0"/>
    <n v="0"/>
    <n v="0"/>
    <n v="0.21568627450980393"/>
    <n v="0"/>
    <n v="0.31111111111111112"/>
    <n v="0"/>
    <n v="0.23076923076923078"/>
    <n v="0"/>
    <n v="0.21890547263681595"/>
    <n v="0"/>
    <n v="0.35714285714285715"/>
    <n v="0"/>
    <n v="0.23008849557522124"/>
    <n v="0"/>
    <n v="0"/>
    <n v="0.24550898203592814"/>
    <n v="0.24732461355529134"/>
    <n v="0.27087794432548179"/>
    <n v="0.21813403416557162"/>
    <n v="0.24903772132409546"/>
  </r>
  <r>
    <x v="0"/>
    <x v="2"/>
    <n v="0.25136612021857924"/>
    <n v="0.23465703971119134"/>
    <n v="0.38181818181818189"/>
    <n v="0.1875"/>
    <n v="0.25714285714285712"/>
    <n v="0.36756756756756759"/>
    <n v="0.27058072750478623"/>
    <n v="0.2808988764044944"/>
    <n v="0.203125"/>
    <n v="0.34426229508196721"/>
    <n v="0.2421875"/>
    <n v="0.3575757575757576"/>
    <n v="0.30670926517571884"/>
    <n v="0.24590163934426229"/>
    <n v="0.3482142857142857"/>
    <n v="0.2433862433862434"/>
    <n v="0.23684210526315788"/>
    <n v="0.2982456140350877"/>
    <n v="0.21739130434782611"/>
    <n v="0.23134328358208955"/>
    <n v="0.30107526881720431"/>
    <n v="0.291866028708134"/>
    <n v="0.20833333333333337"/>
    <n v="0.2857142857142857"/>
    <n v="0.37931034482758619"/>
    <n v="0.36744186046511629"/>
    <n v="0.3"/>
    <n v="0.26760563380281688"/>
    <n v="0.22413793103448279"/>
    <n v="0.27722772277227725"/>
    <n v="0.35526315789473684"/>
    <n v="0.37362637362637363"/>
    <n v="0.27659574468085107"/>
    <n v="0.29761904761904762"/>
    <n v="0.5"/>
    <n v="0.25061425061425063"/>
    <n v="0.24183006535947713"/>
    <n v="0.40310077519379844"/>
    <n v="0.20408163265306123"/>
    <n v="0.21886792452830189"/>
    <n v="0.27272727272727271"/>
    <n v="0.30337078651685395"/>
    <n v="0.27980132450331124"/>
    <n v="0.27719163629388066"/>
    <n v="0.30324909747292417"/>
    <n v="0.24853990914990268"/>
    <n v="0.27945408968526597"/>
  </r>
  <r>
    <x v="1"/>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2"/>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2"/>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2"/>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3"/>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3"/>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3"/>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4"/>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4"/>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4"/>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5"/>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5"/>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5"/>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6"/>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6"/>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6"/>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7"/>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7"/>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7"/>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8"/>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8"/>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8"/>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9"/>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9"/>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9"/>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pivotCacheRecords>
</file>

<file path=xl/pivotCache/pivotCacheRecords8.xml><?xml version="1.0" encoding="utf-8"?>
<pivotCacheRecords xmlns="http://schemas.openxmlformats.org/spreadsheetml/2006/main" xmlns:r="http://schemas.openxmlformats.org/officeDocument/2006/relationships" count="30">
  <r>
    <x v="0"/>
    <x v="0"/>
    <n v="6.9620253164556958E-2"/>
    <n v="5.4347826086956527E-2"/>
    <n v="0"/>
    <n v="0"/>
    <n v="9.0425531914893637E-2"/>
    <n v="0"/>
    <n v="5.6338028169014093E-2"/>
    <n v="0"/>
    <n v="0"/>
    <n v="6.1168760240305854E-2"/>
    <n v="5.6603773584905669E-2"/>
    <n v="0"/>
    <n v="0"/>
    <n v="0"/>
    <n v="6.535947712418301E-2"/>
    <n v="0.11046511627906977"/>
    <n v="6.1349693251533742E-2"/>
    <n v="6.6666666666666666E-2"/>
    <n v="0"/>
    <n v="0.16161616161616163"/>
    <n v="8.5889570552147243E-2"/>
    <n v="0"/>
    <n v="0"/>
    <n v="9.6153846153846173E-2"/>
    <n v="0.14754098360655737"/>
    <n v="8.0213903743315509E-2"/>
    <n v="0.1111111111111111"/>
    <n v="8.256880733944956E-2"/>
    <n v="0"/>
    <n v="9.9173553719008267E-2"/>
    <n v="0"/>
    <n v="0"/>
    <n v="0.1276595744680851"/>
    <n v="0"/>
    <n v="5.2631578947368418E-2"/>
    <n v="8.6206896551724144E-2"/>
    <n v="0.14285714285714285"/>
    <n v="7.3800738007380073E-2"/>
    <n v="0"/>
    <n v="2.3166023166023165E-2"/>
    <n v="8.771929824561403E-2"/>
    <n v="9.2307692307692313E-2"/>
    <n v="0"/>
    <n v="0.10169491525423731"/>
    <n v="0"/>
    <n v="0.13333333333333333"/>
    <n v="8.1414473684210537E-2"/>
    <n v="7.0829450139794969E-2"/>
    <n v="8.755760368663594E-2"/>
    <n v="9.5346197502837682E-2"/>
    <n v="7.9595015576323994E-2"/>
  </r>
  <r>
    <x v="0"/>
    <x v="1"/>
    <n v="9.3525179856115109E-2"/>
    <n v="4.2857142857142858E-2"/>
    <n v="0"/>
    <n v="0"/>
    <n v="8.3123425692695221E-2"/>
    <n v="0"/>
    <n v="0.11612903225806452"/>
    <n v="0"/>
    <n v="0"/>
    <n v="8.670181605155243E-2"/>
    <n v="3.5714285714285712E-2"/>
    <n v="0"/>
    <n v="0"/>
    <n v="0"/>
    <n v="5.2631578947368418E-2"/>
    <n v="0.14374999999999999"/>
    <n v="7.1428571428571425E-2"/>
    <n v="0.2"/>
    <n v="0"/>
    <n v="0.12790697674418605"/>
    <n v="8.9041095890410954E-2"/>
    <n v="0"/>
    <n v="0"/>
    <n v="8.984375E-2"/>
    <n v="0.13207547169811321"/>
    <n v="8.8757396449704137E-2"/>
    <n v="0.11363636363636363"/>
    <n v="8.7179487179487175E-2"/>
    <n v="0"/>
    <n v="0.17142857142857143"/>
    <n v="0"/>
    <n v="0"/>
    <n v="8.3333333333333329E-2"/>
    <n v="0"/>
    <n v="5.4545454545454543E-2"/>
    <n v="0.30612244897959184"/>
    <n v="8.6956521739130432E-2"/>
    <n v="9.1346153846153841E-2"/>
    <n v="0"/>
    <n v="4.2857142857142858E-2"/>
    <n v="0.11"/>
    <n v="0.1"/>
    <n v="0"/>
    <n v="6.6265060240963861E-2"/>
    <n v="0.12"/>
    <n v="0.23404255319148937"/>
    <n v="9.1269841269841265E-2"/>
    <n v="9.8184263618022863E-2"/>
    <n v="8.7976539589442834E-2"/>
    <n v="8.2159624413145546E-2"/>
    <n v="9.2532743663888417E-2"/>
  </r>
  <r>
    <x v="0"/>
    <x v="2"/>
    <n v="7.8431372549019607E-2"/>
    <n v="4.8929663608562692E-2"/>
    <n v="8.2352941176470587E-2"/>
    <n v="5.128205128205128E-2"/>
    <n v="8.7121212121212127E-2"/>
    <n v="3.8461538461538464E-2"/>
    <n v="8.6666666666666684E-2"/>
    <n v="8.9285714285714288E-2"/>
    <n v="0.02"/>
    <n v="7.5331125827814566E-2"/>
    <n v="4.504504504504505E-2"/>
    <n v="5.4794520547945202E-2"/>
    <n v="0.12"/>
    <n v="0.26923076923076922"/>
    <n v="5.8419243986254296E-2"/>
    <n v="0.12609970674486803"/>
    <n v="7.1661237785016291E-2"/>
    <n v="0.14953271028037382"/>
    <n v="0.1702127659574468"/>
    <n v="0.14438502673796791"/>
    <n v="8.7227414330218064E-2"/>
    <n v="0.16"/>
    <n v="0.15463917525773196"/>
    <n v="9.3690248565965584E-2"/>
    <n v="0.13675213675213677"/>
    <n v="8.1967213114754092E-2"/>
    <n v="0.11046511627906977"/>
    <n v="8.3732057416267949E-2"/>
    <n v="0.109375"/>
    <n v="0.13617021276595745"/>
    <n v="7.476635514018691E-2"/>
    <n v="8.247422680412371E-2"/>
    <n v="0.10416666666666669"/>
    <n v="5.9701492537313432E-2"/>
    <n v="5.2631578947368418E-2"/>
    <n v="0.18260869565217391"/>
    <n v="0.11881188118811881"/>
    <n v="8.5539714867617106E-2"/>
    <n v="7.6923076923076927E-2"/>
    <n v="3.3613445378151259E-2"/>
    <n v="9.6330275229357804E-2"/>
    <n v="0.10256410256410256"/>
    <n v="0.14000000000000001"/>
    <n v="8.4057971014492749E-2"/>
    <n v="5.0847457627118654E-2"/>
    <n v="0.19587628865979384"/>
    <n v="8.7014134275618368E-2"/>
    <n v="8.5250551528521901E-2"/>
    <n v="8.8826554464703153E-2"/>
    <n v="8.9887640449438214E-2"/>
    <n v="8.6946145891337215E-2"/>
  </r>
  <r>
    <x v="1"/>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2"/>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2"/>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2"/>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3"/>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3"/>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3"/>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4"/>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4"/>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4"/>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5"/>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5"/>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5"/>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6"/>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6"/>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6"/>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7"/>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7"/>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7"/>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8"/>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8"/>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8"/>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9"/>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9"/>
    <x v="1"/>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9"/>
    <x v="2"/>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pivotCacheRecords>
</file>

<file path=xl/pivotCache/pivotCacheRecords9.xml><?xml version="1.0" encoding="utf-8"?>
<pivotCacheRecords xmlns="http://schemas.openxmlformats.org/spreadsheetml/2006/main" xmlns:r="http://schemas.openxmlformats.org/officeDocument/2006/relationships" count="13">
  <r>
    <x v="0"/>
    <x v="0"/>
    <n v="6.5040650406000003E-2"/>
    <n v="5.56640625E-2"/>
    <n v="2.5974025974E-2"/>
    <n v="0"/>
    <n v="0.106789993693"/>
    <n v="5.6338028169E-2"/>
    <n v="0"/>
    <n v="6.5410199555999998E-2"/>
    <n v="0"/>
    <n v="6.8568867642E-2"/>
    <n v="0.12550607287400001"/>
    <n v="0"/>
    <n v="6.7052023121000004E-2"/>
    <n v="0"/>
    <n v="6.5843621399000005E-2"/>
    <n v="6.8085106381999994E-2"/>
    <n v="5.7425742574000002E-2"/>
    <n v="0.16279069767400001"/>
    <n v="2.6151930261E-2"/>
    <n v="5.9782608695000003E-2"/>
    <n v="8.4024896264999996E-2"/>
    <n v="0.121951219512"/>
    <n v="2.1416803953E-2"/>
    <n v="6.8692206076000004E-2"/>
    <n v="0"/>
    <n v="0.13865546218399999"/>
    <n v="4.3119266055000001E-2"/>
    <n v="3.9364391477000001E-2"/>
    <n v="0"/>
    <n v="2.5617566331E-2"/>
    <n v="3.8167938930999998E-2"/>
    <n v="2.7972027972000001E-2"/>
    <n v="0"/>
    <n v="4.8888888887999998E-2"/>
    <n v="4.3478260869000002E-2"/>
    <n v="0"/>
    <n v="4.8951048950999998E-2"/>
    <n v="4.5529801324000002E-2"/>
    <n v="4.2918454935000003E-2"/>
    <n v="4.4755244755E-2"/>
    <n v="5.3719008264000001E-2"/>
    <n v="7.2519083969000003E-2"/>
    <n v="6.7988668555000006E-2"/>
    <n v="2.5518341306999998E-2"/>
    <n v="2.9723991506999999E-2"/>
    <n v="3.4246575341999999E-2"/>
    <n v="6.21875E-2"/>
  </r>
  <r>
    <x v="1"/>
    <x v="0"/>
    <n v="2.3121387282999999E-2"/>
    <n v="4.7021943572999998E-2"/>
    <n v="1.4492753622999999E-2"/>
    <n v="0"/>
    <n v="0.112599956775"/>
    <n v="6.4102564102000006E-2"/>
    <n v="0.3"/>
    <n v="4.1573033707000003E-2"/>
    <n v="0"/>
    <n v="8.6939533065999997E-2"/>
    <n v="8.7336244541000002E-2"/>
    <n v="0"/>
    <n v="6.2355658198E-2"/>
    <n v="0"/>
    <n v="8.8508208421999995E-2"/>
    <n v="5.9459459458999997E-2"/>
    <n v="5.4787506399999998E-2"/>
    <n v="0.34285714285699997"/>
    <n v="1.7615176151E-2"/>
    <n v="4.1176470588000003E-2"/>
    <n v="8.2744702320000002E-2"/>
    <n v="0.11486486486399999"/>
    <n v="3.4246575341999999E-2"/>
    <n v="9.1836734692999994E-2"/>
    <n v="0"/>
    <n v="0.175233644859"/>
    <n v="3.0549898167E-2"/>
    <n v="5.0073099415000002E-2"/>
    <n v="0"/>
    <n v="0.02"/>
    <n v="2.5787965616000001E-2"/>
    <n v="0"/>
    <n v="0.21126760563300001"/>
    <n v="7.6543209875999996E-2"/>
    <n v="6.9343065693E-2"/>
    <n v="0"/>
    <n v="5.8441558440999998E-2"/>
    <n v="7.3057432431999997E-2"/>
    <n v="4.7210300428999999E-2"/>
    <n v="3.7822349569999997E-2"/>
    <n v="3.0364372468999999E-2"/>
    <n v="5.0980392155999997E-2"/>
    <n v="7.7419354837999999E-2"/>
    <n v="2.6294165981000001E-2"/>
    <n v="2.3529411763999999E-2"/>
    <n v="0"/>
    <n v="7.0619662139000006E-2"/>
  </r>
  <r>
    <x v="2"/>
    <x v="0"/>
    <n v="1.3824884791999999E-2"/>
    <n v="3.3730158730000001E-2"/>
    <n v="0"/>
    <n v="0"/>
    <n v="8.7608695651999996E-2"/>
    <n v="0"/>
    <n v="0"/>
    <n v="7.6751946606999993E-2"/>
    <n v="0"/>
    <n v="8.7064313838999999E-2"/>
    <n v="5.8823529410999997E-2"/>
    <n v="0"/>
    <n v="4.8137535815999999E-2"/>
    <n v="0"/>
    <n v="6.6573230553000004E-2"/>
    <n v="8.2273112807000004E-2"/>
    <n v="4.7365620009999998E-2"/>
    <n v="0"/>
    <n v="4.0293040293000001E-2"/>
    <n v="4.2007001166000001E-2"/>
    <n v="9.6808510638E-2"/>
    <n v="8.1632653060999996E-2"/>
    <n v="3.0360531308999999E-2"/>
    <n v="6.8441064637999996E-2"/>
    <n v="0"/>
    <n v="0.23939393939299999"/>
    <n v="2.6205450732999999E-2"/>
    <n v="4.3415859346000001E-2"/>
    <n v="0"/>
    <n v="1.7625231910000001E-2"/>
    <n v="9.9397590361000002E-2"/>
    <n v="0"/>
    <n v="0.12857142857100001"/>
    <n v="0.10182767624"/>
    <n v="3.7499999999999999E-2"/>
    <n v="0"/>
    <n v="4.1543026705999998E-2"/>
    <n v="7.1367521367000003E-2"/>
    <n v="3.7383177570000002E-2"/>
    <n v="4.8574752763000002E-2"/>
    <n v="4.9701789263999999E-2"/>
    <n v="8.2677165354000007E-2"/>
    <n v="3.9087947881999999E-2"/>
    <n v="4.4371405093999998E-2"/>
    <n v="2.2429906542E-2"/>
    <n v="1.7006802721000001E-2"/>
    <n v="6.9044595644000006E-2"/>
  </r>
  <r>
    <x v="3"/>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4"/>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5"/>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6"/>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7"/>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8"/>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9"/>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0"/>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1"/>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r>
    <x v="12"/>
    <x 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pivotTable1.xml><?xml version="1.0" encoding="utf-8"?>
<pivotTableDefinition xmlns="http://schemas.openxmlformats.org/spreadsheetml/2006/main" name="PivotTable4" cacheId="2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1" rowHeaderCaption="Radetiketter" colHeaderCaption="Kolumnetiketter">
  <location ref="N11:Q28" firstHeaderRow="1" firstDataRow="2" firstDataCol="1"/>
  <pivotFields count="17">
    <pivotField axis="axisRow" showAll="0" sortType="ascending">
      <items count="17">
        <item x="0"/>
        <item x="1"/>
        <item x="2"/>
        <item x="3"/>
        <item x="4"/>
        <item x="5"/>
        <item x="6"/>
        <item x="7"/>
        <item x="8"/>
        <item x="9"/>
        <item x="10"/>
        <item x="11"/>
        <item x="12"/>
        <item x="13"/>
        <item x="14"/>
        <item x="15"/>
        <item t="default"/>
      </items>
    </pivotField>
    <pivotField axis="axisCol" showAll="0" sortType="descending">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pivotFields>
  <rowFields count="1">
    <field x="0"/>
  </rowFields>
  <rowItems count="16">
    <i>
      <x/>
    </i>
    <i>
      <x v="1"/>
    </i>
    <i>
      <x v="2"/>
    </i>
    <i>
      <x v="3"/>
    </i>
    <i>
      <x v="4"/>
    </i>
    <i>
      <x v="5"/>
    </i>
    <i>
      <x v="6"/>
    </i>
    <i>
      <x v="7"/>
    </i>
    <i>
      <x v="8"/>
    </i>
    <i>
      <x v="9"/>
    </i>
    <i>
      <x v="10"/>
    </i>
    <i>
      <x v="11"/>
    </i>
    <i>
      <x v="12"/>
    </i>
    <i>
      <x v="13"/>
    </i>
    <i>
      <x v="14"/>
    </i>
    <i>
      <x v="15"/>
    </i>
  </rowItems>
  <colFields count="1">
    <field x="1"/>
  </colFields>
  <colItems count="3">
    <i>
      <x/>
    </i>
    <i>
      <x v="1"/>
    </i>
    <i>
      <x v="2"/>
    </i>
  </colItems>
  <dataFields count="1">
    <dataField name="Sum of 20-85+" fld="16" baseField="0" baseItem="4" numFmtId="169"/>
  </dataFields>
  <formats count="36">
    <format dxfId="208">
      <pivotArea type="all" dataOnly="0" outline="0" fieldPosition="0"/>
    </format>
    <format dxfId="207">
      <pivotArea outline="0" collapsedLevelsAreSubtotals="1" fieldPosition="0"/>
    </format>
    <format dxfId="206">
      <pivotArea type="origin" dataOnly="0" labelOnly="1" outline="0" fieldPosition="0"/>
    </format>
    <format dxfId="205">
      <pivotArea field="1" type="button" dataOnly="0" labelOnly="1" outline="0" axis="axisCol" fieldPosition="0"/>
    </format>
    <format dxfId="204">
      <pivotArea type="topRight" dataOnly="0" labelOnly="1" outline="0" fieldPosition="0"/>
    </format>
    <format dxfId="203">
      <pivotArea field="0" type="button" dataOnly="0" labelOnly="1" outline="0" axis="axisRow" fieldPosition="0"/>
    </format>
    <format dxfId="202">
      <pivotArea type="all" dataOnly="0" outline="0" fieldPosition="0"/>
    </format>
    <format dxfId="201">
      <pivotArea type="all" dataOnly="0" outline="0" fieldPosition="0"/>
    </format>
    <format dxfId="200">
      <pivotArea type="all" dataOnly="0" outline="0" fieldPosition="0"/>
    </format>
    <format dxfId="199">
      <pivotArea outline="0" collapsedLevelsAreSubtotals="1" fieldPosition="0"/>
    </format>
    <format dxfId="198">
      <pivotArea type="origin" dataOnly="0" labelOnly="1" outline="0" fieldPosition="0"/>
    </format>
    <format dxfId="197">
      <pivotArea field="1" type="button" dataOnly="0" labelOnly="1" outline="0" axis="axisCol" fieldPosition="0"/>
    </format>
    <format dxfId="196">
      <pivotArea type="topRight" dataOnly="0" labelOnly="1" outline="0" fieldPosition="0"/>
    </format>
    <format dxfId="195">
      <pivotArea field="0" type="button" dataOnly="0" labelOnly="1" outline="0" axis="axisRow" fieldPosition="0"/>
    </format>
    <format dxfId="194">
      <pivotArea type="origin" dataOnly="0" labelOnly="1" outline="0" fieldPosition="0"/>
    </format>
    <format dxfId="193">
      <pivotArea field="1" type="button" dataOnly="0" labelOnly="1" outline="0" axis="axisCol" fieldPosition="0"/>
    </format>
    <format dxfId="192">
      <pivotArea type="topRight" dataOnly="0" labelOnly="1" outline="0" fieldPosition="0"/>
    </format>
    <format dxfId="191">
      <pivotArea field="0" type="button" dataOnly="0" labelOnly="1" outline="0" axis="axisRow" fieldPosition="0"/>
    </format>
    <format dxfId="190">
      <pivotArea field="-2" type="button" dataOnly="0" labelOnly="1" outline="0" axis="axisValues" fieldPosition="0"/>
    </format>
    <format dxfId="189">
      <pivotArea type="all" dataOnly="0" outline="0" fieldPosition="0"/>
    </format>
    <format dxfId="188">
      <pivotArea outline="0" collapsedLevelsAreSubtotals="1" fieldPosition="0"/>
    </format>
    <format dxfId="187">
      <pivotArea type="origin" dataOnly="0" labelOnly="1" outline="0" fieldPosition="0"/>
    </format>
    <format dxfId="186">
      <pivotArea field="1" type="button" dataOnly="0" labelOnly="1" outline="0" axis="axisCol" fieldPosition="0"/>
    </format>
    <format dxfId="185">
      <pivotArea type="topRight" dataOnly="0" labelOnly="1" outline="0" fieldPosition="0"/>
    </format>
    <format dxfId="184">
      <pivotArea field="0" type="button" dataOnly="0" labelOnly="1" outline="0" axis="axisRow" fieldPosition="0"/>
    </format>
    <format dxfId="183">
      <pivotArea dataOnly="0" labelOnly="1" fieldPosition="0">
        <references count="1">
          <reference field="0" count="0"/>
        </references>
      </pivotArea>
    </format>
    <format dxfId="182">
      <pivotArea dataOnly="0" labelOnly="1" fieldPosition="0">
        <references count="1">
          <reference field="1" count="0"/>
        </references>
      </pivotArea>
    </format>
    <format dxfId="181">
      <pivotArea type="origin" dataOnly="0" labelOnly="1" outline="0" fieldPosition="0"/>
    </format>
    <format dxfId="180">
      <pivotArea field="1" type="button" dataOnly="0" labelOnly="1" outline="0" axis="axisCol" fieldPosition="0"/>
    </format>
    <format dxfId="179">
      <pivotArea type="topRight" dataOnly="0" labelOnly="1" outline="0" fieldPosition="0"/>
    </format>
    <format dxfId="178">
      <pivotArea field="0" type="button" dataOnly="0" labelOnly="1" outline="0" axis="axisRow" fieldPosition="0"/>
    </format>
    <format dxfId="177">
      <pivotArea dataOnly="0" labelOnly="1" fieldPosition="0">
        <references count="1">
          <reference field="1" count="0"/>
        </references>
      </pivotArea>
    </format>
    <format dxfId="176">
      <pivotArea type="all" dataOnly="0" outline="0" fieldPosition="0"/>
    </format>
    <format dxfId="175">
      <pivotArea type="all" dataOnly="0" outline="0" fieldPosition="0"/>
    </format>
    <format dxfId="174">
      <pivotArea type="all" dataOnly="0" outline="0" fieldPosition="0"/>
    </format>
    <format dxfId="173">
      <pivotArea dataOnly="0" labelOnly="1" fieldPosition="0">
        <references count="1">
          <reference field="0" count="0"/>
        </references>
      </pivotArea>
    </format>
  </formats>
  <chartFormats count="3">
    <chartFormat chart="0" format="18" series="1">
      <pivotArea type="data" outline="0" fieldPosition="0">
        <references count="2">
          <reference field="4294967294" count="1" selected="0">
            <x v="0"/>
          </reference>
          <reference field="1" count="1" selected="0">
            <x v="0"/>
          </reference>
        </references>
      </pivotArea>
    </chartFormat>
    <chartFormat chart="0" format="19" series="1">
      <pivotArea type="data" outline="0" fieldPosition="0">
        <references count="2">
          <reference field="4294967294" count="1" selected="0">
            <x v="0"/>
          </reference>
          <reference field="1" count="1" selected="0">
            <x v="1"/>
          </reference>
        </references>
      </pivotArea>
    </chartFormat>
    <chartFormat chart="0" format="20" series="1">
      <pivotArea type="data" outline="0" fieldPosition="0">
        <references count="2">
          <reference field="4294967294" count="1" selected="0">
            <x v="0"/>
          </reference>
          <reference field="1" count="1" selected="0">
            <x v="2"/>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PivotTable31" cacheId="13"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1" rowHeaderCaption="Radetiketter" colHeaderCaption="Kolumnetiketter">
  <location ref="N11:T22" firstHeaderRow="1" firstDataRow="2" firstDataCol="1"/>
  <pivotFields count="8">
    <pivotField axis="axisRow" showAll="0" defaultSubtotal="0">
      <items count="10">
        <item x="0"/>
        <item x="1"/>
        <item x="2"/>
        <item x="3"/>
        <item x="4"/>
        <item x="5"/>
        <item x="6"/>
        <item x="7"/>
        <item x="8"/>
        <item x="9"/>
      </items>
    </pivotField>
    <pivotField axis="axisCol" showAll="0">
      <items count="7">
        <item x="0"/>
        <item x="1"/>
        <item x="2"/>
        <item x="3"/>
        <item x="4"/>
        <item x="5"/>
        <item t="default"/>
      </items>
    </pivotField>
    <pivotField showAll="0"/>
    <pivotField showAll="0"/>
    <pivotField showAll="0"/>
    <pivotField showAll="0"/>
    <pivotField showAll="0"/>
    <pivotField dataField="1" showAll="0"/>
  </pivotFields>
  <rowFields count="1">
    <field x="0"/>
  </rowFields>
  <rowItems count="10">
    <i>
      <x/>
    </i>
    <i>
      <x v="1"/>
    </i>
    <i>
      <x v="2"/>
    </i>
    <i>
      <x v="3"/>
    </i>
    <i>
      <x v="4"/>
    </i>
    <i>
      <x v="5"/>
    </i>
    <i>
      <x v="6"/>
    </i>
    <i>
      <x v="7"/>
    </i>
    <i>
      <x v="8"/>
    </i>
    <i>
      <x v="9"/>
    </i>
  </rowItems>
  <colFields count="1">
    <field x="1"/>
  </colFields>
  <colItems count="6">
    <i>
      <x/>
    </i>
    <i>
      <x v="1"/>
    </i>
    <i>
      <x v="2"/>
    </i>
    <i>
      <x v="3"/>
    </i>
    <i>
      <x v="4"/>
    </i>
    <i>
      <x v="5"/>
    </i>
  </colItems>
  <dataFields count="1">
    <dataField name="Sum of VGR" fld="7" baseField="0" baseItem="7" numFmtId="166"/>
  </dataFields>
  <formats count="3">
    <format dxfId="122">
      <pivotArea type="all" dataOnly="0" outline="0" fieldPosition="0"/>
    </format>
    <format dxfId="121">
      <pivotArea type="all" dataOnly="0" outline="0" fieldPosition="0"/>
    </format>
    <format dxfId="120">
      <pivotArea dataOnly="0" labelOnly="1" fieldPosition="0">
        <references count="1">
          <reference field="0" count="0"/>
        </references>
      </pivotArea>
    </format>
  </formats>
  <chartFormats count="6">
    <chartFormat chart="0" format="6" series="1">
      <pivotArea type="data" outline="0" fieldPosition="0">
        <references count="2">
          <reference field="4294967294" count="1" selected="0">
            <x v="0"/>
          </reference>
          <reference field="1" count="1" selected="0">
            <x v="0"/>
          </reference>
        </references>
      </pivotArea>
    </chartFormat>
    <chartFormat chart="0" format="7" series="1">
      <pivotArea type="data" outline="0" fieldPosition="0">
        <references count="2">
          <reference field="4294967294" count="1" selected="0">
            <x v="0"/>
          </reference>
          <reference field="1" count="1" selected="0">
            <x v="1"/>
          </reference>
        </references>
      </pivotArea>
    </chartFormat>
    <chartFormat chart="0" format="8" series="1">
      <pivotArea type="data" outline="0" fieldPosition="0">
        <references count="2">
          <reference field="4294967294" count="1" selected="0">
            <x v="0"/>
          </reference>
          <reference field="1" count="1" selected="0">
            <x v="2"/>
          </reference>
        </references>
      </pivotArea>
    </chartFormat>
    <chartFormat chart="0" format="9" series="1">
      <pivotArea type="data" outline="0" fieldPosition="0">
        <references count="2">
          <reference field="4294967294" count="1" selected="0">
            <x v="0"/>
          </reference>
          <reference field="1" count="1" selected="0">
            <x v="3"/>
          </reference>
        </references>
      </pivotArea>
    </chartFormat>
    <chartFormat chart="0" format="10" series="1">
      <pivotArea type="data" outline="0" fieldPosition="0">
        <references count="2">
          <reference field="4294967294" count="1" selected="0">
            <x v="0"/>
          </reference>
          <reference field="1" count="1" selected="0">
            <x v="4"/>
          </reference>
        </references>
      </pivotArea>
    </chartFormat>
    <chartFormat chart="0" format="11" series="1">
      <pivotArea type="data" outline="0" fieldPosition="0">
        <references count="2">
          <reference field="4294967294" count="1" selected="0">
            <x v="0"/>
          </reference>
          <reference field="1" count="1" selected="0">
            <x v="5"/>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PivotTable14" cacheId="22"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1">
  <location ref="N11:P21" firstHeaderRow="1" firstDataRow="2" firstDataCol="1"/>
  <pivotFields count="8">
    <pivotField axis="axisRow" showAll="0">
      <items count="10">
        <item x="0"/>
        <item x="1"/>
        <item x="2"/>
        <item x="3"/>
        <item x="4"/>
        <item x="5"/>
        <item x="6"/>
        <item x="7"/>
        <item x="8"/>
        <item t="default"/>
      </items>
    </pivotField>
    <pivotField axis="axisCol" showAll="0">
      <items count="3">
        <item x="0"/>
        <item x="1"/>
        <item t="default"/>
      </items>
    </pivotField>
    <pivotField showAll="0"/>
    <pivotField showAll="0"/>
    <pivotField showAll="0"/>
    <pivotField showAll="0"/>
    <pivotField showAll="0"/>
    <pivotField dataField="1" showAll="0"/>
  </pivotFields>
  <rowFields count="1">
    <field x="0"/>
  </rowFields>
  <rowItems count="9">
    <i>
      <x/>
    </i>
    <i>
      <x v="1"/>
    </i>
    <i>
      <x v="2"/>
    </i>
    <i>
      <x v="3"/>
    </i>
    <i>
      <x v="4"/>
    </i>
    <i>
      <x v="5"/>
    </i>
    <i>
      <x v="6"/>
    </i>
    <i>
      <x v="7"/>
    </i>
    <i>
      <x v="8"/>
    </i>
  </rowItems>
  <colFields count="1">
    <field x="1"/>
  </colFields>
  <colItems count="2">
    <i>
      <x/>
    </i>
    <i>
      <x v="1"/>
    </i>
  </colItems>
  <dataFields count="1">
    <dataField name="Sum of VGR" fld="7" baseField="0" baseItem="6" numFmtId="166"/>
  </dataFields>
  <formats count="2">
    <format dxfId="117">
      <pivotArea type="all" dataOnly="0" outline="0" fieldPosition="0"/>
    </format>
    <format dxfId="116">
      <pivotArea dataOnly="0" labelOnly="1" fieldPosition="0">
        <references count="1">
          <reference field="0" count="0"/>
        </references>
      </pivotArea>
    </format>
  </formats>
  <chartFormats count="1">
    <chartFormat chart="0" format="4" series="1">
      <pivotArea type="data" outline="0" fieldPosition="0">
        <references count="1">
          <reference field="4294967294" count="1" selected="0">
            <x v="0"/>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PivotTable8" cacheId="27"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1">
  <location ref="N11:R21" firstHeaderRow="1" firstDataRow="2" firstDataCol="1"/>
  <pivotFields count="8">
    <pivotField axis="axisRow" showAll="0">
      <items count="10">
        <item x="0"/>
        <item x="1"/>
        <item x="2"/>
        <item x="3"/>
        <item x="4"/>
        <item x="5"/>
        <item x="6"/>
        <item x="7"/>
        <item x="8"/>
        <item t="default"/>
      </items>
    </pivotField>
    <pivotField axis="axisCol" showAll="0">
      <items count="5">
        <item x="2"/>
        <item x="0"/>
        <item x="1"/>
        <item x="3"/>
        <item t="default"/>
      </items>
    </pivotField>
    <pivotField showAll="0"/>
    <pivotField showAll="0"/>
    <pivotField showAll="0"/>
    <pivotField showAll="0"/>
    <pivotField showAll="0"/>
    <pivotField dataField="1" showAll="0"/>
  </pivotFields>
  <rowFields count="1">
    <field x="0"/>
  </rowFields>
  <rowItems count="9">
    <i>
      <x/>
    </i>
    <i>
      <x v="1"/>
    </i>
    <i>
      <x v="2"/>
    </i>
    <i>
      <x v="3"/>
    </i>
    <i>
      <x v="4"/>
    </i>
    <i>
      <x v="5"/>
    </i>
    <i>
      <x v="6"/>
    </i>
    <i>
      <x v="7"/>
    </i>
    <i>
      <x v="8"/>
    </i>
  </rowItems>
  <colFields count="1">
    <field x="1"/>
  </colFields>
  <colItems count="4">
    <i>
      <x/>
    </i>
    <i>
      <x v="1"/>
    </i>
    <i>
      <x v="2"/>
    </i>
    <i>
      <x v="3"/>
    </i>
  </colItems>
  <dataFields count="1">
    <dataField name="Sum of VGR" fld="7" baseField="0" baseItem="4" numFmtId="166"/>
  </dataFields>
  <formats count="2">
    <format dxfId="114">
      <pivotArea type="all" dataOnly="0" outline="0" fieldPosition="0"/>
    </format>
    <format dxfId="113">
      <pivotArea dataOnly="0" labelOnly="1" fieldPosition="0">
        <references count="1">
          <reference field="0" count="0"/>
        </references>
      </pivotArea>
    </format>
  </formats>
  <chartFormats count="4">
    <chartFormat chart="0" format="4" series="1">
      <pivotArea type="data" outline="0" fieldPosition="0">
        <references count="2">
          <reference field="4294967294" count="1" selected="0">
            <x v="0"/>
          </reference>
          <reference field="1" count="1" selected="0">
            <x v="0"/>
          </reference>
        </references>
      </pivotArea>
    </chartFormat>
    <chartFormat chart="0" format="5" series="1">
      <pivotArea type="data" outline="0" fieldPosition="0">
        <references count="2">
          <reference field="4294967294" count="1" selected="0">
            <x v="0"/>
          </reference>
          <reference field="1" count="1" selected="0">
            <x v="1"/>
          </reference>
        </references>
      </pivotArea>
    </chartFormat>
    <chartFormat chart="0" format="6" series="1">
      <pivotArea type="data" outline="0" fieldPosition="0">
        <references count="2">
          <reference field="4294967294" count="1" selected="0">
            <x v="0"/>
          </reference>
          <reference field="1" count="1" selected="0">
            <x v="2"/>
          </reference>
        </references>
      </pivotArea>
    </chartFormat>
    <chartFormat chart="0" format="7" series="1">
      <pivotArea type="data" outline="0" fieldPosition="0">
        <references count="2">
          <reference field="4294967294" count="1" selected="0">
            <x v="0"/>
          </reference>
          <reference field="1" count="1" selected="0">
            <x v="3"/>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PivotTable10" cacheId="26"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1">
  <location ref="N11:R21" firstHeaderRow="1" firstDataRow="2" firstDataCol="1"/>
  <pivotFields count="8">
    <pivotField axis="axisRow" showAll="0">
      <items count="10">
        <item x="0"/>
        <item x="1"/>
        <item x="2"/>
        <item x="3"/>
        <item x="4"/>
        <item x="5"/>
        <item x="6"/>
        <item x="7"/>
        <item x="8"/>
        <item t="default"/>
      </items>
    </pivotField>
    <pivotField axis="axisCol" showAll="0">
      <items count="5">
        <item x="2"/>
        <item x="0"/>
        <item x="1"/>
        <item x="3"/>
        <item t="default"/>
      </items>
    </pivotField>
    <pivotField showAll="0"/>
    <pivotField showAll="0"/>
    <pivotField showAll="0"/>
    <pivotField showAll="0"/>
    <pivotField showAll="0"/>
    <pivotField dataField="1" showAll="0"/>
  </pivotFields>
  <rowFields count="1">
    <field x="0"/>
  </rowFields>
  <rowItems count="9">
    <i>
      <x/>
    </i>
    <i>
      <x v="1"/>
    </i>
    <i>
      <x v="2"/>
    </i>
    <i>
      <x v="3"/>
    </i>
    <i>
      <x v="4"/>
    </i>
    <i>
      <x v="5"/>
    </i>
    <i>
      <x v="6"/>
    </i>
    <i>
      <x v="7"/>
    </i>
    <i>
      <x v="8"/>
    </i>
  </rowItems>
  <colFields count="1">
    <field x="1"/>
  </colFields>
  <colItems count="4">
    <i>
      <x/>
    </i>
    <i>
      <x v="1"/>
    </i>
    <i>
      <x v="2"/>
    </i>
    <i>
      <x v="3"/>
    </i>
  </colItems>
  <dataFields count="1">
    <dataField name="Sum of VGR" fld="7" baseField="0" baseItem="4" numFmtId="166"/>
  </dataFields>
  <formats count="2">
    <format dxfId="110">
      <pivotArea type="all" dataOnly="0" outline="0" fieldPosition="0"/>
    </format>
    <format dxfId="109">
      <pivotArea dataOnly="0" labelOnly="1" fieldPosition="0">
        <references count="1">
          <reference field="0" count="0"/>
        </references>
      </pivotArea>
    </format>
  </formats>
  <chartFormats count="4">
    <chartFormat chart="0" format="4" series="1">
      <pivotArea type="data" outline="0" fieldPosition="0">
        <references count="2">
          <reference field="4294967294" count="1" selected="0">
            <x v="0"/>
          </reference>
          <reference field="1" count="1" selected="0">
            <x v="0"/>
          </reference>
        </references>
      </pivotArea>
    </chartFormat>
    <chartFormat chart="0" format="5" series="1">
      <pivotArea type="data" outline="0" fieldPosition="0">
        <references count="2">
          <reference field="4294967294" count="1" selected="0">
            <x v="0"/>
          </reference>
          <reference field="1" count="1" selected="0">
            <x v="1"/>
          </reference>
        </references>
      </pivotArea>
    </chartFormat>
    <chartFormat chart="0" format="6" series="1">
      <pivotArea type="data" outline="0" fieldPosition="0">
        <references count="2">
          <reference field="4294967294" count="1" selected="0">
            <x v="0"/>
          </reference>
          <reference field="1" count="1" selected="0">
            <x v="2"/>
          </reference>
        </references>
      </pivotArea>
    </chartFormat>
    <chartFormat chart="0" format="7" series="1">
      <pivotArea type="data" outline="0" fieldPosition="0">
        <references count="2">
          <reference field="4294967294" count="1" selected="0">
            <x v="0"/>
          </reference>
          <reference field="1" count="1" selected="0">
            <x v="3"/>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PivotTable40" cacheId="12"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3" rowHeaderCaption="Radetiketter" colHeaderCaption="Kolumnetiketter">
  <location ref="N11:O22" firstHeaderRow="1" firstDataRow="2" firstDataCol="1"/>
  <pivotFields count="8">
    <pivotField axis="axisRow" showAll="0">
      <items count="11">
        <item x="0"/>
        <item x="1"/>
        <item x="2"/>
        <item x="3"/>
        <item x="4"/>
        <item x="5"/>
        <item x="6"/>
        <item x="7"/>
        <item x="8"/>
        <item x="9"/>
        <item t="default"/>
      </items>
    </pivotField>
    <pivotField axis="axisCol" showAll="0">
      <items count="2">
        <item x="0"/>
        <item t="default"/>
      </items>
    </pivotField>
    <pivotField showAll="0"/>
    <pivotField showAll="0"/>
    <pivotField showAll="0"/>
    <pivotField showAll="0"/>
    <pivotField showAll="0"/>
    <pivotField dataField="1" showAll="0"/>
  </pivotFields>
  <rowFields count="1">
    <field x="0"/>
  </rowFields>
  <rowItems count="10">
    <i>
      <x/>
    </i>
    <i>
      <x v="1"/>
    </i>
    <i>
      <x v="2"/>
    </i>
    <i>
      <x v="3"/>
    </i>
    <i>
      <x v="4"/>
    </i>
    <i>
      <x v="5"/>
    </i>
    <i>
      <x v="6"/>
    </i>
    <i>
      <x v="7"/>
    </i>
    <i>
      <x v="8"/>
    </i>
    <i>
      <x v="9"/>
    </i>
  </rowItems>
  <colFields count="1">
    <field x="1"/>
  </colFields>
  <colItems count="1">
    <i>
      <x/>
    </i>
  </colItems>
  <dataFields count="1">
    <dataField name="Sum of VGR" fld="7" baseField="0" baseItem="0" numFmtId="166"/>
  </dataFields>
  <formats count="10">
    <format dxfId="106">
      <pivotArea type="origin" dataOnly="0" labelOnly="1" outline="0" fieldPosition="0"/>
    </format>
    <format dxfId="105">
      <pivotArea field="1" type="button" dataOnly="0" labelOnly="1" outline="0" axis="axisCol" fieldPosition="0"/>
    </format>
    <format dxfId="104">
      <pivotArea field="0" type="button" dataOnly="0" labelOnly="1" outline="0" axis="axisRow" fieldPosition="0"/>
    </format>
    <format dxfId="103">
      <pivotArea dataOnly="0" labelOnly="1" fieldPosition="0">
        <references count="1">
          <reference field="1" count="0"/>
        </references>
      </pivotArea>
    </format>
    <format dxfId="102">
      <pivotArea outline="0" fieldPosition="0">
        <references count="1">
          <reference field="4294967294" count="1">
            <x v="0"/>
          </reference>
        </references>
      </pivotArea>
    </format>
    <format dxfId="101">
      <pivotArea field="-2" type="button" dataOnly="0" labelOnly="1" outline="0" axis="axisValues" fieldPosition="0"/>
    </format>
    <format dxfId="100">
      <pivotArea dataOnly="0" labelOnly="1" outline="0" fieldPosition="0">
        <references count="2">
          <reference field="4294967294" count="1">
            <x v="0"/>
          </reference>
          <reference field="1" count="0" selected="0"/>
        </references>
      </pivotArea>
    </format>
    <format dxfId="99">
      <pivotArea type="all" dataOnly="0" outline="0" fieldPosition="0"/>
    </format>
    <format dxfId="98">
      <pivotArea dataOnly="0" labelOnly="1" fieldPosition="0">
        <references count="1">
          <reference field="0" count="0"/>
        </references>
      </pivotArea>
    </format>
    <format dxfId="97">
      <pivotArea type="all" dataOnly="0" outline="0" fieldPosition="0"/>
    </format>
  </formats>
  <chartFormats count="2">
    <chartFormat chart="0" format="2" series="1">
      <pivotArea type="data" outline="0" fieldPosition="0">
        <references count="2">
          <reference field="4294967294" count="1" selected="0">
            <x v="0"/>
          </reference>
          <reference field="1" count="1" selected="0">
            <x v="0"/>
          </reference>
        </references>
      </pivotArea>
    </chartFormat>
    <chartFormat chart="0" format="4" series="1">
      <pivotArea type="data" outline="0" fieldPosition="0">
        <references count="1">
          <reference field="4294967294" count="1" selected="0">
            <x v="0"/>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PivotTable42" cacheId="11"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3" rowHeaderCaption="Radetiketter" colHeaderCaption="Kolumnetiketter">
  <location ref="N11:O22" firstHeaderRow="1" firstDataRow="2" firstDataCol="1"/>
  <pivotFields count="8">
    <pivotField axis="axisRow" showAll="0">
      <items count="11">
        <item x="0"/>
        <item x="1"/>
        <item x="2"/>
        <item x="3"/>
        <item x="4"/>
        <item x="5"/>
        <item x="6"/>
        <item x="7"/>
        <item x="8"/>
        <item x="9"/>
        <item t="default"/>
      </items>
    </pivotField>
    <pivotField axis="axisCol" showAll="0">
      <items count="2">
        <item x="0"/>
        <item t="default"/>
      </items>
    </pivotField>
    <pivotField showAll="0"/>
    <pivotField showAll="0"/>
    <pivotField showAll="0"/>
    <pivotField showAll="0"/>
    <pivotField showAll="0"/>
    <pivotField dataField="1" showAll="0"/>
  </pivotFields>
  <rowFields count="1">
    <field x="0"/>
  </rowFields>
  <rowItems count="10">
    <i>
      <x/>
    </i>
    <i>
      <x v="1"/>
    </i>
    <i>
      <x v="2"/>
    </i>
    <i>
      <x v="3"/>
    </i>
    <i>
      <x v="4"/>
    </i>
    <i>
      <x v="5"/>
    </i>
    <i>
      <x v="6"/>
    </i>
    <i>
      <x v="7"/>
    </i>
    <i>
      <x v="8"/>
    </i>
    <i>
      <x v="9"/>
    </i>
  </rowItems>
  <colFields count="1">
    <field x="1"/>
  </colFields>
  <colItems count="1">
    <i>
      <x/>
    </i>
  </colItems>
  <dataFields count="1">
    <dataField name="Sum of VGR" fld="7" baseField="0" baseItem="2" numFmtId="166"/>
  </dataFields>
  <formats count="12">
    <format dxfId="93">
      <pivotArea type="origin" dataOnly="0" labelOnly="1" outline="0" fieldPosition="0"/>
    </format>
    <format dxfId="92">
      <pivotArea field="1" type="button" dataOnly="0" labelOnly="1" outline="0" axis="axisCol" fieldPosition="0"/>
    </format>
    <format dxfId="91">
      <pivotArea field="-2" type="button" dataOnly="0" labelOnly="1" outline="0" axis="axisValues" fieldPosition="0"/>
    </format>
    <format dxfId="90">
      <pivotArea type="topRight" dataOnly="0" labelOnly="1" outline="0" fieldPosition="0"/>
    </format>
    <format dxfId="89">
      <pivotArea field="0" type="button" dataOnly="0" labelOnly="1" outline="0" axis="axisRow" fieldPosition="0"/>
    </format>
    <format dxfId="88">
      <pivotArea dataOnly="0" labelOnly="1" fieldPosition="0">
        <references count="1">
          <reference field="1" count="0"/>
        </references>
      </pivotArea>
    </format>
    <format dxfId="87">
      <pivotArea field="1" dataOnly="0" labelOnly="1" grandCol="1" outline="0" axis="axisCol" fieldPosition="0">
        <references count="1">
          <reference field="4294967294" count="1" selected="0">
            <x v="0"/>
          </reference>
        </references>
      </pivotArea>
    </format>
    <format dxfId="86">
      <pivotArea field="1" dataOnly="0" labelOnly="1" grandCol="1" outline="0" axis="axisCol" fieldPosition="0">
        <references count="1">
          <reference field="4294967294" count="1" selected="0">
            <x v="0"/>
          </reference>
        </references>
      </pivotArea>
    </format>
    <format dxfId="85">
      <pivotArea dataOnly="0" labelOnly="1" outline="0" fieldPosition="0">
        <references count="2">
          <reference field="4294967294" count="1">
            <x v="0"/>
          </reference>
          <reference field="1" count="0" selected="0"/>
        </references>
      </pivotArea>
    </format>
    <format dxfId="84">
      <pivotArea type="all" dataOnly="0" outline="0" fieldPosition="0"/>
    </format>
    <format dxfId="83">
      <pivotArea dataOnly="0" labelOnly="1" fieldPosition="0">
        <references count="1">
          <reference field="0" count="0"/>
        </references>
      </pivotArea>
    </format>
    <format dxfId="82">
      <pivotArea type="all" dataOnly="0" outline="0" fieldPosition="0"/>
    </format>
  </formats>
  <chartFormats count="2">
    <chartFormat chart="0" format="1" series="1">
      <pivotArea type="data" outline="0" fieldPosition="0">
        <references count="2">
          <reference field="4294967294" count="1" selected="0">
            <x v="0"/>
          </reference>
          <reference field="1" count="1" selected="0">
            <x v="0"/>
          </reference>
        </references>
      </pivotArea>
    </chartFormat>
    <chartFormat chart="0" format="3" series="1">
      <pivotArea type="data" outline="0" fieldPosition="0">
        <references count="1">
          <reference field="4294967294" count="1" selected="0">
            <x v="0"/>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PivotTable46" cacheId="9"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3" rowHeaderCaption="Radetiketter" colHeaderCaption="Kolumnetiketter">
  <location ref="N11:O24" firstHeaderRow="1" firstDataRow="2" firstDataCol="1"/>
  <pivotFields count="52">
    <pivotField axis="axisRow" showAll="0">
      <items count="13">
        <item x="0"/>
        <item x="1"/>
        <item x="2"/>
        <item x="3"/>
        <item x="4"/>
        <item x="5"/>
        <item x="6"/>
        <item x="7"/>
        <item x="8"/>
        <item x="9"/>
        <item x="10"/>
        <item x="11"/>
        <item t="default"/>
      </items>
    </pivotField>
    <pivotField axis="axisCol" showAll="0">
      <items count="2">
        <item x="0"/>
        <item t="default"/>
      </items>
    </pivotField>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dataField="1" numFmtId="166" showAll="0"/>
  </pivotFields>
  <rowFields count="1">
    <field x="0"/>
  </rowFields>
  <rowItems count="12">
    <i>
      <x/>
    </i>
    <i>
      <x v="1"/>
    </i>
    <i>
      <x v="2"/>
    </i>
    <i>
      <x v="3"/>
    </i>
    <i>
      <x v="4"/>
    </i>
    <i>
      <x v="5"/>
    </i>
    <i>
      <x v="6"/>
    </i>
    <i>
      <x v="7"/>
    </i>
    <i>
      <x v="8"/>
    </i>
    <i>
      <x v="9"/>
    </i>
    <i>
      <x v="10"/>
    </i>
    <i>
      <x v="11"/>
    </i>
  </rowItems>
  <colFields count="1">
    <field x="1"/>
  </colFields>
  <colItems count="1">
    <i>
      <x/>
    </i>
  </colItems>
  <dataFields count="1">
    <dataField name="Sum of VGR" fld="51" baseField="0" baseItem="0" numFmtId="166"/>
  </dataFields>
  <formats count="3">
    <format dxfId="78">
      <pivotArea type="all" dataOnly="0" outline="0" fieldPosition="0"/>
    </format>
    <format dxfId="77">
      <pivotArea dataOnly="0" labelOnly="1" fieldPosition="0">
        <references count="1">
          <reference field="0" count="0"/>
        </references>
      </pivotArea>
    </format>
    <format dxfId="76">
      <pivotArea type="all" dataOnly="0" outline="0" fieldPosition="0"/>
    </format>
  </formats>
  <chartFormats count="2">
    <chartFormat chart="0" format="1" series="1">
      <pivotArea type="data" outline="0" fieldPosition="0">
        <references count="2">
          <reference field="4294967294" count="1" selected="0">
            <x v="0"/>
          </reference>
          <reference field="1" count="1" selected="0">
            <x v="0"/>
          </reference>
        </references>
      </pivotArea>
    </chartFormat>
    <chartFormat chart="0" format="3" series="1">
      <pivotArea type="data" outline="0" fieldPosition="0">
        <references count="1">
          <reference field="4294967294" count="1" selected="0">
            <x v="0"/>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PivotTable44" cacheId="10"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3" rowHeaderCaption="Radetiketter" colHeaderCaption="Kolumnetiketter">
  <location ref="N11:O28" firstHeaderRow="1" firstDataRow="2" firstDataCol="1"/>
  <pivotFields count="52">
    <pivotField axis="axisRow" showAll="0">
      <items count="17">
        <item x="0"/>
        <item x="1"/>
        <item x="2"/>
        <item x="3"/>
        <item x="4"/>
        <item x="5"/>
        <item x="6"/>
        <item x="7"/>
        <item x="8"/>
        <item x="9"/>
        <item x="10"/>
        <item x="11"/>
        <item x="12"/>
        <item x="13"/>
        <item x="14"/>
        <item x="15"/>
        <item t="default"/>
      </items>
    </pivotField>
    <pivotField axis="axisCol" showAll="0">
      <items count="2">
        <item x="0"/>
        <item t="default"/>
      </items>
    </pivotField>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6" showAll="0" defaultSubtotal="0"/>
  </pivotFields>
  <rowFields count="1">
    <field x="0"/>
  </rowFields>
  <rowItems count="16">
    <i>
      <x/>
    </i>
    <i>
      <x v="1"/>
    </i>
    <i>
      <x v="2"/>
    </i>
    <i>
      <x v="3"/>
    </i>
    <i>
      <x v="4"/>
    </i>
    <i>
      <x v="5"/>
    </i>
    <i>
      <x v="6"/>
    </i>
    <i>
      <x v="7"/>
    </i>
    <i>
      <x v="8"/>
    </i>
    <i>
      <x v="9"/>
    </i>
    <i>
      <x v="10"/>
    </i>
    <i>
      <x v="11"/>
    </i>
    <i>
      <x v="12"/>
    </i>
    <i>
      <x v="13"/>
    </i>
    <i>
      <x v="14"/>
    </i>
    <i>
      <x v="15"/>
    </i>
  </rowItems>
  <colFields count="1">
    <field x="1"/>
  </colFields>
  <colItems count="1">
    <i>
      <x/>
    </i>
  </colItems>
  <dataFields count="1">
    <dataField name="Sum of VGR" fld="51" baseField="0" baseItem="0" numFmtId="166"/>
  </dataFields>
  <formats count="3">
    <format dxfId="71">
      <pivotArea type="all" dataOnly="0" outline="0" fieldPosition="0"/>
    </format>
    <format dxfId="70">
      <pivotArea type="all" dataOnly="0" outline="0" fieldPosition="0"/>
    </format>
    <format dxfId="69">
      <pivotArea dataOnly="0" labelOnly="1" fieldPosition="0">
        <references count="1">
          <reference field="0" count="0"/>
        </references>
      </pivotArea>
    </format>
  </formats>
  <chartFormats count="1">
    <chartFormat chart="0" format="4" series="1">
      <pivotArea type="data" outline="0" fieldPosition="0">
        <references count="1">
          <reference field="4294967294" count="1" selected="0">
            <x v="0"/>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PivotTable48" cacheId="8"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3" rowHeaderCaption="Radetiketter" colHeaderCaption="Kolumnetiketter">
  <location ref="N11:O25" firstHeaderRow="1" firstDataRow="2" firstDataCol="1"/>
  <pivotFields count="49">
    <pivotField axis="axisRow" showAll="0">
      <items count="14">
        <item x="0"/>
        <item x="1"/>
        <item x="2"/>
        <item x="3"/>
        <item x="4"/>
        <item x="5"/>
        <item x="6"/>
        <item x="7"/>
        <item x="8"/>
        <item x="9"/>
        <item x="10"/>
        <item x="11"/>
        <item x="12"/>
        <item t="default"/>
      </items>
    </pivotField>
    <pivotField axis="axisCol" showAll="0">
      <items count="2">
        <item x="0"/>
        <item t="default"/>
      </items>
    </pivotField>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dataField="1" numFmtId="166" showAll="0"/>
  </pivotFields>
  <rowFields count="1">
    <field x="0"/>
  </rowFields>
  <rowItems count="13">
    <i>
      <x/>
    </i>
    <i>
      <x v="1"/>
    </i>
    <i>
      <x v="2"/>
    </i>
    <i>
      <x v="3"/>
    </i>
    <i>
      <x v="4"/>
    </i>
    <i>
      <x v="5"/>
    </i>
    <i>
      <x v="6"/>
    </i>
    <i>
      <x v="7"/>
    </i>
    <i>
      <x v="8"/>
    </i>
    <i>
      <x v="9"/>
    </i>
    <i>
      <x v="10"/>
    </i>
    <i>
      <x v="11"/>
    </i>
    <i>
      <x v="12"/>
    </i>
  </rowItems>
  <colFields count="1">
    <field x="1"/>
  </colFields>
  <colItems count="1">
    <i>
      <x/>
    </i>
  </colItems>
  <dataFields count="1">
    <dataField name="Sum of VGR" fld="48" baseField="0" baseItem="0" numFmtId="166"/>
  </dataFields>
  <formats count="7">
    <format dxfId="64">
      <pivotArea type="origin" dataOnly="0" labelOnly="1" outline="0" fieldPosition="0"/>
    </format>
    <format dxfId="63">
      <pivotArea field="1" type="button" dataOnly="0" labelOnly="1" outline="0" axis="axisCol" fieldPosition="0"/>
    </format>
    <format dxfId="62">
      <pivotArea field="0" type="button" dataOnly="0" labelOnly="1" outline="0" axis="axisRow" fieldPosition="0"/>
    </format>
    <format dxfId="61">
      <pivotArea dataOnly="0" labelOnly="1" fieldPosition="0">
        <references count="1">
          <reference field="1" count="0"/>
        </references>
      </pivotArea>
    </format>
    <format dxfId="60">
      <pivotArea type="all" dataOnly="0" outline="0" fieldPosition="0"/>
    </format>
    <format dxfId="59">
      <pivotArea dataOnly="0" labelOnly="1" fieldPosition="0">
        <references count="1">
          <reference field="0" count="0"/>
        </references>
      </pivotArea>
    </format>
    <format dxfId="58">
      <pivotArea type="all" dataOnly="0" outline="0" fieldPosition="0"/>
    </format>
  </formats>
  <chartFormats count="1">
    <chartFormat chart="0" format="4" series="1">
      <pivotArea type="data" outline="0" fieldPosition="0">
        <references count="1">
          <reference field="4294967294" count="1" selected="0">
            <x v="0"/>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name="PivotTable13" cacheId="23"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1">
  <location ref="N11:Q28" firstHeaderRow="1" firstDataRow="2" firstDataCol="1"/>
  <pivotFields count="3">
    <pivotField axis="axisRow" showAll="0">
      <items count="17">
        <item x="0"/>
        <item x="1"/>
        <item x="2"/>
        <item x="3"/>
        <item x="4"/>
        <item x="5"/>
        <item x="6"/>
        <item x="7"/>
        <item x="8"/>
        <item x="9"/>
        <item x="10"/>
        <item x="11"/>
        <item x="12"/>
        <item x="13"/>
        <item x="14"/>
        <item x="15"/>
        <item t="default"/>
      </items>
    </pivotField>
    <pivotField axis="axisCol" showAll="0">
      <items count="4">
        <item x="2"/>
        <item x="1"/>
        <item x="0"/>
        <item t="default"/>
      </items>
    </pivotField>
    <pivotField dataField="1" showAll="0"/>
  </pivotFields>
  <rowFields count="1">
    <field x="0"/>
  </rowFields>
  <rowItems count="16">
    <i>
      <x/>
    </i>
    <i>
      <x v="1"/>
    </i>
    <i>
      <x v="2"/>
    </i>
    <i>
      <x v="3"/>
    </i>
    <i>
      <x v="4"/>
    </i>
    <i>
      <x v="5"/>
    </i>
    <i>
      <x v="6"/>
    </i>
    <i>
      <x v="7"/>
    </i>
    <i>
      <x v="8"/>
    </i>
    <i>
      <x v="9"/>
    </i>
    <i>
      <x v="10"/>
    </i>
    <i>
      <x v="11"/>
    </i>
    <i>
      <x v="12"/>
    </i>
    <i>
      <x v="13"/>
    </i>
    <i>
      <x v="14"/>
    </i>
    <i>
      <x v="15"/>
    </i>
  </rowItems>
  <colFields count="1">
    <field x="1"/>
  </colFields>
  <colItems count="3">
    <i>
      <x/>
    </i>
    <i>
      <x v="1"/>
    </i>
    <i>
      <x v="2"/>
    </i>
  </colItems>
  <dataFields count="1">
    <dataField name="Sum of VGR" fld="2" baseField="0" baseItem="0" numFmtId="1"/>
  </dataFields>
  <chartFormats count="3">
    <chartFormat chart="0" format="3" series="1">
      <pivotArea type="data" outline="0" fieldPosition="0">
        <references count="2">
          <reference field="4294967294" count="1" selected="0">
            <x v="0"/>
          </reference>
          <reference field="1" count="1" selected="0">
            <x v="0"/>
          </reference>
        </references>
      </pivotArea>
    </chartFormat>
    <chartFormat chart="0" format="4" series="1">
      <pivotArea type="data" outline="0" fieldPosition="0">
        <references count="2">
          <reference field="4294967294" count="1" selected="0">
            <x v="0"/>
          </reference>
          <reference field="1" count="1" selected="0">
            <x v="1"/>
          </reference>
        </references>
      </pivotArea>
    </chartFormat>
    <chartFormat chart="0" format="5" series="1">
      <pivotArea type="data" outline="0" fieldPosition="0">
        <references count="2">
          <reference field="4294967294" count="1" selected="0">
            <x v="0"/>
          </reference>
          <reference field="1" count="1" selected="0">
            <x v="2"/>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8" cacheId="20"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5" rowHeaderCaption="Radetiketter" colHeaderCaption="Kolumnetiketter">
  <location ref="N11:Q28" firstHeaderRow="1" firstDataRow="2" firstDataCol="1"/>
  <pivotFields count="17">
    <pivotField axis="axisRow" showAll="0" sortType="ascending">
      <items count="17">
        <item x="0"/>
        <item x="1"/>
        <item x="2"/>
        <item x="3"/>
        <item x="4"/>
        <item x="5"/>
        <item x="6"/>
        <item x="7"/>
        <item x="8"/>
        <item x="9"/>
        <item x="10"/>
        <item x="11"/>
        <item x="12"/>
        <item x="13"/>
        <item x="14"/>
        <item x="15"/>
        <item t="default"/>
      </items>
    </pivotField>
    <pivotField axis="axisCol" showAll="0" sortType="descending">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pivotFields>
  <rowFields count="1">
    <field x="0"/>
  </rowFields>
  <rowItems count="16">
    <i>
      <x/>
    </i>
    <i>
      <x v="1"/>
    </i>
    <i>
      <x v="2"/>
    </i>
    <i>
      <x v="3"/>
    </i>
    <i>
      <x v="4"/>
    </i>
    <i>
      <x v="5"/>
    </i>
    <i>
      <x v="6"/>
    </i>
    <i>
      <x v="7"/>
    </i>
    <i>
      <x v="8"/>
    </i>
    <i>
      <x v="9"/>
    </i>
    <i>
      <x v="10"/>
    </i>
    <i>
      <x v="11"/>
    </i>
    <i>
      <x v="12"/>
    </i>
    <i>
      <x v="13"/>
    </i>
    <i>
      <x v="14"/>
    </i>
    <i>
      <x v="15"/>
    </i>
  </rowItems>
  <colFields count="1">
    <field x="1"/>
  </colFields>
  <colItems count="3">
    <i>
      <x/>
    </i>
    <i>
      <x v="1"/>
    </i>
    <i>
      <x v="2"/>
    </i>
  </colItems>
  <dataFields count="1">
    <dataField name="Sum of 20-85+" fld="16" baseField="0" baseItem="6" numFmtId="169"/>
  </dataFields>
  <formats count="8">
    <format dxfId="172">
      <pivotArea type="origin" dataOnly="0" labelOnly="1" outline="0" fieldPosition="0"/>
    </format>
    <format dxfId="171">
      <pivotArea field="1" type="button" dataOnly="0" labelOnly="1" outline="0" axis="axisCol" fieldPosition="0"/>
    </format>
    <format dxfId="170">
      <pivotArea type="topRight" dataOnly="0" labelOnly="1" outline="0" fieldPosition="0"/>
    </format>
    <format dxfId="169">
      <pivotArea field="0" type="button" dataOnly="0" labelOnly="1" outline="0" axis="axisRow" fieldPosition="0"/>
    </format>
    <format dxfId="168">
      <pivotArea dataOnly="0" labelOnly="1" fieldPosition="0">
        <references count="1">
          <reference field="1" count="0"/>
        </references>
      </pivotArea>
    </format>
    <format dxfId="167">
      <pivotArea type="all" dataOnly="0" outline="0" fieldPosition="0"/>
    </format>
    <format dxfId="166">
      <pivotArea type="all" dataOnly="0" outline="0" fieldPosition="0"/>
    </format>
    <format dxfId="165">
      <pivotArea dataOnly="0" labelOnly="1" fieldPosition="0">
        <references count="1">
          <reference field="0" count="0"/>
        </references>
      </pivotArea>
    </format>
  </formats>
  <chartFormats count="3">
    <chartFormat chart="0" format="28" series="1">
      <pivotArea type="data" outline="0" fieldPosition="0">
        <references count="2">
          <reference field="4294967294" count="1" selected="0">
            <x v="0"/>
          </reference>
          <reference field="1" count="1" selected="0">
            <x v="0"/>
          </reference>
        </references>
      </pivotArea>
    </chartFormat>
    <chartFormat chart="0" format="29" series="1">
      <pivotArea type="data" outline="0" fieldPosition="0">
        <references count="2">
          <reference field="4294967294" count="1" selected="0">
            <x v="0"/>
          </reference>
          <reference field="1" count="1" selected="0">
            <x v="1"/>
          </reference>
        </references>
      </pivotArea>
    </chartFormat>
    <chartFormat chart="0" format="30" series="1">
      <pivotArea type="data" outline="0" fieldPosition="0">
        <references count="2">
          <reference field="4294967294" count="1" selected="0">
            <x v="0"/>
          </reference>
          <reference field="1" count="1" selected="0">
            <x v="2"/>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name="PivotTable11" cacheId="25"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1">
  <location ref="N11:O22" firstHeaderRow="1" firstDataRow="2" firstDataCol="1"/>
  <pivotFields count="8">
    <pivotField axis="axisRow" showAll="0">
      <items count="11">
        <item x="0"/>
        <item x="1"/>
        <item x="2"/>
        <item x="3"/>
        <item x="4"/>
        <item x="5"/>
        <item x="6"/>
        <item x="7"/>
        <item x="8"/>
        <item x="9"/>
        <item t="default"/>
      </items>
    </pivotField>
    <pivotField axis="axisCol" showAll="0">
      <items count="2">
        <item x="0"/>
        <item t="default"/>
      </items>
    </pivotField>
    <pivotField showAll="0"/>
    <pivotField showAll="0"/>
    <pivotField showAll="0"/>
    <pivotField showAll="0"/>
    <pivotField showAll="0"/>
    <pivotField dataField="1" showAll="0"/>
  </pivotFields>
  <rowFields count="1">
    <field x="0"/>
  </rowFields>
  <rowItems count="10">
    <i>
      <x/>
    </i>
    <i>
      <x v="1"/>
    </i>
    <i>
      <x v="2"/>
    </i>
    <i>
      <x v="3"/>
    </i>
    <i>
      <x v="4"/>
    </i>
    <i>
      <x v="5"/>
    </i>
    <i>
      <x v="6"/>
    </i>
    <i>
      <x v="7"/>
    </i>
    <i>
      <x v="8"/>
    </i>
    <i>
      <x v="9"/>
    </i>
  </rowItems>
  <colFields count="1">
    <field x="1"/>
  </colFields>
  <colItems count="1">
    <i>
      <x/>
    </i>
  </colItems>
  <dataFields count="1">
    <dataField name="Sum of VGR" fld="7" baseField="0" baseItem="0" numFmtId="166"/>
  </dataFields>
  <formats count="2">
    <format dxfId="53">
      <pivotArea type="all" dataOnly="0" outline="0" fieldPosition="0"/>
    </format>
    <format dxfId="52">
      <pivotArea dataOnly="0" labelOnly="1" fieldPosition="0">
        <references count="1">
          <reference field="0" count="0"/>
        </references>
      </pivotArea>
    </format>
  </formats>
  <chartFormats count="1">
    <chartFormat chart="0" format="2" series="1">
      <pivotArea type="data" outline="0" fieldPosition="0">
        <references count="1">
          <reference field="4294967294" count="1" selected="0">
            <x v="0"/>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name="PivotTable51" cacheId="7"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5" rowHeaderCaption="Radetiketter" colHeaderCaption="Kolumnetiketter">
  <location ref="N11:Q22" firstHeaderRow="1" firstDataRow="2" firstDataCol="1"/>
  <pivotFields count="53">
    <pivotField axis="axisRow" showAll="0">
      <items count="11">
        <item x="0"/>
        <item x="1"/>
        <item x="2"/>
        <item x="3"/>
        <item x="4"/>
        <item x="5"/>
        <item x="6"/>
        <item x="7"/>
        <item x="8"/>
        <item x="9"/>
        <item t="default"/>
      </items>
    </pivotField>
    <pivotField axis="axisCol"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10">
    <i>
      <x/>
    </i>
    <i>
      <x v="1"/>
    </i>
    <i>
      <x v="2"/>
    </i>
    <i>
      <x v="3"/>
    </i>
    <i>
      <x v="4"/>
    </i>
    <i>
      <x v="5"/>
    </i>
    <i>
      <x v="6"/>
    </i>
    <i>
      <x v="7"/>
    </i>
    <i>
      <x v="8"/>
    </i>
    <i>
      <x v="9"/>
    </i>
  </rowItems>
  <colFields count="1">
    <field x="1"/>
  </colFields>
  <colItems count="3">
    <i>
      <x/>
    </i>
    <i>
      <x v="1"/>
    </i>
    <i>
      <x v="2"/>
    </i>
  </colItems>
  <dataFields count="1">
    <dataField name="Sum of VGR" fld="52" baseField="0" baseItem="0"/>
  </dataFields>
  <formats count="2">
    <format dxfId="48">
      <pivotArea type="all" dataOnly="0" outline="0" fieldPosition="0"/>
    </format>
    <format dxfId="47">
      <pivotArea dataOnly="0" labelOnly="1" fieldPosition="0">
        <references count="1">
          <reference field="0" count="0"/>
        </references>
      </pivotArea>
    </format>
  </formats>
  <chartFormats count="2">
    <chartFormat chart="0" format="12" series="1">
      <pivotArea type="data" outline="0" fieldPosition="0"/>
    </chartFormat>
    <chartFormat chart="0" format="13" series="1">
      <pivotArea type="data" outline="0" fieldPosition="0">
        <references count="1">
          <reference field="4294967294" count="1" selected="0">
            <x v="0"/>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name="PivotTable53" cacheId="6"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3" rowHeaderCaption="Radetiketter">
  <location ref="N11:Q22" firstHeaderRow="1" firstDataRow="2" firstDataCol="1"/>
  <pivotFields count="49">
    <pivotField axis="axisRow" showAll="0">
      <items count="11">
        <item x="0"/>
        <item x="1"/>
        <item x="2"/>
        <item x="3"/>
        <item x="4"/>
        <item x="5"/>
        <item x="6"/>
        <item x="7"/>
        <item x="8"/>
        <item x="9"/>
        <item t="default"/>
      </items>
    </pivotField>
    <pivotField axis="axisCol"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10">
    <i>
      <x/>
    </i>
    <i>
      <x v="1"/>
    </i>
    <i>
      <x v="2"/>
    </i>
    <i>
      <x v="3"/>
    </i>
    <i>
      <x v="4"/>
    </i>
    <i>
      <x v="5"/>
    </i>
    <i>
      <x v="6"/>
    </i>
    <i>
      <x v="7"/>
    </i>
    <i>
      <x v="8"/>
    </i>
    <i>
      <x v="9"/>
    </i>
  </rowItems>
  <colFields count="1">
    <field x="1"/>
  </colFields>
  <colItems count="3">
    <i>
      <x/>
    </i>
    <i>
      <x v="1"/>
    </i>
    <i>
      <x v="2"/>
    </i>
  </colItems>
  <dataFields count="1">
    <dataField name="Sum of VGR" fld="48" baseField="0" baseItem="0" numFmtId="166"/>
  </dataFields>
  <formats count="2">
    <format dxfId="41">
      <pivotArea type="all" dataOnly="0" outline="0" fieldPosition="0"/>
    </format>
    <format dxfId="40">
      <pivotArea dataOnly="0" labelOnly="1" fieldPosition="0">
        <references count="1">
          <reference field="0" count="0"/>
        </references>
      </pivotArea>
    </format>
  </formats>
  <chartFormats count="1">
    <chartFormat chart="0" format="6" series="1">
      <pivotArea type="data" outline="0" fieldPosition="0">
        <references count="1">
          <reference field="4294967294" count="1" selected="0">
            <x v="0"/>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name="PivotTable55" cacheId="5"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1" rowHeaderCaption="Radetiketter" colHeaderCaption="Kolumnetiketter">
  <location ref="N11:Q22" firstHeaderRow="1" firstDataRow="2" firstDataCol="1"/>
  <pivotFields count="53">
    <pivotField axis="axisRow" showAll="0">
      <items count="11">
        <item x="0"/>
        <item x="1"/>
        <item x="2"/>
        <item x="3"/>
        <item x="4"/>
        <item x="5"/>
        <item x="6"/>
        <item x="7"/>
        <item x="8"/>
        <item x="9"/>
        <item t="default"/>
      </items>
    </pivotField>
    <pivotField axis="axisCol"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10">
    <i>
      <x/>
    </i>
    <i>
      <x v="1"/>
    </i>
    <i>
      <x v="2"/>
    </i>
    <i>
      <x v="3"/>
    </i>
    <i>
      <x v="4"/>
    </i>
    <i>
      <x v="5"/>
    </i>
    <i>
      <x v="6"/>
    </i>
    <i>
      <x v="7"/>
    </i>
    <i>
      <x v="8"/>
    </i>
    <i>
      <x v="9"/>
    </i>
  </rowItems>
  <colFields count="1">
    <field x="1"/>
  </colFields>
  <colItems count="3">
    <i>
      <x/>
    </i>
    <i>
      <x v="1"/>
    </i>
    <i>
      <x v="2"/>
    </i>
  </colItems>
  <dataFields count="1">
    <dataField name="Sum of VGR" fld="52" baseField="0" baseItem="2" numFmtId="166"/>
  </dataFields>
  <formats count="4">
    <format dxfId="35">
      <pivotArea type="all" dataOnly="0" outline="0" fieldPosition="0"/>
    </format>
    <format dxfId="34">
      <pivotArea dataOnly="0" labelOnly="1" fieldPosition="0">
        <references count="1">
          <reference field="0" count="0"/>
        </references>
      </pivotArea>
    </format>
    <format dxfId="33">
      <pivotArea type="all" dataOnly="0" outline="0" fieldPosition="0"/>
    </format>
    <format dxfId="32">
      <pivotArea dataOnly="0" labelOnly="1" fieldPosition="0">
        <references count="1">
          <reference field="0" count="0"/>
        </references>
      </pivotArea>
    </format>
  </formats>
  <chartFormats count="3">
    <chartFormat chart="0" format="4" series="1">
      <pivotArea type="data" outline="0" fieldPosition="0">
        <references count="2">
          <reference field="4294967294" count="1" selected="0">
            <x v="0"/>
          </reference>
          <reference field="1" count="1" selected="0">
            <x v="0"/>
          </reference>
        </references>
      </pivotArea>
    </chartFormat>
    <chartFormat chart="0" format="6" series="1">
      <pivotArea type="data" outline="0" fieldPosition="0">
        <references count="2">
          <reference field="4294967294" count="1" selected="0">
            <x v="0"/>
          </reference>
          <reference field="1" count="1" selected="0">
            <x v="1"/>
          </reference>
        </references>
      </pivotArea>
    </chartFormat>
    <chartFormat chart="0" format="8" series="1">
      <pivotArea type="data" outline="0" fieldPosition="0">
        <references count="2">
          <reference field="4294967294" count="1" selected="0">
            <x v="0"/>
          </reference>
          <reference field="1" count="1" selected="0">
            <x v="2"/>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name="PivotTable58" cacheId="4"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3" rowHeaderCaption="Radetiketter">
  <location ref="N11:Q22" firstHeaderRow="1" firstDataRow="2" firstDataCol="1"/>
  <pivotFields count="49">
    <pivotField axis="axisRow" showAll="0">
      <items count="11">
        <item x="0"/>
        <item x="1"/>
        <item x="2"/>
        <item x="3"/>
        <item x="4"/>
        <item x="5"/>
        <item x="6"/>
        <item x="7"/>
        <item x="8"/>
        <item x="9"/>
        <item t="default"/>
      </items>
    </pivotField>
    <pivotField axis="axisCol"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10">
    <i>
      <x/>
    </i>
    <i>
      <x v="1"/>
    </i>
    <i>
      <x v="2"/>
    </i>
    <i>
      <x v="3"/>
    </i>
    <i>
      <x v="4"/>
    </i>
    <i>
      <x v="5"/>
    </i>
    <i>
      <x v="6"/>
    </i>
    <i>
      <x v="7"/>
    </i>
    <i>
      <x v="8"/>
    </i>
    <i>
      <x v="9"/>
    </i>
  </rowItems>
  <colFields count="1">
    <field x="1"/>
  </colFields>
  <colItems count="3">
    <i>
      <x/>
    </i>
    <i>
      <x v="1"/>
    </i>
    <i>
      <x v="2"/>
    </i>
  </colItems>
  <dataFields count="1">
    <dataField name="Sum of VGR" fld="48" baseField="0" baseItem="0"/>
  </dataFields>
  <formats count="6">
    <format dxfId="27">
      <pivotArea type="all" dataOnly="0" outline="0" fieldPosition="0"/>
    </format>
    <format dxfId="26">
      <pivotArea outline="0" collapsedLevelsAreSubtotals="1" fieldPosition="0"/>
    </format>
    <format dxfId="25">
      <pivotArea field="0" type="button" dataOnly="0" labelOnly="1" outline="0" axis="axisRow" fieldPosition="0"/>
    </format>
    <format dxfId="24">
      <pivotArea dataOnly="0" labelOnly="1" fieldPosition="0">
        <references count="1">
          <reference field="0" count="0"/>
        </references>
      </pivotArea>
    </format>
    <format dxfId="23">
      <pivotArea dataOnly="0" labelOnly="1" outline="0" fieldPosition="0">
        <references count="1">
          <reference field="4294967294" count="1">
            <x v="0"/>
          </reference>
        </references>
      </pivotArea>
    </format>
    <format dxfId="22">
      <pivotArea dataOnly="0" labelOnly="1" fieldPosition="0">
        <references count="1">
          <reference field="0" count="0"/>
        </references>
      </pivotArea>
    </format>
  </formats>
  <chartFormats count="1">
    <chartFormat chart="0" format="3" series="1">
      <pivotArea type="data" outline="0" fieldPosition="0">
        <references count="1">
          <reference field="4294967294" count="1" selected="0">
            <x v="0"/>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name="PivotTable15" cacheId="3"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1">
  <location ref="N11:P21" firstHeaderRow="1" firstDataRow="2" firstDataCol="1"/>
  <pivotFields count="8">
    <pivotField axis="axisRow" showAll="0">
      <items count="10">
        <item x="0"/>
        <item x="1"/>
        <item x="2"/>
        <item x="3"/>
        <item x="4"/>
        <item x="5"/>
        <item x="6"/>
        <item x="7"/>
        <item x="8"/>
        <item t="default"/>
      </items>
    </pivotField>
    <pivotField axis="axisCol" showAll="0">
      <items count="3">
        <item x="0"/>
        <item x="1"/>
        <item t="default"/>
      </items>
    </pivotField>
    <pivotField showAll="0"/>
    <pivotField showAll="0"/>
    <pivotField showAll="0"/>
    <pivotField showAll="0"/>
    <pivotField showAll="0"/>
    <pivotField dataField="1" showAll="0"/>
  </pivotFields>
  <rowFields count="1">
    <field x="0"/>
  </rowFields>
  <rowItems count="9">
    <i>
      <x/>
    </i>
    <i>
      <x v="1"/>
    </i>
    <i>
      <x v="2"/>
    </i>
    <i>
      <x v="3"/>
    </i>
    <i>
      <x v="4"/>
    </i>
    <i>
      <x v="5"/>
    </i>
    <i>
      <x v="6"/>
    </i>
    <i>
      <x v="7"/>
    </i>
    <i>
      <x v="8"/>
    </i>
  </rowItems>
  <colFields count="1">
    <field x="1"/>
  </colFields>
  <colItems count="2">
    <i>
      <x/>
    </i>
    <i>
      <x v="1"/>
    </i>
  </colItems>
  <dataFields count="1">
    <dataField name="Sum of VGR" fld="7" baseField="0" baseItem="3" numFmtId="166"/>
  </dataFields>
  <formats count="2">
    <format dxfId="17">
      <pivotArea type="all" dataOnly="0" outline="0" fieldPosition="0"/>
    </format>
    <format dxfId="16">
      <pivotArea dataOnly="0" labelOnly="1" fieldPosition="0">
        <references count="1">
          <reference field="0" count="0"/>
        </references>
      </pivotArea>
    </format>
  </formats>
  <chartFormats count="2">
    <chartFormat chart="0" format="2" series="1">
      <pivotArea type="data" outline="0" fieldPosition="0">
        <references count="2">
          <reference field="4294967294" count="1" selected="0">
            <x v="0"/>
          </reference>
          <reference field="1" count="1" selected="0">
            <x v="0"/>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name="PivotTable23" cacheId="2" applyNumberFormats="0" applyBorderFormats="0" applyFontFormats="0" applyPatternFormats="0" applyAlignmentFormats="0" applyWidthHeightFormats="1" dataCaption="Values" showError="1" updatedVersion="6" minRefreshableVersion="3" enableDrill="0" rowGrandTotals="0" colGrandTotals="0" itemPrintTitles="1" createdVersion="6" indent="0" outline="1" outlineData="1" multipleFieldFilters="0" chartFormat="1" rowHeaderCaption="Radetiketter" colHeaderCaption="Kolumnetiketter">
  <location ref="N11:Q24" firstHeaderRow="1" firstDataRow="2" firstDataCol="1"/>
  <pivotFields count="8">
    <pivotField axis="axisRow" showAll="0">
      <items count="13">
        <item x="0"/>
        <item x="1"/>
        <item x="2"/>
        <item x="3"/>
        <item x="4"/>
        <item x="5"/>
        <item x="6"/>
        <item x="7"/>
        <item x="8"/>
        <item x="9"/>
        <item x="10"/>
        <item x="11"/>
        <item t="default"/>
      </items>
    </pivotField>
    <pivotField axis="axisCol" showAll="0" defaultSubtotal="0">
      <items count="6">
        <item h="1" x="1"/>
        <item h="1" x="4"/>
        <item h="1" x="2"/>
        <item x="3"/>
        <item x="0"/>
        <item x="5"/>
      </items>
    </pivotField>
    <pivotField showAll="0"/>
    <pivotField showAll="0"/>
    <pivotField showAll="0"/>
    <pivotField showAll="0"/>
    <pivotField showAll="0"/>
    <pivotField dataField="1" showAll="0" defaultSubtotal="0"/>
  </pivotFields>
  <rowFields count="1">
    <field x="0"/>
  </rowFields>
  <rowItems count="12">
    <i>
      <x/>
    </i>
    <i>
      <x v="1"/>
    </i>
    <i>
      <x v="2"/>
    </i>
    <i>
      <x v="3"/>
    </i>
    <i>
      <x v="4"/>
    </i>
    <i>
      <x v="5"/>
    </i>
    <i>
      <x v="6"/>
    </i>
    <i>
      <x v="7"/>
    </i>
    <i>
      <x v="8"/>
    </i>
    <i>
      <x v="9"/>
    </i>
    <i>
      <x v="10"/>
    </i>
    <i>
      <x v="11"/>
    </i>
  </rowItems>
  <colFields count="1">
    <field x="1"/>
  </colFields>
  <colItems count="3">
    <i>
      <x v="3"/>
    </i>
    <i>
      <x v="4"/>
    </i>
    <i>
      <x v="5"/>
    </i>
  </colItems>
  <dataFields count="1">
    <dataField name="Sum of VGR" fld="7" baseField="0" baseItem="2"/>
  </dataFields>
  <formats count="6">
    <format dxfId="11">
      <pivotArea type="origin" dataOnly="0" labelOnly="1" outline="0" fieldPosition="0"/>
    </format>
    <format dxfId="10">
      <pivotArea field="0" type="button" dataOnly="0" labelOnly="1" outline="0" axis="axisRow" fieldPosition="0"/>
    </format>
    <format dxfId="9">
      <pivotArea type="topRight" dataOnly="0" labelOnly="1" outline="0" fieldPosition="0"/>
    </format>
    <format dxfId="8">
      <pivotArea type="all" dataOnly="0" outline="0" fieldPosition="0"/>
    </format>
    <format dxfId="7">
      <pivotArea type="all" dataOnly="0" outline="0" fieldPosition="0"/>
    </format>
    <format dxfId="6">
      <pivotArea dataOnly="0" labelOnly="1" fieldPosition="0">
        <references count="1">
          <reference field="0" count="0"/>
        </references>
      </pivotArea>
    </format>
  </formats>
  <chartFormats count="3">
    <chartFormat chart="0" format="11" series="1">
      <pivotArea type="data" outline="0" fieldPosition="0">
        <references count="2">
          <reference field="4294967294" count="1" selected="0">
            <x v="0"/>
          </reference>
          <reference field="1" count="1" selected="0">
            <x v="3"/>
          </reference>
        </references>
      </pivotArea>
    </chartFormat>
    <chartFormat chart="0" format="12" series="1">
      <pivotArea type="data" outline="0" fieldPosition="0">
        <references count="2">
          <reference field="4294967294" count="1" selected="0">
            <x v="0"/>
          </reference>
          <reference field="1" count="1" selected="0">
            <x v="4"/>
          </reference>
        </references>
      </pivotArea>
    </chartFormat>
    <chartFormat chart="0" format="13" series="1">
      <pivotArea type="data" outline="0" fieldPosition="0">
        <references count="2">
          <reference field="4294967294" count="1" selected="0">
            <x v="0"/>
          </reference>
          <reference field="1" count="1" selected="0">
            <x v="5"/>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name="PivotTable15" cacheId="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 rowHeaderCaption="Radetiketter" colHeaderCaption="Kolumnetiketter">
  <location ref="N11:Q28" firstHeaderRow="1" firstDataRow="2" firstDataCol="1"/>
  <pivotFields count="7">
    <pivotField axis="axisRow" showAll="0" sortType="ascending">
      <items count="17">
        <item x="0"/>
        <item x="1"/>
        <item x="2"/>
        <item x="3"/>
        <item x="4"/>
        <item x="5"/>
        <item x="6"/>
        <item x="7"/>
        <item x="8"/>
        <item x="9"/>
        <item x="10"/>
        <item x="11"/>
        <item x="12"/>
        <item x="13"/>
        <item x="14"/>
        <item x="15"/>
        <item t="default"/>
      </items>
    </pivotField>
    <pivotField axis="axisCol" showAll="0" sortType="descending">
      <items count="4">
        <item x="0"/>
        <item x="1"/>
        <item x="2"/>
        <item t="default"/>
      </items>
    </pivotField>
    <pivotField showAll="0"/>
    <pivotField showAll="0"/>
    <pivotField showAll="0"/>
    <pivotField showAll="0"/>
    <pivotField dataField="1" showAll="0" defaultSubtotal="0"/>
  </pivotFields>
  <rowFields count="1">
    <field x="0"/>
  </rowFields>
  <rowItems count="16">
    <i>
      <x/>
    </i>
    <i>
      <x v="1"/>
    </i>
    <i>
      <x v="2"/>
    </i>
    <i>
      <x v="3"/>
    </i>
    <i>
      <x v="4"/>
    </i>
    <i>
      <x v="5"/>
    </i>
    <i>
      <x v="6"/>
    </i>
    <i>
      <x v="7"/>
    </i>
    <i>
      <x v="8"/>
    </i>
    <i>
      <x v="9"/>
    </i>
    <i>
      <x v="10"/>
    </i>
    <i>
      <x v="11"/>
    </i>
    <i>
      <x v="12"/>
    </i>
    <i>
      <x v="13"/>
    </i>
    <i>
      <x v="14"/>
    </i>
    <i>
      <x v="15"/>
    </i>
  </rowItems>
  <colFields count="1">
    <field x="1"/>
  </colFields>
  <colItems count="3">
    <i>
      <x/>
    </i>
    <i>
      <x v="1"/>
    </i>
    <i>
      <x v="2"/>
    </i>
  </colItems>
  <dataFields count="1">
    <dataField name="Sum of 0-19" fld="6" baseField="0" baseItem="11" numFmtId="169"/>
  </dataFields>
  <formats count="2">
    <format dxfId="4">
      <pivotArea type="all" dataOnly="0" outline="0" fieldPosition="0"/>
    </format>
    <format dxfId="3">
      <pivotArea outline="0" fieldPosition="0">
        <references count="1">
          <reference field="4294967294" count="1">
            <x v="0"/>
          </reference>
        </references>
      </pivotArea>
    </format>
  </formats>
  <chartFormats count="3">
    <chartFormat chart="0" format="3" series="1">
      <pivotArea type="data" outline="0" fieldPosition="0">
        <references count="2">
          <reference field="4294967294" count="1" selected="0">
            <x v="0"/>
          </reference>
          <reference field="1" count="1" selected="0">
            <x v="0"/>
          </reference>
        </references>
      </pivotArea>
    </chartFormat>
    <chartFormat chart="0" format="4" series="1">
      <pivotArea type="data" outline="0" fieldPosition="0">
        <references count="2">
          <reference field="4294967294" count="1" selected="0">
            <x v="0"/>
          </reference>
          <reference field="1" count="1" selected="0">
            <x v="1"/>
          </reference>
        </references>
      </pivotArea>
    </chartFormat>
    <chartFormat chart="0" format="5" series="1">
      <pivotArea type="data" outline="0" fieldPosition="0">
        <references count="2">
          <reference field="4294967294" count="1" selected="0">
            <x v="0"/>
          </reference>
          <reference field="1" count="1" selected="0">
            <x v="2"/>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name="PivotTable17"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 rowHeaderCaption="Radetiketter" colHeaderCaption="Kolumnetiketter">
  <location ref="N11:Q28" firstHeaderRow="1" firstDataRow="2" firstDataCol="1"/>
  <pivotFields count="7">
    <pivotField axis="axisRow" showAll="0" sortType="ascending">
      <items count="17">
        <item x="0"/>
        <item x="1"/>
        <item x="2"/>
        <item x="3"/>
        <item x="4"/>
        <item x="5"/>
        <item x="6"/>
        <item x="7"/>
        <item x="8"/>
        <item x="9"/>
        <item x="10"/>
        <item x="11"/>
        <item x="12"/>
        <item x="13"/>
        <item x="14"/>
        <item x="15"/>
        <item t="default"/>
      </items>
    </pivotField>
    <pivotField axis="axisCol" showAll="0" sortType="descending">
      <items count="4">
        <item x="0"/>
        <item x="1"/>
        <item x="2"/>
        <item t="default"/>
      </items>
    </pivotField>
    <pivotField showAll="0"/>
    <pivotField showAll="0"/>
    <pivotField showAll="0"/>
    <pivotField showAll="0"/>
    <pivotField dataField="1" showAll="0" defaultSubtotal="0"/>
  </pivotFields>
  <rowFields count="1">
    <field x="0"/>
  </rowFields>
  <rowItems count="16">
    <i>
      <x/>
    </i>
    <i>
      <x v="1"/>
    </i>
    <i>
      <x v="2"/>
    </i>
    <i>
      <x v="3"/>
    </i>
    <i>
      <x v="4"/>
    </i>
    <i>
      <x v="5"/>
    </i>
    <i>
      <x v="6"/>
    </i>
    <i>
      <x v="7"/>
    </i>
    <i>
      <x v="8"/>
    </i>
    <i>
      <x v="9"/>
    </i>
    <i>
      <x v="10"/>
    </i>
    <i>
      <x v="11"/>
    </i>
    <i>
      <x v="12"/>
    </i>
    <i>
      <x v="13"/>
    </i>
    <i>
      <x v="14"/>
    </i>
    <i>
      <x v="15"/>
    </i>
  </rowItems>
  <colFields count="1">
    <field x="1"/>
  </colFields>
  <colItems count="3">
    <i>
      <x/>
    </i>
    <i>
      <x v="1"/>
    </i>
    <i>
      <x v="2"/>
    </i>
  </colItems>
  <dataFields count="1">
    <dataField name="Sum of 0-19" fld="6" baseField="0" baseItem="4" numFmtId="169"/>
  </dataFields>
  <formats count="3">
    <format dxfId="2">
      <pivotArea type="all" dataOnly="0" outline="0" fieldPosition="0"/>
    </format>
    <format dxfId="1">
      <pivotArea type="all" dataOnly="0" outline="0" fieldPosition="0"/>
    </format>
    <format dxfId="0">
      <pivotArea dataOnly="0" labelOnly="1" fieldPosition="0">
        <references count="1">
          <reference field="0" count="0"/>
        </references>
      </pivotArea>
    </format>
  </formats>
  <chartFormats count="3">
    <chartFormat chart="0" format="3" series="1">
      <pivotArea type="data" outline="0" fieldPosition="0">
        <references count="2">
          <reference field="4294967294" count="1" selected="0">
            <x v="0"/>
          </reference>
          <reference field="1" count="1" selected="0">
            <x v="0"/>
          </reference>
        </references>
      </pivotArea>
    </chartFormat>
    <chartFormat chart="0" format="4" series="1">
      <pivotArea type="data" outline="0" fieldPosition="0">
        <references count="2">
          <reference field="4294967294" count="1" selected="0">
            <x v="0"/>
          </reference>
          <reference field="1" count="1" selected="0">
            <x v="1"/>
          </reference>
        </references>
      </pivotArea>
    </chartFormat>
    <chartFormat chart="0" format="5" series="1">
      <pivotArea type="data" outline="0" fieldPosition="0">
        <references count="2">
          <reference field="4294967294" count="1" selected="0">
            <x v="0"/>
          </reference>
          <reference field="1" count="1" selected="0">
            <x v="2"/>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5" cacheId="19"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13">
  <location ref="N11:Q22" firstHeaderRow="1" firstDataRow="2" firstDataCol="1"/>
  <pivotFields count="8">
    <pivotField axis="axisRow" showAll="0" sortType="ascending">
      <items count="11">
        <item x="0"/>
        <item x="1"/>
        <item x="2"/>
        <item x="3"/>
        <item x="4"/>
        <item x="5"/>
        <item x="6"/>
        <item x="7"/>
        <item x="8"/>
        <item x="9"/>
        <item t="default"/>
      </items>
    </pivotField>
    <pivotField axis="axisCol" showAll="0">
      <items count="4">
        <item x="0"/>
        <item x="1"/>
        <item x="2"/>
        <item t="default"/>
      </items>
    </pivotField>
    <pivotField showAll="0" defaultSubtotal="0"/>
    <pivotField showAll="0" defaultSubtotal="0"/>
    <pivotField showAll="0" defaultSubtotal="0"/>
    <pivotField showAll="0" defaultSubtotal="0"/>
    <pivotField showAll="0" defaultSubtotal="0"/>
    <pivotField dataField="1" showAll="0" defaultSubtotal="0"/>
  </pivotFields>
  <rowFields count="1">
    <field x="0"/>
  </rowFields>
  <rowItems count="10">
    <i>
      <x/>
    </i>
    <i>
      <x v="1"/>
    </i>
    <i>
      <x v="2"/>
    </i>
    <i>
      <x v="3"/>
    </i>
    <i>
      <x v="4"/>
    </i>
    <i>
      <x v="5"/>
    </i>
    <i>
      <x v="6"/>
    </i>
    <i>
      <x v="7"/>
    </i>
    <i>
      <x v="8"/>
    </i>
    <i>
      <x v="9"/>
    </i>
  </rowItems>
  <colFields count="1">
    <field x="1"/>
  </colFields>
  <colItems count="3">
    <i>
      <x/>
    </i>
    <i>
      <x v="1"/>
    </i>
    <i>
      <x v="2"/>
    </i>
  </colItems>
  <dataFields count="1">
    <dataField name="Sum of VGR" fld="7" baseField="0" baseItem="425721858" numFmtId="166"/>
  </dataFields>
  <formats count="8">
    <format dxfId="164">
      <pivotArea type="origin" dataOnly="0" labelOnly="1" outline="0" fieldPosition="0"/>
    </format>
    <format dxfId="163">
      <pivotArea field="1" type="button" dataOnly="0" labelOnly="1" outline="0" axis="axisCol" fieldPosition="0"/>
    </format>
    <format dxfId="162">
      <pivotArea field="-2" type="button" dataOnly="0" labelOnly="1" outline="0" axis="axisValues" fieldPosition="0"/>
    </format>
    <format dxfId="161">
      <pivotArea type="topRight" dataOnly="0" labelOnly="1" outline="0" fieldPosition="0"/>
    </format>
    <format dxfId="160">
      <pivotArea field="0" type="button" dataOnly="0" labelOnly="1" outline="0" axis="axisRow" fieldPosition="0"/>
    </format>
    <format dxfId="159">
      <pivotArea outline="0" fieldPosition="0">
        <references count="1">
          <reference field="4294967294" count="1">
            <x v="0"/>
          </reference>
        </references>
      </pivotArea>
    </format>
    <format dxfId="158">
      <pivotArea outline="0" fieldPosition="0">
        <references count="1">
          <reference field="4294967294" count="1">
            <x v="0"/>
          </reference>
        </references>
      </pivotArea>
    </format>
    <format dxfId="157">
      <pivotArea type="all" dataOnly="0" outline="0" fieldPosition="0"/>
    </format>
  </formats>
  <chartFormats count="1">
    <chartFormat chart="0" format="43" series="1">
      <pivotArea type="data" outline="0" fieldPosition="0">
        <references count="1">
          <reference field="4294967294" count="1" selected="0">
            <x v="0"/>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1" cacheId="18"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3" rowHeaderCaption="Radetiketter" colHeaderCaption="Kolumnetiketter">
  <location ref="N11:S27" firstHeaderRow="0" firstDataRow="1" firstDataCol="1"/>
  <pivotFields count="17">
    <pivotField axis="axisRow" showAll="0">
      <items count="17">
        <item x="0"/>
        <item x="1"/>
        <item x="2"/>
        <item x="3"/>
        <item x="4"/>
        <item x="5"/>
        <item x="6"/>
        <item x="7"/>
        <item x="8"/>
        <item x="9"/>
        <item x="10"/>
        <item x="11"/>
        <item x="12"/>
        <item x="13"/>
        <item x="14"/>
        <item x="15"/>
        <item t="default"/>
      </items>
    </pivotField>
    <pivotField showAll="0">
      <items count="4">
        <item x="2"/>
        <item x="1"/>
        <item x="0"/>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defaultSubtotal="0"/>
  </pivotFields>
  <rowFields count="1">
    <field x="0"/>
  </rowFields>
  <rowItems count="16">
    <i>
      <x/>
    </i>
    <i>
      <x v="1"/>
    </i>
    <i>
      <x v="2"/>
    </i>
    <i>
      <x v="3"/>
    </i>
    <i>
      <x v="4"/>
    </i>
    <i>
      <x v="5"/>
    </i>
    <i>
      <x v="6"/>
    </i>
    <i>
      <x v="7"/>
    </i>
    <i>
      <x v="8"/>
    </i>
    <i>
      <x v="9"/>
    </i>
    <i>
      <x v="10"/>
    </i>
    <i>
      <x v="11"/>
    </i>
    <i>
      <x v="12"/>
    </i>
    <i>
      <x v="13"/>
    </i>
    <i>
      <x v="14"/>
    </i>
    <i>
      <x v="15"/>
    </i>
  </rowItems>
  <colFields count="1">
    <field x="-2"/>
  </colFields>
  <colItems count="5">
    <i>
      <x/>
    </i>
    <i i="1">
      <x v="1"/>
    </i>
    <i i="2">
      <x v="2"/>
    </i>
    <i i="3">
      <x v="3"/>
    </i>
    <i i="4">
      <x v="4"/>
    </i>
  </colItems>
  <dataFields count="5">
    <dataField name="Sum of 65­69" fld="11" baseField="0" baseItem="0"/>
    <dataField name="Sum of 70­74" fld="12" baseField="0" baseItem="0"/>
    <dataField name="Sum of 75­79" fld="13" baseField="0" baseItem="0"/>
    <dataField name="Sum of 80­84" fld="14" baseField="0" baseItem="0"/>
    <dataField name="Sum of 85+" fld="15" baseField="0" baseItem="0"/>
  </dataFields>
  <formats count="8">
    <format dxfId="155">
      <pivotArea type="all" dataOnly="0" outline="0" fieldPosition="0"/>
    </format>
    <format dxfId="154">
      <pivotArea type="all" dataOnly="0" outline="0" fieldPosition="0"/>
    </format>
    <format dxfId="153">
      <pivotArea dataOnly="0" labelOnly="1" fieldPosition="0">
        <references count="1">
          <reference field="0" count="0"/>
        </references>
      </pivotArea>
    </format>
    <format dxfId="152">
      <pivotArea collapsedLevelsAreSubtotals="1" fieldPosition="0">
        <references count="1">
          <reference field="0" count="7">
            <x v="0"/>
            <x v="1"/>
            <x v="2"/>
            <x v="3"/>
            <x v="4"/>
            <x v="5"/>
            <x v="6"/>
          </reference>
        </references>
      </pivotArea>
    </format>
    <format dxfId="151">
      <pivotArea collapsedLevelsAreSubtotals="1" fieldPosition="0">
        <references count="1">
          <reference field="0" count="7">
            <x v="0"/>
            <x v="1"/>
            <x v="2"/>
            <x v="3"/>
            <x v="4"/>
            <x v="5"/>
            <x v="6"/>
          </reference>
        </references>
      </pivotArea>
    </format>
    <format dxfId="150">
      <pivotArea collapsedLevelsAreSubtotals="1" fieldPosition="0">
        <references count="1">
          <reference field="0" count="7">
            <x v="0"/>
            <x v="1"/>
            <x v="2"/>
            <x v="3"/>
            <x v="4"/>
            <x v="5"/>
            <x v="6"/>
          </reference>
        </references>
      </pivotArea>
    </format>
    <format dxfId="149">
      <pivotArea collapsedLevelsAreSubtotals="1" fieldPosition="0">
        <references count="1">
          <reference field="0" count="7">
            <x v="0"/>
            <x v="1"/>
            <x v="2"/>
            <x v="3"/>
            <x v="4"/>
            <x v="5"/>
            <x v="6"/>
          </reference>
        </references>
      </pivotArea>
    </format>
    <format dxfId="148">
      <pivotArea collapsedLevelsAreSubtotals="1" fieldPosition="0">
        <references count="1">
          <reference field="0" count="7">
            <x v="0"/>
            <x v="1"/>
            <x v="2"/>
            <x v="3"/>
            <x v="4"/>
            <x v="5"/>
            <x v="6"/>
          </reference>
        </references>
      </pivotArea>
    </format>
  </formats>
  <chartFormats count="5">
    <chartFormat chart="0" format="6" series="1">
      <pivotArea type="data" outline="0" fieldPosition="0">
        <references count="1">
          <reference field="4294967294" count="1" selected="0">
            <x v="0"/>
          </reference>
        </references>
      </pivotArea>
    </chartFormat>
    <chartFormat chart="0" format="7" series="1">
      <pivotArea type="data" outline="0" fieldPosition="0">
        <references count="1">
          <reference field="4294967294" count="1" selected="0">
            <x v="1"/>
          </reference>
        </references>
      </pivotArea>
    </chartFormat>
    <chartFormat chart="0" format="8" series="1">
      <pivotArea type="data" outline="0" fieldPosition="0">
        <references count="1">
          <reference field="4294967294" count="1" selected="0">
            <x v="2"/>
          </reference>
        </references>
      </pivotArea>
    </chartFormat>
    <chartFormat chart="0" format="9" series="1">
      <pivotArea type="data" outline="0" fieldPosition="0">
        <references count="1">
          <reference field="4294967294" count="1" selected="0">
            <x v="3"/>
          </reference>
        </references>
      </pivotArea>
    </chartFormat>
    <chartFormat chart="0" format="10" series="1">
      <pivotArea type="data" outline="0" fieldPosition="0">
        <references count="1">
          <reference field="4294967294" count="1" selected="0">
            <x v="4"/>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33" cacheId="17"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3" rowHeaderCaption="Radetiketter" colHeaderCaption="Kolumnetiketter">
  <location ref="N11:Q21" firstHeaderRow="1" firstDataRow="2" firstDataCol="1"/>
  <pivotFields count="8">
    <pivotField axis="axisRow" showAll="0">
      <items count="10">
        <item x="0"/>
        <item x="1"/>
        <item x="2"/>
        <item x="3"/>
        <item x="4"/>
        <item x="5"/>
        <item x="6"/>
        <item x="7"/>
        <item x="8"/>
        <item t="default"/>
      </items>
    </pivotField>
    <pivotField axis="axisCol" showAll="0">
      <items count="4">
        <item x="0"/>
        <item x="2"/>
        <item x="1"/>
        <item t="default"/>
      </items>
    </pivotField>
    <pivotField showAll="0"/>
    <pivotField showAll="0"/>
    <pivotField showAll="0"/>
    <pivotField showAll="0"/>
    <pivotField showAll="0"/>
    <pivotField dataField="1" showAll="0"/>
  </pivotFields>
  <rowFields count="1">
    <field x="0"/>
  </rowFields>
  <rowItems count="9">
    <i>
      <x/>
    </i>
    <i>
      <x v="1"/>
    </i>
    <i>
      <x v="2"/>
    </i>
    <i>
      <x v="3"/>
    </i>
    <i>
      <x v="4"/>
    </i>
    <i>
      <x v="5"/>
    </i>
    <i>
      <x v="6"/>
    </i>
    <i>
      <x v="7"/>
    </i>
    <i>
      <x v="8"/>
    </i>
  </rowItems>
  <colFields count="1">
    <field x="1"/>
  </colFields>
  <colItems count="3">
    <i>
      <x/>
    </i>
    <i>
      <x v="1"/>
    </i>
    <i>
      <x v="2"/>
    </i>
  </colItems>
  <dataFields count="1">
    <dataField name="Sum of VGR" fld="7" baseField="0" baseItem="0" numFmtId="166"/>
  </dataFields>
  <formats count="3">
    <format dxfId="147">
      <pivotArea type="all" dataOnly="0" outline="0" fieldPosition="0"/>
    </format>
    <format dxfId="146">
      <pivotArea dataOnly="0" labelOnly="1" fieldPosition="0">
        <references count="1">
          <reference field="0" count="0"/>
        </references>
      </pivotArea>
    </format>
    <format dxfId="145">
      <pivotArea type="all" dataOnly="0" outline="0" fieldPosition="0"/>
    </format>
  </formats>
  <chartFormats count="3">
    <chartFormat chart="0" format="8" series="1">
      <pivotArea type="data" outline="0" fieldPosition="0">
        <references count="2">
          <reference field="4294967294" count="1" selected="0">
            <x v="0"/>
          </reference>
          <reference field="1" count="1" selected="0">
            <x v="0"/>
          </reference>
        </references>
      </pivotArea>
    </chartFormat>
    <chartFormat chart="0" format="9" series="1">
      <pivotArea type="data" outline="0" fieldPosition="0">
        <references count="2">
          <reference field="4294967294" count="1" selected="0">
            <x v="0"/>
          </reference>
          <reference field="1" count="1" selected="0">
            <x v="1"/>
          </reference>
        </references>
      </pivotArea>
    </chartFormat>
    <chartFormat chart="0" format="10" series="1">
      <pivotArea type="data" outline="0" fieldPosition="0">
        <references count="2">
          <reference field="4294967294" count="1" selected="0">
            <x v="0"/>
          </reference>
          <reference field="1" count="1" selected="0">
            <x v="2"/>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20" cacheId="16"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3" rowHeaderCaption="Radetiketter" colHeaderCaption="Kolumnetiketter">
  <location ref="N11:Q24" firstHeaderRow="1" firstDataRow="2" firstDataCol="1"/>
  <pivotFields count="8">
    <pivotField axis="axisRow" showAll="0">
      <items count="13">
        <item x="0"/>
        <item x="1"/>
        <item x="2"/>
        <item x="3"/>
        <item x="4"/>
        <item x="5"/>
        <item x="6"/>
        <item x="7"/>
        <item x="8"/>
        <item x="9"/>
        <item x="10"/>
        <item x="11"/>
        <item t="default"/>
      </items>
    </pivotField>
    <pivotField axis="axisCol" showAll="0" defaultSubtotal="0">
      <items count="13">
        <item h="1" x="1"/>
        <item h="1" x="2"/>
        <item h="1" x="3"/>
        <item h="1" x="8"/>
        <item x="7"/>
        <item h="1" x="4"/>
        <item h="1" x="9"/>
        <item h="1" x="10"/>
        <item h="1" x="11"/>
        <item x="0"/>
        <item x="12"/>
        <item h="1" x="5"/>
        <item h="1" x="6"/>
      </items>
    </pivotField>
    <pivotField showAll="0"/>
    <pivotField showAll="0"/>
    <pivotField showAll="0"/>
    <pivotField showAll="0"/>
    <pivotField showAll="0"/>
    <pivotField dataField="1" showAll="0" defaultSubtotal="0"/>
  </pivotFields>
  <rowFields count="1">
    <field x="0"/>
  </rowFields>
  <rowItems count="12">
    <i>
      <x/>
    </i>
    <i>
      <x v="1"/>
    </i>
    <i>
      <x v="2"/>
    </i>
    <i>
      <x v="3"/>
    </i>
    <i>
      <x v="4"/>
    </i>
    <i>
      <x v="5"/>
    </i>
    <i>
      <x v="6"/>
    </i>
    <i>
      <x v="7"/>
    </i>
    <i>
      <x v="8"/>
    </i>
    <i>
      <x v="9"/>
    </i>
    <i>
      <x v="10"/>
    </i>
    <i>
      <x v="11"/>
    </i>
  </rowItems>
  <colFields count="1">
    <field x="1"/>
  </colFields>
  <colItems count="3">
    <i>
      <x v="4"/>
    </i>
    <i>
      <x v="9"/>
    </i>
    <i>
      <x v="10"/>
    </i>
  </colItems>
  <dataFields count="1">
    <dataField name="Sum of VGR" fld="7" baseField="0" baseItem="5"/>
  </dataFields>
  <formats count="2">
    <format dxfId="143">
      <pivotArea type="all" dataOnly="0" outline="0" fieldPosition="0"/>
    </format>
    <format dxfId="142">
      <pivotArea dataOnly="0" labelOnly="1" fieldPosition="0">
        <references count="1">
          <reference field="0" count="0"/>
        </references>
      </pivotArea>
    </format>
  </formats>
  <chartFormats count="3">
    <chartFormat chart="0" format="7" series="1">
      <pivotArea type="data" outline="0" fieldPosition="0">
        <references count="2">
          <reference field="4294967294" count="1" selected="0">
            <x v="0"/>
          </reference>
          <reference field="1" count="1" selected="0">
            <x v="4"/>
          </reference>
        </references>
      </pivotArea>
    </chartFormat>
    <chartFormat chart="0" format="8" series="1">
      <pivotArea type="data" outline="0" fieldPosition="0">
        <references count="2">
          <reference field="4294967294" count="1" selected="0">
            <x v="0"/>
          </reference>
          <reference field="1" count="1" selected="0">
            <x v="9"/>
          </reference>
        </references>
      </pivotArea>
    </chartFormat>
    <chartFormat chart="0" format="9" series="1">
      <pivotArea type="data" outline="0" fieldPosition="0">
        <references count="2">
          <reference field="4294967294" count="1" selected="0">
            <x v="0"/>
          </reference>
          <reference field="1" count="1" selected="0">
            <x v="10"/>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13" cacheId="15"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3" rowHeaderCaption="Radetiketter" colHeaderCaption="Kolumnetiketter">
  <location ref="N11:O28" firstHeaderRow="1" firstDataRow="2" firstDataCol="1"/>
  <pivotFields count="3">
    <pivotField axis="axisRow" showAll="0" sortType="ascending">
      <items count="17">
        <item x="0"/>
        <item x="1"/>
        <item x="2"/>
        <item x="3"/>
        <item x="4"/>
        <item x="5"/>
        <item x="6"/>
        <item x="7"/>
        <item x="8"/>
        <item x="9"/>
        <item x="10"/>
        <item x="11"/>
        <item x="12"/>
        <item x="13"/>
        <item x="14"/>
        <item x="15"/>
        <item t="default"/>
      </items>
    </pivotField>
    <pivotField axis="axisCol" showAll="0" sortType="descending">
      <items count="2">
        <item x="0"/>
        <item t="default"/>
      </items>
    </pivotField>
    <pivotField dataField="1" showAll="0" defaultSubtotal="0"/>
  </pivotFields>
  <rowFields count="1">
    <field x="0"/>
  </rowFields>
  <rowItems count="16">
    <i>
      <x/>
    </i>
    <i>
      <x v="1"/>
    </i>
    <i>
      <x v="2"/>
    </i>
    <i>
      <x v="3"/>
    </i>
    <i>
      <x v="4"/>
    </i>
    <i>
      <x v="5"/>
    </i>
    <i>
      <x v="6"/>
    </i>
    <i>
      <x v="7"/>
    </i>
    <i>
      <x v="8"/>
    </i>
    <i>
      <x v="9"/>
    </i>
    <i>
      <x v="10"/>
    </i>
    <i>
      <x v="11"/>
    </i>
    <i>
      <x v="12"/>
    </i>
    <i>
      <x v="13"/>
    </i>
    <i>
      <x v="14"/>
    </i>
    <i>
      <x v="15"/>
    </i>
  </rowItems>
  <colFields count="1">
    <field x="1"/>
  </colFields>
  <colItems count="1">
    <i>
      <x/>
    </i>
  </colItems>
  <dataFields count="1">
    <dataField name="Sum of 21-85+" fld="2" baseField="0" baseItem="6" numFmtId="169"/>
  </dataFields>
  <formats count="3">
    <format dxfId="140">
      <pivotArea type="all" dataOnly="0" outline="0" fieldPosition="0"/>
    </format>
    <format dxfId="139">
      <pivotArea type="all" dataOnly="0" outline="0" fieldPosition="0"/>
    </format>
    <format dxfId="138">
      <pivotArea dataOnly="0" labelOnly="1" fieldPosition="0">
        <references count="1">
          <reference field="0" count="0"/>
        </references>
      </pivotArea>
    </format>
  </formats>
  <chartFormats count="1">
    <chartFormat chart="0" format="4" series="1">
      <pivotArea type="data" outline="0" fieldPosition="0">
        <references count="1">
          <reference field="4294967294" count="1" selected="0">
            <x v="0"/>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PivotTable12" cacheId="24"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1">
  <location ref="N11:Q28" firstHeaderRow="1" firstDataRow="2" firstDataCol="1"/>
  <pivotFields count="3">
    <pivotField axis="axisRow" showAll="0">
      <items count="17">
        <item x="0"/>
        <item x="1"/>
        <item x="2"/>
        <item x="3"/>
        <item x="4"/>
        <item x="5"/>
        <item x="6"/>
        <item x="7"/>
        <item x="8"/>
        <item x="9"/>
        <item x="10"/>
        <item x="11"/>
        <item x="12"/>
        <item x="13"/>
        <item x="14"/>
        <item x="15"/>
        <item t="default"/>
      </items>
    </pivotField>
    <pivotField axis="axisCol" showAll="0">
      <items count="4">
        <item x="2"/>
        <item x="1"/>
        <item x="0"/>
        <item t="default"/>
      </items>
    </pivotField>
    <pivotField dataField="1" showAll="0"/>
  </pivotFields>
  <rowFields count="1">
    <field x="0"/>
  </rowFields>
  <rowItems count="16">
    <i>
      <x/>
    </i>
    <i>
      <x v="1"/>
    </i>
    <i>
      <x v="2"/>
    </i>
    <i>
      <x v="3"/>
    </i>
    <i>
      <x v="4"/>
    </i>
    <i>
      <x v="5"/>
    </i>
    <i>
      <x v="6"/>
    </i>
    <i>
      <x v="7"/>
    </i>
    <i>
      <x v="8"/>
    </i>
    <i>
      <x v="9"/>
    </i>
    <i>
      <x v="10"/>
    </i>
    <i>
      <x v="11"/>
    </i>
    <i>
      <x v="12"/>
    </i>
    <i>
      <x v="13"/>
    </i>
    <i>
      <x v="14"/>
    </i>
    <i>
      <x v="15"/>
    </i>
  </rowItems>
  <colFields count="1">
    <field x="1"/>
  </colFields>
  <colItems count="3">
    <i>
      <x/>
    </i>
    <i>
      <x v="1"/>
    </i>
    <i>
      <x v="2"/>
    </i>
  </colItems>
  <dataFields count="1">
    <dataField name="Sum of VGR" fld="2" baseField="0" baseItem="0" numFmtId="1"/>
  </dataFields>
  <formats count="2">
    <format dxfId="137">
      <pivotArea type="all" dataOnly="0" outline="0" fieldPosition="0"/>
    </format>
    <format dxfId="136">
      <pivotArea dataOnly="0" labelOnly="1" fieldPosition="0">
        <references count="1">
          <reference field="0" count="0"/>
        </references>
      </pivotArea>
    </format>
  </formats>
  <chartFormats count="3">
    <chartFormat chart="0" format="3" series="1">
      <pivotArea type="data" outline="0" fieldPosition="0">
        <references count="2">
          <reference field="4294967294" count="1" selected="0">
            <x v="0"/>
          </reference>
          <reference field="1" count="1" selected="0">
            <x v="0"/>
          </reference>
        </references>
      </pivotArea>
    </chartFormat>
    <chartFormat chart="0" format="4" series="1">
      <pivotArea type="data" outline="0" fieldPosition="0">
        <references count="2">
          <reference field="4294967294" count="1" selected="0">
            <x v="0"/>
          </reference>
          <reference field="1" count="1" selected="0">
            <x v="1"/>
          </reference>
        </references>
      </pivotArea>
    </chartFormat>
    <chartFormat chart="0" format="5" series="1">
      <pivotArea type="data" outline="0" fieldPosition="0">
        <references count="2">
          <reference field="4294967294" count="1" selected="0">
            <x v="0"/>
          </reference>
          <reference field="1" count="1" selected="0">
            <x v="2"/>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PivotTable29" cacheId="14" applyNumberFormats="0" applyBorderFormats="0" applyFontFormats="0" applyPatternFormats="0" applyAlignmentFormats="0" applyWidthHeightFormats="1" dataCaption="Values" showError="1" updatedVersion="6" minRefreshableVersion="3" rowGrandTotals="0" colGrandTotals="0" itemPrintTitles="1" createdVersion="6" indent="0" outline="1" outlineData="1" multipleFieldFilters="0" chartFormat="7" rowHeaderCaption="Radetiketter" colHeaderCaption="Kolumnetiketter">
  <location ref="N11:O22" firstHeaderRow="1" firstDataRow="2" firstDataCol="1"/>
  <pivotFields count="8">
    <pivotField axis="axisRow" showAll="0">
      <items count="11">
        <item x="0"/>
        <item x="1"/>
        <item x="2"/>
        <item x="3"/>
        <item x="4"/>
        <item x="5"/>
        <item x="6"/>
        <item x="7"/>
        <item x="8"/>
        <item x="9"/>
        <item t="default"/>
      </items>
    </pivotField>
    <pivotField axis="axisCol" showAll="0">
      <items count="2">
        <item x="0"/>
        <item t="default"/>
      </items>
    </pivotField>
    <pivotField showAll="0"/>
    <pivotField showAll="0"/>
    <pivotField showAll="0"/>
    <pivotField showAll="0"/>
    <pivotField showAll="0"/>
    <pivotField dataField="1" showAll="0"/>
  </pivotFields>
  <rowFields count="1">
    <field x="0"/>
  </rowFields>
  <rowItems count="10">
    <i>
      <x/>
    </i>
    <i>
      <x v="1"/>
    </i>
    <i>
      <x v="2"/>
    </i>
    <i>
      <x v="3"/>
    </i>
    <i>
      <x v="4"/>
    </i>
    <i>
      <x v="5"/>
    </i>
    <i>
      <x v="6"/>
    </i>
    <i>
      <x v="7"/>
    </i>
    <i>
      <x v="8"/>
    </i>
    <i>
      <x v="9"/>
    </i>
  </rowItems>
  <colFields count="1">
    <field x="1"/>
  </colFields>
  <colItems count="1">
    <i>
      <x/>
    </i>
  </colItems>
  <dataFields count="1">
    <dataField name="Sum of VGR" fld="7" baseField="0" baseItem="0" numFmtId="166"/>
  </dataFields>
  <formats count="10">
    <format dxfId="135">
      <pivotArea type="all" dataOnly="0" outline="0" fieldPosition="0"/>
    </format>
    <format dxfId="134">
      <pivotArea type="origin" dataOnly="0" labelOnly="1" outline="0" fieldPosition="0"/>
    </format>
    <format dxfId="133">
      <pivotArea field="1" type="button" dataOnly="0" labelOnly="1" outline="0" axis="axisCol" fieldPosition="0"/>
    </format>
    <format dxfId="132">
      <pivotArea field="-2" type="button" dataOnly="0" labelOnly="1" outline="0" axis="axisValues" fieldPosition="0"/>
    </format>
    <format dxfId="131">
      <pivotArea field="0" type="button" dataOnly="0" labelOnly="1" outline="0" axis="axisRow" fieldPosition="0"/>
    </format>
    <format dxfId="130">
      <pivotArea dataOnly="0" labelOnly="1" fieldPosition="0">
        <references count="1">
          <reference field="1" count="0"/>
        </references>
      </pivotArea>
    </format>
    <format dxfId="129">
      <pivotArea dataOnly="0" labelOnly="1" fieldPosition="0">
        <references count="1">
          <reference field="0" count="0"/>
        </references>
      </pivotArea>
    </format>
    <format dxfId="128">
      <pivotArea type="all" dataOnly="0" outline="0" fieldPosition="0"/>
    </format>
    <format dxfId="127">
      <pivotArea type="all" dataOnly="0" outline="0" fieldPosition="0"/>
    </format>
    <format dxfId="126">
      <pivotArea dataOnly="0" labelOnly="1" fieldPosition="0">
        <references count="1">
          <reference field="0" count="0"/>
        </references>
      </pivotArea>
    </format>
  </formats>
  <chartFormats count="2">
    <chartFormat chart="0" format="1" series="1">
      <pivotArea type="data" outline="0" fieldPosition="0"/>
    </chartFormat>
    <chartFormat chart="0" format="2" series="1">
      <pivotArea type="data" outline="0" fieldPosition="0">
        <references count="1">
          <reference field="4294967294" count="1" selected="0">
            <x v="0"/>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pivotTable" Target="../pivotTables/pivotTable6.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pivotTable" Target="../pivotTables/pivotTable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8.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1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11.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1.bin"/><Relationship Id="rId1" Type="http://schemas.openxmlformats.org/officeDocument/2006/relationships/pivotTable" Target="../pivotTables/pivotTable1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14.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ivotTable" Target="../pivotTables/pivotTable1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2.bin"/><Relationship Id="rId1" Type="http://schemas.openxmlformats.org/officeDocument/2006/relationships/pivotTable" Target="../pivotTables/pivotTable16.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ivotTable" Target="../pivotTables/pivotTable17.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ivotTable" Target="../pivotTables/pivotTable18.x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ivotTable" Target="../pivotTables/pivotTable20.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ivotTable" Target="../pivotTables/pivotTable2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ivotTable" Target="../pivotTables/pivotTable22.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ivotTable" Target="../pivotTables/pivotTable23.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ivotTable" Target="../pivotTables/pivotTable24.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ivotTable" Target="../pivotTables/pivotTable25.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ivotTable" Target="../pivotTables/pivotTable26.xml"/></Relationships>
</file>

<file path=xl/worksheets/_rels/sheet6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ivotTable" Target="../pivotTables/pivotTable27.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ivotTable" Target="../pivotTables/pivotTable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5E958E"/>
  </sheetPr>
  <dimension ref="A3:AB153"/>
  <sheetViews>
    <sheetView showGridLines="0" tabSelected="1" zoomScale="70" zoomScaleNormal="70" workbookViewId="0"/>
  </sheetViews>
  <sheetFormatPr defaultRowHeight="14.25"/>
  <cols>
    <col min="1" max="2" width="5.796875" customWidth="1"/>
    <col min="3" max="3" width="5.86328125" customWidth="1"/>
    <col min="4" max="4" width="10.796875" customWidth="1"/>
    <col min="5" max="5" width="13.796875" customWidth="1"/>
    <col min="6" max="10" width="10.796875" customWidth="1"/>
    <col min="11" max="11" width="4.796875" customWidth="1"/>
    <col min="12" max="12" width="5.796875" customWidth="1"/>
    <col min="13" max="13" width="5.86328125" customWidth="1"/>
    <col min="14" max="20" width="10.796875" customWidth="1"/>
    <col min="21" max="21" width="14.6640625" customWidth="1"/>
    <col min="23" max="24" width="12.796875" customWidth="1"/>
  </cols>
  <sheetData>
    <row r="3" spans="1:21" ht="23.25">
      <c r="B3" s="328" t="s">
        <v>0</v>
      </c>
      <c r="C3" s="328"/>
      <c r="D3" s="328"/>
      <c r="E3" s="328"/>
      <c r="F3" s="328"/>
      <c r="G3" s="328"/>
      <c r="H3" s="328"/>
      <c r="I3" s="328"/>
      <c r="J3" s="328"/>
      <c r="K3" s="5"/>
      <c r="L3" s="5"/>
      <c r="M3" s="5"/>
      <c r="N3" s="5"/>
      <c r="O3" s="5"/>
      <c r="P3" s="5"/>
      <c r="Q3" s="5"/>
      <c r="R3" s="5"/>
      <c r="S3" s="5"/>
      <c r="T3" s="5"/>
      <c r="U3" s="5"/>
    </row>
    <row r="4" spans="1:21" ht="30.75">
      <c r="B4" s="329" t="s">
        <v>1</v>
      </c>
      <c r="C4" s="329"/>
      <c r="D4" s="329"/>
      <c r="E4" s="329"/>
      <c r="F4" s="329"/>
      <c r="G4" s="329"/>
      <c r="H4" s="329"/>
      <c r="I4" s="329"/>
      <c r="J4" s="329"/>
      <c r="K4" s="6"/>
      <c r="L4" s="6"/>
      <c r="M4" s="6"/>
      <c r="N4" s="6"/>
      <c r="O4" s="6"/>
      <c r="P4" s="6"/>
      <c r="Q4" s="6"/>
      <c r="R4" s="6"/>
      <c r="S4" s="6"/>
      <c r="T4" s="6"/>
      <c r="U4" s="6"/>
    </row>
    <row r="5" spans="1:21" ht="18">
      <c r="B5" s="330" t="s">
        <v>23</v>
      </c>
      <c r="C5" s="330"/>
      <c r="D5" s="330"/>
      <c r="E5" s="330"/>
      <c r="F5" s="330"/>
      <c r="G5" s="330"/>
      <c r="H5" s="330"/>
      <c r="I5" s="330"/>
      <c r="J5" s="330"/>
      <c r="K5" s="7"/>
      <c r="L5" s="7"/>
      <c r="M5" s="7"/>
      <c r="N5" s="7"/>
      <c r="O5" s="7"/>
      <c r="P5" s="7"/>
      <c r="Q5" s="7"/>
      <c r="R5" s="7"/>
      <c r="S5" s="7"/>
      <c r="T5" s="7"/>
      <c r="U5" s="7"/>
    </row>
    <row r="6" spans="1:21" ht="18">
      <c r="I6" s="19"/>
    </row>
    <row r="7" spans="1:21" ht="18">
      <c r="B7" s="20" t="s">
        <v>35</v>
      </c>
      <c r="C7" s="19"/>
      <c r="D7" s="19"/>
      <c r="E7" s="259">
        <f>MAX(V1.1.1!$E$7,V1.1.2!$E$7,V1.1.3!E7,V2.1.1!$E$7,V2.1.2!E7,V3.1.1!E7,V3.1.2!E7,V3.1.3!E7,V3.2.1!E7,V4.1.1!E7,V4.2.1!$E$7,V4.2.2!$E$7,V4.2.3!$E$7,V4.2.4!$E$7,V5.1.1!$E$7,V5.1.2!$E$7,V5.1.3!$E$7,B1.1.1!$E$7,B1.1.2!$E$7,B1.2.1!$E$7,B1.2.2!$E$7,B1.2.3!$E$7,B2.1.1!E7,B2.1.2!E7,B2.2.1!$E$7,B2.2.2!$E$7,B2.2.3!$E$7,B2.2.4!$E$7,B3.1.1!E7,B3.1.2!E7,B3.1.2!E7,B3.1.3!$E$7,B3.2.1!E7,B4.1.1!$E$7,B5.1.1!$E$7,B5.1.2!$E$7,B5.1.3!E7)</f>
        <v>42986</v>
      </c>
      <c r="G7" s="20" t="s">
        <v>316</v>
      </c>
      <c r="H7" s="19"/>
      <c r="J7" s="11"/>
      <c r="K7" s="11"/>
      <c r="L7" s="11"/>
      <c r="M7" s="9"/>
      <c r="N7" s="9"/>
      <c r="O7" s="9"/>
      <c r="P7" s="9"/>
      <c r="Q7" s="9"/>
      <c r="R7" s="9"/>
      <c r="S7" s="9"/>
      <c r="T7" s="9"/>
      <c r="U7" s="9"/>
    </row>
    <row r="8" spans="1:21" ht="18">
      <c r="A8" s="11"/>
      <c r="B8" s="19"/>
      <c r="C8" s="19"/>
      <c r="D8" s="19"/>
      <c r="E8" s="19"/>
      <c r="F8" s="19"/>
      <c r="G8" s="19"/>
      <c r="H8" s="19"/>
      <c r="I8" s="19"/>
      <c r="J8" s="9"/>
      <c r="K8" s="9"/>
      <c r="L8" s="9"/>
      <c r="M8" s="9"/>
      <c r="N8" s="9"/>
      <c r="O8" s="9"/>
      <c r="P8" s="9"/>
      <c r="Q8" s="9"/>
      <c r="R8" s="9"/>
      <c r="S8" s="9"/>
      <c r="T8" s="9"/>
      <c r="U8" s="9"/>
    </row>
    <row r="9" spans="1:21" ht="23.65" thickBot="1">
      <c r="A9" s="11"/>
      <c r="B9" s="331" t="s">
        <v>363</v>
      </c>
      <c r="C9" s="331"/>
      <c r="D9" s="331"/>
      <c r="E9" s="331"/>
      <c r="F9" s="331"/>
      <c r="G9" s="331"/>
      <c r="H9" s="331"/>
      <c r="I9" s="331"/>
      <c r="J9" s="331"/>
      <c r="K9" s="331"/>
      <c r="L9" s="331"/>
      <c r="M9" s="331"/>
      <c r="N9" s="331"/>
      <c r="O9" s="331"/>
      <c r="P9" s="331"/>
      <c r="Q9" s="331"/>
      <c r="R9" s="331"/>
      <c r="S9" s="331"/>
      <c r="T9" s="331"/>
      <c r="U9" s="331"/>
    </row>
    <row r="10" spans="1:21" ht="14.45" customHeight="1">
      <c r="A10" s="9"/>
      <c r="B10" s="22"/>
      <c r="C10" s="4"/>
      <c r="D10" s="4"/>
      <c r="E10" s="4"/>
      <c r="F10" s="4"/>
      <c r="G10" s="4"/>
      <c r="H10" s="4"/>
      <c r="I10" s="4"/>
      <c r="J10" s="4"/>
      <c r="K10" s="4"/>
      <c r="L10" s="4"/>
      <c r="M10" s="4"/>
      <c r="N10" s="4"/>
      <c r="O10" s="4"/>
      <c r="P10" s="4"/>
      <c r="Q10" s="4"/>
      <c r="R10" s="4"/>
      <c r="S10" s="4"/>
      <c r="T10" s="4"/>
      <c r="U10" s="4"/>
    </row>
    <row r="11" spans="1:21" ht="14.45" customHeight="1">
      <c r="A11" s="11"/>
      <c r="B11" s="322" t="s">
        <v>383</v>
      </c>
      <c r="C11" s="322"/>
      <c r="D11" s="322"/>
      <c r="E11" s="322"/>
      <c r="F11" s="322"/>
      <c r="G11" s="322"/>
      <c r="H11" s="322"/>
      <c r="I11" s="322"/>
      <c r="J11" s="322"/>
      <c r="K11" s="322"/>
      <c r="L11" s="322"/>
      <c r="M11" s="322"/>
      <c r="N11" s="322"/>
      <c r="O11" s="322"/>
      <c r="P11" s="322"/>
      <c r="Q11" s="322"/>
      <c r="R11" s="322"/>
      <c r="S11" s="322"/>
      <c r="T11" s="322"/>
      <c r="U11" s="322"/>
    </row>
    <row r="12" spans="1:21" ht="14.45" customHeight="1">
      <c r="A12" s="11"/>
      <c r="B12" s="322"/>
      <c r="C12" s="322"/>
      <c r="D12" s="322"/>
      <c r="E12" s="322"/>
      <c r="F12" s="322"/>
      <c r="G12" s="322"/>
      <c r="H12" s="322"/>
      <c r="I12" s="322"/>
      <c r="J12" s="322"/>
      <c r="K12" s="322"/>
      <c r="L12" s="322"/>
      <c r="M12" s="322"/>
      <c r="N12" s="322"/>
      <c r="O12" s="322"/>
      <c r="P12" s="322"/>
      <c r="Q12" s="322"/>
      <c r="R12" s="322"/>
      <c r="S12" s="322"/>
      <c r="T12" s="322"/>
      <c r="U12" s="322"/>
    </row>
    <row r="13" spans="1:21" ht="14.45" customHeight="1">
      <c r="A13" s="11"/>
      <c r="B13" s="322"/>
      <c r="C13" s="322"/>
      <c r="D13" s="322"/>
      <c r="E13" s="322"/>
      <c r="F13" s="322"/>
      <c r="G13" s="322"/>
      <c r="H13" s="322"/>
      <c r="I13" s="322"/>
      <c r="J13" s="322"/>
      <c r="K13" s="322"/>
      <c r="L13" s="322"/>
      <c r="M13" s="322"/>
      <c r="N13" s="322"/>
      <c r="O13" s="322"/>
      <c r="P13" s="322"/>
      <c r="Q13" s="322"/>
      <c r="R13" s="322"/>
      <c r="S13" s="322"/>
      <c r="T13" s="322"/>
      <c r="U13" s="322"/>
    </row>
    <row r="14" spans="1:21" ht="14.45" customHeight="1">
      <c r="A14" s="11"/>
      <c r="B14" s="322"/>
      <c r="C14" s="322"/>
      <c r="D14" s="322"/>
      <c r="E14" s="322"/>
      <c r="F14" s="322"/>
      <c r="G14" s="322"/>
      <c r="H14" s="322"/>
      <c r="I14" s="322"/>
      <c r="J14" s="322"/>
      <c r="K14" s="322"/>
      <c r="L14" s="322"/>
      <c r="M14" s="322"/>
      <c r="N14" s="322"/>
      <c r="O14" s="322"/>
      <c r="P14" s="322"/>
      <c r="Q14" s="322"/>
      <c r="R14" s="322"/>
      <c r="S14" s="322"/>
      <c r="T14" s="322"/>
      <c r="U14" s="322"/>
    </row>
    <row r="15" spans="1:21" ht="14.45" customHeight="1">
      <c r="A15" s="11"/>
      <c r="B15" s="322"/>
      <c r="C15" s="322"/>
      <c r="D15" s="322"/>
      <c r="E15" s="322"/>
      <c r="F15" s="322"/>
      <c r="G15" s="322"/>
      <c r="H15" s="322"/>
      <c r="I15" s="322"/>
      <c r="J15" s="322"/>
      <c r="K15" s="322"/>
      <c r="L15" s="322"/>
      <c r="M15" s="322"/>
      <c r="N15" s="322"/>
      <c r="O15" s="322"/>
      <c r="P15" s="322"/>
      <c r="Q15" s="322"/>
      <c r="R15" s="322"/>
      <c r="S15" s="322"/>
      <c r="T15" s="322"/>
      <c r="U15" s="322"/>
    </row>
    <row r="16" spans="1:21" ht="14.45" customHeight="1">
      <c r="A16" s="11"/>
      <c r="B16" s="322"/>
      <c r="C16" s="322"/>
      <c r="D16" s="322"/>
      <c r="E16" s="322"/>
      <c r="F16" s="322"/>
      <c r="G16" s="322"/>
      <c r="H16" s="322"/>
      <c r="I16" s="322"/>
      <c r="J16" s="322"/>
      <c r="K16" s="322"/>
      <c r="L16" s="322"/>
      <c r="M16" s="322"/>
      <c r="N16" s="322"/>
      <c r="O16" s="322"/>
      <c r="P16" s="322"/>
      <c r="Q16" s="322"/>
      <c r="R16" s="322"/>
      <c r="S16" s="322"/>
      <c r="T16" s="322"/>
      <c r="U16" s="322"/>
    </row>
    <row r="17" spans="1:28" ht="14.45" customHeight="1">
      <c r="A17" s="11"/>
      <c r="B17" s="322"/>
      <c r="C17" s="322"/>
      <c r="D17" s="322"/>
      <c r="E17" s="322"/>
      <c r="F17" s="322"/>
      <c r="G17" s="322"/>
      <c r="H17" s="322"/>
      <c r="I17" s="322"/>
      <c r="J17" s="322"/>
      <c r="K17" s="322"/>
      <c r="L17" s="322"/>
      <c r="M17" s="322"/>
      <c r="N17" s="322"/>
      <c r="O17" s="322"/>
      <c r="P17" s="322"/>
      <c r="Q17" s="322"/>
      <c r="R17" s="322"/>
      <c r="S17" s="322"/>
      <c r="T17" s="322"/>
      <c r="U17" s="322"/>
      <c r="AB17" s="29"/>
    </row>
    <row r="18" spans="1:28" ht="14.45" customHeight="1">
      <c r="A18" s="11"/>
      <c r="B18" s="322"/>
      <c r="C18" s="322"/>
      <c r="D18" s="322"/>
      <c r="E18" s="322"/>
      <c r="F18" s="322"/>
      <c r="G18" s="322"/>
      <c r="H18" s="322"/>
      <c r="I18" s="322"/>
      <c r="J18" s="322"/>
      <c r="K18" s="322"/>
      <c r="L18" s="322"/>
      <c r="M18" s="322"/>
      <c r="N18" s="322"/>
      <c r="O18" s="322"/>
      <c r="P18" s="322"/>
      <c r="Q18" s="322"/>
      <c r="R18" s="322"/>
      <c r="S18" s="322"/>
      <c r="T18" s="322"/>
      <c r="U18" s="322"/>
      <c r="AB18" s="29"/>
    </row>
    <row r="19" spans="1:28" ht="14.45" customHeight="1">
      <c r="B19" s="322"/>
      <c r="C19" s="322"/>
      <c r="D19" s="322"/>
      <c r="E19" s="322"/>
      <c r="F19" s="322"/>
      <c r="G19" s="322"/>
      <c r="H19" s="322"/>
      <c r="I19" s="322"/>
      <c r="J19" s="322"/>
      <c r="K19" s="322"/>
      <c r="L19" s="322"/>
      <c r="M19" s="322"/>
      <c r="N19" s="322"/>
      <c r="O19" s="322"/>
      <c r="P19" s="322"/>
      <c r="Q19" s="322"/>
      <c r="R19" s="322"/>
      <c r="S19" s="322"/>
      <c r="T19" s="322"/>
      <c r="U19" s="322"/>
    </row>
    <row r="20" spans="1:28" ht="14.45" customHeight="1">
      <c r="B20" s="17"/>
      <c r="C20" t="s">
        <v>32</v>
      </c>
    </row>
    <row r="21" spans="1:28" ht="23.65" thickBot="1">
      <c r="B21" s="331" t="s">
        <v>30</v>
      </c>
      <c r="C21" s="331"/>
      <c r="D21" s="331"/>
      <c r="E21" s="331"/>
      <c r="F21" s="331"/>
      <c r="G21" s="331"/>
      <c r="H21" s="331"/>
      <c r="I21" s="331"/>
      <c r="J21" s="331"/>
      <c r="K21" s="331"/>
      <c r="L21" s="331"/>
      <c r="M21" s="331"/>
      <c r="N21" s="331"/>
      <c r="O21" s="331"/>
      <c r="P21" s="331"/>
      <c r="Q21" s="331"/>
      <c r="R21" s="331"/>
      <c r="S21" s="331"/>
      <c r="T21" s="331"/>
      <c r="U21" s="331"/>
    </row>
    <row r="22" spans="1:28">
      <c r="B22" s="1"/>
      <c r="C22" s="1"/>
      <c r="D22" s="1"/>
      <c r="E22" s="1"/>
      <c r="F22" s="1"/>
      <c r="G22" s="1"/>
      <c r="H22" s="1"/>
      <c r="I22" s="1"/>
      <c r="J22" s="1"/>
      <c r="K22" s="1"/>
      <c r="L22" s="1"/>
      <c r="M22" s="1"/>
      <c r="N22" s="1"/>
      <c r="O22" s="1"/>
      <c r="P22" s="1"/>
      <c r="Q22" s="1"/>
      <c r="R22" s="1"/>
      <c r="S22" s="1"/>
      <c r="T22" s="1"/>
      <c r="U22" s="1"/>
    </row>
    <row r="23" spans="1:28" ht="15.75">
      <c r="B23" s="323" t="s">
        <v>31</v>
      </c>
      <c r="C23" s="323"/>
      <c r="D23" s="323"/>
      <c r="E23" s="323"/>
      <c r="F23" s="323"/>
      <c r="G23" s="323"/>
      <c r="H23" s="323"/>
      <c r="I23" s="323"/>
      <c r="J23" s="323"/>
      <c r="K23" s="323"/>
      <c r="L23" s="323"/>
      <c r="M23" s="323"/>
      <c r="N23" s="323"/>
      <c r="O23" s="323"/>
      <c r="P23" s="323"/>
      <c r="Q23" s="323"/>
      <c r="R23" s="323"/>
      <c r="S23" s="323"/>
      <c r="T23" s="323"/>
      <c r="U23" s="1"/>
    </row>
    <row r="24" spans="1:28" ht="15.75">
      <c r="B24" s="1"/>
      <c r="C24" s="324" t="s">
        <v>24</v>
      </c>
      <c r="D24" s="324"/>
      <c r="E24" s="311" t="s">
        <v>27</v>
      </c>
      <c r="F24" s="311"/>
      <c r="G24" s="311"/>
      <c r="H24" s="311"/>
      <c r="I24" s="311"/>
      <c r="J24" s="311"/>
      <c r="K24" s="311"/>
      <c r="L24" s="311"/>
      <c r="M24" s="311"/>
      <c r="N24" s="311"/>
      <c r="O24" s="311"/>
      <c r="P24" s="311"/>
      <c r="Q24" s="311"/>
      <c r="R24" s="311"/>
      <c r="S24" s="311"/>
      <c r="T24" s="311"/>
      <c r="U24" s="1"/>
    </row>
    <row r="25" spans="1:28" ht="15.75">
      <c r="B25" s="1"/>
      <c r="C25" s="324" t="s">
        <v>25</v>
      </c>
      <c r="D25" s="324"/>
      <c r="E25" s="311" t="s">
        <v>385</v>
      </c>
      <c r="F25" s="311"/>
      <c r="G25" s="311"/>
      <c r="H25" s="311"/>
      <c r="I25" s="311"/>
      <c r="J25" s="311"/>
      <c r="K25" s="311"/>
      <c r="L25" s="311"/>
      <c r="M25" s="311"/>
      <c r="N25" s="311"/>
      <c r="O25" s="311"/>
      <c r="P25" s="311"/>
      <c r="Q25" s="311"/>
      <c r="R25" s="311"/>
      <c r="S25" s="311"/>
      <c r="T25" s="311"/>
      <c r="U25" s="1"/>
    </row>
    <row r="26" spans="1:28" ht="15.75">
      <c r="B26" s="1"/>
      <c r="C26" s="324" t="s">
        <v>26</v>
      </c>
      <c r="D26" s="324"/>
      <c r="E26" s="311" t="s">
        <v>386</v>
      </c>
      <c r="F26" s="311"/>
      <c r="G26" s="311"/>
      <c r="H26" s="311"/>
      <c r="I26" s="311"/>
      <c r="J26" s="311"/>
      <c r="K26" s="311"/>
      <c r="L26" s="311"/>
      <c r="M26" s="311"/>
      <c r="N26" s="311"/>
      <c r="O26" s="311"/>
      <c r="P26" s="311"/>
      <c r="Q26" s="311"/>
      <c r="R26" s="311"/>
      <c r="S26" s="311"/>
      <c r="T26" s="311"/>
      <c r="U26" s="1"/>
    </row>
    <row r="27" spans="1:28" ht="15.75">
      <c r="B27" s="1"/>
      <c r="C27" s="18"/>
      <c r="D27" s="1"/>
      <c r="E27" s="1"/>
      <c r="F27" s="1"/>
      <c r="G27" s="1"/>
      <c r="H27" s="1"/>
      <c r="I27" s="1"/>
      <c r="J27" s="1"/>
      <c r="K27" s="1"/>
      <c r="L27" s="1"/>
      <c r="M27" s="1"/>
      <c r="N27" s="1"/>
      <c r="O27" s="1"/>
      <c r="P27" s="1"/>
      <c r="Q27" s="1"/>
      <c r="R27" s="1"/>
      <c r="S27" s="1"/>
      <c r="T27" s="1"/>
      <c r="U27" s="1"/>
    </row>
    <row r="28" spans="1:28" ht="15.75">
      <c r="B28" s="1"/>
      <c r="C28" s="311" t="s">
        <v>37</v>
      </c>
      <c r="D28" s="311"/>
      <c r="E28" s="311" t="s">
        <v>384</v>
      </c>
      <c r="F28" s="311"/>
      <c r="G28" s="311"/>
      <c r="H28" s="311"/>
      <c r="I28" s="311"/>
      <c r="J28" s="311"/>
      <c r="K28" s="311"/>
      <c r="L28" s="311"/>
      <c r="M28" s="311"/>
      <c r="N28" s="311"/>
      <c r="O28" s="311"/>
      <c r="P28" s="311"/>
      <c r="Q28" s="311"/>
      <c r="R28" s="311"/>
      <c r="S28" s="311"/>
      <c r="T28" s="311"/>
      <c r="U28" s="1"/>
    </row>
    <row r="29" spans="1:28">
      <c r="B29" s="1"/>
      <c r="C29" s="1"/>
      <c r="D29" s="1"/>
      <c r="E29" s="1"/>
      <c r="F29" s="1"/>
      <c r="G29" s="1"/>
      <c r="H29" s="1"/>
      <c r="I29" s="1"/>
      <c r="J29" s="1"/>
      <c r="K29" s="1"/>
      <c r="L29" s="1"/>
      <c r="M29" s="1"/>
      <c r="N29" s="1"/>
      <c r="O29" s="1"/>
      <c r="P29" s="1"/>
      <c r="Q29" s="1"/>
      <c r="R29" s="1"/>
      <c r="S29" s="1"/>
      <c r="T29" s="1"/>
      <c r="U29" s="1"/>
    </row>
    <row r="30" spans="1:28" ht="15.75">
      <c r="B30" s="311" t="s">
        <v>36</v>
      </c>
      <c r="C30" s="311"/>
      <c r="D30" s="311"/>
      <c r="E30" s="311"/>
      <c r="F30" s="311"/>
      <c r="G30" s="311"/>
      <c r="H30" s="311"/>
      <c r="I30" s="311"/>
      <c r="J30" s="311"/>
      <c r="K30" s="311"/>
      <c r="L30" s="311"/>
      <c r="M30" s="311"/>
      <c r="N30" s="311"/>
      <c r="O30" s="311"/>
      <c r="P30" s="311"/>
      <c r="Q30" s="311"/>
      <c r="R30" s="311"/>
      <c r="S30" s="311"/>
      <c r="T30" s="311"/>
      <c r="U30" s="1"/>
    </row>
    <row r="31" spans="1:28" ht="15.75">
      <c r="B31" s="311" t="s">
        <v>372</v>
      </c>
      <c r="C31" s="311"/>
      <c r="D31" s="311"/>
      <c r="E31" s="311"/>
      <c r="F31" s="311"/>
      <c r="G31" s="311"/>
      <c r="H31" s="311"/>
      <c r="I31" s="311"/>
      <c r="J31" s="311"/>
      <c r="K31" s="311"/>
      <c r="L31" s="311"/>
      <c r="M31" s="311"/>
      <c r="N31" s="311"/>
      <c r="O31" s="311"/>
      <c r="P31" s="311"/>
      <c r="Q31" s="311"/>
      <c r="R31" s="311"/>
      <c r="S31" s="311"/>
      <c r="T31" s="311"/>
      <c r="U31" s="1"/>
    </row>
    <row r="32" spans="1:28">
      <c r="B32" s="1"/>
      <c r="C32" s="1"/>
      <c r="D32" s="1"/>
      <c r="E32" s="1"/>
      <c r="F32" s="1"/>
      <c r="G32" s="1"/>
      <c r="H32" s="1"/>
      <c r="I32" s="1"/>
      <c r="J32" s="1"/>
      <c r="K32" s="1"/>
      <c r="L32" s="1"/>
      <c r="M32" s="1"/>
      <c r="N32" s="1"/>
      <c r="O32" s="1"/>
      <c r="P32" s="1"/>
      <c r="Q32" s="1"/>
      <c r="R32" s="1"/>
      <c r="S32" s="1"/>
      <c r="T32" s="1"/>
      <c r="U32" s="1"/>
    </row>
    <row r="34" spans="2:25" ht="23.65" thickBot="1">
      <c r="B34" s="331" t="s">
        <v>63</v>
      </c>
      <c r="C34" s="331"/>
      <c r="D34" s="331"/>
      <c r="E34" s="331"/>
      <c r="F34" s="331"/>
      <c r="G34" s="331"/>
      <c r="H34" s="331"/>
      <c r="I34" s="331"/>
      <c r="J34" s="331"/>
      <c r="K34" s="331"/>
      <c r="L34" s="331"/>
      <c r="M34" s="331"/>
      <c r="N34" s="331"/>
      <c r="O34" s="331"/>
      <c r="P34" s="331"/>
      <c r="Q34" s="331"/>
      <c r="R34" s="331"/>
      <c r="S34" s="331"/>
      <c r="T34" s="331"/>
      <c r="U34" s="331"/>
      <c r="W34" s="321" t="s">
        <v>46</v>
      </c>
      <c r="X34" s="321"/>
    </row>
    <row r="35" spans="2:25" ht="14.45" customHeight="1">
      <c r="B35" s="108"/>
      <c r="C35" s="108"/>
      <c r="D35" s="108"/>
      <c r="E35" s="108"/>
      <c r="F35" s="108"/>
      <c r="G35" s="108"/>
      <c r="H35" s="108"/>
      <c r="I35" s="108"/>
      <c r="J35" s="108"/>
      <c r="K35" s="108"/>
      <c r="L35" s="108"/>
      <c r="M35" s="108"/>
      <c r="N35" s="108"/>
      <c r="O35" s="108"/>
      <c r="P35" s="108"/>
      <c r="Q35" s="108"/>
      <c r="R35" s="108"/>
      <c r="S35" s="108"/>
      <c r="T35" s="108"/>
      <c r="U35" s="108"/>
      <c r="W35" s="319" t="s">
        <v>65</v>
      </c>
      <c r="X35" s="320"/>
    </row>
    <row r="36" spans="2:25" ht="14.45" customHeight="1">
      <c r="B36" s="312" t="s">
        <v>33</v>
      </c>
      <c r="C36" s="312"/>
      <c r="D36" s="312"/>
      <c r="E36" s="312"/>
      <c r="F36" s="312"/>
      <c r="G36" s="312"/>
      <c r="H36" s="108"/>
      <c r="I36" s="108"/>
      <c r="J36" s="108"/>
      <c r="K36" s="108"/>
      <c r="L36" s="108"/>
      <c r="M36" s="108"/>
      <c r="N36" s="108"/>
      <c r="O36" s="108"/>
      <c r="P36" s="108"/>
      <c r="Q36" s="108"/>
      <c r="R36" s="108"/>
      <c r="S36" s="108"/>
      <c r="T36" s="108"/>
      <c r="U36" s="108"/>
      <c r="W36" s="56" t="s">
        <v>61</v>
      </c>
      <c r="X36" s="56" t="s">
        <v>62</v>
      </c>
    </row>
    <row r="37" spans="2:25" ht="14.45" customHeight="1">
      <c r="B37" s="109"/>
      <c r="C37" s="108"/>
      <c r="D37" s="108"/>
      <c r="E37" s="108"/>
      <c r="F37" s="108"/>
      <c r="G37" s="108"/>
      <c r="H37" s="108"/>
      <c r="I37" s="108"/>
      <c r="J37" s="108"/>
      <c r="K37" s="108"/>
      <c r="L37" s="108"/>
      <c r="M37" s="108"/>
      <c r="N37" s="108"/>
      <c r="O37" s="108"/>
      <c r="P37" s="108"/>
      <c r="Q37" s="108"/>
      <c r="R37" s="108"/>
      <c r="S37" s="108"/>
      <c r="T37" s="108"/>
      <c r="U37" s="108"/>
      <c r="W37" s="244" t="s">
        <v>392</v>
      </c>
      <c r="X37" s="244" t="s">
        <v>448</v>
      </c>
    </row>
    <row r="38" spans="2:25" ht="14.45" customHeight="1">
      <c r="B38" s="125"/>
      <c r="C38" s="126"/>
      <c r="D38" s="126"/>
      <c r="E38" s="126"/>
      <c r="F38" s="126"/>
      <c r="G38" s="126"/>
      <c r="H38" s="126"/>
      <c r="I38" s="126"/>
      <c r="J38" s="126"/>
      <c r="K38" s="126"/>
      <c r="L38" s="128"/>
      <c r="M38" s="128"/>
      <c r="N38" s="128"/>
      <c r="O38" s="128"/>
      <c r="P38" s="128"/>
      <c r="Q38" s="128"/>
      <c r="R38" s="128"/>
      <c r="S38" s="128"/>
      <c r="T38" s="128"/>
      <c r="U38" s="128"/>
      <c r="W38" s="244" t="s">
        <v>393</v>
      </c>
      <c r="X38" s="244" t="s">
        <v>449</v>
      </c>
    </row>
    <row r="39" spans="2:25" ht="14.45" customHeight="1">
      <c r="B39" s="313" t="s">
        <v>28</v>
      </c>
      <c r="C39" s="313"/>
      <c r="D39" s="313"/>
      <c r="E39" s="313"/>
      <c r="F39" s="126"/>
      <c r="G39" s="126"/>
      <c r="H39" s="126"/>
      <c r="I39" s="126"/>
      <c r="J39" s="126"/>
      <c r="K39" s="126"/>
      <c r="L39" s="314" t="s">
        <v>29</v>
      </c>
      <c r="M39" s="314"/>
      <c r="N39" s="314"/>
      <c r="O39" s="314"/>
      <c r="P39" s="128"/>
      <c r="Q39" s="128"/>
      <c r="R39" s="128"/>
      <c r="S39" s="128"/>
      <c r="T39" s="128"/>
      <c r="U39" s="128"/>
      <c r="W39" s="244" t="s">
        <v>394</v>
      </c>
      <c r="X39" s="244" t="s">
        <v>450</v>
      </c>
    </row>
    <row r="40" spans="2:25" ht="14.45" customHeight="1">
      <c r="B40" s="313"/>
      <c r="C40" s="313"/>
      <c r="D40" s="313"/>
      <c r="E40" s="313"/>
      <c r="F40" s="126"/>
      <c r="G40" s="126"/>
      <c r="H40" s="126"/>
      <c r="I40" s="126"/>
      <c r="J40" s="126"/>
      <c r="K40" s="126"/>
      <c r="L40" s="314"/>
      <c r="M40" s="314"/>
      <c r="N40" s="314"/>
      <c r="O40" s="314"/>
      <c r="P40" s="128"/>
      <c r="Q40" s="128"/>
      <c r="R40" s="128"/>
      <c r="S40" s="128"/>
      <c r="T40" s="128"/>
      <c r="U40" s="128"/>
      <c r="W40" s="244" t="s">
        <v>434</v>
      </c>
      <c r="X40" s="244" t="s">
        <v>451</v>
      </c>
    </row>
    <row r="41" spans="2:25" ht="14.45" customHeight="1">
      <c r="B41" s="192"/>
      <c r="C41" s="192"/>
      <c r="D41" s="192"/>
      <c r="E41" s="192"/>
      <c r="F41" s="126"/>
      <c r="G41" s="126"/>
      <c r="H41" s="126"/>
      <c r="I41" s="126"/>
      <c r="J41" s="126"/>
      <c r="K41" s="126"/>
      <c r="L41" s="193"/>
      <c r="M41" s="193"/>
      <c r="N41" s="193"/>
      <c r="O41" s="193"/>
      <c r="P41" s="128"/>
      <c r="Q41" s="128"/>
      <c r="R41" s="128"/>
      <c r="S41" s="128"/>
      <c r="T41" s="128"/>
      <c r="U41" s="128"/>
      <c r="W41" s="244" t="s">
        <v>435</v>
      </c>
      <c r="X41" s="244" t="s">
        <v>452</v>
      </c>
    </row>
    <row r="42" spans="2:25" ht="14.45" customHeight="1">
      <c r="B42" s="196" t="s">
        <v>8</v>
      </c>
      <c r="C42" s="189"/>
      <c r="D42" s="189"/>
      <c r="E42" s="189"/>
      <c r="F42" s="189"/>
      <c r="G42" s="189"/>
      <c r="H42" s="189"/>
      <c r="I42" s="189"/>
      <c r="J42" s="189"/>
      <c r="K42" s="189"/>
      <c r="L42" s="197" t="s">
        <v>8</v>
      </c>
      <c r="M42" s="190"/>
      <c r="N42" s="190"/>
      <c r="O42" s="190"/>
      <c r="P42" s="190"/>
      <c r="Q42" s="190"/>
      <c r="R42" s="190"/>
      <c r="S42" s="190"/>
      <c r="T42" s="190"/>
      <c r="U42" s="190"/>
      <c r="W42" s="244" t="s">
        <v>436</v>
      </c>
      <c r="X42" s="244" t="s">
        <v>453</v>
      </c>
    </row>
    <row r="43" spans="2:25" ht="14.45" customHeight="1">
      <c r="B43" s="127"/>
      <c r="C43" s="285" t="s">
        <v>396</v>
      </c>
      <c r="D43" s="135"/>
      <c r="E43" s="135"/>
      <c r="F43" s="135"/>
      <c r="G43" s="135"/>
      <c r="H43" s="135"/>
      <c r="I43" s="135"/>
      <c r="J43" s="135"/>
      <c r="K43" s="135"/>
      <c r="L43" s="136"/>
      <c r="M43" s="286" t="s">
        <v>407</v>
      </c>
      <c r="N43" s="287"/>
      <c r="O43" s="288"/>
      <c r="P43" s="288"/>
      <c r="Q43" s="288"/>
      <c r="R43" s="288"/>
      <c r="S43" s="288"/>
      <c r="T43" s="288"/>
      <c r="U43" s="288"/>
      <c r="W43" s="244" t="s">
        <v>437</v>
      </c>
      <c r="X43" s="245" t="s">
        <v>454</v>
      </c>
    </row>
    <row r="44" spans="2:25" ht="14.45" customHeight="1">
      <c r="B44" s="127"/>
      <c r="C44" s="135"/>
      <c r="D44" s="310" t="s">
        <v>387</v>
      </c>
      <c r="E44" s="310"/>
      <c r="F44" s="310"/>
      <c r="G44" s="310"/>
      <c r="H44" s="310"/>
      <c r="I44" s="310"/>
      <c r="J44" s="310"/>
      <c r="K44" s="135"/>
      <c r="L44" s="136"/>
      <c r="M44" s="288"/>
      <c r="N44" s="315" t="s">
        <v>417</v>
      </c>
      <c r="O44" s="315"/>
      <c r="P44" s="315"/>
      <c r="Q44" s="315"/>
      <c r="R44" s="315"/>
      <c r="S44" s="315"/>
      <c r="T44" s="315"/>
      <c r="U44" s="288"/>
      <c r="W44" s="244" t="s">
        <v>438</v>
      </c>
      <c r="X44" s="244" t="s">
        <v>455</v>
      </c>
    </row>
    <row r="45" spans="2:25" ht="14.45" customHeight="1">
      <c r="B45" s="127"/>
      <c r="C45" s="135"/>
      <c r="D45" s="310" t="s">
        <v>388</v>
      </c>
      <c r="E45" s="310"/>
      <c r="F45" s="310"/>
      <c r="G45" s="310"/>
      <c r="H45" s="310"/>
      <c r="I45" s="310"/>
      <c r="J45" s="310"/>
      <c r="K45" s="135"/>
      <c r="L45" s="136"/>
      <c r="M45" s="288"/>
      <c r="N45" s="315" t="s">
        <v>418</v>
      </c>
      <c r="O45" s="315"/>
      <c r="P45" s="315"/>
      <c r="Q45" s="315"/>
      <c r="R45" s="315"/>
      <c r="S45" s="315"/>
      <c r="T45" s="315"/>
      <c r="U45" s="288"/>
      <c r="W45" s="245" t="s">
        <v>439</v>
      </c>
      <c r="X45" s="244" t="s">
        <v>456</v>
      </c>
    </row>
    <row r="46" spans="2:25" ht="14.45" customHeight="1">
      <c r="B46" s="127"/>
      <c r="C46" s="135"/>
      <c r="D46" s="310" t="s">
        <v>389</v>
      </c>
      <c r="E46" s="310"/>
      <c r="F46" s="310"/>
      <c r="G46" s="310"/>
      <c r="H46" s="310"/>
      <c r="I46" s="310"/>
      <c r="J46" s="310"/>
      <c r="K46" s="135"/>
      <c r="L46" s="136"/>
      <c r="M46" s="136"/>
      <c r="N46" s="136"/>
      <c r="O46" s="136"/>
      <c r="P46" s="136"/>
      <c r="Q46" s="136"/>
      <c r="R46" s="136"/>
      <c r="S46" s="136"/>
      <c r="T46" s="136"/>
      <c r="U46" s="288"/>
      <c r="W46" s="244" t="s">
        <v>440</v>
      </c>
      <c r="X46" s="244" t="s">
        <v>457</v>
      </c>
    </row>
    <row r="47" spans="2:25" ht="14.45" customHeight="1">
      <c r="B47" s="127"/>
      <c r="C47" s="135"/>
      <c r="D47" s="233"/>
      <c r="E47" s="233"/>
      <c r="F47" s="233"/>
      <c r="G47" s="233"/>
      <c r="H47" s="233"/>
      <c r="I47" s="233"/>
      <c r="J47" s="233"/>
      <c r="K47" s="135"/>
      <c r="L47" s="136"/>
      <c r="M47" s="286" t="s">
        <v>406</v>
      </c>
      <c r="N47" s="288"/>
      <c r="O47" s="288"/>
      <c r="P47" s="288"/>
      <c r="Q47" s="288"/>
      <c r="R47" s="288"/>
      <c r="S47" s="288"/>
      <c r="T47" s="288"/>
      <c r="U47" s="288"/>
      <c r="W47" s="244" t="s">
        <v>441</v>
      </c>
      <c r="X47" s="244" t="s">
        <v>458</v>
      </c>
      <c r="Y47" s="99"/>
    </row>
    <row r="48" spans="2:25" ht="14.45" customHeight="1">
      <c r="B48" s="127"/>
      <c r="C48" s="135"/>
      <c r="D48" s="233"/>
      <c r="E48" s="233"/>
      <c r="F48" s="233"/>
      <c r="G48" s="233"/>
      <c r="H48" s="233"/>
      <c r="I48" s="233"/>
      <c r="J48" s="233"/>
      <c r="K48" s="135"/>
      <c r="L48" s="136"/>
      <c r="M48" s="288"/>
      <c r="N48" s="315" t="s">
        <v>430</v>
      </c>
      <c r="O48" s="315"/>
      <c r="P48" s="315"/>
      <c r="Q48" s="315"/>
      <c r="R48" s="315"/>
      <c r="S48" s="315"/>
      <c r="T48" s="315"/>
      <c r="U48" s="288"/>
      <c r="W48" s="244" t="s">
        <v>442</v>
      </c>
      <c r="X48" s="244" t="s">
        <v>459</v>
      </c>
    </row>
    <row r="49" spans="2:24" ht="14.45" customHeight="1">
      <c r="B49" s="127"/>
      <c r="C49" s="135"/>
      <c r="D49" s="233"/>
      <c r="E49" s="233"/>
      <c r="F49" s="233"/>
      <c r="G49" s="233"/>
      <c r="H49" s="233"/>
      <c r="I49" s="233"/>
      <c r="J49" s="233"/>
      <c r="K49" s="135"/>
      <c r="L49" s="136"/>
      <c r="M49" s="288"/>
      <c r="N49" s="315" t="s">
        <v>433</v>
      </c>
      <c r="O49" s="315"/>
      <c r="P49" s="315"/>
      <c r="Q49" s="315"/>
      <c r="R49" s="315"/>
      <c r="S49" s="315"/>
      <c r="T49" s="315"/>
      <c r="U49" s="288"/>
      <c r="W49" s="244" t="s">
        <v>443</v>
      </c>
      <c r="X49" s="244" t="s">
        <v>460</v>
      </c>
    </row>
    <row r="50" spans="2:24" ht="14.45" customHeight="1">
      <c r="B50" s="127"/>
      <c r="C50" s="135"/>
      <c r="D50" s="233"/>
      <c r="E50" s="233"/>
      <c r="F50" s="233"/>
      <c r="G50" s="233"/>
      <c r="H50" s="233"/>
      <c r="I50" s="233"/>
      <c r="J50" s="233"/>
      <c r="K50" s="135"/>
      <c r="L50" s="136"/>
      <c r="M50" s="288"/>
      <c r="N50" s="315" t="s">
        <v>419</v>
      </c>
      <c r="O50" s="315"/>
      <c r="P50" s="315"/>
      <c r="Q50" s="315"/>
      <c r="R50" s="315"/>
      <c r="S50" s="315"/>
      <c r="T50" s="315"/>
      <c r="U50" s="288"/>
      <c r="W50" s="244" t="s">
        <v>444</v>
      </c>
      <c r="X50" s="245" t="s">
        <v>461</v>
      </c>
    </row>
    <row r="51" spans="2:24" ht="14.45" customHeight="1">
      <c r="B51" s="127"/>
      <c r="C51" s="135"/>
      <c r="D51" s="233"/>
      <c r="E51" s="233"/>
      <c r="F51" s="233"/>
      <c r="G51" s="233"/>
      <c r="H51" s="233"/>
      <c r="I51" s="233"/>
      <c r="J51" s="233"/>
      <c r="K51" s="135"/>
      <c r="L51" s="136"/>
      <c r="M51" s="288"/>
      <c r="N51" s="232"/>
      <c r="O51" s="232"/>
      <c r="P51" s="232"/>
      <c r="Q51" s="232"/>
      <c r="R51" s="232"/>
      <c r="S51" s="232"/>
      <c r="T51" s="232"/>
      <c r="U51" s="288"/>
      <c r="W51" s="244" t="s">
        <v>445</v>
      </c>
      <c r="X51" s="244" t="s">
        <v>462</v>
      </c>
    </row>
    <row r="52" spans="2:24" ht="14.45" customHeight="1">
      <c r="B52" s="188" t="s">
        <v>328</v>
      </c>
      <c r="C52" s="289"/>
      <c r="D52" s="289"/>
      <c r="E52" s="289"/>
      <c r="F52" s="289"/>
      <c r="G52" s="289"/>
      <c r="H52" s="289"/>
      <c r="I52" s="289"/>
      <c r="J52" s="289"/>
      <c r="K52" s="289"/>
      <c r="L52" s="290" t="s">
        <v>328</v>
      </c>
      <c r="M52" s="291"/>
      <c r="N52" s="291"/>
      <c r="O52" s="291"/>
      <c r="P52" s="291"/>
      <c r="Q52" s="291"/>
      <c r="R52" s="291"/>
      <c r="S52" s="291"/>
      <c r="T52" s="291"/>
      <c r="U52" s="291"/>
      <c r="W52" s="246" t="s">
        <v>446</v>
      </c>
      <c r="X52" s="244" t="s">
        <v>463</v>
      </c>
    </row>
    <row r="53" spans="2:24" ht="14.45" customHeight="1">
      <c r="B53" s="127"/>
      <c r="C53" s="285" t="s">
        <v>395</v>
      </c>
      <c r="D53" s="135"/>
      <c r="E53" s="135"/>
      <c r="F53" s="135"/>
      <c r="G53" s="135"/>
      <c r="H53" s="135"/>
      <c r="I53" s="135"/>
      <c r="J53" s="135"/>
      <c r="K53" s="135"/>
      <c r="L53" s="136"/>
      <c r="M53" s="286" t="s">
        <v>405</v>
      </c>
      <c r="N53" s="288"/>
      <c r="O53" s="288"/>
      <c r="P53" s="288"/>
      <c r="Q53" s="288"/>
      <c r="R53" s="288"/>
      <c r="S53" s="288"/>
      <c r="T53" s="288"/>
      <c r="U53" s="288"/>
      <c r="W53" s="247" t="s">
        <v>447</v>
      </c>
      <c r="X53" s="244" t="s">
        <v>464</v>
      </c>
    </row>
    <row r="54" spans="2:24" ht="14.45" customHeight="1">
      <c r="B54" s="127"/>
      <c r="C54" s="135"/>
      <c r="D54" s="310" t="s">
        <v>390</v>
      </c>
      <c r="E54" s="310"/>
      <c r="F54" s="310"/>
      <c r="G54" s="310"/>
      <c r="H54" s="310"/>
      <c r="I54" s="310"/>
      <c r="J54" s="310"/>
      <c r="K54" s="135"/>
      <c r="L54" s="136"/>
      <c r="M54" s="288"/>
      <c r="N54" s="315" t="s">
        <v>644</v>
      </c>
      <c r="O54" s="315"/>
      <c r="P54" s="315"/>
      <c r="Q54" s="315"/>
      <c r="R54" s="315"/>
      <c r="S54" s="315"/>
      <c r="T54" s="315"/>
      <c r="U54" s="288"/>
      <c r="W54" s="295"/>
      <c r="X54" s="244" t="s">
        <v>465</v>
      </c>
    </row>
    <row r="55" spans="2:24" ht="14.45" customHeight="1">
      <c r="B55" s="127"/>
      <c r="C55" s="135"/>
      <c r="D55" s="310" t="s">
        <v>391</v>
      </c>
      <c r="E55" s="310"/>
      <c r="F55" s="310"/>
      <c r="G55" s="310"/>
      <c r="H55" s="310"/>
      <c r="I55" s="310"/>
      <c r="J55" s="310"/>
      <c r="K55" s="135"/>
      <c r="L55" s="136"/>
      <c r="M55" s="288"/>
      <c r="N55" s="315" t="s">
        <v>420</v>
      </c>
      <c r="O55" s="315"/>
      <c r="P55" s="315"/>
      <c r="Q55" s="315"/>
      <c r="R55" s="315"/>
      <c r="S55" s="315"/>
      <c r="T55" s="315"/>
      <c r="U55" s="288"/>
      <c r="W55" s="204"/>
      <c r="X55" s="248" t="s">
        <v>466</v>
      </c>
    </row>
    <row r="56" spans="2:24" ht="14.45" customHeight="1">
      <c r="B56" s="127"/>
      <c r="C56" s="135"/>
      <c r="D56" s="233"/>
      <c r="E56" s="233"/>
      <c r="F56" s="233"/>
      <c r="G56" s="233"/>
      <c r="H56" s="233"/>
      <c r="I56" s="233"/>
      <c r="J56" s="233"/>
      <c r="K56" s="135"/>
      <c r="L56" s="136"/>
      <c r="M56" s="288"/>
      <c r="N56" s="232"/>
      <c r="O56" s="232"/>
      <c r="P56" s="232"/>
      <c r="Q56" s="232"/>
      <c r="R56" s="232"/>
      <c r="S56" s="232"/>
      <c r="T56" s="232"/>
      <c r="U56" s="288"/>
    </row>
    <row r="57" spans="2:24" ht="14.45" customHeight="1">
      <c r="B57" s="127"/>
      <c r="C57" s="135"/>
      <c r="D57" s="233"/>
      <c r="E57" s="233"/>
      <c r="F57" s="233"/>
      <c r="G57" s="233"/>
      <c r="H57" s="233"/>
      <c r="I57" s="233"/>
      <c r="J57" s="233"/>
      <c r="K57" s="135"/>
      <c r="L57" s="136"/>
      <c r="M57" s="286" t="s">
        <v>404</v>
      </c>
      <c r="N57" s="288"/>
      <c r="O57" s="288"/>
      <c r="P57" s="288"/>
      <c r="Q57" s="288"/>
      <c r="R57" s="288"/>
      <c r="S57" s="288"/>
      <c r="T57" s="288"/>
      <c r="U57" s="288"/>
      <c r="W57" s="243"/>
      <c r="X57" s="9"/>
    </row>
    <row r="58" spans="2:24" ht="14.45" customHeight="1">
      <c r="B58" s="127"/>
      <c r="C58" s="135"/>
      <c r="D58" s="233"/>
      <c r="E58" s="233"/>
      <c r="F58" s="233"/>
      <c r="G58" s="233"/>
      <c r="H58" s="233"/>
      <c r="I58" s="233"/>
      <c r="J58" s="233"/>
      <c r="K58" s="135"/>
      <c r="L58" s="136"/>
      <c r="M58" s="288"/>
      <c r="N58" s="315" t="s">
        <v>421</v>
      </c>
      <c r="O58" s="315"/>
      <c r="P58" s="315"/>
      <c r="Q58" s="315"/>
      <c r="R58" s="315"/>
      <c r="S58" s="315"/>
      <c r="T58" s="315"/>
      <c r="U58" s="288"/>
    </row>
    <row r="59" spans="2:24" ht="14.45" customHeight="1">
      <c r="B59" s="127"/>
      <c r="C59" s="135"/>
      <c r="D59" s="233"/>
      <c r="E59" s="233"/>
      <c r="F59" s="233"/>
      <c r="G59" s="233"/>
      <c r="H59" s="233"/>
      <c r="I59" s="233"/>
      <c r="J59" s="233"/>
      <c r="K59" s="135"/>
      <c r="L59" s="136"/>
      <c r="M59" s="288"/>
      <c r="N59" s="315" t="s">
        <v>422</v>
      </c>
      <c r="O59" s="315"/>
      <c r="P59" s="315"/>
      <c r="Q59" s="315"/>
      <c r="R59" s="315"/>
      <c r="S59" s="315"/>
      <c r="T59" s="315"/>
      <c r="U59" s="288"/>
    </row>
    <row r="60" spans="2:24" ht="14.45" customHeight="1">
      <c r="B60" s="127"/>
      <c r="C60" s="135"/>
      <c r="D60" s="233"/>
      <c r="E60" s="233"/>
      <c r="F60" s="233"/>
      <c r="G60" s="233"/>
      <c r="H60" s="233"/>
      <c r="I60" s="233"/>
      <c r="J60" s="233"/>
      <c r="K60" s="135"/>
      <c r="L60" s="136"/>
      <c r="M60" s="288"/>
      <c r="N60" s="315" t="s">
        <v>423</v>
      </c>
      <c r="O60" s="315"/>
      <c r="P60" s="315"/>
      <c r="Q60" s="315"/>
      <c r="R60" s="315"/>
      <c r="S60" s="315"/>
      <c r="T60" s="315"/>
      <c r="U60" s="288"/>
    </row>
    <row r="61" spans="2:24" ht="14.45" customHeight="1">
      <c r="B61" s="127"/>
      <c r="C61" s="292"/>
      <c r="D61" s="292"/>
      <c r="E61" s="292"/>
      <c r="F61" s="292"/>
      <c r="G61" s="292"/>
      <c r="H61" s="292"/>
      <c r="I61" s="292"/>
      <c r="J61" s="292"/>
      <c r="K61" s="135"/>
      <c r="L61" s="136"/>
      <c r="M61" s="288"/>
      <c r="N61" s="315" t="s">
        <v>424</v>
      </c>
      <c r="O61" s="315"/>
      <c r="P61" s="315"/>
      <c r="Q61" s="315"/>
      <c r="R61" s="315"/>
      <c r="S61" s="315"/>
      <c r="T61" s="315"/>
      <c r="U61" s="288"/>
    </row>
    <row r="62" spans="2:24" ht="14.45" customHeight="1">
      <c r="B62" s="127"/>
      <c r="C62" s="292"/>
      <c r="D62" s="292"/>
      <c r="E62" s="292"/>
      <c r="F62" s="292"/>
      <c r="G62" s="292"/>
      <c r="H62" s="292"/>
      <c r="I62" s="292"/>
      <c r="J62" s="292"/>
      <c r="K62" s="135"/>
      <c r="L62" s="136"/>
      <c r="M62" s="288"/>
      <c r="N62" s="232"/>
      <c r="O62" s="232"/>
      <c r="P62" s="232"/>
      <c r="Q62" s="232"/>
      <c r="R62" s="232"/>
      <c r="S62" s="232"/>
      <c r="T62" s="232"/>
      <c r="U62" s="288"/>
    </row>
    <row r="63" spans="2:24" ht="14.45" customHeight="1">
      <c r="B63" s="188" t="s">
        <v>214</v>
      </c>
      <c r="C63" s="293"/>
      <c r="D63" s="293"/>
      <c r="E63" s="293"/>
      <c r="F63" s="293"/>
      <c r="G63" s="293"/>
      <c r="H63" s="293"/>
      <c r="I63" s="293"/>
      <c r="J63" s="293"/>
      <c r="K63" s="289"/>
      <c r="L63" s="290" t="s">
        <v>214</v>
      </c>
      <c r="M63" s="291"/>
      <c r="N63" s="291"/>
      <c r="O63" s="291"/>
      <c r="P63" s="291"/>
      <c r="Q63" s="291"/>
      <c r="R63" s="291"/>
      <c r="S63" s="291"/>
      <c r="T63" s="291"/>
      <c r="U63" s="291"/>
    </row>
    <row r="64" spans="2:24" ht="14.45" customHeight="1">
      <c r="B64" s="127"/>
      <c r="C64" s="285" t="s">
        <v>397</v>
      </c>
      <c r="D64" s="135"/>
      <c r="E64" s="135"/>
      <c r="F64" s="135"/>
      <c r="G64" s="135"/>
      <c r="H64" s="135"/>
      <c r="I64" s="135"/>
      <c r="J64" s="135"/>
      <c r="K64" s="135"/>
      <c r="L64" s="136"/>
      <c r="M64" s="286" t="s">
        <v>403</v>
      </c>
      <c r="N64" s="288"/>
      <c r="O64" s="288"/>
      <c r="P64" s="288"/>
      <c r="Q64" s="288"/>
      <c r="R64" s="288"/>
      <c r="S64" s="288"/>
      <c r="T64" s="288"/>
      <c r="U64" s="288"/>
    </row>
    <row r="65" spans="2:21" ht="14.45" customHeight="1">
      <c r="B65" s="127"/>
      <c r="C65" s="135"/>
      <c r="D65" s="310" t="s">
        <v>408</v>
      </c>
      <c r="E65" s="310"/>
      <c r="F65" s="310"/>
      <c r="G65" s="310"/>
      <c r="H65" s="310"/>
      <c r="I65" s="310"/>
      <c r="J65" s="310"/>
      <c r="K65" s="135"/>
      <c r="L65" s="136"/>
      <c r="M65" s="136"/>
      <c r="N65" s="315" t="s">
        <v>653</v>
      </c>
      <c r="O65" s="315"/>
      <c r="P65" s="315"/>
      <c r="Q65" s="315"/>
      <c r="R65" s="315"/>
      <c r="S65" s="315"/>
      <c r="T65" s="315"/>
      <c r="U65" s="288"/>
    </row>
    <row r="66" spans="2:21" ht="14.45" customHeight="1">
      <c r="B66" s="127"/>
      <c r="C66" s="135"/>
      <c r="D66" s="310" t="s">
        <v>409</v>
      </c>
      <c r="E66" s="310"/>
      <c r="F66" s="310"/>
      <c r="G66" s="310"/>
      <c r="H66" s="310"/>
      <c r="I66" s="310"/>
      <c r="J66" s="310"/>
      <c r="K66" s="135"/>
      <c r="L66" s="136"/>
      <c r="M66" s="136"/>
      <c r="N66" s="315" t="s">
        <v>654</v>
      </c>
      <c r="O66" s="315"/>
      <c r="P66" s="315"/>
      <c r="Q66" s="315"/>
      <c r="R66" s="315"/>
      <c r="S66" s="315"/>
      <c r="T66" s="315"/>
      <c r="U66" s="288"/>
    </row>
    <row r="67" spans="2:21" ht="14.45" customHeight="1">
      <c r="B67" s="127"/>
      <c r="C67" s="135"/>
      <c r="D67" s="310" t="s">
        <v>410</v>
      </c>
      <c r="E67" s="310"/>
      <c r="F67" s="310"/>
      <c r="G67" s="310"/>
      <c r="H67" s="310"/>
      <c r="I67" s="310"/>
      <c r="J67" s="310"/>
      <c r="K67" s="135"/>
      <c r="L67" s="136"/>
      <c r="M67" s="136"/>
      <c r="N67" s="315" t="s">
        <v>427</v>
      </c>
      <c r="O67" s="315"/>
      <c r="P67" s="315"/>
      <c r="Q67" s="315"/>
      <c r="R67" s="315"/>
      <c r="S67" s="315"/>
      <c r="T67" s="315"/>
      <c r="U67" s="288"/>
    </row>
    <row r="68" spans="2:21" ht="14.45" customHeight="1">
      <c r="B68" s="127"/>
      <c r="C68" s="135"/>
      <c r="D68" s="233"/>
      <c r="E68" s="233"/>
      <c r="F68" s="233"/>
      <c r="G68" s="233"/>
      <c r="H68" s="233"/>
      <c r="I68" s="233"/>
      <c r="J68" s="233"/>
      <c r="K68" s="135"/>
      <c r="L68" s="136"/>
      <c r="M68" s="136"/>
      <c r="N68" s="191"/>
      <c r="O68" s="191"/>
      <c r="P68" s="191"/>
      <c r="Q68" s="191"/>
      <c r="R68" s="191"/>
      <c r="S68" s="191"/>
      <c r="T68" s="191"/>
      <c r="U68" s="288"/>
    </row>
    <row r="69" spans="2:21" ht="14.45" customHeight="1">
      <c r="B69" s="127"/>
      <c r="C69" s="285" t="s">
        <v>398</v>
      </c>
      <c r="D69" s="135"/>
      <c r="E69" s="135"/>
      <c r="F69" s="135"/>
      <c r="G69" s="135"/>
      <c r="H69" s="135"/>
      <c r="I69" s="135"/>
      <c r="J69" s="135"/>
      <c r="K69" s="135"/>
      <c r="L69" s="136"/>
      <c r="M69" s="286" t="s">
        <v>398</v>
      </c>
      <c r="N69" s="288"/>
      <c r="O69" s="288"/>
      <c r="P69" s="288"/>
      <c r="Q69" s="288"/>
      <c r="R69" s="288"/>
      <c r="S69" s="288"/>
      <c r="T69" s="288"/>
      <c r="U69" s="288"/>
    </row>
    <row r="70" spans="2:21" ht="14.45" customHeight="1">
      <c r="B70" s="127"/>
      <c r="C70" s="135"/>
      <c r="D70" s="310" t="s">
        <v>634</v>
      </c>
      <c r="E70" s="310"/>
      <c r="F70" s="310"/>
      <c r="G70" s="310"/>
      <c r="H70" s="310"/>
      <c r="I70" s="310"/>
      <c r="J70" s="310"/>
      <c r="K70" s="135"/>
      <c r="L70" s="136"/>
      <c r="M70" s="288"/>
      <c r="N70" s="315" t="s">
        <v>633</v>
      </c>
      <c r="O70" s="315"/>
      <c r="P70" s="315"/>
      <c r="Q70" s="315"/>
      <c r="R70" s="315"/>
      <c r="S70" s="315"/>
      <c r="T70" s="315"/>
      <c r="U70" s="288"/>
    </row>
    <row r="71" spans="2:21" ht="14.45" customHeight="1">
      <c r="B71" s="127"/>
      <c r="C71" s="135"/>
      <c r="D71" s="292"/>
      <c r="E71" s="292"/>
      <c r="F71" s="292"/>
      <c r="G71" s="292"/>
      <c r="H71" s="292"/>
      <c r="I71" s="292"/>
      <c r="J71" s="292"/>
      <c r="K71" s="135"/>
      <c r="L71" s="136"/>
      <c r="M71" s="288"/>
      <c r="N71" s="232"/>
      <c r="O71" s="232"/>
      <c r="P71" s="232"/>
      <c r="Q71" s="232"/>
      <c r="R71" s="232"/>
      <c r="S71" s="232"/>
      <c r="T71" s="232"/>
      <c r="U71" s="288"/>
    </row>
    <row r="72" spans="2:21" ht="14.45" customHeight="1">
      <c r="B72" s="127"/>
      <c r="C72" s="135"/>
      <c r="D72" s="233"/>
      <c r="E72" s="233"/>
      <c r="F72" s="233"/>
      <c r="G72" s="233"/>
      <c r="H72" s="233"/>
      <c r="I72" s="233"/>
      <c r="J72" s="233"/>
      <c r="K72" s="135"/>
      <c r="L72" s="136"/>
      <c r="M72" s="288"/>
      <c r="N72" s="232"/>
      <c r="O72" s="232"/>
      <c r="P72" s="232"/>
      <c r="Q72" s="232"/>
      <c r="R72" s="232"/>
      <c r="S72" s="232"/>
      <c r="T72" s="232"/>
      <c r="U72" s="288"/>
    </row>
    <row r="73" spans="2:21" ht="14.45" customHeight="1">
      <c r="B73" s="188" t="s">
        <v>45</v>
      </c>
      <c r="C73" s="293"/>
      <c r="D73" s="293"/>
      <c r="E73" s="293"/>
      <c r="F73" s="293"/>
      <c r="G73" s="293"/>
      <c r="H73" s="293"/>
      <c r="I73" s="293"/>
      <c r="J73" s="293"/>
      <c r="K73" s="293"/>
      <c r="L73" s="290" t="s">
        <v>45</v>
      </c>
      <c r="M73" s="294"/>
      <c r="N73" s="294"/>
      <c r="O73" s="294"/>
      <c r="P73" s="294"/>
      <c r="Q73" s="294"/>
      <c r="R73" s="294"/>
      <c r="S73" s="294"/>
      <c r="T73" s="294"/>
      <c r="U73" s="294"/>
    </row>
    <row r="74" spans="2:21" ht="14.45" customHeight="1">
      <c r="B74" s="127"/>
      <c r="C74" s="326" t="s">
        <v>399</v>
      </c>
      <c r="D74" s="326"/>
      <c r="E74" s="326"/>
      <c r="F74" s="326"/>
      <c r="G74" s="326"/>
      <c r="H74" s="326"/>
      <c r="I74" s="326"/>
      <c r="J74" s="326"/>
      <c r="K74" s="135"/>
      <c r="L74" s="136"/>
      <c r="M74" s="316" t="s">
        <v>399</v>
      </c>
      <c r="N74" s="316"/>
      <c r="O74" s="316"/>
      <c r="P74" s="316"/>
      <c r="Q74" s="316"/>
      <c r="R74" s="316"/>
      <c r="S74" s="316"/>
      <c r="T74" s="316"/>
      <c r="U74" s="288"/>
    </row>
    <row r="75" spans="2:21" ht="14.45" customHeight="1">
      <c r="B75" s="127"/>
      <c r="C75" s="326"/>
      <c r="D75" s="326"/>
      <c r="E75" s="326"/>
      <c r="F75" s="326"/>
      <c r="G75" s="326"/>
      <c r="H75" s="326"/>
      <c r="I75" s="326"/>
      <c r="J75" s="326"/>
      <c r="K75" s="135"/>
      <c r="L75" s="136"/>
      <c r="M75" s="316"/>
      <c r="N75" s="316"/>
      <c r="O75" s="316"/>
      <c r="P75" s="316"/>
      <c r="Q75" s="316"/>
      <c r="R75" s="316"/>
      <c r="S75" s="316"/>
      <c r="T75" s="316"/>
      <c r="U75" s="288"/>
    </row>
    <row r="76" spans="2:21" ht="14.45" customHeight="1">
      <c r="B76" s="127"/>
      <c r="C76" s="135"/>
      <c r="D76" s="310" t="s">
        <v>411</v>
      </c>
      <c r="E76" s="310"/>
      <c r="F76" s="310"/>
      <c r="G76" s="310"/>
      <c r="H76" s="310"/>
      <c r="I76" s="310"/>
      <c r="J76" s="310"/>
      <c r="K76" s="135"/>
      <c r="L76" s="136"/>
      <c r="M76" s="288"/>
      <c r="N76" s="315" t="s">
        <v>429</v>
      </c>
      <c r="O76" s="315"/>
      <c r="P76" s="315"/>
      <c r="Q76" s="315"/>
      <c r="R76" s="315"/>
      <c r="S76" s="315"/>
      <c r="T76" s="315"/>
      <c r="U76" s="288"/>
    </row>
    <row r="77" spans="2:21" ht="14.45" customHeight="1">
      <c r="B77" s="127"/>
      <c r="C77" s="135"/>
      <c r="D77" s="327"/>
      <c r="E77" s="327"/>
      <c r="F77" s="327"/>
      <c r="G77" s="327"/>
      <c r="H77" s="327"/>
      <c r="I77" s="327"/>
      <c r="J77" s="327"/>
      <c r="K77" s="135"/>
      <c r="L77" s="136"/>
      <c r="M77" s="288"/>
      <c r="N77" s="317"/>
      <c r="O77" s="317"/>
      <c r="P77" s="317"/>
      <c r="Q77" s="317"/>
      <c r="R77" s="317"/>
      <c r="S77" s="317"/>
      <c r="T77" s="317"/>
      <c r="U77" s="288"/>
    </row>
    <row r="78" spans="2:21" ht="14.45" customHeight="1">
      <c r="B78" s="127"/>
      <c r="C78" s="135"/>
      <c r="D78" s="233"/>
      <c r="E78" s="233"/>
      <c r="F78" s="233"/>
      <c r="G78" s="233"/>
      <c r="H78" s="233"/>
      <c r="I78" s="233"/>
      <c r="J78" s="233"/>
      <c r="K78" s="135"/>
      <c r="L78" s="136"/>
      <c r="M78" s="288"/>
      <c r="N78" s="232"/>
      <c r="O78" s="232"/>
      <c r="P78" s="232"/>
      <c r="Q78" s="232"/>
      <c r="R78" s="232"/>
      <c r="S78" s="232"/>
      <c r="T78" s="232"/>
      <c r="U78" s="232"/>
    </row>
    <row r="79" spans="2:21" ht="14.45" customHeight="1">
      <c r="B79" s="127"/>
      <c r="C79" s="326" t="s">
        <v>400</v>
      </c>
      <c r="D79" s="326"/>
      <c r="E79" s="326"/>
      <c r="F79" s="326"/>
      <c r="G79" s="326"/>
      <c r="H79" s="326"/>
      <c r="I79" s="326"/>
      <c r="J79" s="326"/>
      <c r="K79" s="135"/>
      <c r="L79" s="136"/>
      <c r="M79" s="288"/>
      <c r="N79" s="232"/>
      <c r="O79" s="232"/>
      <c r="P79" s="232"/>
      <c r="Q79" s="232"/>
      <c r="R79" s="232"/>
      <c r="S79" s="232"/>
      <c r="T79" s="232"/>
      <c r="U79" s="232"/>
    </row>
    <row r="80" spans="2:21" ht="14.45" customHeight="1">
      <c r="B80" s="127"/>
      <c r="C80" s="326"/>
      <c r="D80" s="326"/>
      <c r="E80" s="326"/>
      <c r="F80" s="326"/>
      <c r="G80" s="326"/>
      <c r="H80" s="326"/>
      <c r="I80" s="326"/>
      <c r="J80" s="326"/>
      <c r="K80" s="135"/>
      <c r="L80" s="136"/>
      <c r="M80" s="288"/>
      <c r="N80" s="232"/>
      <c r="O80" s="232"/>
      <c r="P80" s="232"/>
      <c r="Q80" s="232"/>
      <c r="R80" s="232"/>
      <c r="S80" s="232"/>
      <c r="T80" s="232"/>
      <c r="U80" s="232"/>
    </row>
    <row r="81" spans="2:24" ht="25.9" customHeight="1">
      <c r="B81" s="127"/>
      <c r="C81" s="135"/>
      <c r="D81" s="325" t="s">
        <v>659</v>
      </c>
      <c r="E81" s="325"/>
      <c r="F81" s="325"/>
      <c r="G81" s="325"/>
      <c r="H81" s="325"/>
      <c r="I81" s="325"/>
      <c r="J81" s="325"/>
      <c r="K81" s="135"/>
      <c r="L81" s="136"/>
      <c r="M81" s="288"/>
      <c r="N81" s="232"/>
      <c r="O81" s="232"/>
      <c r="P81" s="232"/>
      <c r="Q81" s="232"/>
      <c r="R81" s="232"/>
      <c r="S81" s="232"/>
      <c r="T81" s="232"/>
      <c r="U81" s="232"/>
    </row>
    <row r="82" spans="2:24" s="309" customFormat="1" ht="28.9" customHeight="1">
      <c r="B82" s="304"/>
      <c r="C82" s="305"/>
      <c r="D82" s="325" t="s">
        <v>651</v>
      </c>
      <c r="E82" s="325"/>
      <c r="F82" s="325"/>
      <c r="G82" s="325"/>
      <c r="H82" s="325"/>
      <c r="I82" s="325"/>
      <c r="J82" s="325"/>
      <c r="K82" s="305"/>
      <c r="L82" s="306"/>
      <c r="M82" s="307"/>
      <c r="N82" s="308"/>
      <c r="O82" s="308"/>
      <c r="P82" s="308"/>
      <c r="Q82" s="308"/>
      <c r="R82" s="308"/>
      <c r="S82" s="308"/>
      <c r="T82" s="308"/>
      <c r="U82" s="307"/>
    </row>
    <row r="83" spans="2:24" ht="14.45" customHeight="1">
      <c r="B83" s="127"/>
      <c r="C83" s="135"/>
      <c r="D83" s="310" t="s">
        <v>412</v>
      </c>
      <c r="E83" s="310"/>
      <c r="F83" s="310"/>
      <c r="G83" s="310"/>
      <c r="H83" s="310"/>
      <c r="I83" s="310"/>
      <c r="J83" s="310"/>
      <c r="K83" s="135"/>
      <c r="L83" s="136"/>
      <c r="M83" s="288"/>
      <c r="N83" s="232"/>
      <c r="O83" s="232"/>
      <c r="P83" s="232"/>
      <c r="Q83" s="232"/>
      <c r="R83" s="232"/>
      <c r="S83" s="232"/>
      <c r="T83" s="232"/>
      <c r="U83" s="288"/>
    </row>
    <row r="84" spans="2:24" ht="14.45" customHeight="1">
      <c r="B84" s="127"/>
      <c r="C84" s="135"/>
      <c r="D84" s="310" t="s">
        <v>413</v>
      </c>
      <c r="E84" s="310"/>
      <c r="F84" s="310"/>
      <c r="G84" s="310"/>
      <c r="H84" s="310"/>
      <c r="I84" s="310"/>
      <c r="J84" s="310"/>
      <c r="K84" s="135"/>
      <c r="L84" s="136"/>
      <c r="M84" s="288"/>
      <c r="N84" s="232"/>
      <c r="O84" s="232"/>
      <c r="P84" s="232"/>
      <c r="Q84" s="232"/>
      <c r="R84" s="232"/>
      <c r="S84" s="232"/>
      <c r="T84" s="232"/>
      <c r="U84" s="288"/>
    </row>
    <row r="85" spans="2:24" ht="14.45" customHeight="1">
      <c r="B85" s="127"/>
      <c r="C85" s="135"/>
      <c r="D85" s="327"/>
      <c r="E85" s="327"/>
      <c r="F85" s="327"/>
      <c r="G85" s="327"/>
      <c r="H85" s="327"/>
      <c r="I85" s="327"/>
      <c r="J85" s="327"/>
      <c r="K85" s="135"/>
      <c r="L85" s="136"/>
      <c r="M85" s="288"/>
      <c r="N85" s="232"/>
      <c r="O85" s="232"/>
      <c r="P85" s="232"/>
      <c r="Q85" s="232"/>
      <c r="R85" s="232"/>
      <c r="S85" s="232"/>
      <c r="T85" s="232"/>
      <c r="U85" s="288"/>
    </row>
    <row r="86" spans="2:24" ht="14.45" customHeight="1">
      <c r="B86" s="127"/>
      <c r="C86" s="135"/>
      <c r="D86" s="233"/>
      <c r="E86" s="233"/>
      <c r="F86" s="233"/>
      <c r="G86" s="233"/>
      <c r="H86" s="233"/>
      <c r="I86" s="233"/>
      <c r="J86" s="233"/>
      <c r="K86" s="135"/>
      <c r="L86" s="136"/>
      <c r="M86" s="288"/>
      <c r="N86" s="232"/>
      <c r="O86" s="232"/>
      <c r="P86" s="232"/>
      <c r="Q86" s="232"/>
      <c r="R86" s="232"/>
      <c r="S86" s="232"/>
      <c r="T86" s="232"/>
      <c r="U86" s="288"/>
    </row>
    <row r="87" spans="2:24" ht="14.45" customHeight="1">
      <c r="B87" s="188" t="s">
        <v>51</v>
      </c>
      <c r="C87" s="289"/>
      <c r="D87" s="195"/>
      <c r="E87" s="195"/>
      <c r="F87" s="195"/>
      <c r="G87" s="195"/>
      <c r="H87" s="195"/>
      <c r="I87" s="195"/>
      <c r="J87" s="195"/>
      <c r="K87" s="289"/>
      <c r="L87" s="290" t="s">
        <v>51</v>
      </c>
      <c r="M87" s="291"/>
      <c r="N87" s="291"/>
      <c r="O87" s="291"/>
      <c r="P87" s="291"/>
      <c r="Q87" s="291"/>
      <c r="R87" s="291"/>
      <c r="S87" s="291"/>
      <c r="T87" s="291"/>
      <c r="U87" s="291"/>
    </row>
    <row r="88" spans="2:24" ht="14.45" customHeight="1">
      <c r="B88" s="127"/>
      <c r="C88" s="285" t="s">
        <v>401</v>
      </c>
      <c r="D88" s="135"/>
      <c r="E88" s="135"/>
      <c r="F88" s="135"/>
      <c r="G88" s="135"/>
      <c r="H88" s="135"/>
      <c r="I88" s="135"/>
      <c r="J88" s="135"/>
      <c r="K88" s="135"/>
      <c r="L88" s="136"/>
      <c r="M88" s="286" t="s">
        <v>402</v>
      </c>
      <c r="N88" s="288"/>
      <c r="O88" s="288"/>
      <c r="P88" s="288"/>
      <c r="Q88" s="288"/>
      <c r="R88" s="288"/>
      <c r="S88" s="288"/>
      <c r="T88" s="288"/>
      <c r="U88" s="288"/>
    </row>
    <row r="89" spans="2:24" ht="14.45" customHeight="1">
      <c r="B89" s="127"/>
      <c r="C89" s="135"/>
      <c r="D89" s="310" t="s">
        <v>414</v>
      </c>
      <c r="E89" s="310"/>
      <c r="F89" s="310"/>
      <c r="G89" s="310"/>
      <c r="H89" s="310"/>
      <c r="I89" s="310"/>
      <c r="J89" s="310"/>
      <c r="K89" s="135"/>
      <c r="L89" s="136"/>
      <c r="M89" s="288"/>
      <c r="N89" s="315" t="s">
        <v>648</v>
      </c>
      <c r="O89" s="315"/>
      <c r="P89" s="315"/>
      <c r="Q89" s="315"/>
      <c r="R89" s="315"/>
      <c r="S89" s="315"/>
      <c r="T89" s="315"/>
      <c r="U89" s="136"/>
    </row>
    <row r="90" spans="2:24" ht="14.45" customHeight="1">
      <c r="B90" s="127"/>
      <c r="C90" s="135"/>
      <c r="D90" s="310" t="s">
        <v>415</v>
      </c>
      <c r="E90" s="310"/>
      <c r="F90" s="310"/>
      <c r="G90" s="310"/>
      <c r="H90" s="310"/>
      <c r="I90" s="310"/>
      <c r="J90" s="310"/>
      <c r="K90" s="135"/>
      <c r="L90" s="136"/>
      <c r="M90" s="288"/>
      <c r="N90" s="315" t="s">
        <v>649</v>
      </c>
      <c r="O90" s="315"/>
      <c r="P90" s="315"/>
      <c r="Q90" s="315"/>
      <c r="R90" s="315"/>
      <c r="S90" s="315"/>
      <c r="T90" s="315"/>
      <c r="U90" s="136"/>
    </row>
    <row r="91" spans="2:24" ht="14.45" customHeight="1">
      <c r="B91" s="127"/>
      <c r="C91" s="135"/>
      <c r="D91" s="310" t="s">
        <v>416</v>
      </c>
      <c r="E91" s="310"/>
      <c r="F91" s="310"/>
      <c r="G91" s="310"/>
      <c r="H91" s="310"/>
      <c r="I91" s="310"/>
      <c r="J91" s="310"/>
      <c r="K91" s="135"/>
      <c r="L91" s="136"/>
      <c r="M91" s="288"/>
      <c r="N91" s="315" t="s">
        <v>431</v>
      </c>
      <c r="O91" s="315"/>
      <c r="P91" s="315"/>
      <c r="Q91" s="315"/>
      <c r="R91" s="315"/>
      <c r="S91" s="315"/>
      <c r="T91" s="315"/>
      <c r="U91" s="136"/>
    </row>
    <row r="92" spans="2:24" ht="14.45" customHeight="1">
      <c r="B92" s="127"/>
      <c r="C92" s="292"/>
      <c r="D92" s="292"/>
      <c r="E92" s="292"/>
      <c r="F92" s="292"/>
      <c r="G92" s="292"/>
      <c r="H92" s="292"/>
      <c r="I92" s="292"/>
      <c r="J92" s="292"/>
      <c r="K92" s="292"/>
      <c r="L92" s="136"/>
      <c r="M92" s="136"/>
      <c r="N92" s="136"/>
      <c r="O92" s="136"/>
      <c r="P92" s="136"/>
      <c r="Q92" s="136"/>
      <c r="R92" s="136"/>
      <c r="S92" s="136"/>
      <c r="T92" s="136"/>
      <c r="U92" s="136"/>
    </row>
    <row r="93" spans="2:24">
      <c r="B93" s="11"/>
      <c r="C93" s="11"/>
      <c r="E93" s="11"/>
      <c r="F93" s="11"/>
      <c r="G93" s="11"/>
      <c r="H93" s="11"/>
      <c r="I93" s="11"/>
      <c r="J93" s="11"/>
      <c r="K93" s="11"/>
      <c r="L93" s="11"/>
      <c r="M93" s="11"/>
      <c r="N93" s="11"/>
      <c r="O93" s="11"/>
      <c r="P93" s="11"/>
      <c r="Q93" s="11"/>
      <c r="R93" s="11"/>
      <c r="S93" s="11"/>
      <c r="T93" s="11"/>
      <c r="U93" s="11"/>
    </row>
    <row r="94" spans="2:24" ht="24" customHeight="1" thickBot="1">
      <c r="B94" s="194" t="s">
        <v>64</v>
      </c>
      <c r="C94" s="194"/>
      <c r="D94" s="194"/>
      <c r="E94" s="194"/>
      <c r="F94" s="194"/>
      <c r="G94" s="194"/>
      <c r="H94" s="194"/>
      <c r="I94" s="194"/>
      <c r="J94" s="194"/>
      <c r="K94" s="194"/>
      <c r="L94" s="194"/>
      <c r="M94" s="194"/>
      <c r="N94" s="194"/>
      <c r="O94" s="194"/>
      <c r="P94" s="194"/>
      <c r="Q94" s="194"/>
      <c r="R94" s="194"/>
      <c r="S94" s="194"/>
      <c r="T94" s="194"/>
      <c r="U94" s="194"/>
      <c r="W94" s="318" t="s">
        <v>46</v>
      </c>
      <c r="X94" s="318"/>
    </row>
    <row r="95" spans="2:24" ht="14.45" customHeight="1">
      <c r="B95" s="108"/>
      <c r="C95" s="108"/>
      <c r="D95" s="108"/>
      <c r="E95" s="108"/>
      <c r="F95" s="108"/>
      <c r="G95" s="108"/>
      <c r="H95" s="108"/>
      <c r="I95" s="108"/>
      <c r="J95" s="108"/>
      <c r="K95" s="108"/>
      <c r="L95" s="108"/>
      <c r="M95" s="108"/>
      <c r="N95" s="108"/>
      <c r="O95" s="108"/>
      <c r="P95" s="108"/>
      <c r="Q95" s="108"/>
      <c r="R95" s="108"/>
      <c r="S95" s="108"/>
      <c r="T95" s="108"/>
      <c r="U95" s="108"/>
      <c r="W95" s="319" t="s">
        <v>66</v>
      </c>
      <c r="X95" s="320"/>
    </row>
    <row r="96" spans="2:24" ht="14.45" customHeight="1">
      <c r="B96" s="312" t="s">
        <v>33</v>
      </c>
      <c r="C96" s="312"/>
      <c r="D96" s="312"/>
      <c r="E96" s="312"/>
      <c r="F96" s="312"/>
      <c r="G96" s="312"/>
      <c r="H96" s="108"/>
      <c r="I96" s="108"/>
      <c r="J96" s="108"/>
      <c r="K96" s="108"/>
      <c r="L96" s="108"/>
      <c r="M96" s="108"/>
      <c r="N96" s="108"/>
      <c r="O96" s="108"/>
      <c r="P96" s="108"/>
      <c r="Q96" s="108"/>
      <c r="R96" s="108"/>
      <c r="S96" s="108"/>
      <c r="T96" s="108"/>
      <c r="U96" s="108"/>
      <c r="W96" s="56" t="s">
        <v>61</v>
      </c>
      <c r="X96" s="56" t="s">
        <v>62</v>
      </c>
    </row>
    <row r="97" spans="2:24" ht="14.45" customHeight="1">
      <c r="B97" s="109"/>
      <c r="C97" s="108"/>
      <c r="D97" s="108"/>
      <c r="E97" s="108"/>
      <c r="F97" s="108"/>
      <c r="G97" s="108"/>
      <c r="H97" s="108"/>
      <c r="I97" s="108"/>
      <c r="J97" s="108"/>
      <c r="K97" s="108"/>
      <c r="L97" s="108"/>
      <c r="M97" s="108"/>
      <c r="N97" s="108"/>
      <c r="O97" s="108"/>
      <c r="P97" s="108"/>
      <c r="Q97" s="108"/>
      <c r="R97" s="108"/>
      <c r="S97" s="108"/>
      <c r="T97" s="108"/>
      <c r="U97" s="108"/>
      <c r="W97" s="244" t="s">
        <v>392</v>
      </c>
      <c r="X97" s="244" t="s">
        <v>448</v>
      </c>
    </row>
    <row r="98" spans="2:24" ht="14.45" customHeight="1">
      <c r="B98" s="126"/>
      <c r="C98" s="126"/>
      <c r="D98" s="126"/>
      <c r="E98" s="126"/>
      <c r="F98" s="126"/>
      <c r="G98" s="126"/>
      <c r="H98" s="126"/>
      <c r="I98" s="126"/>
      <c r="J98" s="126"/>
      <c r="K98" s="126"/>
      <c r="L98" s="128"/>
      <c r="M98" s="128"/>
      <c r="N98" s="128"/>
      <c r="O98" s="128"/>
      <c r="P98" s="128"/>
      <c r="Q98" s="128"/>
      <c r="R98" s="128"/>
      <c r="S98" s="128"/>
      <c r="T98" s="128"/>
      <c r="U98" s="128"/>
      <c r="W98" s="244" t="s">
        <v>393</v>
      </c>
      <c r="X98" s="244" t="s">
        <v>449</v>
      </c>
    </row>
    <row r="99" spans="2:24" ht="14.45" customHeight="1">
      <c r="B99" s="313" t="s">
        <v>28</v>
      </c>
      <c r="C99" s="313"/>
      <c r="D99" s="313"/>
      <c r="E99" s="313"/>
      <c r="F99" s="126"/>
      <c r="G99" s="126"/>
      <c r="H99" s="126"/>
      <c r="I99" s="126"/>
      <c r="J99" s="126"/>
      <c r="K99" s="126"/>
      <c r="L99" s="314" t="s">
        <v>29</v>
      </c>
      <c r="M99" s="314"/>
      <c r="N99" s="314"/>
      <c r="O99" s="314"/>
      <c r="P99" s="128"/>
      <c r="Q99" s="128"/>
      <c r="R99" s="128"/>
      <c r="S99" s="128"/>
      <c r="T99" s="128"/>
      <c r="U99" s="128"/>
      <c r="W99" s="244" t="s">
        <v>394</v>
      </c>
      <c r="X99" s="244" t="s">
        <v>450</v>
      </c>
    </row>
    <row r="100" spans="2:24" ht="14.45" customHeight="1">
      <c r="B100" s="313"/>
      <c r="C100" s="313"/>
      <c r="D100" s="313"/>
      <c r="E100" s="313"/>
      <c r="F100" s="126"/>
      <c r="G100" s="126"/>
      <c r="H100" s="126"/>
      <c r="I100" s="126"/>
      <c r="J100" s="126"/>
      <c r="K100" s="126"/>
      <c r="L100" s="314"/>
      <c r="M100" s="314"/>
      <c r="N100" s="314"/>
      <c r="O100" s="314"/>
      <c r="P100" s="128"/>
      <c r="Q100" s="128"/>
      <c r="R100" s="128"/>
      <c r="S100" s="128"/>
      <c r="T100" s="128"/>
      <c r="U100" s="128"/>
      <c r="W100" s="244" t="s">
        <v>434</v>
      </c>
      <c r="X100" s="244" t="s">
        <v>451</v>
      </c>
    </row>
    <row r="101" spans="2:24" ht="14.45" customHeight="1">
      <c r="B101" s="234"/>
      <c r="C101" s="234"/>
      <c r="D101" s="234"/>
      <c r="E101" s="234"/>
      <c r="F101" s="126"/>
      <c r="G101" s="126"/>
      <c r="H101" s="126"/>
      <c r="I101" s="126"/>
      <c r="J101" s="126"/>
      <c r="K101" s="126"/>
      <c r="L101" s="235"/>
      <c r="M101" s="235"/>
      <c r="N101" s="235"/>
      <c r="O101" s="235"/>
      <c r="P101" s="128"/>
      <c r="Q101" s="128"/>
      <c r="R101" s="128"/>
      <c r="S101" s="128"/>
      <c r="T101" s="128"/>
      <c r="U101" s="128"/>
      <c r="W101" s="244" t="s">
        <v>435</v>
      </c>
      <c r="X101" s="244" t="s">
        <v>452</v>
      </c>
    </row>
    <row r="102" spans="2:24" ht="14.45" customHeight="1">
      <c r="B102" s="196" t="s">
        <v>8</v>
      </c>
      <c r="C102" s="189"/>
      <c r="D102" s="189"/>
      <c r="E102" s="189"/>
      <c r="F102" s="189"/>
      <c r="G102" s="189"/>
      <c r="H102" s="189"/>
      <c r="I102" s="189"/>
      <c r="J102" s="189"/>
      <c r="K102" s="189"/>
      <c r="L102" s="197" t="s">
        <v>8</v>
      </c>
      <c r="M102" s="190"/>
      <c r="N102" s="190"/>
      <c r="O102" s="190"/>
      <c r="P102" s="190"/>
      <c r="Q102" s="190"/>
      <c r="R102" s="190"/>
      <c r="S102" s="190"/>
      <c r="T102" s="190"/>
      <c r="U102" s="190"/>
      <c r="W102" s="244" t="s">
        <v>436</v>
      </c>
      <c r="X102" s="244" t="s">
        <v>453</v>
      </c>
    </row>
    <row r="103" spans="2:24" ht="14.45" customHeight="1">
      <c r="B103" s="127"/>
      <c r="C103" s="285" t="s">
        <v>396</v>
      </c>
      <c r="D103" s="135"/>
      <c r="E103" s="135"/>
      <c r="F103" s="135"/>
      <c r="G103" s="135"/>
      <c r="H103" s="135"/>
      <c r="I103" s="135"/>
      <c r="J103" s="135"/>
      <c r="K103" s="135"/>
      <c r="L103" s="136"/>
      <c r="M103" s="286" t="s">
        <v>407</v>
      </c>
      <c r="N103" s="287"/>
      <c r="O103" s="288"/>
      <c r="P103" s="288"/>
      <c r="Q103" s="288"/>
      <c r="R103" s="288"/>
      <c r="S103" s="288"/>
      <c r="T103" s="288"/>
      <c r="U103" s="288"/>
      <c r="W103" s="244" t="s">
        <v>437</v>
      </c>
      <c r="X103" s="245" t="s">
        <v>454</v>
      </c>
    </row>
    <row r="104" spans="2:24" ht="14.45" customHeight="1">
      <c r="B104" s="127"/>
      <c r="C104" s="135"/>
      <c r="D104" s="310" t="s">
        <v>387</v>
      </c>
      <c r="E104" s="310"/>
      <c r="F104" s="310"/>
      <c r="G104" s="310"/>
      <c r="H104" s="310"/>
      <c r="I104" s="310"/>
      <c r="J104" s="310"/>
      <c r="K104" s="135"/>
      <c r="L104" s="136"/>
      <c r="M104" s="288"/>
      <c r="N104" s="315" t="s">
        <v>417</v>
      </c>
      <c r="O104" s="315"/>
      <c r="P104" s="315"/>
      <c r="Q104" s="315"/>
      <c r="R104" s="315"/>
      <c r="S104" s="315"/>
      <c r="T104" s="315"/>
      <c r="U104" s="288"/>
      <c r="W104" s="244" t="s">
        <v>438</v>
      </c>
      <c r="X104" s="244" t="s">
        <v>455</v>
      </c>
    </row>
    <row r="105" spans="2:24" ht="14.45" customHeight="1">
      <c r="B105" s="127"/>
      <c r="C105" s="135"/>
      <c r="D105" s="310" t="s">
        <v>388</v>
      </c>
      <c r="E105" s="310"/>
      <c r="F105" s="310"/>
      <c r="G105" s="310"/>
      <c r="H105" s="310"/>
      <c r="I105" s="310"/>
      <c r="J105" s="310"/>
      <c r="K105" s="135"/>
      <c r="L105" s="136"/>
      <c r="M105" s="288"/>
      <c r="N105" s="315" t="s">
        <v>432</v>
      </c>
      <c r="O105" s="315"/>
      <c r="P105" s="315"/>
      <c r="Q105" s="315"/>
      <c r="R105" s="315"/>
      <c r="S105" s="315"/>
      <c r="T105" s="315"/>
      <c r="U105" s="288"/>
      <c r="W105" s="244" t="s">
        <v>439</v>
      </c>
      <c r="X105" s="244" t="s">
        <v>456</v>
      </c>
    </row>
    <row r="106" spans="2:24" ht="14.45" customHeight="1">
      <c r="B106" s="127"/>
      <c r="C106" s="135"/>
      <c r="D106" s="310" t="s">
        <v>389</v>
      </c>
      <c r="E106" s="310"/>
      <c r="F106" s="310"/>
      <c r="G106" s="310"/>
      <c r="H106" s="310"/>
      <c r="I106" s="310"/>
      <c r="J106" s="310"/>
      <c r="K106" s="135"/>
      <c r="L106" s="136"/>
      <c r="M106" s="136"/>
      <c r="N106" s="136"/>
      <c r="O106" s="136"/>
      <c r="P106" s="136"/>
      <c r="Q106" s="136"/>
      <c r="R106" s="136"/>
      <c r="S106" s="136"/>
      <c r="T106" s="136"/>
      <c r="U106" s="288"/>
      <c r="W106" s="244" t="s">
        <v>440</v>
      </c>
      <c r="X106" s="244" t="s">
        <v>457</v>
      </c>
    </row>
    <row r="107" spans="2:24" ht="14.45" customHeight="1">
      <c r="B107" s="127"/>
      <c r="C107" s="135"/>
      <c r="D107" s="233"/>
      <c r="E107" s="233"/>
      <c r="F107" s="233"/>
      <c r="G107" s="233"/>
      <c r="H107" s="233"/>
      <c r="I107" s="233"/>
      <c r="J107" s="233"/>
      <c r="K107" s="135"/>
      <c r="L107" s="136"/>
      <c r="M107" s="136"/>
      <c r="N107" s="136"/>
      <c r="O107" s="136"/>
      <c r="P107" s="136"/>
      <c r="Q107" s="136"/>
      <c r="R107" s="136"/>
      <c r="S107" s="136"/>
      <c r="T107" s="136"/>
      <c r="U107" s="288"/>
      <c r="W107" s="244" t="s">
        <v>441</v>
      </c>
      <c r="X107" s="244" t="s">
        <v>458</v>
      </c>
    </row>
    <row r="108" spans="2:24" ht="14.45" customHeight="1">
      <c r="B108" s="127"/>
      <c r="C108" s="135"/>
      <c r="D108" s="233"/>
      <c r="E108" s="233"/>
      <c r="F108" s="233"/>
      <c r="G108" s="233"/>
      <c r="H108" s="233"/>
      <c r="I108" s="233"/>
      <c r="J108" s="233"/>
      <c r="K108" s="135"/>
      <c r="L108" s="136"/>
      <c r="M108" s="286" t="s">
        <v>406</v>
      </c>
      <c r="N108" s="288"/>
      <c r="O108" s="288"/>
      <c r="P108" s="288"/>
      <c r="Q108" s="288"/>
      <c r="R108" s="288"/>
      <c r="S108" s="288"/>
      <c r="T108" s="288"/>
      <c r="U108" s="288"/>
      <c r="W108" s="244" t="s">
        <v>442</v>
      </c>
      <c r="X108" s="244" t="s">
        <v>459</v>
      </c>
    </row>
    <row r="109" spans="2:24" ht="14.45" customHeight="1">
      <c r="B109" s="127"/>
      <c r="C109" s="135"/>
      <c r="D109" s="233"/>
      <c r="E109" s="233"/>
      <c r="F109" s="233"/>
      <c r="G109" s="233"/>
      <c r="H109" s="233"/>
      <c r="I109" s="233"/>
      <c r="J109" s="233"/>
      <c r="K109" s="135"/>
      <c r="L109" s="136"/>
      <c r="M109" s="288"/>
      <c r="N109" s="315" t="s">
        <v>430</v>
      </c>
      <c r="O109" s="315"/>
      <c r="P109" s="315"/>
      <c r="Q109" s="315"/>
      <c r="R109" s="315"/>
      <c r="S109" s="315"/>
      <c r="T109" s="315"/>
      <c r="U109" s="288"/>
      <c r="W109" s="244" t="s">
        <v>443</v>
      </c>
      <c r="X109" s="244" t="s">
        <v>460</v>
      </c>
    </row>
    <row r="110" spans="2:24" ht="14.45" customHeight="1">
      <c r="B110" s="127"/>
      <c r="C110" s="135"/>
      <c r="D110" s="233"/>
      <c r="E110" s="233"/>
      <c r="F110" s="233"/>
      <c r="G110" s="233"/>
      <c r="H110" s="233"/>
      <c r="I110" s="233"/>
      <c r="J110" s="233"/>
      <c r="K110" s="135"/>
      <c r="L110" s="136"/>
      <c r="M110" s="288"/>
      <c r="N110" s="315" t="s">
        <v>433</v>
      </c>
      <c r="O110" s="315"/>
      <c r="P110" s="315"/>
      <c r="Q110" s="315"/>
      <c r="R110" s="315"/>
      <c r="S110" s="315"/>
      <c r="T110" s="315"/>
      <c r="U110" s="288"/>
      <c r="W110" s="244" t="s">
        <v>444</v>
      </c>
      <c r="X110" s="245" t="s">
        <v>461</v>
      </c>
    </row>
    <row r="111" spans="2:24" ht="14.45" customHeight="1">
      <c r="B111" s="127"/>
      <c r="C111" s="135"/>
      <c r="D111" s="233"/>
      <c r="E111" s="233"/>
      <c r="F111" s="233"/>
      <c r="G111" s="233"/>
      <c r="H111" s="233"/>
      <c r="I111" s="233"/>
      <c r="J111" s="233"/>
      <c r="K111" s="135"/>
      <c r="L111" s="136"/>
      <c r="M111" s="288"/>
      <c r="N111" s="315" t="s">
        <v>419</v>
      </c>
      <c r="O111" s="315"/>
      <c r="P111" s="315"/>
      <c r="Q111" s="315"/>
      <c r="R111" s="315"/>
      <c r="S111" s="315"/>
      <c r="T111" s="315"/>
      <c r="U111" s="288"/>
      <c r="W111" s="244" t="s">
        <v>445</v>
      </c>
      <c r="X111" s="244" t="s">
        <v>462</v>
      </c>
    </row>
    <row r="112" spans="2:24" ht="14.45" customHeight="1">
      <c r="B112" s="127"/>
      <c r="C112" s="135"/>
      <c r="D112" s="135"/>
      <c r="E112" s="135"/>
      <c r="F112" s="135"/>
      <c r="G112" s="135"/>
      <c r="H112" s="135"/>
      <c r="I112" s="135"/>
      <c r="J112" s="135"/>
      <c r="K112" s="135"/>
      <c r="L112" s="136"/>
      <c r="M112" s="288"/>
      <c r="N112" s="288"/>
      <c r="O112" s="288"/>
      <c r="P112" s="288"/>
      <c r="Q112" s="288"/>
      <c r="R112" s="288"/>
      <c r="S112" s="288"/>
      <c r="T112" s="288"/>
      <c r="U112" s="288"/>
      <c r="W112" s="246" t="s">
        <v>446</v>
      </c>
      <c r="X112" s="244" t="s">
        <v>463</v>
      </c>
    </row>
    <row r="113" spans="2:24" ht="14.45" customHeight="1">
      <c r="B113" s="188" t="s">
        <v>313</v>
      </c>
      <c r="C113" s="289"/>
      <c r="D113" s="289"/>
      <c r="E113" s="289"/>
      <c r="F113" s="289"/>
      <c r="G113" s="289"/>
      <c r="H113" s="289"/>
      <c r="I113" s="289"/>
      <c r="J113" s="289"/>
      <c r="K113" s="289"/>
      <c r="L113" s="290" t="s">
        <v>313</v>
      </c>
      <c r="M113" s="291"/>
      <c r="N113" s="291"/>
      <c r="O113" s="291"/>
      <c r="P113" s="291"/>
      <c r="Q113" s="291"/>
      <c r="R113" s="291"/>
      <c r="S113" s="291"/>
      <c r="T113" s="291"/>
      <c r="U113" s="291"/>
      <c r="W113" s="247" t="s">
        <v>447</v>
      </c>
      <c r="X113" s="244" t="s">
        <v>464</v>
      </c>
    </row>
    <row r="114" spans="2:24" ht="14.45" customHeight="1">
      <c r="B114" s="127"/>
      <c r="C114" s="285" t="s">
        <v>395</v>
      </c>
      <c r="D114" s="135"/>
      <c r="E114" s="135"/>
      <c r="F114" s="135"/>
      <c r="G114" s="135"/>
      <c r="H114" s="135"/>
      <c r="I114" s="135"/>
      <c r="J114" s="135"/>
      <c r="K114" s="135"/>
      <c r="L114" s="136"/>
      <c r="M114" s="286" t="s">
        <v>405</v>
      </c>
      <c r="N114" s="288"/>
      <c r="O114" s="288"/>
      <c r="P114" s="288"/>
      <c r="Q114" s="288"/>
      <c r="R114" s="288"/>
      <c r="S114" s="288"/>
      <c r="T114" s="288"/>
      <c r="U114" s="288"/>
      <c r="W114" s="284"/>
      <c r="X114" s="244" t="s">
        <v>465</v>
      </c>
    </row>
    <row r="115" spans="2:24" ht="14.45" customHeight="1">
      <c r="B115" s="127"/>
      <c r="C115" s="135"/>
      <c r="D115" s="310" t="s">
        <v>390</v>
      </c>
      <c r="E115" s="310"/>
      <c r="F115" s="310"/>
      <c r="G115" s="310"/>
      <c r="H115" s="310"/>
      <c r="I115" s="310"/>
      <c r="J115" s="310"/>
      <c r="K115" s="135"/>
      <c r="L115" s="136"/>
      <c r="M115" s="288"/>
      <c r="N115" s="315" t="s">
        <v>644</v>
      </c>
      <c r="O115" s="315"/>
      <c r="P115" s="315"/>
      <c r="Q115" s="315"/>
      <c r="R115" s="315"/>
      <c r="S115" s="315"/>
      <c r="T115" s="315"/>
      <c r="U115" s="288"/>
      <c r="W115" s="257"/>
      <c r="X115" s="258" t="s">
        <v>466</v>
      </c>
    </row>
    <row r="116" spans="2:24" ht="14.45" customHeight="1">
      <c r="B116" s="127"/>
      <c r="C116" s="135"/>
      <c r="D116" s="310" t="s">
        <v>391</v>
      </c>
      <c r="E116" s="310"/>
      <c r="F116" s="310"/>
      <c r="G116" s="310"/>
      <c r="H116" s="310"/>
      <c r="I116" s="310"/>
      <c r="J116" s="310"/>
      <c r="K116" s="135"/>
      <c r="L116" s="136"/>
      <c r="M116" s="136"/>
      <c r="N116" s="315" t="s">
        <v>420</v>
      </c>
      <c r="O116" s="315"/>
      <c r="P116" s="315"/>
      <c r="Q116" s="315"/>
      <c r="R116" s="315"/>
      <c r="S116" s="315"/>
      <c r="T116" s="315"/>
      <c r="U116" s="288"/>
      <c r="W116" s="241"/>
    </row>
    <row r="117" spans="2:24" ht="14.45" customHeight="1">
      <c r="B117" s="127"/>
      <c r="C117" s="135"/>
      <c r="D117" s="233"/>
      <c r="E117" s="233"/>
      <c r="F117" s="233"/>
      <c r="G117" s="233"/>
      <c r="H117" s="233"/>
      <c r="I117" s="233"/>
      <c r="J117" s="233"/>
      <c r="K117" s="135"/>
      <c r="L117" s="136"/>
      <c r="M117" s="136"/>
      <c r="N117" s="136"/>
      <c r="O117" s="136"/>
      <c r="P117" s="136"/>
      <c r="Q117" s="136"/>
      <c r="R117" s="136"/>
      <c r="S117" s="136"/>
      <c r="T117" s="136"/>
      <c r="U117" s="288"/>
      <c r="W117" s="242"/>
    </row>
    <row r="118" spans="2:24" ht="14.45" customHeight="1">
      <c r="B118" s="127"/>
      <c r="C118" s="135"/>
      <c r="D118" s="233"/>
      <c r="E118" s="233"/>
      <c r="F118" s="233"/>
      <c r="G118" s="233"/>
      <c r="H118" s="233"/>
      <c r="I118" s="233"/>
      <c r="J118" s="233"/>
      <c r="K118" s="135"/>
      <c r="L118" s="136"/>
      <c r="M118" s="286" t="s">
        <v>404</v>
      </c>
      <c r="N118" s="288"/>
      <c r="O118" s="288"/>
      <c r="P118" s="288"/>
      <c r="Q118" s="288"/>
      <c r="R118" s="288"/>
      <c r="S118" s="288"/>
      <c r="T118" s="288"/>
      <c r="U118" s="288"/>
    </row>
    <row r="119" spans="2:24" ht="14.45" customHeight="1">
      <c r="B119" s="127"/>
      <c r="C119" s="135"/>
      <c r="D119" s="233"/>
      <c r="E119" s="233"/>
      <c r="F119" s="233"/>
      <c r="G119" s="233"/>
      <c r="H119" s="233"/>
      <c r="I119" s="233"/>
      <c r="J119" s="233"/>
      <c r="K119" s="135"/>
      <c r="L119" s="136"/>
      <c r="M119" s="288"/>
      <c r="N119" s="315" t="s">
        <v>421</v>
      </c>
      <c r="O119" s="315"/>
      <c r="P119" s="315"/>
      <c r="Q119" s="315"/>
      <c r="R119" s="315"/>
      <c r="S119" s="315"/>
      <c r="T119" s="315"/>
      <c r="U119" s="288"/>
    </row>
    <row r="120" spans="2:24" ht="14.45" customHeight="1">
      <c r="B120" s="127"/>
      <c r="C120" s="135"/>
      <c r="D120" s="233"/>
      <c r="E120" s="233"/>
      <c r="F120" s="233"/>
      <c r="G120" s="233"/>
      <c r="H120" s="233"/>
      <c r="I120" s="233"/>
      <c r="J120" s="233"/>
      <c r="K120" s="135"/>
      <c r="L120" s="136"/>
      <c r="M120" s="288"/>
      <c r="N120" s="315" t="s">
        <v>422</v>
      </c>
      <c r="O120" s="315"/>
      <c r="P120" s="315"/>
      <c r="Q120" s="315"/>
      <c r="R120" s="315"/>
      <c r="S120" s="315"/>
      <c r="T120" s="315"/>
      <c r="U120" s="288"/>
    </row>
    <row r="121" spans="2:24" ht="14.45" customHeight="1">
      <c r="B121" s="127"/>
      <c r="C121" s="135"/>
      <c r="D121" s="233"/>
      <c r="E121" s="233"/>
      <c r="F121" s="233"/>
      <c r="G121" s="233"/>
      <c r="H121" s="233"/>
      <c r="I121" s="233"/>
      <c r="J121" s="233"/>
      <c r="K121" s="135"/>
      <c r="L121" s="136"/>
      <c r="M121" s="288"/>
      <c r="N121" s="315" t="s">
        <v>423</v>
      </c>
      <c r="O121" s="315"/>
      <c r="P121" s="315"/>
      <c r="Q121" s="315"/>
      <c r="R121" s="315"/>
      <c r="S121" s="315"/>
      <c r="T121" s="315"/>
      <c r="U121" s="288"/>
    </row>
    <row r="122" spans="2:24" ht="14.45" customHeight="1">
      <c r="B122" s="127"/>
      <c r="C122" s="292"/>
      <c r="D122" s="292"/>
      <c r="E122" s="292"/>
      <c r="F122" s="292"/>
      <c r="G122" s="292"/>
      <c r="H122" s="292"/>
      <c r="I122" s="292"/>
      <c r="J122" s="292"/>
      <c r="K122" s="135"/>
      <c r="L122" s="136"/>
      <c r="M122" s="288"/>
      <c r="N122" s="315" t="s">
        <v>424</v>
      </c>
      <c r="O122" s="315"/>
      <c r="P122" s="315"/>
      <c r="Q122" s="315"/>
      <c r="R122" s="315"/>
      <c r="S122" s="315"/>
      <c r="T122" s="315"/>
      <c r="U122" s="288"/>
    </row>
    <row r="123" spans="2:24" ht="14.45" customHeight="1">
      <c r="B123" s="127"/>
      <c r="C123" s="292"/>
      <c r="D123" s="292"/>
      <c r="E123" s="292"/>
      <c r="F123" s="292"/>
      <c r="G123" s="292"/>
      <c r="H123" s="292"/>
      <c r="I123" s="292"/>
      <c r="J123" s="292"/>
      <c r="K123" s="135"/>
      <c r="L123" s="136"/>
      <c r="M123" s="288"/>
      <c r="N123" s="288"/>
      <c r="O123" s="288"/>
      <c r="P123" s="288"/>
      <c r="Q123" s="288"/>
      <c r="R123" s="288"/>
      <c r="S123" s="288"/>
      <c r="T123" s="288"/>
      <c r="U123" s="288"/>
    </row>
    <row r="124" spans="2:24" ht="14.45" customHeight="1">
      <c r="B124" s="188" t="s">
        <v>214</v>
      </c>
      <c r="C124" s="293"/>
      <c r="D124" s="293"/>
      <c r="E124" s="293"/>
      <c r="F124" s="293"/>
      <c r="G124" s="293"/>
      <c r="H124" s="293"/>
      <c r="I124" s="293"/>
      <c r="J124" s="293"/>
      <c r="K124" s="289"/>
      <c r="L124" s="290" t="s">
        <v>214</v>
      </c>
      <c r="M124" s="291"/>
      <c r="N124" s="291"/>
      <c r="O124" s="291"/>
      <c r="P124" s="291"/>
      <c r="Q124" s="291"/>
      <c r="R124" s="291"/>
      <c r="S124" s="291"/>
      <c r="T124" s="291"/>
      <c r="U124" s="291"/>
    </row>
    <row r="125" spans="2:24" ht="14.45" customHeight="1">
      <c r="B125" s="127"/>
      <c r="C125" s="285" t="s">
        <v>397</v>
      </c>
      <c r="D125" s="135"/>
      <c r="E125" s="135"/>
      <c r="F125" s="135"/>
      <c r="G125" s="135"/>
      <c r="H125" s="135"/>
      <c r="I125" s="135"/>
      <c r="J125" s="135"/>
      <c r="K125" s="135"/>
      <c r="L125" s="136"/>
      <c r="M125" s="286" t="s">
        <v>397</v>
      </c>
      <c r="N125" s="288"/>
      <c r="O125" s="288"/>
      <c r="P125" s="288"/>
      <c r="Q125" s="288"/>
      <c r="R125" s="288"/>
      <c r="S125" s="288"/>
      <c r="T125" s="288"/>
      <c r="U125" s="288"/>
    </row>
    <row r="126" spans="2:24" ht="14.45" customHeight="1">
      <c r="B126" s="127"/>
      <c r="C126" s="135"/>
      <c r="D126" s="310" t="s">
        <v>408</v>
      </c>
      <c r="E126" s="310"/>
      <c r="F126" s="310"/>
      <c r="G126" s="310"/>
      <c r="H126" s="310"/>
      <c r="I126" s="310"/>
      <c r="J126" s="310"/>
      <c r="K126" s="135"/>
      <c r="L126" s="136"/>
      <c r="M126" s="136"/>
      <c r="N126" s="315" t="s">
        <v>425</v>
      </c>
      <c r="O126" s="315"/>
      <c r="P126" s="315"/>
      <c r="Q126" s="315"/>
      <c r="R126" s="315"/>
      <c r="S126" s="315"/>
      <c r="T126" s="315"/>
      <c r="U126" s="288"/>
    </row>
    <row r="127" spans="2:24" ht="14.45" customHeight="1">
      <c r="B127" s="127"/>
      <c r="C127" s="135"/>
      <c r="D127" s="310" t="s">
        <v>409</v>
      </c>
      <c r="E127" s="310"/>
      <c r="F127" s="310"/>
      <c r="G127" s="310"/>
      <c r="H127" s="310"/>
      <c r="I127" s="310"/>
      <c r="J127" s="310"/>
      <c r="K127" s="135"/>
      <c r="L127" s="136"/>
      <c r="M127" s="136"/>
      <c r="N127" s="315" t="s">
        <v>426</v>
      </c>
      <c r="O127" s="315"/>
      <c r="P127" s="315"/>
      <c r="Q127" s="315"/>
      <c r="R127" s="315"/>
      <c r="S127" s="315"/>
      <c r="T127" s="315"/>
      <c r="U127" s="288"/>
    </row>
    <row r="128" spans="2:24" ht="14.45" customHeight="1">
      <c r="B128" s="127"/>
      <c r="C128" s="135"/>
      <c r="D128" s="310" t="s">
        <v>410</v>
      </c>
      <c r="E128" s="310"/>
      <c r="F128" s="310"/>
      <c r="G128" s="310"/>
      <c r="H128" s="310"/>
      <c r="I128" s="310"/>
      <c r="J128" s="310"/>
      <c r="K128" s="135"/>
      <c r="L128" s="136"/>
      <c r="M128" s="136"/>
      <c r="N128" s="315" t="s">
        <v>427</v>
      </c>
      <c r="O128" s="315"/>
      <c r="P128" s="315"/>
      <c r="Q128" s="315"/>
      <c r="R128" s="315"/>
      <c r="S128" s="315"/>
      <c r="T128" s="315"/>
      <c r="U128" s="288"/>
    </row>
    <row r="129" spans="2:21" ht="14.45" customHeight="1">
      <c r="B129" s="127"/>
      <c r="C129" s="135"/>
      <c r="D129" s="135"/>
      <c r="E129" s="135"/>
      <c r="F129" s="135"/>
      <c r="G129" s="135"/>
      <c r="H129" s="135"/>
      <c r="I129" s="135"/>
      <c r="J129" s="135"/>
      <c r="K129" s="135"/>
      <c r="L129" s="136"/>
      <c r="M129" s="136"/>
      <c r="N129" s="191"/>
      <c r="O129" s="191"/>
      <c r="P129" s="191"/>
      <c r="Q129" s="191"/>
      <c r="R129" s="191"/>
      <c r="S129" s="191"/>
      <c r="T129" s="191"/>
      <c r="U129" s="288"/>
    </row>
    <row r="130" spans="2:21" ht="14.45" customHeight="1">
      <c r="B130" s="127"/>
      <c r="C130" s="285" t="s">
        <v>398</v>
      </c>
      <c r="D130" s="135"/>
      <c r="E130" s="135"/>
      <c r="F130" s="135"/>
      <c r="G130" s="135"/>
      <c r="H130" s="135"/>
      <c r="I130" s="135"/>
      <c r="J130" s="135"/>
      <c r="K130" s="135"/>
      <c r="L130" s="136"/>
      <c r="M130" s="286" t="s">
        <v>398</v>
      </c>
      <c r="N130" s="288"/>
      <c r="O130" s="288"/>
      <c r="P130" s="288"/>
      <c r="Q130" s="288"/>
      <c r="R130" s="288"/>
      <c r="S130" s="288"/>
      <c r="T130" s="288"/>
      <c r="U130" s="288"/>
    </row>
    <row r="131" spans="2:21" ht="14.45" customHeight="1">
      <c r="B131" s="127"/>
      <c r="C131" s="135"/>
      <c r="D131" s="310" t="s">
        <v>634</v>
      </c>
      <c r="E131" s="310"/>
      <c r="F131" s="310"/>
      <c r="G131" s="310"/>
      <c r="H131" s="310"/>
      <c r="I131" s="310"/>
      <c r="J131" s="310"/>
      <c r="K131" s="135"/>
      <c r="L131" s="136"/>
      <c r="M131" s="288"/>
      <c r="N131" s="315" t="s">
        <v>633</v>
      </c>
      <c r="O131" s="315"/>
      <c r="P131" s="315"/>
      <c r="Q131" s="315"/>
      <c r="R131" s="315"/>
      <c r="S131" s="315"/>
      <c r="T131" s="315"/>
      <c r="U131" s="288"/>
    </row>
    <row r="132" spans="2:21" ht="14.45" customHeight="1">
      <c r="B132" s="127"/>
      <c r="C132" s="135"/>
      <c r="D132" s="292"/>
      <c r="E132" s="292"/>
      <c r="F132" s="292"/>
      <c r="G132" s="292"/>
      <c r="H132" s="292"/>
      <c r="I132" s="292"/>
      <c r="J132" s="292"/>
      <c r="K132" s="135"/>
      <c r="L132" s="136"/>
      <c r="M132" s="136"/>
      <c r="N132" s="136"/>
      <c r="O132" s="136"/>
      <c r="P132" s="136"/>
      <c r="Q132" s="136"/>
      <c r="R132" s="136"/>
      <c r="S132" s="136"/>
      <c r="T132" s="136"/>
      <c r="U132" s="136"/>
    </row>
    <row r="133" spans="2:21" ht="14.45" customHeight="1">
      <c r="B133" s="127"/>
      <c r="C133" s="292"/>
      <c r="D133" s="292"/>
      <c r="E133" s="292"/>
      <c r="F133" s="292"/>
      <c r="G133" s="292"/>
      <c r="H133" s="292"/>
      <c r="I133" s="292"/>
      <c r="J133" s="292"/>
      <c r="K133" s="292"/>
      <c r="L133" s="136"/>
      <c r="M133" s="136"/>
      <c r="N133" s="136"/>
      <c r="O133" s="136"/>
      <c r="P133" s="136"/>
      <c r="Q133" s="136"/>
      <c r="R133" s="136"/>
      <c r="S133" s="136"/>
      <c r="T133" s="136"/>
      <c r="U133" s="136"/>
    </row>
    <row r="134" spans="2:21" ht="14.45" customHeight="1">
      <c r="B134" s="188" t="s">
        <v>45</v>
      </c>
      <c r="C134" s="293"/>
      <c r="D134" s="293"/>
      <c r="E134" s="293"/>
      <c r="F134" s="293"/>
      <c r="G134" s="293"/>
      <c r="H134" s="293"/>
      <c r="I134" s="293"/>
      <c r="J134" s="293"/>
      <c r="K134" s="293"/>
      <c r="L134" s="290" t="s">
        <v>45</v>
      </c>
      <c r="M134" s="294"/>
      <c r="N134" s="294"/>
      <c r="O134" s="294"/>
      <c r="P134" s="294"/>
      <c r="Q134" s="294"/>
      <c r="R134" s="294"/>
      <c r="S134" s="294"/>
      <c r="T134" s="294"/>
      <c r="U134" s="294"/>
    </row>
    <row r="135" spans="2:21" ht="14.45" customHeight="1">
      <c r="B135" s="127"/>
      <c r="C135" s="326" t="s">
        <v>399</v>
      </c>
      <c r="D135" s="326"/>
      <c r="E135" s="326"/>
      <c r="F135" s="326"/>
      <c r="G135" s="326"/>
      <c r="H135" s="326"/>
      <c r="I135" s="326"/>
      <c r="J135" s="326"/>
      <c r="K135" s="135"/>
      <c r="L135" s="136"/>
      <c r="M135" s="316" t="s">
        <v>399</v>
      </c>
      <c r="N135" s="316"/>
      <c r="O135" s="316"/>
      <c r="P135" s="316"/>
      <c r="Q135" s="316"/>
      <c r="R135" s="316"/>
      <c r="S135" s="316"/>
      <c r="T135" s="316"/>
      <c r="U135" s="288"/>
    </row>
    <row r="136" spans="2:21" ht="14.45" customHeight="1">
      <c r="B136" s="127"/>
      <c r="C136" s="326"/>
      <c r="D136" s="326"/>
      <c r="E136" s="326"/>
      <c r="F136" s="326"/>
      <c r="G136" s="326"/>
      <c r="H136" s="326"/>
      <c r="I136" s="326"/>
      <c r="J136" s="326"/>
      <c r="K136" s="135"/>
      <c r="L136" s="136"/>
      <c r="M136" s="316"/>
      <c r="N136" s="316"/>
      <c r="O136" s="316"/>
      <c r="P136" s="316"/>
      <c r="Q136" s="316"/>
      <c r="R136" s="316"/>
      <c r="S136" s="316"/>
      <c r="T136" s="316"/>
      <c r="U136" s="288"/>
    </row>
    <row r="137" spans="2:21" ht="14.45" customHeight="1">
      <c r="B137" s="127"/>
      <c r="C137" s="135"/>
      <c r="D137" s="310" t="s">
        <v>411</v>
      </c>
      <c r="E137" s="310"/>
      <c r="F137" s="310"/>
      <c r="G137" s="310"/>
      <c r="H137" s="310"/>
      <c r="I137" s="310"/>
      <c r="J137" s="310"/>
      <c r="K137" s="135"/>
      <c r="L137" s="136"/>
      <c r="M137" s="288"/>
      <c r="N137" s="315" t="s">
        <v>428</v>
      </c>
      <c r="O137" s="315"/>
      <c r="P137" s="315"/>
      <c r="Q137" s="315"/>
      <c r="R137" s="315"/>
      <c r="S137" s="315"/>
      <c r="T137" s="315"/>
      <c r="U137" s="288"/>
    </row>
    <row r="138" spans="2:21" ht="14.45" customHeight="1">
      <c r="B138" s="127"/>
      <c r="C138" s="135"/>
      <c r="D138" s="327"/>
      <c r="E138" s="327"/>
      <c r="F138" s="327"/>
      <c r="G138" s="327"/>
      <c r="H138" s="327"/>
      <c r="I138" s="327"/>
      <c r="J138" s="327"/>
      <c r="K138" s="135"/>
      <c r="L138" s="136"/>
      <c r="M138" s="288"/>
      <c r="N138" s="317"/>
      <c r="O138" s="317"/>
      <c r="P138" s="317"/>
      <c r="Q138" s="317"/>
      <c r="R138" s="317"/>
      <c r="S138" s="317"/>
      <c r="T138" s="317"/>
      <c r="U138" s="288"/>
    </row>
    <row r="139" spans="2:21" ht="14.45" customHeight="1">
      <c r="B139" s="127"/>
      <c r="C139" s="135"/>
      <c r="D139" s="135"/>
      <c r="E139" s="135"/>
      <c r="F139" s="135"/>
      <c r="G139" s="135"/>
      <c r="H139" s="135"/>
      <c r="I139" s="135"/>
      <c r="J139" s="135"/>
      <c r="K139" s="135"/>
      <c r="L139" s="136"/>
      <c r="M139" s="288"/>
      <c r="N139" s="232"/>
      <c r="O139" s="232"/>
      <c r="P139" s="232"/>
      <c r="Q139" s="232"/>
      <c r="R139" s="232"/>
      <c r="S139" s="232"/>
      <c r="T139" s="232"/>
      <c r="U139" s="288"/>
    </row>
    <row r="140" spans="2:21" ht="14.45" customHeight="1">
      <c r="B140" s="127"/>
      <c r="C140" s="326" t="s">
        <v>400</v>
      </c>
      <c r="D140" s="326"/>
      <c r="E140" s="326"/>
      <c r="F140" s="326"/>
      <c r="G140" s="326"/>
      <c r="H140" s="326"/>
      <c r="I140" s="326"/>
      <c r="J140" s="326"/>
      <c r="K140" s="135"/>
      <c r="L140" s="136"/>
      <c r="M140" s="288"/>
      <c r="N140" s="232"/>
      <c r="O140" s="232"/>
      <c r="P140" s="232"/>
      <c r="Q140" s="232"/>
      <c r="R140" s="232"/>
      <c r="S140" s="232"/>
      <c r="T140" s="232"/>
      <c r="U140" s="288"/>
    </row>
    <row r="141" spans="2:21" ht="14.45" customHeight="1">
      <c r="B141" s="127"/>
      <c r="C141" s="326"/>
      <c r="D141" s="326"/>
      <c r="E141" s="326"/>
      <c r="F141" s="326"/>
      <c r="G141" s="326"/>
      <c r="H141" s="326"/>
      <c r="I141" s="326"/>
      <c r="J141" s="326"/>
      <c r="K141" s="135"/>
      <c r="L141" s="136"/>
      <c r="M141" s="288"/>
      <c r="N141" s="232"/>
      <c r="O141" s="232"/>
      <c r="P141" s="232"/>
      <c r="Q141" s="232"/>
      <c r="R141" s="232"/>
      <c r="S141" s="232"/>
      <c r="T141" s="232"/>
      <c r="U141" s="288"/>
    </row>
    <row r="142" spans="2:21" s="309" customFormat="1" ht="31.9" customHeight="1">
      <c r="B142" s="304"/>
      <c r="C142" s="305"/>
      <c r="D142" s="325" t="s">
        <v>659</v>
      </c>
      <c r="E142" s="325"/>
      <c r="F142" s="325"/>
      <c r="G142" s="325"/>
      <c r="H142" s="325"/>
      <c r="I142" s="325"/>
      <c r="J142" s="325"/>
      <c r="K142" s="305"/>
      <c r="L142" s="306"/>
      <c r="M142" s="307"/>
      <c r="N142" s="308"/>
      <c r="O142" s="308"/>
      <c r="P142" s="308"/>
      <c r="Q142" s="308"/>
      <c r="R142" s="308"/>
      <c r="S142" s="308"/>
      <c r="T142" s="308"/>
      <c r="U142" s="307"/>
    </row>
    <row r="143" spans="2:21" ht="30.4" customHeight="1">
      <c r="B143" s="127"/>
      <c r="C143" s="135"/>
      <c r="D143" s="325" t="s">
        <v>651</v>
      </c>
      <c r="E143" s="325"/>
      <c r="F143" s="325"/>
      <c r="G143" s="325"/>
      <c r="H143" s="325"/>
      <c r="I143" s="325"/>
      <c r="J143" s="325"/>
      <c r="K143" s="135"/>
      <c r="L143" s="136"/>
      <c r="M143" s="288"/>
      <c r="N143" s="232"/>
      <c r="O143" s="232"/>
      <c r="P143" s="232"/>
      <c r="Q143" s="232"/>
      <c r="R143" s="232"/>
      <c r="S143" s="232"/>
      <c r="T143" s="232"/>
      <c r="U143" s="288"/>
    </row>
    <row r="144" spans="2:21" ht="14.45" customHeight="1">
      <c r="B144" s="127"/>
      <c r="C144" s="135"/>
      <c r="D144" s="310" t="s">
        <v>412</v>
      </c>
      <c r="E144" s="310"/>
      <c r="F144" s="310"/>
      <c r="G144" s="310"/>
      <c r="H144" s="310"/>
      <c r="I144" s="310"/>
      <c r="J144" s="310"/>
      <c r="K144" s="135"/>
      <c r="L144" s="136"/>
      <c r="M144" s="288"/>
      <c r="N144" s="232"/>
      <c r="O144" s="232"/>
      <c r="P144" s="232"/>
      <c r="Q144" s="232"/>
      <c r="R144" s="232"/>
      <c r="S144" s="232"/>
      <c r="T144" s="232"/>
      <c r="U144" s="288"/>
    </row>
    <row r="145" spans="2:21" ht="14.45" customHeight="1">
      <c r="B145" s="127"/>
      <c r="C145" s="135"/>
      <c r="D145" s="310" t="s">
        <v>413</v>
      </c>
      <c r="E145" s="310"/>
      <c r="F145" s="310"/>
      <c r="G145" s="310"/>
      <c r="H145" s="310"/>
      <c r="I145" s="310"/>
      <c r="J145" s="310"/>
      <c r="K145" s="135"/>
      <c r="L145" s="136"/>
      <c r="M145" s="288"/>
      <c r="N145" s="232"/>
      <c r="O145" s="232"/>
      <c r="P145" s="232"/>
      <c r="Q145" s="232"/>
      <c r="R145" s="232"/>
      <c r="S145" s="232"/>
      <c r="T145" s="232"/>
      <c r="U145" s="288"/>
    </row>
    <row r="146" spans="2:21" ht="14.45" customHeight="1">
      <c r="B146" s="127"/>
      <c r="C146" s="135"/>
      <c r="D146" s="327"/>
      <c r="E146" s="327"/>
      <c r="F146" s="327"/>
      <c r="G146" s="327"/>
      <c r="H146" s="327"/>
      <c r="I146" s="327"/>
      <c r="J146" s="327"/>
      <c r="K146" s="135"/>
      <c r="L146" s="136"/>
      <c r="M146" s="288"/>
      <c r="N146" s="232"/>
      <c r="O146" s="232"/>
      <c r="P146" s="232"/>
      <c r="Q146" s="232"/>
      <c r="R146" s="232"/>
      <c r="S146" s="232"/>
      <c r="T146" s="232"/>
      <c r="U146" s="288"/>
    </row>
    <row r="147" spans="2:21" ht="14.45" customHeight="1">
      <c r="B147" s="127"/>
      <c r="C147" s="135"/>
      <c r="D147" s="233"/>
      <c r="E147" s="233"/>
      <c r="F147" s="233"/>
      <c r="G147" s="233"/>
      <c r="H147" s="233"/>
      <c r="I147" s="233"/>
      <c r="J147" s="233"/>
      <c r="K147" s="135"/>
      <c r="L147" s="136"/>
      <c r="M147" s="288"/>
      <c r="N147" s="232"/>
      <c r="O147" s="232"/>
      <c r="P147" s="232"/>
      <c r="Q147" s="232"/>
      <c r="R147" s="232"/>
      <c r="S147" s="232"/>
      <c r="T147" s="232"/>
      <c r="U147" s="288"/>
    </row>
    <row r="148" spans="2:21" ht="14.45" customHeight="1">
      <c r="B148" s="188" t="s">
        <v>51</v>
      </c>
      <c r="C148" s="289"/>
      <c r="D148" s="195"/>
      <c r="E148" s="195"/>
      <c r="F148" s="195"/>
      <c r="G148" s="195"/>
      <c r="H148" s="195"/>
      <c r="I148" s="195"/>
      <c r="J148" s="195"/>
      <c r="K148" s="289"/>
      <c r="L148" s="290" t="s">
        <v>51</v>
      </c>
      <c r="M148" s="291"/>
      <c r="N148" s="291"/>
      <c r="O148" s="291"/>
      <c r="P148" s="291"/>
      <c r="Q148" s="291"/>
      <c r="R148" s="291"/>
      <c r="S148" s="291"/>
      <c r="T148" s="291"/>
      <c r="U148" s="291"/>
    </row>
    <row r="149" spans="2:21" ht="14.45" customHeight="1">
      <c r="B149" s="127"/>
      <c r="C149" s="285" t="s">
        <v>401</v>
      </c>
      <c r="D149" s="135"/>
      <c r="E149" s="135"/>
      <c r="F149" s="135"/>
      <c r="G149" s="135"/>
      <c r="H149" s="135"/>
      <c r="I149" s="135"/>
      <c r="J149" s="135"/>
      <c r="K149" s="135"/>
      <c r="L149" s="136"/>
      <c r="M149" s="286" t="s">
        <v>402</v>
      </c>
      <c r="N149" s="288"/>
      <c r="O149" s="288"/>
      <c r="P149" s="288"/>
      <c r="Q149" s="288"/>
      <c r="R149" s="288"/>
      <c r="S149" s="288"/>
      <c r="T149" s="288"/>
      <c r="U149" s="288"/>
    </row>
    <row r="150" spans="2:21" ht="14.45" customHeight="1">
      <c r="B150" s="127"/>
      <c r="C150" s="135"/>
      <c r="D150" s="310" t="s">
        <v>414</v>
      </c>
      <c r="E150" s="310"/>
      <c r="F150" s="310"/>
      <c r="G150" s="310"/>
      <c r="H150" s="310"/>
      <c r="I150" s="310"/>
      <c r="J150" s="310"/>
      <c r="K150" s="135"/>
      <c r="L150" s="136"/>
      <c r="M150" s="288"/>
      <c r="N150" s="315" t="s">
        <v>648</v>
      </c>
      <c r="O150" s="315"/>
      <c r="P150" s="315"/>
      <c r="Q150" s="315"/>
      <c r="R150" s="315"/>
      <c r="S150" s="315"/>
      <c r="T150" s="315"/>
      <c r="U150" s="136"/>
    </row>
    <row r="151" spans="2:21" ht="14.45" customHeight="1">
      <c r="B151" s="127"/>
      <c r="C151" s="135"/>
      <c r="D151" s="310" t="s">
        <v>415</v>
      </c>
      <c r="E151" s="310"/>
      <c r="F151" s="310"/>
      <c r="G151" s="310"/>
      <c r="H151" s="310"/>
      <c r="I151" s="310"/>
      <c r="J151" s="310"/>
      <c r="K151" s="135"/>
      <c r="L151" s="136"/>
      <c r="M151" s="288"/>
      <c r="N151" s="315" t="s">
        <v>649</v>
      </c>
      <c r="O151" s="315"/>
      <c r="P151" s="315"/>
      <c r="Q151" s="315"/>
      <c r="R151" s="315"/>
      <c r="S151" s="315"/>
      <c r="T151" s="315"/>
      <c r="U151" s="136"/>
    </row>
    <row r="152" spans="2:21">
      <c r="B152" s="127"/>
      <c r="C152" s="292"/>
      <c r="D152" s="310" t="s">
        <v>416</v>
      </c>
      <c r="E152" s="310"/>
      <c r="F152" s="310"/>
      <c r="G152" s="310"/>
      <c r="H152" s="310"/>
      <c r="I152" s="310"/>
      <c r="J152" s="310"/>
      <c r="K152" s="292"/>
      <c r="L152" s="136"/>
      <c r="M152" s="288"/>
      <c r="N152" s="315" t="s">
        <v>431</v>
      </c>
      <c r="O152" s="315"/>
      <c r="P152" s="315"/>
      <c r="Q152" s="315"/>
      <c r="R152" s="315"/>
      <c r="S152" s="315"/>
      <c r="T152" s="315"/>
      <c r="U152" s="136"/>
    </row>
    <row r="153" spans="2:21">
      <c r="B153" s="127"/>
      <c r="C153" s="127"/>
      <c r="D153" s="127"/>
      <c r="E153" s="127"/>
      <c r="F153" s="127"/>
      <c r="G153" s="127"/>
      <c r="H153" s="127"/>
      <c r="I153" s="127"/>
      <c r="J153" s="127"/>
      <c r="K153" s="127"/>
      <c r="L153" s="129"/>
      <c r="M153" s="129"/>
      <c r="N153" s="129"/>
      <c r="O153" s="129"/>
      <c r="P153" s="129"/>
      <c r="Q153" s="129"/>
      <c r="R153" s="129"/>
      <c r="S153" s="129"/>
      <c r="T153" s="129"/>
      <c r="U153" s="129"/>
    </row>
  </sheetData>
  <mergeCells count="112">
    <mergeCell ref="D83:J83"/>
    <mergeCell ref="D84:J84"/>
    <mergeCell ref="D85:J85"/>
    <mergeCell ref="N65:T65"/>
    <mergeCell ref="D44:J44"/>
    <mergeCell ref="D45:J45"/>
    <mergeCell ref="D46:J46"/>
    <mergeCell ref="D54:J54"/>
    <mergeCell ref="D55:J55"/>
    <mergeCell ref="N67:T67"/>
    <mergeCell ref="N70:T70"/>
    <mergeCell ref="N77:T77"/>
    <mergeCell ref="N76:T76"/>
    <mergeCell ref="N54:T54"/>
    <mergeCell ref="N58:T58"/>
    <mergeCell ref="N59:T59"/>
    <mergeCell ref="N60:T60"/>
    <mergeCell ref="N61:T61"/>
    <mergeCell ref="B3:J3"/>
    <mergeCell ref="B4:J4"/>
    <mergeCell ref="B5:J5"/>
    <mergeCell ref="C74:J75"/>
    <mergeCell ref="C79:J80"/>
    <mergeCell ref="M74:T75"/>
    <mergeCell ref="D76:J76"/>
    <mergeCell ref="D77:J77"/>
    <mergeCell ref="D81:J81"/>
    <mergeCell ref="B9:U9"/>
    <mergeCell ref="B21:U21"/>
    <mergeCell ref="B34:U34"/>
    <mergeCell ref="N49:T49"/>
    <mergeCell ref="N48:T48"/>
    <mergeCell ref="N50:T50"/>
    <mergeCell ref="N110:T110"/>
    <mergeCell ref="D116:J116"/>
    <mergeCell ref="N109:T109"/>
    <mergeCell ref="N111:T111"/>
    <mergeCell ref="D104:J104"/>
    <mergeCell ref="N104:T104"/>
    <mergeCell ref="D105:J105"/>
    <mergeCell ref="N105:T105"/>
    <mergeCell ref="D106:J106"/>
    <mergeCell ref="D142:J142"/>
    <mergeCell ref="D143:J143"/>
    <mergeCell ref="D144:J144"/>
    <mergeCell ref="D145:J145"/>
    <mergeCell ref="D146:J146"/>
    <mergeCell ref="D137:J137"/>
    <mergeCell ref="N127:T127"/>
    <mergeCell ref="D138:J138"/>
    <mergeCell ref="C140:J141"/>
    <mergeCell ref="N131:T131"/>
    <mergeCell ref="D131:J131"/>
    <mergeCell ref="N120:T120"/>
    <mergeCell ref="N121:T121"/>
    <mergeCell ref="N122:T122"/>
    <mergeCell ref="C135:J136"/>
    <mergeCell ref="N126:T126"/>
    <mergeCell ref="D126:J126"/>
    <mergeCell ref="N115:T115"/>
    <mergeCell ref="D127:J127"/>
    <mergeCell ref="D128:J128"/>
    <mergeCell ref="N119:T119"/>
    <mergeCell ref="D115:J115"/>
    <mergeCell ref="W94:X94"/>
    <mergeCell ref="W95:X95"/>
    <mergeCell ref="W34:X34"/>
    <mergeCell ref="W35:X35"/>
    <mergeCell ref="B11:U19"/>
    <mergeCell ref="B39:E40"/>
    <mergeCell ref="L39:O40"/>
    <mergeCell ref="E24:T24"/>
    <mergeCell ref="E25:T25"/>
    <mergeCell ref="E26:T26"/>
    <mergeCell ref="B23:T23"/>
    <mergeCell ref="C24:D24"/>
    <mergeCell ref="C25:D25"/>
    <mergeCell ref="C26:D26"/>
    <mergeCell ref="D65:J65"/>
    <mergeCell ref="D66:J66"/>
    <mergeCell ref="D67:J67"/>
    <mergeCell ref="D70:J70"/>
    <mergeCell ref="N89:T89"/>
    <mergeCell ref="N90:T90"/>
    <mergeCell ref="N91:T91"/>
    <mergeCell ref="N44:T44"/>
    <mergeCell ref="N45:T45"/>
    <mergeCell ref="D82:J82"/>
    <mergeCell ref="D150:J150"/>
    <mergeCell ref="D151:J151"/>
    <mergeCell ref="D152:J152"/>
    <mergeCell ref="C28:D28"/>
    <mergeCell ref="E28:T28"/>
    <mergeCell ref="B30:T30"/>
    <mergeCell ref="B31:T31"/>
    <mergeCell ref="B36:G36"/>
    <mergeCell ref="B96:G96"/>
    <mergeCell ref="B99:E100"/>
    <mergeCell ref="L99:O100"/>
    <mergeCell ref="N66:T66"/>
    <mergeCell ref="N128:T128"/>
    <mergeCell ref="N55:T55"/>
    <mergeCell ref="N116:T116"/>
    <mergeCell ref="D89:J89"/>
    <mergeCell ref="D90:J90"/>
    <mergeCell ref="D91:J91"/>
    <mergeCell ref="N151:T151"/>
    <mergeCell ref="N152:T152"/>
    <mergeCell ref="M135:T136"/>
    <mergeCell ref="N137:T137"/>
    <mergeCell ref="N138:T138"/>
    <mergeCell ref="N150:T150"/>
  </mergeCells>
  <hyperlinks>
    <hyperlink ref="W97" location="'V1.1.1 DATA'!A1" display="V1.1.1"/>
    <hyperlink ref="W98" location="'V1.1.2 DATA'!A1" display="V1.1.2"/>
    <hyperlink ref="W99" location="'V1.1.3 Data'!A1" display="V1.1.3"/>
    <hyperlink ref="W100" location="'V2.1.1 DATA'!A1" display="V2.1.1"/>
    <hyperlink ref="W101" location="'V2.1.2 DATA'!A1" display="V2.1.2"/>
    <hyperlink ref="W103" location="'V3.1.2 DATA'!A1" display="V3.1.2"/>
    <hyperlink ref="W102" location="'V3.1.1 DATA'!A1" display="V3.1.1"/>
    <hyperlink ref="W104" location="'V3.1.3 DATA'!A1" display="V3.1.3"/>
    <hyperlink ref="W105" location="'V3.2.1 DATA'!A1" display="V3.2.1"/>
    <hyperlink ref="W106" location="'V4.1.1 DATA'!A1" display="V4.1.1"/>
    <hyperlink ref="W107" location="'V4.2.1 DATA'!A1" display="V4.2.1"/>
    <hyperlink ref="W109" location="'V4.2.3 DATA'!A1" display="V4.2.3"/>
    <hyperlink ref="W110" location="'V4.2.4 DATA'!A1" display="V4.2.4"/>
    <hyperlink ref="W111" location="'V5.1.1 DATA'!A1" display="V5.1.1"/>
    <hyperlink ref="W112" location="'V5.1.2 DATA'!A1" display="V5.1.2"/>
    <hyperlink ref="X97" location="'B1.1.1 DATA'!A1" display="B1.1.1"/>
    <hyperlink ref="X98" location="'B1.1.2 DATA'!A1" display="B1.1.2"/>
    <hyperlink ref="X99" location="'B1.2.1 DATA'!A1" display="B1.2.1"/>
    <hyperlink ref="X100" location="'B1.2.2 DATA'!A1" display="B1.2.2"/>
    <hyperlink ref="X101" location="'B1.2.3 DATA'!A1" display="B1.2.3"/>
    <hyperlink ref="X102" location="'B2.1.1 DATA'!A1" display="B2.1.1"/>
    <hyperlink ref="X104" location="'B2.2.1 DATA'!A1" display="B2.2.1"/>
    <hyperlink ref="X105" location="'B2.2.2 DATA'!A1" display="B2.2.2"/>
    <hyperlink ref="X106" location="'B2.2.3 DATA'!A1" display="B2.2.3"/>
    <hyperlink ref="X107" location="'B2.2.4 DATA'!A1" display="B2.2.4"/>
    <hyperlink ref="X108" location="'B3.1.1 DATA'!A1" display="B3.1.1"/>
    <hyperlink ref="X109" location="'B3.1.2 DATA'!A1" display="B3.1.2"/>
    <hyperlink ref="X111" location="'B3.2.1 DATA'!A1" display="B3.2.1"/>
    <hyperlink ref="X112" location="'B4.1.1 DATA'!A1" display="B4.1.1"/>
    <hyperlink ref="X113" location="'B5.1.1 DATA'!A1" display="B5.1.1"/>
    <hyperlink ref="X114" location="'B5.1.2 DATA'!A1" display="B5.1.2"/>
    <hyperlink ref="X115" location="'B5.1.3 DATA'!A1" display="B5.1.3"/>
    <hyperlink ref="W37" location="V1.1.1!A1" display="V1.1.1"/>
    <hyperlink ref="W38" location="V1.1.2!A1" display="V1.1.2"/>
    <hyperlink ref="W39" location="V1.1.3!A1" display="V1.1.3"/>
    <hyperlink ref="W40" location="V2.1.1!A1" display="V2.1.1"/>
    <hyperlink ref="W41" location="V2.1.2!A1" display="V2.1.2"/>
    <hyperlink ref="W43" location="V3.1.2!A1" display="V3.1.2"/>
    <hyperlink ref="W42" location="V3.1.1!A1" display="V3.1.1"/>
    <hyperlink ref="W44" location="V3.1.3!A1" display="V3.1.3"/>
    <hyperlink ref="W46" location="V4.1.1!A1" display="V4.1.1"/>
    <hyperlink ref="W47" location="V4.2.1!A1" display="V4.2.1"/>
    <hyperlink ref="W48" location="V4.2.2!A1" display="V4.2.2"/>
    <hyperlink ref="W49" location="V4.2.3!A1" display="V4.2.3"/>
    <hyperlink ref="W50" location="V4.2.4!A1" display="V4.2.4"/>
    <hyperlink ref="W51" location="V5.1.1!A1" display="V5.1.1"/>
    <hyperlink ref="W52" location="V5.1.2!A1" display="V5.1.2"/>
    <hyperlink ref="X37" location="B1.1.1!A1" display="B1.1.1"/>
    <hyperlink ref="X38" location="B1.1.2!A1" display="B1.1.2"/>
    <hyperlink ref="X39" location="B1.2.1!A1" display="B1.2.1"/>
    <hyperlink ref="X40" location="B1.2.2!A1" display="B1.2.2"/>
    <hyperlink ref="X41" location="B1.2.3!A1" display="B1.2.3"/>
    <hyperlink ref="X42" location="B2.1.1!A1" display="B2.1.1"/>
    <hyperlink ref="X44" location="B2.2.1!A1" display="B2.2.1"/>
    <hyperlink ref="X45" location="B2.2.2!A1" display="B2.2.2"/>
    <hyperlink ref="X46" location="B2.2.3!A1" display="B2.2.3"/>
    <hyperlink ref="X47" location="B2.2.4!A1" display="B2.2.4"/>
    <hyperlink ref="X48" location="B3.1.1!A1" display="B3.1.1"/>
    <hyperlink ref="X49" location="B3.1.2!A1" display="B3.1.2"/>
    <hyperlink ref="X52" location="B4.1.1!A1" display="B4.1.1"/>
    <hyperlink ref="X53" location="B5.1.1!A1" display="B5.1.1"/>
    <hyperlink ref="X54" location="B5.1.2!A1" display="B5.1.2"/>
    <hyperlink ref="X55" location="B5.1.3!A1" display="B5.1.3"/>
    <hyperlink ref="X50" location="B3.1.3!A1" display="B3.1.3"/>
    <hyperlink ref="X103" location="'B2.1.2 DATA'!A1" display="B2.1.2"/>
    <hyperlink ref="X43" location="B2.1.2!A1" display="B2.1.2"/>
    <hyperlink ref="W53" location="V5.1.3!A1" display="V5.1.3"/>
    <hyperlink ref="W113" location="'V5.1.3 DATA'!A1" display="V5.1.3"/>
    <hyperlink ref="X110" location="'B3.1.3 DATA'!A1" display="B3.1.3"/>
    <hyperlink ref="W108" location="'V4.2.2 DATA'!A1" display="V4.2.2"/>
    <hyperlink ref="N152:T152" location="'B5.1.3 DATA'!A1" display="B5.1.3 - Handlingsplan för suicidprevention"/>
    <hyperlink ref="N151:T151" location="'B5.1.2 DATA'!A1" display="B5.1.2 - Antal självmordsförsök i befolkningen"/>
    <hyperlink ref="N150:T150" location="'B5.1.1 DATA'!A1" display="B5.1.1 - Antal självmord i befolkningen"/>
    <hyperlink ref="N137:T137" location="'B4.1.1 DATA'!A1" display="B4.1.1 - Klagomål med avseende på bemötande"/>
    <hyperlink ref="N128:T128" location="'B3.1.3 DATA'!A1" display="B3.1.3 - Rutin för information om SIP"/>
    <hyperlink ref="N127:T127" location="'B3.1.2 DATA'!A1" display="B3.1.2 - Uppföljning av SIP i befolkningen"/>
    <hyperlink ref="N126:T126" location="'B3.1.1 DATA'!A1" display="B3.1.1 - Upprättande av SIP i befolkningen"/>
    <hyperlink ref="N122:T122" location="'B2.2.4 DATA'!A1" display="B2.2.4 - Andel elever som någon gång använt narkotika i gymnasiet år 2"/>
    <hyperlink ref="N121:T121" location="'B2.2.3 DATA'!A1" display="B2.2.3 - Andel elever som någon gång använt narkotika i åk 9"/>
    <hyperlink ref="N120:T120" location="'B2.2.2 DATA'!A1" display="B2.2.2 - Andel elever med riskkonsumtion av alkohol i gymnasiet år 2"/>
    <hyperlink ref="N119:T119" location="'B2.2.1 DATA'!A1" display="B2.2.1 - Andel elever med riskkonsumtion av alkohol i åk 9"/>
    <hyperlink ref="N116:T116" location="'B2.1.2 DATA'!A1" display="B2.1.2 - Standardiserade bedömningsmetoder för utredning av missbruk"/>
    <hyperlink ref="N115:T115" location="'B1.1.1 DATA'!A1" display="B2.1.1 - Barn och unga som vårdats i slutenvård"/>
    <hyperlink ref="N111:T111" location="'B1.2.3 DATA'!A1" display="B1.2.3 - Andel elever med betydande frånvaro från skolan"/>
    <hyperlink ref="N110:T110" location="'B1.2.2 DATA'!A1" display="B1.2.2 - Andel elever utan godkända betyg från åk 9"/>
    <hyperlink ref="N109:T109" location="'B1.2.1 DATA'!A1" display="B1.2.1 - Andel elever som fullföljt gymnasieutbildningen inom tre år"/>
    <hyperlink ref="N105:T105" location="'B1.1.2 DATA'!A1" display="B1.1.2 - Standardiserade bedömningsmetoder för föräldraförmåga"/>
    <hyperlink ref="N104:T104" location="'B1.1.1 DATA'!A1" display="B1.1.1 - Manualbaserad insats för föräldrastöd"/>
    <hyperlink ref="D104:J104" location="'V1.1.1 DATA'!A1" display="V1.1.1 - Antal självmord i befolkningen"/>
    <hyperlink ref="D105:J105" location="'V1.1.2 DATA'!A1" display="V1.1.2 - Antal självmordförsök"/>
    <hyperlink ref="D106:J106" location="'V1.1.3 Data'!A1" display="V1.1.3 - Handlingsplan för suicidprevention"/>
    <hyperlink ref="D115:J115" location="'V2.1.1 DATA'!A1" display="V2.1.1 - Aktuella rutiner för samordning inom äldreomsorgen"/>
    <hyperlink ref="D116:J116" location="'V2.1.2 DATA'!A1" display="V2.1.2 - Förskrivning av antidepressiva läkemedel i befolkningen"/>
    <hyperlink ref="D126:J126" location="'V3.1.1 DATA'!A1" display="V3.1.1 - Upprättande av SIP i befolkningen"/>
    <hyperlink ref="D127:J127" location="'V3.1.2 DATA'!A1" display="V3.1.2 - Uppföljning av SIP i befolkningen"/>
    <hyperlink ref="D128:J128" location="'V3.1.3 DATA'!A1" display="V3.1.3 - Rutin för information om SIP"/>
    <hyperlink ref="D137:J137" location="'V4.1.1 DATA'!A1" display="V4.1.1 - Klagomål med avseende på bemötande"/>
    <hyperlink ref="D142:J142" location="'V4.2.1 DATA'!A1" display="V4.2.1 - Antal utskrivna till vård enligt LVM "/>
    <hyperlink ref="D143:J143" location="'V4.2.2 DATA'!A1" display="V4.2.2 - Undvikbara slutenvårdstillfällen i befolkningen"/>
    <hyperlink ref="D145:J145" location="'V4.2.4 DATA'!A1" display="V4.2.4 - Aktuella rutiner för samordning inom socialtjänsten"/>
    <hyperlink ref="D150:J150" location="'V5.1.1 DATA'!A1" display="V5.1.1 - Standardiserade bedömningsmetoder inom missbruk- och beroendeverksamhet"/>
    <hyperlink ref="D151:J151" location="'V5.1.2 DATA'!A1" display="V5.1.2 - Standardiserade bedömningsmetoder för utredning av alkoholmissbruk"/>
    <hyperlink ref="D152:J152" location="'V5.1.3 DATA'!A1" display="V5.1.3 - Standardiserade bedömningsmetoder för utredning av drogmissbruk"/>
    <hyperlink ref="D131:J131" location="'V3.2.1 DATA'!A1" display="V3.2.1 - Systematiskt samarbete med brukarorganisationer"/>
    <hyperlink ref="N131:T131" location="'B3.2.1 DATA'!A1" display="B3.2.1 - Systematiskt samarbete med brukarorganisationer"/>
    <hyperlink ref="N76:T76" location="B4.1.1!A1" display="B4.1.1 - Anmälningar med avseende på kränkande behandling inom skolan"/>
    <hyperlink ref="N44:T44" location="B1.1.1!A1" display="B1.1.1 - Manualbaserad insats för föräldrastöd"/>
    <hyperlink ref="N45:T45" location="B1.2.1!A1" display="B1.2.1 - Standardiserade bedömningsmetoder för föräldraförmåga"/>
    <hyperlink ref="N48:T48" location="B1.2.1!A1" display="B1.2.1 - Andel elever som fullföljt gymnasieutbildningen inom tre år"/>
    <hyperlink ref="N49:T49" location="B1.2.2!A1" display="B1.2.2 - Andel elever utan godkända betyg från åk 9"/>
    <hyperlink ref="N50:T50" location="B1.2.3!A1" display="B1.2.3 - Andel elever med betydande frånvaro från skolan"/>
    <hyperlink ref="N54:T54" location="B2.1.1!A1" display="B2.1.1 - Barn och unga som vårdats i slutenvård"/>
    <hyperlink ref="N55:T55" location="B2.1.2!A1" display="B2.1.2 - Standardiserade bedömningsmetoder för utredning av missbruk"/>
    <hyperlink ref="N58:T58" location="B2.2.1!A1" display="B2.2.1 - Andel elever med riskkonsumtion av alkohol i åk 9"/>
    <hyperlink ref="N59:T59" location="B2.2.2!A1" display="B2.2.2 - Andel elever med riskkonsumtion av alkohol i gymnasiet år 2"/>
    <hyperlink ref="N60:T60" location="B2.2.3!A1" display="B2.2.3 - Andel elever som någon gång använt narkotika i åk 9"/>
    <hyperlink ref="N61:T61" location="B2.2.4!A1" display="B2.2.4 - Andel elever som någon gång använt narkotika i gymnasiet år 2"/>
    <hyperlink ref="N65:T65" location="B3.1.1!A1" display="B3.1.1 - Upprättande av SIP i befolkningen"/>
    <hyperlink ref="N66:T66" location="B3.1.2!A1" display="B3.1.2 - Uppföljning av SIP i befolkningen"/>
    <hyperlink ref="N67:T67" location="B3.1.3!A1" display="B3.1.3 - Rutin för information om SIP"/>
    <hyperlink ref="N70:T70" location="B3.2.1!A1" display="B3.2.1 - Systematiskt samarbete med brukarorganisationer"/>
    <hyperlink ref="N89:T89" location="B5.1.1!A1" display="B5.1.1 - Antal självmord i befolkningen"/>
    <hyperlink ref="N90:T90" location="B5.1.2!A1" display="B5.1.2 - Antal självmordsförsök i befolkningen"/>
    <hyperlink ref="N91:T91" location="B5.1.3!A1" display="B5.1.3 - Handlingsplan för suicidprevention"/>
    <hyperlink ref="D44:J44" location="V1.1.1!A1" display="V1.1.1 - Antal självmord i befolkningen"/>
    <hyperlink ref="D45:J45" location="V1.1.2!A1" display="V1.1.2 - Antal självmordförsök"/>
    <hyperlink ref="D46:J46" location="V1.1.3!A1" display="V1.1.3 - Handlingsplan för suicidprevention"/>
    <hyperlink ref="D54:J54" location="V2.1.1!A1" display="V2.1.1 - Aktuella rutiner för samordning inom äldreomsorgen"/>
    <hyperlink ref="D55:J55" location="V2.1.2!A1" display="V2.1.2 - Förskrivning av antidepressiva läkemedel i befolkningen"/>
    <hyperlink ref="D65:J65" location="V3.1.1!A1" display="V3.1.1 - Upprättande av SIP i befolkningen"/>
    <hyperlink ref="D66:J66" location="V3.1.2!A1" display="V3.1.2 - Uppföljning av SIP i befolkningen"/>
    <hyperlink ref="D67:J67" location="V3.1.3!A1" display="V3.1.3 - Rutin för information om SIP"/>
    <hyperlink ref="D70:J70" location="V3.2.1!A1" display="V3.2.1 - Systematiskt samarbete med brukarorganisationer"/>
    <hyperlink ref="D76:J76" location="V4.1.1!A1" display="V4.1.1 - Klagomål med avseende på bemötande"/>
    <hyperlink ref="D81:J81" location="V4.2.1!A1" display="V4.2.1 - Antal utskrivna till enligt LVM "/>
    <hyperlink ref="D82:J82" location="V4.2.2!A1" display="V4.2.2 - Undvikbara slutenvårdstillfällen i befolkningen"/>
    <hyperlink ref="D83:J83" location="V4.2.3!A1" display="V4.2.3 - Case management till personer med psykisk sjukdom"/>
    <hyperlink ref="D84:J84" location="V4.2.4!A1" display="V4.2.4 - Aktuella rutiner för samordning inom socialtjänsten"/>
    <hyperlink ref="D89:J89" location="V5.1.1!A1" display="V5.1.1 - Standardiserade bedömningsmetoder inom missbruk- och beroendeverksamhet"/>
    <hyperlink ref="D90:J90" location="V5.1.2!A1" display="V5.1.2 - Standardiserade bedömningsmetoder för utredning av alkoholmissbruk"/>
    <hyperlink ref="D91:J91" location="V5.1.3!A1" display="V5.1.3 - Standardiserade bedömningsmetoder för utredning av drogmissbruk"/>
    <hyperlink ref="X51" location="B3.2.1!A1" display="B3.2.1"/>
    <hyperlink ref="W45" location="B3.2.1!A1" display="V3.2.1"/>
    <hyperlink ref="D144:J144" location="'V4.2.3 DATA'!A1" display="V4.2.3 - Case management till personer med psykisk sjukdom"/>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B5DAC7"/>
  </sheetPr>
  <dimension ref="A1:AA56"/>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1" spans="1:20" ht="14.45" customHeight="1"/>
    <row r="2" spans="1:20" ht="14.45" customHeight="1">
      <c r="P2" s="10"/>
      <c r="Q2" s="11"/>
      <c r="R2" s="11"/>
    </row>
    <row r="3" spans="1:20" ht="23.25">
      <c r="B3" s="338" t="s">
        <v>468</v>
      </c>
      <c r="C3" s="338"/>
      <c r="D3" s="338"/>
      <c r="E3" s="338"/>
      <c r="F3" s="338"/>
      <c r="G3" s="338"/>
      <c r="H3" s="338"/>
      <c r="I3" s="338"/>
      <c r="J3" s="338"/>
      <c r="K3" s="338"/>
      <c r="L3" s="338"/>
      <c r="M3" s="338"/>
      <c r="N3" s="338"/>
      <c r="O3" s="338"/>
      <c r="P3" s="338"/>
      <c r="Q3" s="338"/>
      <c r="R3" s="338"/>
      <c r="S3" s="338"/>
      <c r="T3" s="338"/>
    </row>
    <row r="4" spans="1:20" ht="30.75">
      <c r="B4" s="339" t="s">
        <v>476</v>
      </c>
      <c r="C4" s="339"/>
      <c r="D4" s="339"/>
      <c r="E4" s="339"/>
      <c r="F4" s="339"/>
      <c r="G4" s="339"/>
      <c r="H4" s="339"/>
      <c r="I4" s="339"/>
      <c r="J4" s="339"/>
      <c r="K4" s="339"/>
      <c r="L4" s="339"/>
      <c r="M4" s="339"/>
      <c r="N4" s="339"/>
      <c r="O4" s="339"/>
      <c r="P4" s="339"/>
      <c r="Q4" s="339"/>
      <c r="R4" s="339"/>
      <c r="S4" s="339"/>
      <c r="T4" s="339"/>
    </row>
    <row r="5" spans="1:20" ht="18">
      <c r="B5" s="340" t="s">
        <v>313</v>
      </c>
      <c r="C5" s="340"/>
      <c r="D5" s="340"/>
      <c r="E5" s="340"/>
      <c r="F5" s="340"/>
      <c r="G5" s="340"/>
      <c r="H5" s="340"/>
      <c r="I5" s="340"/>
      <c r="J5" s="340"/>
      <c r="K5" s="340"/>
      <c r="L5" s="340"/>
      <c r="M5" s="340"/>
      <c r="N5" s="340"/>
      <c r="O5" s="340"/>
      <c r="P5" s="340"/>
      <c r="Q5" s="340"/>
      <c r="R5" s="340"/>
      <c r="S5" s="340"/>
      <c r="T5" s="340"/>
    </row>
    <row r="6" spans="1:20" ht="14.45" customHeight="1">
      <c r="P6" s="11"/>
      <c r="Q6" s="11"/>
      <c r="R6" s="11"/>
    </row>
    <row r="7" spans="1:20" ht="14.45" customHeight="1">
      <c r="B7" s="26" t="s">
        <v>35</v>
      </c>
      <c r="E7" s="27">
        <v>42986</v>
      </c>
      <c r="P7" s="11"/>
      <c r="Q7" s="11"/>
      <c r="R7" s="342" t="s">
        <v>44</v>
      </c>
      <c r="S7" s="342"/>
      <c r="T7" s="342"/>
    </row>
    <row r="8" spans="1:20" ht="14.45" customHeight="1">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14.45" customHeight="1">
      <c r="B10" s="33"/>
      <c r="C10" s="33"/>
      <c r="D10" s="33"/>
      <c r="E10" s="33"/>
      <c r="F10" s="33"/>
      <c r="G10" s="33"/>
      <c r="H10" s="33"/>
      <c r="I10" s="33"/>
      <c r="J10" s="33"/>
      <c r="K10" s="33"/>
      <c r="L10" s="33"/>
      <c r="N10" s="4"/>
      <c r="O10" s="4"/>
      <c r="P10" s="4"/>
      <c r="Q10" s="4"/>
      <c r="R10" s="4"/>
      <c r="S10" s="4"/>
      <c r="T10" s="4"/>
    </row>
    <row r="11" spans="1:20" ht="14.45" customHeight="1">
      <c r="B11" s="336" t="s">
        <v>40</v>
      </c>
      <c r="C11" s="336"/>
      <c r="D11" s="336"/>
      <c r="E11" s="336"/>
      <c r="F11" s="336"/>
      <c r="G11" s="336"/>
      <c r="H11" s="336"/>
      <c r="I11" s="336"/>
      <c r="J11" s="336"/>
      <c r="K11" s="336"/>
      <c r="L11" s="336"/>
      <c r="N11" s="205" t="s">
        <v>287</v>
      </c>
      <c r="O11" s="205" t="s">
        <v>638</v>
      </c>
      <c r="P11" s="205" t="s">
        <v>639</v>
      </c>
      <c r="Q11" s="205" t="s">
        <v>640</v>
      </c>
      <c r="R11" s="205" t="s">
        <v>641</v>
      </c>
      <c r="S11" s="205" t="s">
        <v>642</v>
      </c>
    </row>
    <row r="12" spans="1:20" ht="14.45" customHeight="1">
      <c r="B12" s="1"/>
      <c r="C12" s="337" t="s">
        <v>516</v>
      </c>
      <c r="D12" s="337"/>
      <c r="E12" s="337"/>
      <c r="F12" s="337"/>
      <c r="G12" s="337"/>
      <c r="H12" s="337"/>
      <c r="I12" s="337"/>
      <c r="J12" s="337"/>
      <c r="K12" s="337"/>
      <c r="L12" s="337"/>
      <c r="N12" s="112">
        <v>2010</v>
      </c>
      <c r="O12" s="113">
        <v>137127.85</v>
      </c>
      <c r="P12" s="113">
        <v>138425.62</v>
      </c>
      <c r="Q12" s="113">
        <v>159283.42000000001</v>
      </c>
      <c r="R12" s="113">
        <v>197761.85000000003</v>
      </c>
      <c r="S12" s="113">
        <v>263198.82</v>
      </c>
    </row>
    <row r="13" spans="1:20" ht="14.45" customHeight="1">
      <c r="B13" s="32"/>
      <c r="C13" s="332" t="s">
        <v>517</v>
      </c>
      <c r="D13" s="332"/>
      <c r="E13" s="332"/>
      <c r="F13" s="332"/>
      <c r="G13" s="332"/>
      <c r="H13" s="332"/>
      <c r="I13" s="332"/>
      <c r="J13" s="332"/>
      <c r="K13" s="332"/>
      <c r="L13" s="332"/>
      <c r="N13" s="112">
        <v>2011</v>
      </c>
      <c r="O13" s="113">
        <v>140591.78</v>
      </c>
      <c r="P13" s="113">
        <v>143404.99</v>
      </c>
      <c r="Q13" s="113">
        <v>165256.25</v>
      </c>
      <c r="R13" s="113">
        <v>200773.69</v>
      </c>
      <c r="S13" s="113">
        <v>268942.39</v>
      </c>
    </row>
    <row r="14" spans="1:20" ht="14.45" customHeight="1">
      <c r="B14" s="32"/>
      <c r="C14" s="333" t="s">
        <v>292</v>
      </c>
      <c r="D14" s="333"/>
      <c r="E14" s="333"/>
      <c r="F14" s="333"/>
      <c r="G14" s="333"/>
      <c r="H14" s="333"/>
      <c r="I14" s="333"/>
      <c r="J14" s="333"/>
      <c r="K14" s="333"/>
      <c r="L14" s="333"/>
      <c r="N14" s="112">
        <v>2012</v>
      </c>
      <c r="O14" s="113">
        <v>141135.24</v>
      </c>
      <c r="P14" s="113">
        <v>149956.76</v>
      </c>
      <c r="Q14" s="113">
        <v>163792.75</v>
      </c>
      <c r="R14" s="113">
        <v>204323.01</v>
      </c>
      <c r="S14" s="113">
        <v>259993.97</v>
      </c>
    </row>
    <row r="15" spans="1:20" ht="14.45" customHeight="1">
      <c r="B15" s="32"/>
      <c r="C15" s="333" t="s">
        <v>518</v>
      </c>
      <c r="D15" s="333"/>
      <c r="E15" s="333"/>
      <c r="F15" s="333"/>
      <c r="G15" s="333"/>
      <c r="H15" s="333"/>
      <c r="I15" s="333"/>
      <c r="J15" s="333"/>
      <c r="K15" s="333"/>
      <c r="L15" s="333"/>
      <c r="N15" s="112">
        <v>2013</v>
      </c>
      <c r="O15" s="113">
        <v>143715.58000000002</v>
      </c>
      <c r="P15" s="113">
        <v>151864.75</v>
      </c>
      <c r="Q15" s="113">
        <v>171723.97</v>
      </c>
      <c r="R15" s="113">
        <v>200747.4</v>
      </c>
      <c r="S15" s="113">
        <v>263451.94</v>
      </c>
    </row>
    <row r="16" spans="1:20" ht="14.45" customHeight="1">
      <c r="A16" s="3"/>
      <c r="B16" s="32"/>
      <c r="C16" s="47"/>
      <c r="D16" s="47"/>
      <c r="E16" s="47"/>
      <c r="F16" s="47"/>
      <c r="G16" s="47"/>
      <c r="H16" s="47"/>
      <c r="I16" s="47"/>
      <c r="J16" s="47"/>
      <c r="K16" s="47"/>
      <c r="L16" s="32"/>
      <c r="N16" s="112">
        <v>2014</v>
      </c>
      <c r="O16" s="113">
        <v>144935.71</v>
      </c>
      <c r="P16" s="113">
        <v>155643.99</v>
      </c>
      <c r="Q16" s="113">
        <v>173045.97</v>
      </c>
      <c r="R16" s="113">
        <v>204145.19</v>
      </c>
      <c r="S16" s="113">
        <v>261999.06</v>
      </c>
      <c r="T16" s="11"/>
    </row>
    <row r="17" spans="1:26" ht="14.45" customHeight="1">
      <c r="A17" s="3"/>
      <c r="B17" s="336" t="s">
        <v>41</v>
      </c>
      <c r="C17" s="336"/>
      <c r="D17" s="336"/>
      <c r="E17" s="336"/>
      <c r="F17" s="336"/>
      <c r="G17" s="336"/>
      <c r="H17" s="336"/>
      <c r="I17" s="336"/>
      <c r="J17" s="336"/>
      <c r="K17" s="336"/>
      <c r="L17" s="336"/>
      <c r="N17" s="112">
        <v>2015</v>
      </c>
      <c r="O17" s="113">
        <v>148494.57</v>
      </c>
      <c r="P17" s="113">
        <v>163150.48000000001</v>
      </c>
      <c r="Q17" s="113">
        <v>171784.72</v>
      </c>
      <c r="R17" s="113">
        <v>205299.97</v>
      </c>
      <c r="S17" s="113">
        <v>264880.17000000004</v>
      </c>
      <c r="T17" s="11"/>
    </row>
    <row r="18" spans="1:26" ht="14.45" customHeight="1">
      <c r="A18" s="3"/>
      <c r="B18" s="1"/>
      <c r="C18" s="333" t="s">
        <v>295</v>
      </c>
      <c r="D18" s="333"/>
      <c r="E18" s="333"/>
      <c r="F18" s="333"/>
      <c r="G18" s="333"/>
      <c r="H18" s="333"/>
      <c r="I18" s="333"/>
      <c r="J18" s="333"/>
      <c r="K18" s="333"/>
      <c r="L18" s="333"/>
      <c r="N18" s="112">
        <v>2016</v>
      </c>
      <c r="O18" s="113">
        <v>149954.5</v>
      </c>
      <c r="P18" s="113">
        <v>161960.54999999999</v>
      </c>
      <c r="Q18" s="113">
        <v>177792.56</v>
      </c>
      <c r="R18" s="113">
        <v>204653.65</v>
      </c>
      <c r="S18" s="113">
        <v>262789.75</v>
      </c>
      <c r="T18" s="11"/>
    </row>
    <row r="19" spans="1:26" ht="14.45" customHeight="1">
      <c r="A19" s="3"/>
      <c r="B19" s="32"/>
      <c r="C19" s="333" t="s">
        <v>296</v>
      </c>
      <c r="D19" s="333"/>
      <c r="E19" s="333"/>
      <c r="F19" s="333"/>
      <c r="G19" s="333"/>
      <c r="H19" s="333"/>
      <c r="I19" s="333"/>
      <c r="J19" s="333"/>
      <c r="K19" s="333"/>
      <c r="L19" s="333"/>
      <c r="N19" s="112">
        <v>2017</v>
      </c>
      <c r="O19" s="205"/>
      <c r="P19" s="205"/>
      <c r="Q19" s="205"/>
      <c r="R19" s="205"/>
      <c r="S19" s="205"/>
      <c r="T19" s="11"/>
    </row>
    <row r="20" spans="1:26" ht="14.45" customHeight="1">
      <c r="A20" s="3"/>
      <c r="B20" s="32"/>
      <c r="C20" s="333" t="s">
        <v>371</v>
      </c>
      <c r="D20" s="333"/>
      <c r="E20" s="333"/>
      <c r="F20" s="333"/>
      <c r="G20" s="333"/>
      <c r="H20" s="333"/>
      <c r="I20" s="333"/>
      <c r="J20" s="333"/>
      <c r="K20" s="333"/>
      <c r="L20" s="333"/>
      <c r="N20" s="112">
        <v>2018</v>
      </c>
      <c r="O20" s="205"/>
      <c r="P20" s="205"/>
      <c r="Q20" s="205"/>
      <c r="R20" s="205"/>
      <c r="S20" s="205"/>
      <c r="T20" s="11"/>
    </row>
    <row r="21" spans="1:26" ht="14.45" customHeight="1">
      <c r="A21" s="3"/>
      <c r="B21" s="32"/>
      <c r="C21" s="58" t="str">
        <f>"--&gt;"</f>
        <v>--&gt;</v>
      </c>
      <c r="D21" s="334" t="s">
        <v>643</v>
      </c>
      <c r="E21" s="334"/>
      <c r="F21" s="334"/>
      <c r="G21" s="334"/>
      <c r="H21" s="334"/>
      <c r="I21" s="334"/>
      <c r="J21" s="334"/>
      <c r="K21" s="334"/>
      <c r="L21" s="334"/>
      <c r="N21" s="112">
        <v>2019</v>
      </c>
      <c r="O21" s="205"/>
      <c r="P21" s="205"/>
      <c r="Q21" s="205"/>
      <c r="R21" s="205"/>
      <c r="S21" s="205"/>
      <c r="T21" s="11"/>
    </row>
    <row r="22" spans="1:26" ht="14.45" customHeight="1">
      <c r="A22" s="3"/>
      <c r="B22" s="32"/>
      <c r="C22" s="32"/>
      <c r="D22" s="334"/>
      <c r="E22" s="334"/>
      <c r="F22" s="334"/>
      <c r="G22" s="334"/>
      <c r="H22" s="334"/>
      <c r="I22" s="334"/>
      <c r="J22" s="334"/>
      <c r="K22" s="334"/>
      <c r="L22" s="334"/>
      <c r="N22" s="112">
        <v>2020</v>
      </c>
      <c r="O22" s="205"/>
      <c r="P22" s="205"/>
      <c r="Q22" s="205"/>
      <c r="R22" s="205"/>
      <c r="S22" s="205"/>
      <c r="T22" s="11"/>
    </row>
    <row r="23" spans="1:26" ht="14.45" customHeight="1">
      <c r="A23" s="3"/>
      <c r="B23" s="32"/>
      <c r="C23" s="333" t="s">
        <v>356</v>
      </c>
      <c r="D23" s="333"/>
      <c r="E23" s="333"/>
      <c r="F23" s="333"/>
      <c r="G23" s="333"/>
      <c r="H23" s="333"/>
      <c r="I23" s="333"/>
      <c r="J23" s="333"/>
      <c r="K23" s="333"/>
      <c r="L23" s="333"/>
      <c r="N23" s="112">
        <v>2021</v>
      </c>
      <c r="O23" s="205"/>
      <c r="P23" s="205"/>
      <c r="Q23" s="205"/>
      <c r="R23" s="205"/>
      <c r="S23" s="205"/>
      <c r="T23" s="11"/>
    </row>
    <row r="24" spans="1:26" ht="14.45" customHeight="1">
      <c r="A24" s="3"/>
      <c r="B24" s="32"/>
      <c r="C24" s="333"/>
      <c r="D24" s="333"/>
      <c r="E24" s="333"/>
      <c r="F24" s="333"/>
      <c r="G24" s="333"/>
      <c r="H24" s="333"/>
      <c r="I24" s="333"/>
      <c r="J24" s="333"/>
      <c r="K24" s="333"/>
      <c r="L24" s="333"/>
      <c r="N24" s="112">
        <v>2022</v>
      </c>
      <c r="O24" s="205"/>
      <c r="P24" s="205"/>
      <c r="Q24" s="205"/>
      <c r="R24" s="205"/>
      <c r="S24" s="205"/>
      <c r="T24" s="11"/>
    </row>
    <row r="25" spans="1:26" ht="14.45" customHeight="1">
      <c r="A25" s="3"/>
      <c r="B25" s="32"/>
      <c r="C25" s="333"/>
      <c r="D25" s="333"/>
      <c r="E25" s="333"/>
      <c r="F25" s="333"/>
      <c r="G25" s="333"/>
      <c r="H25" s="333"/>
      <c r="I25" s="333"/>
      <c r="J25" s="333"/>
      <c r="K25" s="333"/>
      <c r="L25" s="333"/>
      <c r="N25" s="112">
        <v>2023</v>
      </c>
      <c r="O25" s="205"/>
      <c r="P25" s="205"/>
      <c r="Q25" s="205"/>
      <c r="R25" s="205"/>
      <c r="S25" s="205"/>
      <c r="T25" s="11"/>
    </row>
    <row r="26" spans="1:26" ht="14.45" customHeight="1">
      <c r="A26" s="3"/>
      <c r="B26" s="32"/>
      <c r="C26" s="335" t="s">
        <v>298</v>
      </c>
      <c r="D26" s="335"/>
      <c r="E26" s="335"/>
      <c r="F26" s="335"/>
      <c r="G26" s="335"/>
      <c r="H26" s="335"/>
      <c r="I26" s="335"/>
      <c r="J26" s="335"/>
      <c r="K26" s="335"/>
      <c r="L26" s="335"/>
      <c r="N26" s="112">
        <v>2024</v>
      </c>
      <c r="O26" s="205"/>
      <c r="P26" s="205"/>
      <c r="Q26" s="205"/>
      <c r="R26" s="205"/>
      <c r="S26" s="205"/>
      <c r="T26" s="11"/>
    </row>
    <row r="27" spans="1:26" ht="14.45" customHeight="1">
      <c r="B27" s="47"/>
      <c r="C27" s="335"/>
      <c r="D27" s="335"/>
      <c r="E27" s="335"/>
      <c r="F27" s="335"/>
      <c r="G27" s="335"/>
      <c r="H27" s="335"/>
      <c r="I27" s="335"/>
      <c r="J27" s="335"/>
      <c r="K27" s="335"/>
      <c r="L27" s="335"/>
      <c r="N27" s="112">
        <v>2025</v>
      </c>
      <c r="O27" s="205"/>
      <c r="P27" s="205"/>
      <c r="Q27" s="205"/>
      <c r="R27" s="205"/>
      <c r="S27" s="205"/>
      <c r="T27" s="11"/>
    </row>
    <row r="28" spans="1:26" ht="14.45" customHeight="1">
      <c r="B28" s="47"/>
      <c r="C28" s="335"/>
      <c r="D28" s="335"/>
      <c r="E28" s="335"/>
      <c r="F28" s="335"/>
      <c r="G28" s="335"/>
      <c r="H28" s="335"/>
      <c r="I28" s="335"/>
      <c r="J28" s="335"/>
      <c r="K28" s="335"/>
      <c r="L28" s="335"/>
      <c r="S28" s="11"/>
      <c r="T28" s="11"/>
    </row>
    <row r="29" spans="1:26" ht="14.45" customHeight="1">
      <c r="B29" s="47"/>
      <c r="C29" s="47"/>
      <c r="D29" s="47"/>
      <c r="E29" s="47"/>
      <c r="F29" s="47"/>
      <c r="G29" s="47"/>
      <c r="H29" s="47"/>
      <c r="I29" s="47"/>
      <c r="J29" s="47"/>
      <c r="K29" s="47"/>
      <c r="L29" s="47"/>
      <c r="S29" s="11"/>
      <c r="T29" s="11"/>
    </row>
    <row r="30" spans="1:26" ht="14.45" customHeight="1">
      <c r="B30" s="4"/>
      <c r="C30" s="1"/>
      <c r="D30" s="1"/>
      <c r="E30" s="1"/>
      <c r="F30" s="1"/>
      <c r="G30" s="1"/>
      <c r="H30" s="1"/>
      <c r="I30" s="1"/>
      <c r="J30" s="1"/>
      <c r="K30" s="1"/>
      <c r="L30" s="1"/>
      <c r="M30" s="9"/>
      <c r="N30" s="4"/>
      <c r="O30" s="34"/>
      <c r="P30" s="35"/>
      <c r="Q30" s="35"/>
      <c r="R30" s="35"/>
      <c r="S30" s="35"/>
      <c r="T30" s="4"/>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6">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6">
      <c r="B34" s="1"/>
      <c r="C34" s="1"/>
      <c r="D34" s="1"/>
      <c r="E34" s="1"/>
      <c r="F34" s="1"/>
      <c r="G34" s="1"/>
      <c r="H34" s="1"/>
      <c r="I34" s="1"/>
      <c r="J34" s="1"/>
      <c r="K34" s="1"/>
      <c r="L34" s="1"/>
      <c r="M34" s="1"/>
      <c r="N34" s="1"/>
      <c r="O34" s="1"/>
      <c r="P34" s="1"/>
      <c r="Q34" s="1"/>
      <c r="R34" s="1"/>
      <c r="S34" s="1"/>
      <c r="T34" s="1"/>
      <c r="V34" s="56" t="s">
        <v>61</v>
      </c>
      <c r="W34" s="56" t="s">
        <v>62</v>
      </c>
      <c r="X34" s="11"/>
      <c r="Y34" s="56" t="s">
        <v>61</v>
      </c>
      <c r="Z34" s="56" t="s">
        <v>62</v>
      </c>
    </row>
    <row r="35" spans="1:26">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6">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6">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6">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6">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6">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6">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6">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6">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6">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6">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6">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row>
    <row r="47" spans="1:26">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row>
    <row r="48" spans="1:26">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row>
    <row r="49" spans="2:27">
      <c r="B49" s="1"/>
      <c r="C49" s="1"/>
      <c r="D49" s="1"/>
      <c r="E49" s="1"/>
      <c r="F49" s="1"/>
      <c r="G49" s="1"/>
      <c r="H49" s="1"/>
      <c r="I49" s="1"/>
      <c r="J49" s="1"/>
      <c r="K49" s="1"/>
      <c r="L49" s="1"/>
      <c r="M49" s="1"/>
      <c r="N49" s="1"/>
      <c r="O49" s="1"/>
      <c r="P49" s="1"/>
      <c r="Q49" s="1"/>
      <c r="R49" s="1"/>
      <c r="S49" s="1"/>
      <c r="T49" s="1"/>
      <c r="V49" s="244" t="s">
        <v>445</v>
      </c>
      <c r="W49" s="244" t="s">
        <v>462</v>
      </c>
      <c r="Y49" s="244" t="s">
        <v>445</v>
      </c>
      <c r="Z49" s="244" t="s">
        <v>462</v>
      </c>
    </row>
    <row r="50" spans="2:27">
      <c r="B50" s="1"/>
      <c r="C50" s="1"/>
      <c r="D50" s="1"/>
      <c r="E50" s="1"/>
      <c r="F50" s="1"/>
      <c r="G50" s="1"/>
      <c r="H50" s="1"/>
      <c r="I50" s="1"/>
      <c r="J50" s="1"/>
      <c r="K50" s="1"/>
      <c r="L50" s="1"/>
      <c r="M50" s="1"/>
      <c r="N50" s="1"/>
      <c r="O50" s="1"/>
      <c r="P50" s="1"/>
      <c r="Q50" s="1"/>
      <c r="R50" s="1"/>
      <c r="S50" s="1"/>
      <c r="T50" s="1"/>
      <c r="V50" s="246" t="s">
        <v>446</v>
      </c>
      <c r="W50" s="244" t="s">
        <v>463</v>
      </c>
      <c r="X50" s="6"/>
      <c r="Y50" s="246" t="s">
        <v>446</v>
      </c>
      <c r="Z50" s="244" t="s">
        <v>463</v>
      </c>
      <c r="AA50" s="6"/>
    </row>
    <row r="51" spans="2:27">
      <c r="B51" s="1"/>
      <c r="C51" s="1"/>
      <c r="D51" s="1"/>
      <c r="E51" s="1"/>
      <c r="F51" s="1"/>
      <c r="G51" s="1"/>
      <c r="H51" s="1"/>
      <c r="I51" s="1"/>
      <c r="J51" s="1"/>
      <c r="K51" s="1"/>
      <c r="L51" s="1"/>
      <c r="M51" s="1"/>
      <c r="N51" s="1"/>
      <c r="O51" s="1"/>
      <c r="P51" s="1"/>
      <c r="Q51" s="1"/>
      <c r="R51" s="1"/>
      <c r="S51" s="1"/>
      <c r="T51" s="1"/>
      <c r="V51" s="247" t="s">
        <v>447</v>
      </c>
      <c r="W51" s="244" t="s">
        <v>464</v>
      </c>
      <c r="X51" s="6"/>
      <c r="Y51" s="247" t="s">
        <v>447</v>
      </c>
      <c r="Z51" s="244" t="s">
        <v>464</v>
      </c>
      <c r="AA51" s="6"/>
    </row>
    <row r="52" spans="2:27">
      <c r="B52" s="1"/>
      <c r="C52" s="1"/>
      <c r="D52" s="1"/>
      <c r="E52" s="1"/>
      <c r="F52" s="1"/>
      <c r="G52" s="1"/>
      <c r="H52" s="1"/>
      <c r="I52" s="1"/>
      <c r="J52" s="1"/>
      <c r="K52" s="1"/>
      <c r="L52" s="1"/>
      <c r="M52" s="1"/>
      <c r="N52" s="1"/>
      <c r="O52" s="1"/>
      <c r="P52" s="1"/>
      <c r="Q52" s="1"/>
      <c r="R52" s="1"/>
      <c r="S52" s="1"/>
      <c r="T52" s="1"/>
      <c r="V52" s="295"/>
      <c r="W52" s="244" t="s">
        <v>465</v>
      </c>
      <c r="X52" s="6"/>
      <c r="Y52" s="284"/>
      <c r="Z52" s="244" t="s">
        <v>465</v>
      </c>
      <c r="AA52" s="6"/>
    </row>
    <row r="53" spans="2:27">
      <c r="B53" s="1"/>
      <c r="C53" s="1"/>
      <c r="D53" s="1"/>
      <c r="E53" s="1"/>
      <c r="F53" s="1"/>
      <c r="G53" s="1"/>
      <c r="H53" s="1"/>
      <c r="I53" s="1"/>
      <c r="J53" s="1"/>
      <c r="K53" s="1"/>
      <c r="L53" s="1"/>
      <c r="M53" s="1"/>
      <c r="N53" s="1"/>
      <c r="O53" s="1"/>
      <c r="P53" s="1"/>
      <c r="Q53" s="1"/>
      <c r="R53" s="1"/>
      <c r="S53" s="1"/>
      <c r="T53" s="1"/>
      <c r="V53" s="204"/>
      <c r="W53" s="248" t="s">
        <v>466</v>
      </c>
      <c r="X53" s="6"/>
      <c r="Y53" s="257"/>
      <c r="Z53" s="258" t="s">
        <v>466</v>
      </c>
      <c r="AA53" s="6"/>
    </row>
    <row r="54" spans="2:27">
      <c r="B54" s="119"/>
      <c r="C54" s="119"/>
      <c r="D54" s="119"/>
      <c r="E54" s="119"/>
      <c r="F54" s="119"/>
      <c r="G54" s="119"/>
      <c r="H54" s="119"/>
      <c r="I54" s="119"/>
      <c r="J54" s="119"/>
      <c r="K54" s="119"/>
      <c r="L54" s="119"/>
      <c r="M54" s="119"/>
      <c r="N54" s="119"/>
      <c r="O54" s="119"/>
      <c r="P54" s="119"/>
      <c r="Q54" s="119"/>
      <c r="R54" s="119"/>
      <c r="S54" s="119"/>
      <c r="T54" s="119"/>
      <c r="V54" s="250"/>
      <c r="W54" s="251"/>
      <c r="X54" s="6"/>
      <c r="Y54" s="250"/>
      <c r="Z54" s="251"/>
      <c r="AA54" s="6"/>
    </row>
    <row r="55" spans="2:27">
      <c r="B55" s="119"/>
      <c r="C55" s="119"/>
      <c r="D55" s="119"/>
      <c r="E55" s="119"/>
      <c r="F55" s="119"/>
      <c r="G55" s="119"/>
      <c r="H55" s="119"/>
      <c r="I55" s="119"/>
      <c r="J55" s="119"/>
      <c r="K55" s="119"/>
      <c r="L55" s="119"/>
      <c r="M55" s="119"/>
      <c r="N55" s="119"/>
      <c r="O55" s="119"/>
      <c r="P55" s="119"/>
      <c r="Q55" s="119"/>
      <c r="R55" s="119"/>
      <c r="S55" s="119"/>
      <c r="T55" s="119"/>
      <c r="V55" s="249"/>
      <c r="W55" s="251"/>
      <c r="X55" s="6"/>
      <c r="Y55" s="249"/>
      <c r="Z55" s="251"/>
      <c r="AA55" s="6"/>
    </row>
    <row r="56" spans="2:27">
      <c r="V56" s="6"/>
      <c r="W56" s="6"/>
      <c r="X56" s="6"/>
      <c r="Y56" s="6"/>
      <c r="Z56" s="6"/>
      <c r="AA56" s="6"/>
    </row>
  </sheetData>
  <sheetProtection sort="0" autoFilter="0" pivotTables="0"/>
  <mergeCells count="23">
    <mergeCell ref="C26:L28"/>
    <mergeCell ref="B3:T3"/>
    <mergeCell ref="B4:T4"/>
    <mergeCell ref="B5:T5"/>
    <mergeCell ref="B9:L9"/>
    <mergeCell ref="N9:T9"/>
    <mergeCell ref="R7:T7"/>
    <mergeCell ref="Y32:Z32"/>
    <mergeCell ref="Y33:Z33"/>
    <mergeCell ref="V32:W32"/>
    <mergeCell ref="V33:W33"/>
    <mergeCell ref="B11:L11"/>
    <mergeCell ref="C12:L12"/>
    <mergeCell ref="C13:L13"/>
    <mergeCell ref="B17:L17"/>
    <mergeCell ref="C14:L14"/>
    <mergeCell ref="C15:L15"/>
    <mergeCell ref="C18:L18"/>
    <mergeCell ref="C19:L19"/>
    <mergeCell ref="C20:L20"/>
    <mergeCell ref="B32:T32"/>
    <mergeCell ref="D21:L22"/>
    <mergeCell ref="C23:L25"/>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B49073"/>
  </sheetPr>
  <dimension ref="A1:X59"/>
  <sheetViews>
    <sheetView showGridLines="0" showRowColHeaders="0" zoomScale="70" zoomScaleNormal="70" workbookViewId="0"/>
  </sheetViews>
  <sheetFormatPr defaultRowHeight="14.25"/>
  <cols>
    <col min="1" max="1" width="5.796875" customWidth="1"/>
    <col min="2" max="23" width="12.796875" customWidth="1"/>
  </cols>
  <sheetData>
    <row r="1" spans="1:23" ht="15.75">
      <c r="A1" s="16" t="s">
        <v>637</v>
      </c>
    </row>
    <row r="2" spans="1:23" ht="15.75">
      <c r="A2" s="26" t="s">
        <v>34</v>
      </c>
      <c r="C2" s="27">
        <v>42986</v>
      </c>
      <c r="N2" s="342" t="s">
        <v>44</v>
      </c>
      <c r="O2" s="342"/>
      <c r="P2" s="342"/>
      <c r="Q2" s="342"/>
    </row>
    <row r="3" spans="1:23" ht="23.65" thickBot="1">
      <c r="A3" s="343" t="s">
        <v>7</v>
      </c>
      <c r="B3" s="343"/>
      <c r="C3" s="343"/>
      <c r="D3" s="343"/>
      <c r="E3" s="343"/>
      <c r="F3" s="343"/>
      <c r="G3" s="343"/>
      <c r="H3" s="343"/>
      <c r="I3" s="343"/>
      <c r="J3" s="343"/>
      <c r="K3" s="343"/>
      <c r="L3" s="343"/>
      <c r="M3" s="343"/>
      <c r="N3" s="343"/>
      <c r="O3" s="343"/>
      <c r="P3" s="343"/>
      <c r="Q3" s="343"/>
      <c r="S3" s="321" t="s">
        <v>46</v>
      </c>
      <c r="T3" s="321"/>
      <c r="U3" s="11"/>
      <c r="V3" s="318" t="s">
        <v>46</v>
      </c>
      <c r="W3" s="318"/>
    </row>
    <row r="4" spans="1:23">
      <c r="A4" s="119"/>
      <c r="B4" s="119"/>
      <c r="C4" s="119"/>
      <c r="D4" s="119"/>
      <c r="E4" s="119"/>
      <c r="F4" s="119"/>
      <c r="G4" s="119"/>
      <c r="H4" s="119"/>
      <c r="I4" s="119"/>
      <c r="J4" s="119"/>
      <c r="K4" s="119"/>
      <c r="L4" s="119"/>
      <c r="M4" s="119"/>
      <c r="N4" s="119"/>
      <c r="O4" s="119"/>
      <c r="P4" s="119"/>
      <c r="Q4" s="119"/>
      <c r="S4" s="319" t="s">
        <v>65</v>
      </c>
      <c r="T4" s="320"/>
      <c r="U4" s="11"/>
      <c r="V4" s="319" t="s">
        <v>66</v>
      </c>
      <c r="W4" s="320"/>
    </row>
    <row r="5" spans="1:23">
      <c r="A5" s="119"/>
      <c r="B5" s="337" t="s">
        <v>374</v>
      </c>
      <c r="C5" s="337"/>
      <c r="D5" s="337"/>
      <c r="E5" s="337"/>
      <c r="F5" s="337"/>
      <c r="G5" s="337"/>
      <c r="H5" s="337"/>
      <c r="I5" s="337"/>
      <c r="J5" s="337"/>
      <c r="K5" s="337"/>
      <c r="L5" s="119"/>
      <c r="M5" s="119"/>
      <c r="N5" s="119"/>
      <c r="O5" s="119"/>
      <c r="P5" s="119"/>
      <c r="Q5" s="119"/>
      <c r="S5" s="56" t="s">
        <v>61</v>
      </c>
      <c r="T5" s="56" t="s">
        <v>62</v>
      </c>
      <c r="U5" s="11"/>
      <c r="V5" s="56" t="s">
        <v>61</v>
      </c>
      <c r="W5" s="56" t="s">
        <v>62</v>
      </c>
    </row>
    <row r="6" spans="1:23">
      <c r="A6" s="119"/>
      <c r="B6" s="337" t="s">
        <v>330</v>
      </c>
      <c r="C6" s="337"/>
      <c r="D6" s="337"/>
      <c r="E6" s="337"/>
      <c r="F6" s="337"/>
      <c r="G6" s="337"/>
      <c r="H6" s="337"/>
      <c r="I6" s="337"/>
      <c r="J6" s="337"/>
      <c r="K6" s="337"/>
      <c r="L6" s="119"/>
      <c r="M6" s="119"/>
      <c r="N6" s="119"/>
      <c r="O6" s="119"/>
      <c r="P6" s="119"/>
      <c r="Q6" s="119"/>
      <c r="S6" s="244" t="s">
        <v>392</v>
      </c>
      <c r="T6" s="244" t="s">
        <v>448</v>
      </c>
      <c r="U6" s="11"/>
      <c r="V6" s="244" t="s">
        <v>392</v>
      </c>
      <c r="W6" s="244" t="s">
        <v>448</v>
      </c>
    </row>
    <row r="7" spans="1:23">
      <c r="A7" s="119"/>
      <c r="B7" s="333" t="s">
        <v>519</v>
      </c>
      <c r="C7" s="333"/>
      <c r="D7" s="333"/>
      <c r="E7" s="333"/>
      <c r="F7" s="333"/>
      <c r="G7" s="333"/>
      <c r="H7" s="333"/>
      <c r="I7" s="333"/>
      <c r="J7" s="333"/>
      <c r="K7" s="333"/>
      <c r="L7" s="119"/>
      <c r="M7" s="119"/>
      <c r="N7" s="119"/>
      <c r="O7" s="119"/>
      <c r="P7" s="119"/>
      <c r="Q7" s="119"/>
      <c r="S7" s="244" t="s">
        <v>393</v>
      </c>
      <c r="T7" s="244" t="s">
        <v>449</v>
      </c>
      <c r="U7" s="11"/>
      <c r="V7" s="244" t="s">
        <v>393</v>
      </c>
      <c r="W7" s="244" t="s">
        <v>449</v>
      </c>
    </row>
    <row r="8" spans="1:23">
      <c r="A8" s="119"/>
      <c r="B8" s="333" t="s">
        <v>520</v>
      </c>
      <c r="C8" s="333"/>
      <c r="D8" s="333"/>
      <c r="E8" s="333"/>
      <c r="F8" s="333"/>
      <c r="G8" s="333"/>
      <c r="H8" s="333"/>
      <c r="I8" s="333"/>
      <c r="J8" s="333"/>
      <c r="K8" s="333"/>
      <c r="L8" s="119"/>
      <c r="M8" s="119"/>
      <c r="N8" s="119"/>
      <c r="O8" s="119"/>
      <c r="P8" s="119"/>
      <c r="Q8" s="119"/>
      <c r="S8" s="244" t="s">
        <v>394</v>
      </c>
      <c r="T8" s="244" t="s">
        <v>450</v>
      </c>
      <c r="U8" s="11"/>
      <c r="V8" s="244" t="s">
        <v>394</v>
      </c>
      <c r="W8" s="244" t="s">
        <v>450</v>
      </c>
    </row>
    <row r="9" spans="1:23">
      <c r="A9" s="119"/>
      <c r="B9" s="119"/>
      <c r="C9" s="119"/>
      <c r="D9" s="119"/>
      <c r="E9" s="119"/>
      <c r="F9" s="119"/>
      <c r="G9" s="119"/>
      <c r="H9" s="119"/>
      <c r="I9" s="119"/>
      <c r="J9" s="119"/>
      <c r="K9" s="119"/>
      <c r="L9" s="119"/>
      <c r="M9" s="119"/>
      <c r="N9" s="119"/>
      <c r="O9" s="119"/>
      <c r="P9" s="119"/>
      <c r="Q9" s="119"/>
      <c r="S9" s="244" t="s">
        <v>434</v>
      </c>
      <c r="T9" s="244" t="s">
        <v>451</v>
      </c>
      <c r="U9" s="11"/>
      <c r="V9" s="244" t="s">
        <v>434</v>
      </c>
      <c r="W9" s="244" t="s">
        <v>451</v>
      </c>
    </row>
    <row r="10" spans="1:23" ht="15.75">
      <c r="R10" s="50"/>
      <c r="S10" s="244" t="s">
        <v>435</v>
      </c>
      <c r="T10" s="244" t="s">
        <v>452</v>
      </c>
      <c r="V10" s="244" t="s">
        <v>435</v>
      </c>
      <c r="W10" s="244" t="s">
        <v>452</v>
      </c>
    </row>
    <row r="11" spans="1:23">
      <c r="A11" s="130" t="s">
        <v>2</v>
      </c>
      <c r="B11" s="130" t="s">
        <v>3</v>
      </c>
      <c r="C11" s="299" t="s">
        <v>9</v>
      </c>
      <c r="D11" s="299" t="s">
        <v>10</v>
      </c>
      <c r="E11" s="299" t="s">
        <v>11</v>
      </c>
      <c r="F11" s="299" t="s">
        <v>12</v>
      </c>
      <c r="G11" s="299" t="s">
        <v>13</v>
      </c>
      <c r="H11" s="299" t="s">
        <v>14</v>
      </c>
      <c r="I11" s="299" t="s">
        <v>15</v>
      </c>
      <c r="J11" s="299" t="s">
        <v>16</v>
      </c>
      <c r="K11" s="299" t="s">
        <v>17</v>
      </c>
      <c r="L11" s="130" t="s">
        <v>18</v>
      </c>
      <c r="M11" s="130" t="s">
        <v>19</v>
      </c>
      <c r="N11" s="130" t="s">
        <v>20</v>
      </c>
      <c r="O11" s="130" t="s">
        <v>21</v>
      </c>
      <c r="P11" s="130" t="s">
        <v>4</v>
      </c>
      <c r="Q11" s="299" t="s">
        <v>53</v>
      </c>
      <c r="S11" s="244" t="s">
        <v>436</v>
      </c>
      <c r="T11" s="244" t="s">
        <v>453</v>
      </c>
      <c r="V11" s="244" t="s">
        <v>436</v>
      </c>
      <c r="W11" s="244" t="s">
        <v>453</v>
      </c>
    </row>
    <row r="12" spans="1:23">
      <c r="A12" s="15">
        <v>2010</v>
      </c>
      <c r="B12" s="15" t="s">
        <v>5</v>
      </c>
      <c r="C12" s="300">
        <v>11577.02</v>
      </c>
      <c r="D12" s="300">
        <v>18187.439999999999</v>
      </c>
      <c r="E12" s="300">
        <v>21774.41</v>
      </c>
      <c r="F12" s="300">
        <v>25310</v>
      </c>
      <c r="G12" s="300">
        <v>27098.16</v>
      </c>
      <c r="H12" s="300">
        <v>32756.080000000002</v>
      </c>
      <c r="I12" s="300">
        <v>34355.230000000003</v>
      </c>
      <c r="J12" s="300">
        <v>35467.620000000003</v>
      </c>
      <c r="K12" s="300">
        <v>32404.69</v>
      </c>
      <c r="L12" s="228">
        <v>32011.85</v>
      </c>
      <c r="M12" s="228">
        <v>33233.07</v>
      </c>
      <c r="N12" s="228">
        <v>40041.760000000002</v>
      </c>
      <c r="O12" s="228">
        <v>52178.93</v>
      </c>
      <c r="P12" s="228">
        <v>67013.820000000007</v>
      </c>
      <c r="Q12" s="300">
        <v>29339.88</v>
      </c>
      <c r="S12" s="244" t="s">
        <v>437</v>
      </c>
      <c r="T12" s="245" t="s">
        <v>454</v>
      </c>
      <c r="V12" s="244" t="s">
        <v>437</v>
      </c>
      <c r="W12" s="245" t="s">
        <v>454</v>
      </c>
    </row>
    <row r="13" spans="1:23">
      <c r="A13" s="8">
        <v>2010</v>
      </c>
      <c r="B13" s="8" t="s">
        <v>6</v>
      </c>
      <c r="C13" s="301">
        <v>21347.63</v>
      </c>
      <c r="D13" s="301">
        <v>28268.79</v>
      </c>
      <c r="E13" s="301">
        <v>33592.68</v>
      </c>
      <c r="F13" s="301">
        <v>40574.32</v>
      </c>
      <c r="G13" s="301">
        <v>48339.93</v>
      </c>
      <c r="H13" s="301">
        <v>57058.05</v>
      </c>
      <c r="I13" s="301">
        <v>57715.91</v>
      </c>
      <c r="J13" s="301">
        <v>58811.27</v>
      </c>
      <c r="K13" s="301">
        <v>58108.63</v>
      </c>
      <c r="L13" s="229">
        <v>59382.77</v>
      </c>
      <c r="M13" s="229">
        <v>58687.24</v>
      </c>
      <c r="N13" s="229">
        <v>65231.040000000001</v>
      </c>
      <c r="O13" s="229">
        <v>78158.210000000006</v>
      </c>
      <c r="P13" s="229">
        <v>104351.95</v>
      </c>
      <c r="Q13" s="301">
        <v>51523.21</v>
      </c>
      <c r="S13" s="244" t="s">
        <v>438</v>
      </c>
      <c r="T13" s="244" t="s">
        <v>455</v>
      </c>
      <c r="V13" s="244" t="s">
        <v>438</v>
      </c>
      <c r="W13" s="244" t="s">
        <v>455</v>
      </c>
    </row>
    <row r="14" spans="1:23">
      <c r="A14" s="14">
        <v>2010</v>
      </c>
      <c r="B14" s="14" t="s">
        <v>42</v>
      </c>
      <c r="C14" s="302">
        <v>16353.21</v>
      </c>
      <c r="D14" s="302">
        <v>23109.88</v>
      </c>
      <c r="E14" s="302">
        <v>27541.58</v>
      </c>
      <c r="F14" s="302">
        <v>32800.370000000003</v>
      </c>
      <c r="G14" s="302">
        <v>37505.69</v>
      </c>
      <c r="H14" s="302">
        <v>44711.35</v>
      </c>
      <c r="I14" s="302">
        <v>45914.59</v>
      </c>
      <c r="J14" s="302">
        <v>47134.559999999998</v>
      </c>
      <c r="K14" s="302">
        <v>45180.89</v>
      </c>
      <c r="L14" s="230">
        <v>45733.23</v>
      </c>
      <c r="M14" s="230">
        <v>46505.31</v>
      </c>
      <c r="N14" s="230">
        <v>54010.62</v>
      </c>
      <c r="O14" s="230">
        <v>67424.710000000006</v>
      </c>
      <c r="P14" s="230">
        <v>91833.05</v>
      </c>
      <c r="Q14" s="302">
        <v>40566.160000000003</v>
      </c>
      <c r="S14" s="245" t="s">
        <v>439</v>
      </c>
      <c r="T14" s="244" t="s">
        <v>456</v>
      </c>
      <c r="V14" s="244" t="s">
        <v>439</v>
      </c>
      <c r="W14" s="244" t="s">
        <v>456</v>
      </c>
    </row>
    <row r="15" spans="1:23">
      <c r="A15" s="15">
        <v>2011</v>
      </c>
      <c r="B15" s="15" t="s">
        <v>5</v>
      </c>
      <c r="C15" s="300">
        <v>12658.31</v>
      </c>
      <c r="D15" s="300">
        <v>18705.95</v>
      </c>
      <c r="E15" s="300">
        <v>23532.84</v>
      </c>
      <c r="F15" s="300">
        <v>26410.27</v>
      </c>
      <c r="G15" s="300">
        <v>28860.47</v>
      </c>
      <c r="H15" s="300">
        <v>33767.58</v>
      </c>
      <c r="I15" s="300">
        <v>35492.93</v>
      </c>
      <c r="J15" s="300">
        <v>37961.72</v>
      </c>
      <c r="K15" s="300">
        <v>33910.83</v>
      </c>
      <c r="L15" s="228">
        <v>33751.68</v>
      </c>
      <c r="M15" s="228">
        <v>34289.56</v>
      </c>
      <c r="N15" s="228">
        <v>42142.53</v>
      </c>
      <c r="O15" s="228">
        <v>51494.66</v>
      </c>
      <c r="P15" s="228">
        <v>67467.570000000007</v>
      </c>
      <c r="Q15" s="300">
        <v>30626.57</v>
      </c>
      <c r="S15" s="244" t="s">
        <v>440</v>
      </c>
      <c r="T15" s="244" t="s">
        <v>457</v>
      </c>
      <c r="V15" s="244" t="s">
        <v>440</v>
      </c>
      <c r="W15" s="244" t="s">
        <v>457</v>
      </c>
    </row>
    <row r="16" spans="1:23">
      <c r="A16" s="8">
        <v>2011</v>
      </c>
      <c r="B16" s="8" t="s">
        <v>6</v>
      </c>
      <c r="C16" s="301">
        <v>23637.09</v>
      </c>
      <c r="D16" s="301">
        <v>30842.7</v>
      </c>
      <c r="E16" s="301">
        <v>35847.57</v>
      </c>
      <c r="F16" s="301">
        <v>42068.18</v>
      </c>
      <c r="G16" s="301">
        <v>50151.59</v>
      </c>
      <c r="H16" s="301">
        <v>58677.01</v>
      </c>
      <c r="I16" s="301">
        <v>60699.7</v>
      </c>
      <c r="J16" s="301">
        <v>60398.62</v>
      </c>
      <c r="K16" s="301">
        <v>61082.12</v>
      </c>
      <c r="L16" s="229">
        <v>59977.67</v>
      </c>
      <c r="M16" s="229">
        <v>60951.31</v>
      </c>
      <c r="N16" s="229">
        <v>67178.41</v>
      </c>
      <c r="O16" s="229">
        <v>80726.48</v>
      </c>
      <c r="P16" s="229">
        <v>107464.58</v>
      </c>
      <c r="Q16" s="301">
        <v>53556.28</v>
      </c>
      <c r="S16" s="244" t="s">
        <v>441</v>
      </c>
      <c r="T16" s="244" t="s">
        <v>458</v>
      </c>
      <c r="V16" s="244" t="s">
        <v>441</v>
      </c>
      <c r="W16" s="244" t="s">
        <v>458</v>
      </c>
    </row>
    <row r="17" spans="1:24">
      <c r="A17" s="14">
        <v>2011</v>
      </c>
      <c r="B17" s="14" t="s">
        <v>42</v>
      </c>
      <c r="C17" s="302">
        <v>18040.03</v>
      </c>
      <c r="D17" s="302">
        <v>24609.64</v>
      </c>
      <c r="E17" s="302">
        <v>29550.77</v>
      </c>
      <c r="F17" s="302">
        <v>34073.21</v>
      </c>
      <c r="G17" s="302">
        <v>39339.47</v>
      </c>
      <c r="H17" s="302">
        <v>45983.49</v>
      </c>
      <c r="I17" s="302">
        <v>47964.08</v>
      </c>
      <c r="J17" s="302">
        <v>49190.080000000002</v>
      </c>
      <c r="K17" s="302">
        <v>47452.79</v>
      </c>
      <c r="L17" s="230">
        <v>46862.43</v>
      </c>
      <c r="M17" s="230">
        <v>48164.12</v>
      </c>
      <c r="N17" s="230">
        <v>55935.31</v>
      </c>
      <c r="O17" s="230">
        <v>68552.55</v>
      </c>
      <c r="P17" s="230">
        <v>94010.240000000005</v>
      </c>
      <c r="Q17" s="302">
        <v>42221.56</v>
      </c>
      <c r="S17" s="244" t="s">
        <v>442</v>
      </c>
      <c r="T17" s="244" t="s">
        <v>459</v>
      </c>
      <c r="V17" s="244" t="s">
        <v>442</v>
      </c>
      <c r="W17" s="244" t="s">
        <v>459</v>
      </c>
    </row>
    <row r="18" spans="1:24">
      <c r="A18" s="15">
        <v>2012</v>
      </c>
      <c r="B18" s="15" t="s">
        <v>5</v>
      </c>
      <c r="C18" s="300">
        <v>13441.64</v>
      </c>
      <c r="D18" s="300">
        <v>19184.86</v>
      </c>
      <c r="E18" s="300">
        <v>24428.560000000001</v>
      </c>
      <c r="F18" s="300">
        <v>27235.66</v>
      </c>
      <c r="G18" s="300">
        <v>30041.96</v>
      </c>
      <c r="H18" s="300">
        <v>33318.07</v>
      </c>
      <c r="I18" s="300">
        <v>37115.089999999997</v>
      </c>
      <c r="J18" s="300">
        <v>37222.82</v>
      </c>
      <c r="K18" s="300">
        <v>36070.21</v>
      </c>
      <c r="L18" s="228">
        <v>33522.57</v>
      </c>
      <c r="M18" s="228">
        <v>36362.67</v>
      </c>
      <c r="N18" s="228">
        <v>41008.01</v>
      </c>
      <c r="O18" s="228">
        <v>51676.54</v>
      </c>
      <c r="P18" s="228">
        <v>64944.46</v>
      </c>
      <c r="Q18" s="300">
        <v>31183.86</v>
      </c>
      <c r="S18" s="244" t="s">
        <v>443</v>
      </c>
      <c r="T18" s="244" t="s">
        <v>460</v>
      </c>
      <c r="V18" s="244" t="s">
        <v>443</v>
      </c>
      <c r="W18" s="244" t="s">
        <v>460</v>
      </c>
    </row>
    <row r="19" spans="1:24">
      <c r="A19" s="8">
        <v>2012</v>
      </c>
      <c r="B19" s="8" t="s">
        <v>6</v>
      </c>
      <c r="C19" s="301">
        <v>24670.94</v>
      </c>
      <c r="D19" s="301">
        <v>33563.9</v>
      </c>
      <c r="E19" s="301">
        <v>38674.31</v>
      </c>
      <c r="F19" s="301">
        <v>44252.37</v>
      </c>
      <c r="G19" s="301">
        <v>52775.34</v>
      </c>
      <c r="H19" s="301">
        <v>60018.38</v>
      </c>
      <c r="I19" s="301">
        <v>63017.2</v>
      </c>
      <c r="J19" s="301">
        <v>62747.99</v>
      </c>
      <c r="K19" s="301">
        <v>62028.7</v>
      </c>
      <c r="L19" s="229">
        <v>60554.77</v>
      </c>
      <c r="M19" s="229">
        <v>63307.11</v>
      </c>
      <c r="N19" s="229">
        <v>67355.81</v>
      </c>
      <c r="O19" s="229">
        <v>82835.16</v>
      </c>
      <c r="P19" s="229">
        <v>104214.61</v>
      </c>
      <c r="Q19" s="301">
        <v>55099.62</v>
      </c>
      <c r="S19" s="244" t="s">
        <v>444</v>
      </c>
      <c r="T19" s="245" t="s">
        <v>461</v>
      </c>
      <c r="V19" s="244" t="s">
        <v>444</v>
      </c>
      <c r="W19" s="245" t="s">
        <v>461</v>
      </c>
    </row>
    <row r="20" spans="1:24">
      <c r="A20" s="14">
        <v>2012</v>
      </c>
      <c r="B20" s="14" t="s">
        <v>42</v>
      </c>
      <c r="C20" s="302">
        <v>18948.98</v>
      </c>
      <c r="D20" s="302">
        <v>26184.15</v>
      </c>
      <c r="E20" s="302">
        <v>31384.77</v>
      </c>
      <c r="F20" s="302">
        <v>35581.03</v>
      </c>
      <c r="G20" s="302">
        <v>41242.25</v>
      </c>
      <c r="H20" s="302">
        <v>46416.41</v>
      </c>
      <c r="I20" s="302">
        <v>49929.83</v>
      </c>
      <c r="J20" s="302">
        <v>49941.57</v>
      </c>
      <c r="K20" s="302">
        <v>49052.5</v>
      </c>
      <c r="L20" s="230">
        <v>47057.9</v>
      </c>
      <c r="M20" s="230">
        <v>50286.98</v>
      </c>
      <c r="N20" s="230">
        <v>55428.93</v>
      </c>
      <c r="O20" s="230">
        <v>69811.31</v>
      </c>
      <c r="P20" s="230">
        <v>90834.9</v>
      </c>
      <c r="Q20" s="302">
        <v>43268.53</v>
      </c>
      <c r="S20" s="244" t="s">
        <v>445</v>
      </c>
      <c r="T20" s="244" t="s">
        <v>462</v>
      </c>
      <c r="U20" s="6"/>
      <c r="V20" s="244" t="s">
        <v>445</v>
      </c>
      <c r="W20" s="244" t="s">
        <v>462</v>
      </c>
      <c r="X20" s="6"/>
    </row>
    <row r="21" spans="1:24">
      <c r="A21" s="15">
        <v>2013</v>
      </c>
      <c r="B21" s="15" t="s">
        <v>5</v>
      </c>
      <c r="C21" s="300">
        <v>13483.54</v>
      </c>
      <c r="D21" s="300">
        <v>19974.98</v>
      </c>
      <c r="E21" s="300">
        <v>25314.87</v>
      </c>
      <c r="F21" s="300">
        <v>28195.39</v>
      </c>
      <c r="G21" s="300">
        <v>32162.16</v>
      </c>
      <c r="H21" s="300">
        <v>33496</v>
      </c>
      <c r="I21" s="300">
        <v>38934.19</v>
      </c>
      <c r="J21" s="300">
        <v>38014.28</v>
      </c>
      <c r="K21" s="300">
        <v>37805.019999999997</v>
      </c>
      <c r="L21" s="228">
        <v>34232.57</v>
      </c>
      <c r="M21" s="228">
        <v>36350.769999999997</v>
      </c>
      <c r="N21" s="228">
        <v>42705.14</v>
      </c>
      <c r="O21" s="228">
        <v>51032.53</v>
      </c>
      <c r="P21" s="228">
        <v>66357.75</v>
      </c>
      <c r="Q21" s="300">
        <v>32086.2</v>
      </c>
      <c r="S21" s="246" t="s">
        <v>446</v>
      </c>
      <c r="T21" s="244" t="s">
        <v>463</v>
      </c>
      <c r="U21" s="6"/>
      <c r="V21" s="246" t="s">
        <v>446</v>
      </c>
      <c r="W21" s="244" t="s">
        <v>463</v>
      </c>
      <c r="X21" s="6"/>
    </row>
    <row r="22" spans="1:24">
      <c r="A22" s="8">
        <v>2013</v>
      </c>
      <c r="B22" s="8" t="s">
        <v>6</v>
      </c>
      <c r="C22" s="301">
        <v>25691.68</v>
      </c>
      <c r="D22" s="301">
        <v>36815.919999999998</v>
      </c>
      <c r="E22" s="301">
        <v>41440.910000000003</v>
      </c>
      <c r="F22" s="301">
        <v>47927.45</v>
      </c>
      <c r="G22" s="301">
        <v>55893.67</v>
      </c>
      <c r="H22" s="301">
        <v>59821.74</v>
      </c>
      <c r="I22" s="301">
        <v>65990.63</v>
      </c>
      <c r="J22" s="301">
        <v>63838</v>
      </c>
      <c r="K22" s="301">
        <v>64416.05</v>
      </c>
      <c r="L22" s="229">
        <v>61556.31</v>
      </c>
      <c r="M22" s="229">
        <v>64628.69</v>
      </c>
      <c r="N22" s="229">
        <v>70956.160000000003</v>
      </c>
      <c r="O22" s="229">
        <v>81143.56</v>
      </c>
      <c r="P22" s="229">
        <v>105225.92</v>
      </c>
      <c r="Q22" s="301">
        <v>56960.639999999999</v>
      </c>
      <c r="S22" s="247" t="s">
        <v>447</v>
      </c>
      <c r="T22" s="244" t="s">
        <v>464</v>
      </c>
      <c r="U22" s="6"/>
      <c r="V22" s="247" t="s">
        <v>447</v>
      </c>
      <c r="W22" s="244" t="s">
        <v>464</v>
      </c>
      <c r="X22" s="6"/>
    </row>
    <row r="23" spans="1:24">
      <c r="A23" s="14">
        <v>2013</v>
      </c>
      <c r="B23" s="14" t="s">
        <v>42</v>
      </c>
      <c r="C23" s="302">
        <v>19455.2</v>
      </c>
      <c r="D23" s="302">
        <v>28206.73</v>
      </c>
      <c r="E23" s="302">
        <v>33203.919999999998</v>
      </c>
      <c r="F23" s="302">
        <v>37845.800000000003</v>
      </c>
      <c r="G23" s="302">
        <v>43890.38</v>
      </c>
      <c r="H23" s="302">
        <v>46441.7</v>
      </c>
      <c r="I23" s="302">
        <v>52265.34</v>
      </c>
      <c r="J23" s="302">
        <v>50903.45</v>
      </c>
      <c r="K23" s="302">
        <v>51126.44</v>
      </c>
      <c r="L23" s="230">
        <v>47926.7</v>
      </c>
      <c r="M23" s="230">
        <v>50885.29</v>
      </c>
      <c r="N23" s="230">
        <v>58062.67</v>
      </c>
      <c r="O23" s="230">
        <v>68571.31</v>
      </c>
      <c r="P23" s="230">
        <v>91868.27</v>
      </c>
      <c r="Q23" s="302">
        <v>44650.46</v>
      </c>
      <c r="S23" s="295"/>
      <c r="T23" s="244" t="s">
        <v>465</v>
      </c>
      <c r="U23" s="6"/>
      <c r="V23" s="284"/>
      <c r="W23" s="244" t="s">
        <v>465</v>
      </c>
      <c r="X23" s="6"/>
    </row>
    <row r="24" spans="1:24">
      <c r="A24" s="15">
        <v>2014</v>
      </c>
      <c r="B24" s="15" t="s">
        <v>5</v>
      </c>
      <c r="C24" s="300">
        <v>14116.95</v>
      </c>
      <c r="D24" s="300">
        <v>20931.169999999998</v>
      </c>
      <c r="E24" s="300">
        <v>26490.05</v>
      </c>
      <c r="F24" s="300">
        <v>29913.119999999999</v>
      </c>
      <c r="G24" s="300">
        <v>33116.589999999997</v>
      </c>
      <c r="H24" s="300">
        <v>33981.81</v>
      </c>
      <c r="I24" s="300">
        <v>40512.379999999997</v>
      </c>
      <c r="J24" s="300">
        <v>40120.239999999998</v>
      </c>
      <c r="K24" s="300">
        <v>39171.050000000003</v>
      </c>
      <c r="L24" s="228">
        <v>35529.78</v>
      </c>
      <c r="M24" s="228">
        <v>37525.64</v>
      </c>
      <c r="N24" s="228">
        <v>43268.36</v>
      </c>
      <c r="O24" s="228">
        <v>51741.69</v>
      </c>
      <c r="P24" s="228">
        <v>66396.55</v>
      </c>
      <c r="Q24" s="300">
        <v>33212.26</v>
      </c>
      <c r="S24" s="204"/>
      <c r="T24" s="248" t="s">
        <v>466</v>
      </c>
      <c r="U24" s="6"/>
      <c r="V24" s="257"/>
      <c r="W24" s="258" t="s">
        <v>466</v>
      </c>
      <c r="X24" s="6"/>
    </row>
    <row r="25" spans="1:24">
      <c r="A25" s="8">
        <v>2014</v>
      </c>
      <c r="B25" s="8" t="s">
        <v>6</v>
      </c>
      <c r="C25" s="301">
        <v>27094.45</v>
      </c>
      <c r="D25" s="301">
        <v>38063.94</v>
      </c>
      <c r="E25" s="301">
        <v>43708.2</v>
      </c>
      <c r="F25" s="301">
        <v>52054.8</v>
      </c>
      <c r="G25" s="301">
        <v>58767.07</v>
      </c>
      <c r="H25" s="301">
        <v>61813.25</v>
      </c>
      <c r="I25" s="301">
        <v>68675.509999999995</v>
      </c>
      <c r="J25" s="301">
        <v>68517.350000000006</v>
      </c>
      <c r="K25" s="301">
        <v>65463.9</v>
      </c>
      <c r="L25" s="229">
        <v>61054.78</v>
      </c>
      <c r="M25" s="229">
        <v>66017.36</v>
      </c>
      <c r="N25" s="229">
        <v>71377.149999999994</v>
      </c>
      <c r="O25" s="229">
        <v>82703.8</v>
      </c>
      <c r="P25" s="229">
        <v>104350.28</v>
      </c>
      <c r="Q25" s="301">
        <v>58787.73</v>
      </c>
      <c r="S25" s="250"/>
      <c r="T25" s="251"/>
      <c r="U25" s="6"/>
      <c r="V25" s="250"/>
      <c r="W25" s="251"/>
      <c r="X25" s="6"/>
    </row>
    <row r="26" spans="1:24">
      <c r="A26" s="14">
        <v>2014</v>
      </c>
      <c r="B26" s="14" t="s">
        <v>42</v>
      </c>
      <c r="C26" s="302">
        <v>20485.91</v>
      </c>
      <c r="D26" s="302">
        <v>29322.26</v>
      </c>
      <c r="E26" s="302">
        <v>34890.160000000003</v>
      </c>
      <c r="F26" s="302">
        <v>40742.6</v>
      </c>
      <c r="G26" s="302">
        <v>45780.61</v>
      </c>
      <c r="H26" s="302">
        <v>47702.19</v>
      </c>
      <c r="I26" s="302">
        <v>54382.41</v>
      </c>
      <c r="J26" s="302">
        <v>54258.99</v>
      </c>
      <c r="K26" s="302">
        <v>52349.02</v>
      </c>
      <c r="L26" s="230">
        <v>48351.15</v>
      </c>
      <c r="M26" s="230">
        <v>52100.99</v>
      </c>
      <c r="N26" s="230">
        <v>58400.46</v>
      </c>
      <c r="O26" s="230">
        <v>69699.7</v>
      </c>
      <c r="P26" s="230">
        <v>91252.23</v>
      </c>
      <c r="Q26" s="302">
        <v>46123.46</v>
      </c>
      <c r="S26" s="249"/>
      <c r="T26" s="251"/>
      <c r="U26" s="6"/>
      <c r="V26" s="249"/>
      <c r="W26" s="251"/>
      <c r="X26" s="6"/>
    </row>
    <row r="27" spans="1:24">
      <c r="A27" s="15">
        <v>2015</v>
      </c>
      <c r="B27" s="15" t="s">
        <v>5</v>
      </c>
      <c r="C27" s="300">
        <v>15082.28</v>
      </c>
      <c r="D27" s="300">
        <v>21776.85</v>
      </c>
      <c r="E27" s="300">
        <v>28172.04</v>
      </c>
      <c r="F27" s="300">
        <v>32277.35</v>
      </c>
      <c r="G27" s="300">
        <v>34415.21</v>
      </c>
      <c r="H27" s="300">
        <v>35439.51</v>
      </c>
      <c r="I27" s="300">
        <v>41620.910000000003</v>
      </c>
      <c r="J27" s="300">
        <v>41749.980000000003</v>
      </c>
      <c r="K27" s="300">
        <v>40900.18</v>
      </c>
      <c r="L27" s="228">
        <v>36667.050000000003</v>
      </c>
      <c r="M27" s="228">
        <v>39100.53</v>
      </c>
      <c r="N27" s="228">
        <v>42343.92</v>
      </c>
      <c r="O27" s="228">
        <v>52449.88</v>
      </c>
      <c r="P27" s="228">
        <v>67887.460000000006</v>
      </c>
      <c r="Q27" s="300">
        <v>34519.18</v>
      </c>
      <c r="S27" s="6"/>
      <c r="T27" s="6"/>
      <c r="U27" s="6"/>
      <c r="V27" s="6"/>
      <c r="W27" s="6"/>
      <c r="X27" s="6"/>
    </row>
    <row r="28" spans="1:24">
      <c r="A28" s="8">
        <v>2015</v>
      </c>
      <c r="B28" s="8" t="s">
        <v>6</v>
      </c>
      <c r="C28" s="301">
        <v>28182.87</v>
      </c>
      <c r="D28" s="301">
        <v>40241.699999999997</v>
      </c>
      <c r="E28" s="301">
        <v>47361.17</v>
      </c>
      <c r="F28" s="301">
        <v>54522.44</v>
      </c>
      <c r="G28" s="301">
        <v>62435.519999999997</v>
      </c>
      <c r="H28" s="301">
        <v>64512.7</v>
      </c>
      <c r="I28" s="301">
        <v>71193.149999999994</v>
      </c>
      <c r="J28" s="301">
        <v>71113.8</v>
      </c>
      <c r="K28" s="301">
        <v>68873.42</v>
      </c>
      <c r="L28" s="229">
        <v>62296.63</v>
      </c>
      <c r="M28" s="229">
        <v>69466.83</v>
      </c>
      <c r="N28" s="229">
        <v>71515.179999999993</v>
      </c>
      <c r="O28" s="229">
        <v>82831.19</v>
      </c>
      <c r="P28" s="229">
        <v>104899.58</v>
      </c>
      <c r="Q28" s="301">
        <v>61081.56</v>
      </c>
      <c r="S28" s="6"/>
      <c r="T28" s="6"/>
      <c r="U28" s="6"/>
      <c r="V28" s="6"/>
      <c r="W28" s="6"/>
      <c r="X28" s="6"/>
    </row>
    <row r="29" spans="1:24">
      <c r="A29" s="14">
        <v>2015</v>
      </c>
      <c r="B29" s="14" t="s">
        <v>42</v>
      </c>
      <c r="C29" s="302">
        <v>21501.09</v>
      </c>
      <c r="D29" s="302">
        <v>30817.56</v>
      </c>
      <c r="E29" s="302">
        <v>37526.300000000003</v>
      </c>
      <c r="F29" s="302">
        <v>43156.36</v>
      </c>
      <c r="G29" s="302">
        <v>48220.82</v>
      </c>
      <c r="H29" s="302">
        <v>49748.84</v>
      </c>
      <c r="I29" s="302">
        <v>56203.69</v>
      </c>
      <c r="J29" s="302">
        <v>56342.64</v>
      </c>
      <c r="K29" s="302">
        <v>54963.99</v>
      </c>
      <c r="L29" s="230">
        <v>49530.89</v>
      </c>
      <c r="M29" s="230">
        <v>54583.12</v>
      </c>
      <c r="N29" s="230">
        <v>57925.62</v>
      </c>
      <c r="O29" s="230">
        <v>70018.899999999994</v>
      </c>
      <c r="P29" s="230">
        <v>92093.13</v>
      </c>
      <c r="Q29" s="302">
        <v>47913.47</v>
      </c>
    </row>
    <row r="30" spans="1:24">
      <c r="A30" s="15">
        <v>2016</v>
      </c>
      <c r="B30" s="15" t="s">
        <v>5</v>
      </c>
      <c r="C30" s="300">
        <v>15968.48</v>
      </c>
      <c r="D30" s="300">
        <v>23331.27</v>
      </c>
      <c r="E30" s="300">
        <v>27814.95</v>
      </c>
      <c r="F30" s="300">
        <v>32976.04</v>
      </c>
      <c r="G30" s="300">
        <v>34497.480000000003</v>
      </c>
      <c r="H30" s="300">
        <v>36808.49</v>
      </c>
      <c r="I30" s="300">
        <v>41170.82</v>
      </c>
      <c r="J30" s="300">
        <v>43203.199999999997</v>
      </c>
      <c r="K30" s="300">
        <v>42470.38</v>
      </c>
      <c r="L30" s="228">
        <v>37519.129999999997</v>
      </c>
      <c r="M30" s="228">
        <v>39810.1</v>
      </c>
      <c r="N30" s="228">
        <v>43469.52</v>
      </c>
      <c r="O30" s="228">
        <v>53226.82</v>
      </c>
      <c r="P30" s="228">
        <v>66389.55</v>
      </c>
      <c r="Q30" s="300">
        <v>35278.9</v>
      </c>
    </row>
    <row r="31" spans="1:24">
      <c r="A31" s="8">
        <v>2016</v>
      </c>
      <c r="B31" s="8" t="s">
        <v>6</v>
      </c>
      <c r="C31" s="301">
        <v>30087.05</v>
      </c>
      <c r="D31" s="301">
        <v>42164.81</v>
      </c>
      <c r="E31" s="301">
        <v>50185.27</v>
      </c>
      <c r="F31" s="301">
        <v>56551.16</v>
      </c>
      <c r="G31" s="301">
        <v>63240.58</v>
      </c>
      <c r="H31" s="301">
        <v>65480.33</v>
      </c>
      <c r="I31" s="301">
        <v>71878.41</v>
      </c>
      <c r="J31" s="301">
        <v>71223.850000000006</v>
      </c>
      <c r="K31" s="301">
        <v>70769.69</v>
      </c>
      <c r="L31" s="229">
        <v>62399.92</v>
      </c>
      <c r="M31" s="229">
        <v>68008.42</v>
      </c>
      <c r="N31" s="229">
        <v>74390.98</v>
      </c>
      <c r="O31" s="229">
        <v>81816.77</v>
      </c>
      <c r="P31" s="229">
        <v>104933.11</v>
      </c>
      <c r="Q31" s="301">
        <v>62214.93</v>
      </c>
    </row>
    <row r="32" spans="1:24">
      <c r="A32" s="14">
        <v>2016</v>
      </c>
      <c r="B32" s="14" t="s">
        <v>42</v>
      </c>
      <c r="C32" s="302">
        <v>22861.29</v>
      </c>
      <c r="D32" s="302">
        <v>32569.84</v>
      </c>
      <c r="E32" s="302">
        <v>38673.599999999999</v>
      </c>
      <c r="F32" s="302">
        <v>44515.6</v>
      </c>
      <c r="G32" s="302">
        <v>48605.37</v>
      </c>
      <c r="H32" s="302">
        <v>50963.35</v>
      </c>
      <c r="I32" s="302">
        <v>56271.31</v>
      </c>
      <c r="J32" s="302">
        <v>57107.040000000001</v>
      </c>
      <c r="K32" s="302">
        <v>56715.08</v>
      </c>
      <c r="L32" s="230">
        <v>50035.45</v>
      </c>
      <c r="M32" s="230">
        <v>54142.03</v>
      </c>
      <c r="N32" s="230">
        <v>59932.06</v>
      </c>
      <c r="O32" s="230">
        <v>69610.06</v>
      </c>
      <c r="P32" s="230">
        <v>91467.09</v>
      </c>
      <c r="Q32" s="302">
        <v>48842.16</v>
      </c>
    </row>
    <row r="33" spans="1:17">
      <c r="A33" s="12">
        <v>2017</v>
      </c>
      <c r="B33" s="15" t="s">
        <v>5</v>
      </c>
      <c r="C33" s="12"/>
      <c r="D33" s="23"/>
      <c r="E33" s="23"/>
      <c r="F33" s="23"/>
      <c r="G33" s="23"/>
      <c r="H33" s="23"/>
      <c r="I33" s="23"/>
      <c r="J33" s="23"/>
      <c r="K33" s="23"/>
      <c r="L33" s="23"/>
      <c r="M33" s="23"/>
      <c r="N33" s="23"/>
      <c r="O33" s="23"/>
      <c r="P33" s="23"/>
      <c r="Q33" s="23"/>
    </row>
    <row r="34" spans="1:17">
      <c r="A34" s="37">
        <v>2017</v>
      </c>
      <c r="B34" s="8" t="s">
        <v>6</v>
      </c>
      <c r="C34" s="9"/>
      <c r="D34" s="36"/>
      <c r="E34" s="36"/>
      <c r="F34" s="36"/>
      <c r="G34" s="36"/>
      <c r="H34" s="36"/>
      <c r="I34" s="36"/>
      <c r="J34" s="36"/>
      <c r="K34" s="36"/>
      <c r="L34" s="36"/>
      <c r="M34" s="36"/>
      <c r="N34" s="36"/>
      <c r="O34" s="36"/>
      <c r="P34" s="36"/>
      <c r="Q34" s="36"/>
    </row>
    <row r="35" spans="1:17">
      <c r="A35" s="39">
        <v>2017</v>
      </c>
      <c r="B35" s="14" t="s">
        <v>42</v>
      </c>
      <c r="C35" s="13"/>
      <c r="D35" s="24"/>
      <c r="E35" s="24"/>
      <c r="F35" s="24"/>
      <c r="G35" s="24"/>
      <c r="H35" s="24"/>
      <c r="I35" s="24"/>
      <c r="J35" s="24"/>
      <c r="K35" s="24"/>
      <c r="L35" s="24"/>
      <c r="M35" s="24"/>
      <c r="N35" s="24"/>
      <c r="O35" s="24"/>
      <c r="P35" s="24"/>
      <c r="Q35" s="24"/>
    </row>
    <row r="36" spans="1:17">
      <c r="A36" s="40">
        <v>2018</v>
      </c>
      <c r="B36" s="15" t="s">
        <v>5</v>
      </c>
      <c r="C36" s="12"/>
      <c r="D36" s="23"/>
      <c r="E36" s="23"/>
      <c r="F36" s="23"/>
      <c r="G36" s="23"/>
      <c r="H36" s="23"/>
      <c r="I36" s="23"/>
      <c r="J36" s="23"/>
      <c r="K36" s="23"/>
      <c r="L36" s="23"/>
      <c r="M36" s="23"/>
      <c r="N36" s="23"/>
      <c r="O36" s="23"/>
      <c r="P36" s="23"/>
      <c r="Q36" s="23"/>
    </row>
    <row r="37" spans="1:17">
      <c r="A37" s="37">
        <v>2018</v>
      </c>
      <c r="B37" s="8" t="s">
        <v>6</v>
      </c>
      <c r="C37" s="9"/>
      <c r="D37" s="36"/>
      <c r="E37" s="36"/>
      <c r="F37" s="36"/>
      <c r="G37" s="36"/>
      <c r="H37" s="36"/>
      <c r="I37" s="36"/>
      <c r="J37" s="36"/>
      <c r="K37" s="36"/>
      <c r="L37" s="36"/>
      <c r="M37" s="36"/>
      <c r="N37" s="36"/>
      <c r="O37" s="36"/>
      <c r="P37" s="36"/>
      <c r="Q37" s="36"/>
    </row>
    <row r="38" spans="1:17">
      <c r="A38" s="39">
        <v>2018</v>
      </c>
      <c r="B38" s="14" t="s">
        <v>42</v>
      </c>
      <c r="C38" s="13"/>
      <c r="D38" s="38"/>
      <c r="E38" s="38"/>
      <c r="F38" s="38"/>
      <c r="G38" s="38"/>
      <c r="H38" s="38"/>
      <c r="I38" s="38"/>
      <c r="J38" s="38"/>
      <c r="K38" s="38"/>
      <c r="L38" s="38"/>
      <c r="M38" s="38"/>
      <c r="N38" s="38"/>
      <c r="O38" s="38"/>
      <c r="P38" s="38"/>
      <c r="Q38" s="38"/>
    </row>
    <row r="39" spans="1:17">
      <c r="A39" s="40">
        <v>2019</v>
      </c>
      <c r="B39" s="15" t="s">
        <v>5</v>
      </c>
      <c r="C39" s="12"/>
      <c r="D39" s="41"/>
      <c r="E39" s="41"/>
      <c r="F39" s="41"/>
      <c r="G39" s="41"/>
      <c r="H39" s="41"/>
      <c r="I39" s="41"/>
      <c r="J39" s="41"/>
      <c r="K39" s="41"/>
      <c r="L39" s="41"/>
      <c r="M39" s="41"/>
      <c r="N39" s="41"/>
      <c r="O39" s="41"/>
      <c r="P39" s="41"/>
      <c r="Q39" s="41"/>
    </row>
    <row r="40" spans="1:17">
      <c r="A40" s="37">
        <v>2019</v>
      </c>
      <c r="B40" s="8" t="s">
        <v>6</v>
      </c>
      <c r="C40" s="9"/>
      <c r="D40" s="36"/>
      <c r="E40" s="36"/>
      <c r="F40" s="36"/>
      <c r="G40" s="36"/>
      <c r="H40" s="36"/>
      <c r="I40" s="36"/>
      <c r="J40" s="36"/>
      <c r="K40" s="36"/>
      <c r="L40" s="36"/>
      <c r="M40" s="36"/>
      <c r="N40" s="36"/>
      <c r="O40" s="36"/>
      <c r="P40" s="36"/>
      <c r="Q40" s="36"/>
    </row>
    <row r="41" spans="1:17">
      <c r="A41" s="39">
        <v>2019</v>
      </c>
      <c r="B41" s="14" t="s">
        <v>42</v>
      </c>
      <c r="C41" s="13"/>
      <c r="D41" s="38"/>
      <c r="E41" s="38"/>
      <c r="F41" s="38"/>
      <c r="G41" s="38"/>
      <c r="H41" s="38"/>
      <c r="I41" s="38"/>
      <c r="J41" s="38"/>
      <c r="K41" s="38"/>
      <c r="L41" s="38"/>
      <c r="M41" s="38"/>
      <c r="N41" s="38"/>
      <c r="O41" s="38"/>
      <c r="P41" s="38"/>
      <c r="Q41" s="38"/>
    </row>
    <row r="42" spans="1:17">
      <c r="A42" s="40">
        <v>2020</v>
      </c>
      <c r="B42" s="15" t="s">
        <v>5</v>
      </c>
      <c r="C42" s="12"/>
      <c r="D42" s="23"/>
      <c r="E42" s="23"/>
      <c r="F42" s="23"/>
      <c r="G42" s="23"/>
      <c r="H42" s="23"/>
      <c r="I42" s="23"/>
      <c r="J42" s="23"/>
      <c r="K42" s="23"/>
      <c r="L42" s="23"/>
      <c r="M42" s="23"/>
      <c r="N42" s="23"/>
      <c r="O42" s="23"/>
      <c r="P42" s="23"/>
      <c r="Q42" s="23"/>
    </row>
    <row r="43" spans="1:17">
      <c r="A43" s="37">
        <v>2020</v>
      </c>
      <c r="B43" s="8" t="s">
        <v>6</v>
      </c>
      <c r="C43" s="9"/>
      <c r="D43" s="25"/>
      <c r="E43" s="25"/>
      <c r="F43" s="25"/>
      <c r="G43" s="25"/>
      <c r="H43" s="25"/>
      <c r="I43" s="25"/>
      <c r="J43" s="25"/>
      <c r="K43" s="25"/>
      <c r="L43" s="25"/>
      <c r="M43" s="25"/>
      <c r="N43" s="25"/>
      <c r="O43" s="25"/>
      <c r="P43" s="25"/>
      <c r="Q43" s="25"/>
    </row>
    <row r="44" spans="1:17">
      <c r="A44" s="39">
        <v>2020</v>
      </c>
      <c r="B44" s="14" t="s">
        <v>42</v>
      </c>
      <c r="C44" s="13"/>
      <c r="D44" s="38"/>
      <c r="E44" s="38"/>
      <c r="F44" s="38"/>
      <c r="G44" s="38"/>
      <c r="H44" s="38"/>
      <c r="I44" s="38"/>
      <c r="J44" s="38"/>
      <c r="K44" s="38"/>
      <c r="L44" s="38"/>
      <c r="M44" s="38"/>
      <c r="N44" s="38"/>
      <c r="O44" s="38"/>
      <c r="P44" s="38"/>
      <c r="Q44" s="38"/>
    </row>
    <row r="45" spans="1:17">
      <c r="A45" s="40">
        <v>2021</v>
      </c>
      <c r="B45" s="15" t="s">
        <v>5</v>
      </c>
      <c r="C45" s="12"/>
      <c r="D45" s="41"/>
      <c r="E45" s="41"/>
      <c r="F45" s="41"/>
      <c r="G45" s="41"/>
      <c r="H45" s="41"/>
      <c r="I45" s="41"/>
      <c r="J45" s="41"/>
      <c r="K45" s="41"/>
      <c r="L45" s="41"/>
      <c r="M45" s="41"/>
      <c r="N45" s="41"/>
      <c r="O45" s="41"/>
      <c r="P45" s="41"/>
      <c r="Q45" s="41"/>
    </row>
    <row r="46" spans="1:17">
      <c r="A46" s="37">
        <v>2021</v>
      </c>
      <c r="B46" s="8" t="s">
        <v>6</v>
      </c>
      <c r="C46" s="9"/>
      <c r="D46" s="25"/>
      <c r="E46" s="25"/>
      <c r="F46" s="25"/>
      <c r="G46" s="25"/>
      <c r="H46" s="25"/>
      <c r="I46" s="25"/>
      <c r="J46" s="25"/>
      <c r="K46" s="25"/>
      <c r="L46" s="25"/>
      <c r="M46" s="25"/>
      <c r="N46" s="25"/>
      <c r="O46" s="25"/>
      <c r="P46" s="25"/>
      <c r="Q46" s="25"/>
    </row>
    <row r="47" spans="1:17">
      <c r="A47" s="39">
        <v>2021</v>
      </c>
      <c r="B47" s="14" t="s">
        <v>42</v>
      </c>
      <c r="C47" s="13"/>
      <c r="D47" s="24"/>
      <c r="E47" s="24"/>
      <c r="F47" s="24"/>
      <c r="G47" s="24"/>
      <c r="H47" s="24"/>
      <c r="I47" s="24"/>
      <c r="J47" s="24"/>
      <c r="K47" s="24"/>
      <c r="L47" s="24"/>
      <c r="M47" s="24"/>
      <c r="N47" s="24"/>
      <c r="O47" s="24"/>
      <c r="P47" s="24"/>
      <c r="Q47" s="24"/>
    </row>
    <row r="48" spans="1:17">
      <c r="A48" s="40">
        <v>2022</v>
      </c>
      <c r="B48" s="15" t="s">
        <v>5</v>
      </c>
      <c r="C48" s="12"/>
      <c r="D48" s="41"/>
      <c r="E48" s="41"/>
      <c r="F48" s="41"/>
      <c r="G48" s="41"/>
      <c r="H48" s="41"/>
      <c r="I48" s="41"/>
      <c r="J48" s="41"/>
      <c r="K48" s="41"/>
      <c r="L48" s="41"/>
      <c r="M48" s="41"/>
      <c r="N48" s="41"/>
      <c r="O48" s="41"/>
      <c r="P48" s="41"/>
      <c r="Q48" s="41"/>
    </row>
    <row r="49" spans="1:17">
      <c r="A49" s="37">
        <v>2022</v>
      </c>
      <c r="B49" s="8" t="s">
        <v>6</v>
      </c>
      <c r="C49" s="9"/>
      <c r="D49" s="25"/>
      <c r="E49" s="25"/>
      <c r="F49" s="25"/>
      <c r="G49" s="25"/>
      <c r="H49" s="25"/>
      <c r="I49" s="25"/>
      <c r="J49" s="25"/>
      <c r="K49" s="25"/>
      <c r="L49" s="25"/>
      <c r="M49" s="25"/>
      <c r="N49" s="25"/>
      <c r="O49" s="25"/>
      <c r="P49" s="25"/>
      <c r="Q49" s="25"/>
    </row>
    <row r="50" spans="1:17">
      <c r="A50" s="39">
        <v>2022</v>
      </c>
      <c r="B50" s="14" t="s">
        <v>42</v>
      </c>
      <c r="C50" s="13"/>
      <c r="D50" s="24"/>
      <c r="E50" s="24"/>
      <c r="F50" s="24"/>
      <c r="G50" s="24"/>
      <c r="H50" s="24"/>
      <c r="I50" s="24"/>
      <c r="J50" s="24"/>
      <c r="K50" s="24"/>
      <c r="L50" s="24"/>
      <c r="M50" s="24"/>
      <c r="N50" s="24"/>
      <c r="O50" s="24"/>
      <c r="P50" s="24"/>
      <c r="Q50" s="24"/>
    </row>
    <row r="51" spans="1:17">
      <c r="A51" s="40">
        <v>2023</v>
      </c>
      <c r="B51" s="15" t="s">
        <v>5</v>
      </c>
      <c r="C51" s="12"/>
      <c r="D51" s="12"/>
      <c r="E51" s="12"/>
      <c r="F51" s="12"/>
      <c r="G51" s="12"/>
      <c r="H51" s="12"/>
      <c r="I51" s="12"/>
      <c r="J51" s="12"/>
      <c r="K51" s="12"/>
      <c r="L51" s="12"/>
      <c r="M51" s="12"/>
      <c r="N51" s="12"/>
      <c r="O51" s="12"/>
      <c r="P51" s="12"/>
      <c r="Q51" s="12"/>
    </row>
    <row r="52" spans="1:17">
      <c r="A52" s="9">
        <v>2023</v>
      </c>
      <c r="B52" s="8" t="s">
        <v>6</v>
      </c>
      <c r="C52" s="9"/>
      <c r="D52" s="9"/>
      <c r="E52" s="9"/>
      <c r="F52" s="9"/>
      <c r="G52" s="9"/>
      <c r="H52" s="9"/>
      <c r="I52" s="9"/>
      <c r="J52" s="9"/>
      <c r="K52" s="9"/>
      <c r="L52" s="9"/>
      <c r="M52" s="9"/>
      <c r="N52" s="9"/>
      <c r="O52" s="9"/>
      <c r="P52" s="9"/>
      <c r="Q52" s="9"/>
    </row>
    <row r="53" spans="1:17">
      <c r="A53" s="39">
        <v>2023</v>
      </c>
      <c r="B53" s="14" t="s">
        <v>42</v>
      </c>
      <c r="C53" s="13"/>
      <c r="D53" s="13"/>
      <c r="E53" s="13"/>
      <c r="F53" s="13"/>
      <c r="G53" s="13"/>
      <c r="H53" s="13"/>
      <c r="I53" s="14"/>
      <c r="J53" s="14"/>
      <c r="K53" s="14"/>
      <c r="L53" s="14"/>
      <c r="M53" s="14"/>
      <c r="N53" s="14"/>
      <c r="O53" s="14"/>
      <c r="P53" s="14"/>
      <c r="Q53" s="14"/>
    </row>
    <row r="54" spans="1:17">
      <c r="A54" s="40">
        <v>2024</v>
      </c>
      <c r="B54" s="15" t="s">
        <v>5</v>
      </c>
      <c r="C54" s="12"/>
      <c r="D54" s="12"/>
      <c r="E54" s="12"/>
      <c r="F54" s="12"/>
      <c r="G54" s="12"/>
      <c r="H54" s="12"/>
      <c r="I54" s="15"/>
      <c r="J54" s="15"/>
      <c r="K54" s="15"/>
      <c r="L54" s="15"/>
      <c r="M54" s="15"/>
      <c r="N54" s="15"/>
      <c r="O54" s="15"/>
      <c r="P54" s="15"/>
      <c r="Q54" s="15"/>
    </row>
    <row r="55" spans="1:17">
      <c r="A55" s="37">
        <v>2024</v>
      </c>
      <c r="B55" s="8" t="s">
        <v>6</v>
      </c>
      <c r="C55" s="9"/>
      <c r="D55" s="9"/>
      <c r="E55" s="9"/>
      <c r="F55" s="9"/>
      <c r="G55" s="9"/>
      <c r="H55" s="9"/>
      <c r="I55" s="8"/>
      <c r="J55" s="8"/>
      <c r="K55" s="8"/>
      <c r="L55" s="8"/>
      <c r="M55" s="8"/>
      <c r="N55" s="8"/>
      <c r="O55" s="8"/>
      <c r="P55" s="8"/>
      <c r="Q55" s="8"/>
    </row>
    <row r="56" spans="1:17">
      <c r="A56" s="39">
        <v>2024</v>
      </c>
      <c r="B56" s="14" t="s">
        <v>42</v>
      </c>
      <c r="C56" s="13"/>
      <c r="D56" s="13"/>
      <c r="E56" s="13"/>
      <c r="F56" s="13"/>
      <c r="G56" s="13"/>
      <c r="H56" s="13"/>
      <c r="I56" s="14"/>
      <c r="J56" s="14"/>
      <c r="K56" s="14"/>
      <c r="L56" s="14"/>
      <c r="M56" s="14"/>
      <c r="N56" s="14"/>
      <c r="O56" s="14"/>
      <c r="P56" s="14"/>
      <c r="Q56" s="14"/>
    </row>
    <row r="57" spans="1:17">
      <c r="A57" s="40">
        <v>2025</v>
      </c>
      <c r="B57" s="15" t="s">
        <v>5</v>
      </c>
      <c r="C57" s="12"/>
      <c r="D57" s="12"/>
      <c r="E57" s="12"/>
      <c r="F57" s="12"/>
      <c r="G57" s="12"/>
      <c r="H57" s="12"/>
      <c r="I57" s="15"/>
      <c r="J57" s="15"/>
      <c r="K57" s="15"/>
      <c r="L57" s="15"/>
      <c r="M57" s="15"/>
      <c r="N57" s="15"/>
      <c r="O57" s="15"/>
      <c r="P57" s="15"/>
      <c r="Q57" s="15"/>
    </row>
    <row r="58" spans="1:17">
      <c r="A58" s="37">
        <v>2025</v>
      </c>
      <c r="B58" s="8" t="s">
        <v>6</v>
      </c>
      <c r="C58" s="9"/>
      <c r="D58" s="9"/>
      <c r="E58" s="9"/>
      <c r="F58" s="9"/>
      <c r="G58" s="9"/>
      <c r="H58" s="9"/>
      <c r="I58" s="8"/>
      <c r="J58" s="8"/>
      <c r="K58" s="8"/>
      <c r="L58" s="8"/>
      <c r="M58" s="8"/>
      <c r="N58" s="8"/>
      <c r="O58" s="8"/>
      <c r="P58" s="8"/>
      <c r="Q58" s="8"/>
    </row>
    <row r="59" spans="1:17">
      <c r="A59" s="39">
        <v>2025</v>
      </c>
      <c r="B59" s="14" t="s">
        <v>42</v>
      </c>
      <c r="C59" s="13"/>
      <c r="D59" s="13"/>
      <c r="E59" s="13"/>
      <c r="F59" s="13"/>
      <c r="G59" s="13"/>
      <c r="H59" s="13"/>
      <c r="I59" s="14"/>
      <c r="J59" s="14"/>
      <c r="K59" s="14"/>
      <c r="L59" s="14"/>
      <c r="M59" s="14"/>
      <c r="N59" s="14"/>
      <c r="O59" s="14"/>
      <c r="P59" s="14"/>
      <c r="Q59" s="14"/>
    </row>
  </sheetData>
  <mergeCells count="10">
    <mergeCell ref="B5:K5"/>
    <mergeCell ref="B6:K6"/>
    <mergeCell ref="B7:K7"/>
    <mergeCell ref="B8:K8"/>
    <mergeCell ref="S3:T3"/>
    <mergeCell ref="V3:W3"/>
    <mergeCell ref="S4:T4"/>
    <mergeCell ref="V4:W4"/>
    <mergeCell ref="N2:Q2"/>
    <mergeCell ref="A3:Q3"/>
  </mergeCells>
  <hyperlinks>
    <hyperlink ref="N2" location="'Information och Innehåll'!A1" display="Tillbaka till Information och Innehåll"/>
    <hyperlink ref="S6" location="V1.1.1!A1" display="V1.1.1"/>
    <hyperlink ref="S7" location="V1.1.2!A1" display="V1.1.2"/>
    <hyperlink ref="S8" location="V1.1.3!A1" display="V1.1.3"/>
    <hyperlink ref="S9" location="V2.1.1!A1" display="V2.1.1"/>
    <hyperlink ref="S10" location="V2.1.2!A1" display="V2.1.2"/>
    <hyperlink ref="S12" location="V3.1.2!A1" display="V3.1.2"/>
    <hyperlink ref="S11" location="V3.1.1!A1" display="V3.1.1"/>
    <hyperlink ref="S13" location="V3.1.3!A1" display="V3.1.3"/>
    <hyperlink ref="S15" location="V4.1.1!A1" display="V4.1.1"/>
    <hyperlink ref="S16" location="V4.2.1!A1" display="V4.2.1"/>
    <hyperlink ref="S17" location="V4.2.2!A1" display="V4.2.2"/>
    <hyperlink ref="S18" location="V4.2.3!A1" display="V4.2.3"/>
    <hyperlink ref="S19" location="V4.2.4!A1" display="V4.2.4"/>
    <hyperlink ref="S20" location="V5.1.1!A1" display="V5.1.1"/>
    <hyperlink ref="S21" location="V5.1.2!A1" display="V5.1.2"/>
    <hyperlink ref="T6" location="B1.1.1!A1" display="B1.1.1"/>
    <hyperlink ref="T7" location="B1.1.2!A1" display="B1.1.2"/>
    <hyperlink ref="T8" location="B1.2.1!A1" display="B1.2.1"/>
    <hyperlink ref="T9" location="B1.2.2!A1" display="B1.2.2"/>
    <hyperlink ref="T10" location="B1.2.3!A1" display="B1.2.3"/>
    <hyperlink ref="T11" location="B2.1.1!A1" display="B2.1.1"/>
    <hyperlink ref="T13" location="B2.2.1!A1" display="B2.2.1"/>
    <hyperlink ref="T14" location="B2.2.2!A1" display="B2.2.2"/>
    <hyperlink ref="T15" location="B2.2.3!A1" display="B2.2.3"/>
    <hyperlink ref="T16" location="B2.2.4!A1" display="B2.2.4"/>
    <hyperlink ref="T17" location="B3.1.1!A1" display="B3.1.1"/>
    <hyperlink ref="T18" location="B3.1.2!A1" display="B3.1.2"/>
    <hyperlink ref="T21" location="B4.1.1!A1" display="B4.1.1"/>
    <hyperlink ref="T22" location="B5.1.1!A1" display="B5.1.1"/>
    <hyperlink ref="T23" location="B5.1.2!A1" display="B5.1.2"/>
    <hyperlink ref="T24" location="B5.1.3!A1" display="B5.1.3"/>
    <hyperlink ref="T19" location="B3.1.3!A1" display="B3.1.3"/>
    <hyperlink ref="T12" location="B2.1.2!A1" display="B2.1.2"/>
    <hyperlink ref="S22" location="V5.1.3!A1" display="V5.1.3"/>
    <hyperlink ref="T20" location="B3.2.1!A1" display="B3.2.1"/>
    <hyperlink ref="S14" location="B3.2.1!A1" display="V3.2.1"/>
    <hyperlink ref="V6" location="'V1.1.1 DATA'!A1" display="V1.1.1"/>
    <hyperlink ref="V7" location="'V1.1.2 DATA'!A1" display="V1.1.2"/>
    <hyperlink ref="V8" location="'V1.1.3 Data'!A1" display="V1.1.3"/>
    <hyperlink ref="V9" location="'V2.1.1 DATA'!A1" display="V2.1.1"/>
    <hyperlink ref="V10" location="'V2.1.2 DATA'!A1" display="V2.1.2"/>
    <hyperlink ref="V12" location="'V3.1.2 DATA'!A1" display="V3.1.2"/>
    <hyperlink ref="V11" location="'V3.1.1 DATA'!A1" display="V3.1.1"/>
    <hyperlink ref="V13" location="'V3.1.3 DATA'!A1" display="V3.1.3"/>
    <hyperlink ref="V14" location="'V3.2.1 DATA'!A1" display="V3.2.1"/>
    <hyperlink ref="V15" location="'V4.1.1 DATA'!A1" display="V4.1.1"/>
    <hyperlink ref="V16" location="'V4.2.1 DATA'!A1" display="V4.2.1"/>
    <hyperlink ref="V18" location="'V4.2.3 DATA'!A1" display="V4.2.3"/>
    <hyperlink ref="V19" location="'V4.2.4 DATA'!A1" display="V4.2.4"/>
    <hyperlink ref="V20" location="'V5.1.1 DATA'!A1" display="V5.1.1"/>
    <hyperlink ref="V21" location="'V5.1.2 DATA'!A1" display="V5.1.2"/>
    <hyperlink ref="W6" location="'B1.1.1 DATA'!A1" display="B1.1.1"/>
    <hyperlink ref="W7" location="'B1.1.2 DATA'!A1" display="B1.1.2"/>
    <hyperlink ref="W8" location="'B1.2.1 DATA'!A1" display="B1.2.1"/>
    <hyperlink ref="W9" location="'B1.2.2 DATA'!A1" display="B1.2.2"/>
    <hyperlink ref="W10" location="'B1.2.3 DATA'!A1" display="B1.2.3"/>
    <hyperlink ref="W11" location="'B2.1.1 DATA'!A1" display="B2.1.1"/>
    <hyperlink ref="W13" location="'B2.2.1 DATA'!A1" display="B2.2.1"/>
    <hyperlink ref="W14" location="'B2.2.2 DATA'!A1" display="B2.2.2"/>
    <hyperlink ref="W15" location="'B2.2.3 DATA'!A1" display="B2.2.3"/>
    <hyperlink ref="W16" location="'B2.2.4 DATA'!A1" display="B2.2.4"/>
    <hyperlink ref="W17" location="'B3.1.1 DATA'!A1" display="B3.1.1"/>
    <hyperlink ref="W18" location="'B3.1.2 DATA'!A1" display="B3.1.2"/>
    <hyperlink ref="W20" location="'B3.2.1 DATA'!A1" display="B3.2.1"/>
    <hyperlink ref="W21" location="'B4.1.1 DATA'!A1" display="B4.1.1"/>
    <hyperlink ref="W22" location="'B5.1.1 DATA'!A1" display="B5.1.1"/>
    <hyperlink ref="W23" location="'B5.1.2 DATA'!A1" display="B5.1.2"/>
    <hyperlink ref="W24" location="'B5.1.3 DATA'!A1" display="B5.1.3"/>
    <hyperlink ref="W12" location="'B2.1.2 DATA'!A1" display="B2.1.2"/>
    <hyperlink ref="V22" location="'V5.1.3 DATA'!A1" display="V5.1.3"/>
    <hyperlink ref="W19" location="'B3.1.3 DATA'!A1" display="B3.1.3"/>
    <hyperlink ref="V17" location="'V4.2.2 DATA'!A1" display="V4.2.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B5DAC7"/>
  </sheetPr>
  <dimension ref="A2:AA57"/>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14" width="13.1328125" customWidth="1"/>
    <col min="15" max="15" width="16.33203125" customWidth="1"/>
    <col min="16" max="16" width="19.796875" customWidth="1"/>
    <col min="17" max="17" width="23.6640625" customWidth="1"/>
    <col min="18" max="18" width="24.46484375" customWidth="1"/>
    <col min="19" max="19" width="26.19921875" customWidth="1"/>
    <col min="20" max="20" width="24.464843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469</v>
      </c>
      <c r="C3" s="338"/>
      <c r="D3" s="338"/>
      <c r="E3" s="338"/>
      <c r="F3" s="338"/>
      <c r="G3" s="338"/>
      <c r="H3" s="338"/>
      <c r="I3" s="338"/>
      <c r="J3" s="338"/>
      <c r="K3" s="338"/>
      <c r="L3" s="338"/>
      <c r="M3" s="338"/>
      <c r="N3" s="338"/>
      <c r="O3" s="338"/>
      <c r="P3" s="338"/>
      <c r="Q3" s="338"/>
      <c r="R3" s="338"/>
      <c r="S3" s="338"/>
      <c r="T3" s="338"/>
    </row>
    <row r="4" spans="1:20" ht="30.75">
      <c r="B4" s="339" t="s">
        <v>477</v>
      </c>
      <c r="C4" s="339"/>
      <c r="D4" s="339"/>
      <c r="E4" s="339"/>
      <c r="F4" s="339"/>
      <c r="G4" s="339"/>
      <c r="H4" s="339"/>
      <c r="I4" s="339"/>
      <c r="J4" s="339"/>
      <c r="K4" s="339"/>
      <c r="L4" s="339"/>
      <c r="M4" s="339"/>
      <c r="N4" s="339"/>
      <c r="O4" s="339"/>
      <c r="P4" s="339"/>
      <c r="Q4" s="339"/>
      <c r="R4" s="339"/>
      <c r="S4" s="339"/>
      <c r="T4" s="339"/>
    </row>
    <row r="5" spans="1:20" ht="18">
      <c r="B5" s="340" t="s">
        <v>214</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306</v>
      </c>
      <c r="C9" s="341"/>
      <c r="D9" s="341"/>
      <c r="E9" s="341"/>
      <c r="F9" s="341"/>
      <c r="G9" s="341"/>
      <c r="H9" s="341"/>
      <c r="I9" s="341"/>
      <c r="J9" s="341"/>
      <c r="K9" s="341"/>
      <c r="L9" s="341"/>
      <c r="N9" s="331" t="s">
        <v>38</v>
      </c>
      <c r="O9" s="331"/>
      <c r="P9" s="331"/>
      <c r="Q9" s="331"/>
      <c r="R9" s="331"/>
      <c r="S9" s="331"/>
      <c r="T9" s="331"/>
    </row>
    <row r="10" spans="1:20" ht="23.25">
      <c r="B10" s="216"/>
      <c r="C10" s="216"/>
      <c r="D10" s="216"/>
      <c r="E10" s="216"/>
      <c r="F10" s="216"/>
      <c r="G10" s="216"/>
      <c r="H10" s="216"/>
      <c r="I10" s="216"/>
      <c r="J10" s="216"/>
      <c r="K10" s="216"/>
      <c r="L10" s="216"/>
      <c r="N10" s="122"/>
      <c r="O10" s="122"/>
      <c r="P10" s="122"/>
      <c r="Q10" s="122"/>
      <c r="R10" s="122"/>
      <c r="S10" s="122"/>
      <c r="T10" s="122"/>
    </row>
    <row r="11" spans="1:20">
      <c r="B11" s="348" t="s">
        <v>40</v>
      </c>
      <c r="C11" s="348"/>
      <c r="D11" s="348"/>
      <c r="E11" s="348"/>
      <c r="F11" s="348"/>
      <c r="G11" s="348"/>
      <c r="H11" s="348"/>
      <c r="I11" s="348"/>
      <c r="J11" s="348"/>
      <c r="K11" s="348"/>
      <c r="L11" s="348"/>
      <c r="N11" s="11"/>
      <c r="O11" s="11"/>
      <c r="P11" s="11"/>
      <c r="Q11" s="11"/>
    </row>
    <row r="12" spans="1:20">
      <c r="B12" s="217"/>
      <c r="C12" s="349" t="s">
        <v>376</v>
      </c>
      <c r="D12" s="349"/>
      <c r="E12" s="349"/>
      <c r="F12" s="349"/>
      <c r="G12" s="349"/>
      <c r="H12" s="349"/>
      <c r="I12" s="349"/>
      <c r="J12" s="349"/>
      <c r="K12" s="349"/>
      <c r="L12" s="349"/>
      <c r="N12" s="11"/>
      <c r="O12" s="11"/>
      <c r="P12" s="11"/>
      <c r="Q12" s="11"/>
    </row>
    <row r="13" spans="1:20">
      <c r="B13" s="218"/>
      <c r="C13" s="350" t="s">
        <v>304</v>
      </c>
      <c r="D13" s="350"/>
      <c r="E13" s="350"/>
      <c r="F13" s="350"/>
      <c r="G13" s="350"/>
      <c r="H13" s="350"/>
      <c r="I13" s="350"/>
      <c r="J13" s="350"/>
      <c r="K13" s="350"/>
      <c r="L13" s="350"/>
      <c r="N13" s="110"/>
      <c r="O13" s="111"/>
      <c r="P13" s="111"/>
      <c r="Q13" s="111"/>
    </row>
    <row r="14" spans="1:20">
      <c r="B14" s="218"/>
      <c r="C14" s="346" t="s">
        <v>292</v>
      </c>
      <c r="D14" s="346"/>
      <c r="E14" s="346"/>
      <c r="F14" s="346"/>
      <c r="G14" s="346"/>
      <c r="H14" s="346"/>
      <c r="I14" s="346"/>
      <c r="J14" s="346"/>
      <c r="K14" s="346"/>
      <c r="L14" s="346"/>
      <c r="N14" s="110"/>
      <c r="O14" s="111"/>
      <c r="P14" s="111"/>
      <c r="Q14" s="111"/>
    </row>
    <row r="15" spans="1:20">
      <c r="B15" s="218"/>
      <c r="C15" s="346" t="s">
        <v>305</v>
      </c>
      <c r="D15" s="346"/>
      <c r="E15" s="346"/>
      <c r="F15" s="346"/>
      <c r="G15" s="346"/>
      <c r="H15" s="346"/>
      <c r="I15" s="346"/>
      <c r="J15" s="346"/>
      <c r="K15" s="346"/>
      <c r="L15" s="346"/>
      <c r="N15" s="110"/>
      <c r="O15" s="111"/>
      <c r="P15" s="111"/>
      <c r="Q15" s="111"/>
    </row>
    <row r="16" spans="1:20">
      <c r="A16" s="3"/>
      <c r="B16" s="218"/>
      <c r="C16" s="219"/>
      <c r="D16" s="219"/>
      <c r="E16" s="219"/>
      <c r="F16" s="219"/>
      <c r="G16" s="219"/>
      <c r="H16" s="219"/>
      <c r="I16" s="219"/>
      <c r="J16" s="219"/>
      <c r="K16" s="219"/>
      <c r="L16" s="218"/>
      <c r="N16" s="110"/>
      <c r="O16" s="111"/>
      <c r="P16" s="111"/>
      <c r="Q16" s="111"/>
    </row>
    <row r="17" spans="1:26">
      <c r="A17" s="3"/>
      <c r="B17" s="348" t="s">
        <v>41</v>
      </c>
      <c r="C17" s="348"/>
      <c r="D17" s="348"/>
      <c r="E17" s="348"/>
      <c r="F17" s="348"/>
      <c r="G17" s="348"/>
      <c r="H17" s="348"/>
      <c r="I17" s="348"/>
      <c r="J17" s="348"/>
      <c r="K17" s="348"/>
      <c r="L17" s="348"/>
      <c r="N17" s="110"/>
      <c r="O17" s="111"/>
      <c r="P17" s="111"/>
      <c r="Q17" s="111"/>
    </row>
    <row r="18" spans="1:26">
      <c r="A18" s="3"/>
      <c r="B18" s="217"/>
      <c r="C18" s="346" t="s">
        <v>295</v>
      </c>
      <c r="D18" s="346"/>
      <c r="E18" s="346"/>
      <c r="F18" s="346"/>
      <c r="G18" s="346"/>
      <c r="H18" s="346"/>
      <c r="I18" s="346"/>
      <c r="J18" s="346"/>
      <c r="K18" s="346"/>
      <c r="L18" s="346"/>
      <c r="N18" s="110"/>
      <c r="O18" s="111"/>
      <c r="P18" s="111"/>
      <c r="Q18" s="111"/>
    </row>
    <row r="19" spans="1:26">
      <c r="A19" s="3"/>
      <c r="B19" s="218"/>
      <c r="C19" s="346" t="s">
        <v>317</v>
      </c>
      <c r="D19" s="346"/>
      <c r="E19" s="346"/>
      <c r="F19" s="346"/>
      <c r="G19" s="346"/>
      <c r="H19" s="346"/>
      <c r="I19" s="346"/>
      <c r="J19" s="346"/>
      <c r="K19" s="346"/>
      <c r="L19" s="346"/>
      <c r="N19" s="110"/>
      <c r="O19" s="111"/>
      <c r="P19" s="111"/>
      <c r="Q19" s="111"/>
    </row>
    <row r="20" spans="1:26">
      <c r="A20" s="3"/>
      <c r="B20" s="218"/>
      <c r="C20" s="346" t="s">
        <v>369</v>
      </c>
      <c r="D20" s="346"/>
      <c r="E20" s="346"/>
      <c r="F20" s="346"/>
      <c r="G20" s="346"/>
      <c r="H20" s="346"/>
      <c r="I20" s="346"/>
      <c r="J20" s="346"/>
      <c r="K20" s="346"/>
      <c r="L20" s="346"/>
      <c r="N20" s="110"/>
      <c r="O20" s="111"/>
      <c r="P20" s="111"/>
      <c r="Q20" s="111"/>
    </row>
    <row r="21" spans="1:26">
      <c r="A21" s="3"/>
      <c r="B21" s="218"/>
      <c r="C21" s="220" t="str">
        <f>"--&gt;"</f>
        <v>--&gt;</v>
      </c>
      <c r="D21" s="347" t="s">
        <v>212</v>
      </c>
      <c r="E21" s="347"/>
      <c r="F21" s="347"/>
      <c r="G21" s="347"/>
      <c r="H21" s="347"/>
      <c r="I21" s="347"/>
      <c r="J21" s="347"/>
      <c r="K21" s="347"/>
      <c r="L21" s="347"/>
      <c r="N21" s="110"/>
      <c r="O21" s="111"/>
      <c r="P21" s="111"/>
      <c r="Q21" s="111"/>
    </row>
    <row r="22" spans="1:26">
      <c r="A22" s="3"/>
      <c r="B22" s="218"/>
      <c r="C22" s="218"/>
      <c r="D22" s="347"/>
      <c r="E22" s="347"/>
      <c r="F22" s="347"/>
      <c r="G22" s="347"/>
      <c r="H22" s="347"/>
      <c r="I22" s="347"/>
      <c r="J22" s="347"/>
      <c r="K22" s="347"/>
      <c r="L22" s="347"/>
      <c r="N22" s="110"/>
      <c r="O22" s="111"/>
      <c r="P22" s="111"/>
      <c r="Q22" s="111"/>
    </row>
    <row r="23" spans="1:26">
      <c r="A23" s="3"/>
      <c r="B23" s="218"/>
      <c r="C23" s="346" t="s">
        <v>356</v>
      </c>
      <c r="D23" s="346"/>
      <c r="E23" s="346"/>
      <c r="F23" s="346"/>
      <c r="G23" s="346"/>
      <c r="H23" s="346"/>
      <c r="I23" s="346"/>
      <c r="J23" s="346"/>
      <c r="K23" s="346"/>
      <c r="L23" s="346"/>
    </row>
    <row r="24" spans="1:26">
      <c r="A24" s="3"/>
      <c r="B24" s="218"/>
      <c r="C24" s="346"/>
      <c r="D24" s="346"/>
      <c r="E24" s="346"/>
      <c r="F24" s="346"/>
      <c r="G24" s="346"/>
      <c r="H24" s="346"/>
      <c r="I24" s="346"/>
      <c r="J24" s="346"/>
      <c r="K24" s="346"/>
      <c r="L24" s="346"/>
      <c r="Q24" s="2"/>
      <c r="S24" s="11"/>
      <c r="T24" s="11"/>
    </row>
    <row r="25" spans="1:26">
      <c r="A25" s="3"/>
      <c r="B25" s="218"/>
      <c r="C25" s="346"/>
      <c r="D25" s="346"/>
      <c r="E25" s="346"/>
      <c r="F25" s="346"/>
      <c r="G25" s="346"/>
      <c r="H25" s="346"/>
      <c r="I25" s="346"/>
      <c r="J25" s="346"/>
      <c r="K25" s="346"/>
      <c r="L25" s="346"/>
      <c r="Q25" s="2"/>
      <c r="S25" s="11"/>
      <c r="T25" s="11"/>
    </row>
    <row r="26" spans="1:26" ht="14.45" customHeight="1">
      <c r="A26" s="3"/>
      <c r="B26" s="218"/>
      <c r="C26" s="344" t="s">
        <v>322</v>
      </c>
      <c r="D26" s="344"/>
      <c r="E26" s="344"/>
      <c r="F26" s="344"/>
      <c r="G26" s="344"/>
      <c r="H26" s="344"/>
      <c r="I26" s="344"/>
      <c r="J26" s="344"/>
      <c r="K26" s="344"/>
      <c r="L26" s="344"/>
      <c r="Q26" s="2"/>
      <c r="S26" s="11"/>
      <c r="T26" s="11"/>
    </row>
    <row r="27" spans="1:26">
      <c r="B27" s="219"/>
      <c r="C27" s="344"/>
      <c r="D27" s="344"/>
      <c r="E27" s="344"/>
      <c r="F27" s="344"/>
      <c r="G27" s="344"/>
      <c r="H27" s="344"/>
      <c r="I27" s="344"/>
      <c r="J27" s="344"/>
      <c r="K27" s="344"/>
      <c r="L27" s="344"/>
      <c r="Q27" s="2"/>
      <c r="S27" s="11"/>
      <c r="T27" s="11"/>
    </row>
    <row r="28" spans="1:26">
      <c r="B28" s="219"/>
      <c r="C28" s="344"/>
      <c r="D28" s="344"/>
      <c r="E28" s="344"/>
      <c r="F28" s="344"/>
      <c r="G28" s="344"/>
      <c r="H28" s="344"/>
      <c r="I28" s="344"/>
      <c r="J28" s="344"/>
      <c r="K28" s="344"/>
      <c r="L28" s="344"/>
      <c r="Q28" s="2"/>
      <c r="S28" s="11"/>
      <c r="T28" s="11"/>
    </row>
    <row r="29" spans="1:26">
      <c r="B29" s="221"/>
      <c r="C29" s="345"/>
      <c r="D29" s="345"/>
      <c r="E29" s="345"/>
      <c r="F29" s="345"/>
      <c r="G29" s="345"/>
      <c r="H29" s="345"/>
      <c r="I29" s="345"/>
      <c r="J29" s="345"/>
      <c r="K29" s="345"/>
      <c r="L29" s="345"/>
      <c r="S29" s="11"/>
      <c r="T29" s="11"/>
    </row>
    <row r="30" spans="1:26">
      <c r="B30" s="222"/>
      <c r="C30" s="345"/>
      <c r="D30" s="345"/>
      <c r="E30" s="345"/>
      <c r="F30" s="345"/>
      <c r="G30" s="345"/>
      <c r="H30" s="345"/>
      <c r="I30" s="345"/>
      <c r="J30" s="345"/>
      <c r="K30" s="345"/>
      <c r="L30" s="345"/>
      <c r="M30" s="9"/>
      <c r="N30" s="122"/>
      <c r="O30" s="34"/>
      <c r="P30" s="35"/>
      <c r="Q30" s="35"/>
      <c r="R30" s="35"/>
      <c r="S30" s="35"/>
      <c r="T30" s="122"/>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19"/>
      <c r="C33" s="119"/>
      <c r="D33" s="119"/>
      <c r="E33" s="119"/>
      <c r="F33" s="119"/>
      <c r="G33" s="119"/>
      <c r="H33" s="119"/>
      <c r="I33" s="119"/>
      <c r="J33" s="119"/>
      <c r="K33" s="119"/>
      <c r="L33" s="119"/>
      <c r="M33" s="119"/>
      <c r="N33" s="119"/>
      <c r="O33" s="119"/>
      <c r="P33" s="119"/>
      <c r="Q33" s="119"/>
      <c r="R33" s="119"/>
      <c r="S33" s="119"/>
      <c r="T33" s="119"/>
      <c r="V33" s="319" t="s">
        <v>65</v>
      </c>
      <c r="W33" s="320"/>
      <c r="X33" s="11"/>
      <c r="Y33" s="319" t="s">
        <v>66</v>
      </c>
      <c r="Z33" s="320"/>
    </row>
    <row r="34" spans="1:27">
      <c r="B34" s="119"/>
      <c r="C34" s="119"/>
      <c r="D34" s="119"/>
      <c r="E34" s="119"/>
      <c r="F34" s="119"/>
      <c r="G34" s="119"/>
      <c r="H34" s="119"/>
      <c r="I34" s="119"/>
      <c r="J34" s="119"/>
      <c r="K34" s="119"/>
      <c r="L34" s="119"/>
      <c r="M34" s="119"/>
      <c r="N34" s="119"/>
      <c r="O34" s="119"/>
      <c r="P34" s="119"/>
      <c r="Q34" s="119"/>
      <c r="R34" s="119"/>
      <c r="S34" s="119"/>
      <c r="T34" s="119"/>
      <c r="V34" s="56" t="s">
        <v>61</v>
      </c>
      <c r="W34" s="56" t="s">
        <v>62</v>
      </c>
      <c r="X34" s="11"/>
      <c r="Y34" s="56" t="s">
        <v>61</v>
      </c>
      <c r="Z34" s="56" t="s">
        <v>62</v>
      </c>
    </row>
    <row r="35" spans="1:27">
      <c r="B35" s="119"/>
      <c r="C35" s="119"/>
      <c r="D35" s="119"/>
      <c r="E35" s="119"/>
      <c r="F35" s="119"/>
      <c r="G35" s="119"/>
      <c r="H35" s="119"/>
      <c r="I35" s="119"/>
      <c r="J35" s="119"/>
      <c r="K35" s="119"/>
      <c r="L35" s="119"/>
      <c r="M35" s="119"/>
      <c r="N35" s="119"/>
      <c r="O35" s="119"/>
      <c r="P35" s="119"/>
      <c r="Q35" s="119"/>
      <c r="R35" s="119"/>
      <c r="S35" s="119"/>
      <c r="T35" s="119"/>
      <c r="V35" s="244" t="s">
        <v>392</v>
      </c>
      <c r="W35" s="244" t="s">
        <v>448</v>
      </c>
      <c r="X35" s="11"/>
      <c r="Y35" s="244" t="s">
        <v>392</v>
      </c>
      <c r="Z35" s="244" t="s">
        <v>448</v>
      </c>
    </row>
    <row r="36" spans="1:27">
      <c r="B36" s="119"/>
      <c r="C36" s="119"/>
      <c r="D36" s="119"/>
      <c r="E36" s="119"/>
      <c r="F36" s="119"/>
      <c r="G36" s="119"/>
      <c r="H36" s="119"/>
      <c r="I36" s="119"/>
      <c r="J36" s="119"/>
      <c r="K36" s="119"/>
      <c r="L36" s="119"/>
      <c r="M36" s="119"/>
      <c r="N36" s="119"/>
      <c r="O36" s="119"/>
      <c r="P36" s="119"/>
      <c r="Q36" s="119"/>
      <c r="R36" s="119"/>
      <c r="S36" s="119"/>
      <c r="T36" s="119"/>
      <c r="V36" s="244" t="s">
        <v>393</v>
      </c>
      <c r="W36" s="244" t="s">
        <v>449</v>
      </c>
      <c r="X36" s="11"/>
      <c r="Y36" s="244" t="s">
        <v>393</v>
      </c>
      <c r="Z36" s="244" t="s">
        <v>449</v>
      </c>
    </row>
    <row r="37" spans="1:27">
      <c r="B37" s="119"/>
      <c r="C37" s="119"/>
      <c r="D37" s="119"/>
      <c r="E37" s="119"/>
      <c r="F37" s="119"/>
      <c r="G37" s="119"/>
      <c r="H37" s="119"/>
      <c r="I37" s="119"/>
      <c r="J37" s="119"/>
      <c r="K37" s="119"/>
      <c r="L37" s="119"/>
      <c r="M37" s="119"/>
      <c r="N37" s="119"/>
      <c r="O37" s="119"/>
      <c r="P37" s="119"/>
      <c r="Q37" s="119"/>
      <c r="R37" s="119"/>
      <c r="S37" s="119"/>
      <c r="T37" s="119"/>
      <c r="V37" s="244" t="s">
        <v>394</v>
      </c>
      <c r="W37" s="244" t="s">
        <v>450</v>
      </c>
      <c r="X37" s="11"/>
      <c r="Y37" s="244" t="s">
        <v>394</v>
      </c>
      <c r="Z37" s="244" t="s">
        <v>450</v>
      </c>
    </row>
    <row r="38" spans="1:27">
      <c r="B38" s="119"/>
      <c r="C38" s="119"/>
      <c r="D38" s="119"/>
      <c r="E38" s="119"/>
      <c r="F38" s="119"/>
      <c r="G38" s="119"/>
      <c r="H38" s="119"/>
      <c r="I38" s="119"/>
      <c r="J38" s="119"/>
      <c r="K38" s="119"/>
      <c r="L38" s="119"/>
      <c r="M38" s="119"/>
      <c r="N38" s="119"/>
      <c r="O38" s="119"/>
      <c r="P38" s="119"/>
      <c r="Q38" s="119"/>
      <c r="R38" s="119"/>
      <c r="S38" s="119"/>
      <c r="T38" s="119"/>
      <c r="V38" s="244" t="s">
        <v>434</v>
      </c>
      <c r="W38" s="244" t="s">
        <v>451</v>
      </c>
      <c r="X38" s="11"/>
      <c r="Y38" s="244" t="s">
        <v>434</v>
      </c>
      <c r="Z38" s="244" t="s">
        <v>451</v>
      </c>
    </row>
    <row r="39" spans="1:27">
      <c r="B39" s="119"/>
      <c r="C39" s="119"/>
      <c r="D39" s="119"/>
      <c r="E39" s="119"/>
      <c r="F39" s="119"/>
      <c r="G39" s="119"/>
      <c r="H39" s="119"/>
      <c r="I39" s="119"/>
      <c r="J39" s="119"/>
      <c r="K39" s="119"/>
      <c r="L39" s="119"/>
      <c r="M39" s="119"/>
      <c r="N39" s="119"/>
      <c r="O39" s="119"/>
      <c r="P39" s="119"/>
      <c r="Q39" s="119"/>
      <c r="R39" s="119"/>
      <c r="S39" s="119"/>
      <c r="T39" s="119"/>
      <c r="V39" s="244" t="s">
        <v>435</v>
      </c>
      <c r="W39" s="244" t="s">
        <v>452</v>
      </c>
      <c r="Y39" s="244" t="s">
        <v>435</v>
      </c>
      <c r="Z39" s="244" t="s">
        <v>452</v>
      </c>
    </row>
    <row r="40" spans="1:27">
      <c r="B40" s="119"/>
      <c r="C40" s="119"/>
      <c r="D40" s="119"/>
      <c r="E40" s="119"/>
      <c r="F40" s="119"/>
      <c r="G40" s="119"/>
      <c r="H40" s="119"/>
      <c r="I40" s="119"/>
      <c r="J40" s="119"/>
      <c r="K40" s="119"/>
      <c r="L40" s="119"/>
      <c r="M40" s="119"/>
      <c r="N40" s="119"/>
      <c r="O40" s="119"/>
      <c r="P40" s="119"/>
      <c r="Q40" s="119"/>
      <c r="R40" s="119"/>
      <c r="S40" s="119"/>
      <c r="T40" s="119"/>
      <c r="V40" s="244" t="s">
        <v>436</v>
      </c>
      <c r="W40" s="244" t="s">
        <v>453</v>
      </c>
      <c r="Y40" s="244" t="s">
        <v>436</v>
      </c>
      <c r="Z40" s="244" t="s">
        <v>453</v>
      </c>
    </row>
    <row r="41" spans="1:27">
      <c r="B41" s="119"/>
      <c r="C41" s="119"/>
      <c r="D41" s="119"/>
      <c r="E41" s="119"/>
      <c r="F41" s="119"/>
      <c r="G41" s="119"/>
      <c r="H41" s="119"/>
      <c r="I41" s="119"/>
      <c r="J41" s="119"/>
      <c r="K41" s="119"/>
      <c r="L41" s="119"/>
      <c r="M41" s="119"/>
      <c r="N41" s="119"/>
      <c r="O41" s="119"/>
      <c r="P41" s="119"/>
      <c r="Q41" s="119"/>
      <c r="R41" s="119"/>
      <c r="S41" s="119"/>
      <c r="T41" s="119"/>
      <c r="V41" s="244" t="s">
        <v>437</v>
      </c>
      <c r="W41" s="245" t="s">
        <v>454</v>
      </c>
      <c r="Y41" s="244" t="s">
        <v>437</v>
      </c>
      <c r="Z41" s="245" t="s">
        <v>454</v>
      </c>
    </row>
    <row r="42" spans="1:27">
      <c r="B42" s="119"/>
      <c r="C42" s="119"/>
      <c r="D42" s="119"/>
      <c r="E42" s="119"/>
      <c r="F42" s="119"/>
      <c r="G42" s="119"/>
      <c r="H42" s="119"/>
      <c r="I42" s="119"/>
      <c r="J42" s="119"/>
      <c r="K42" s="119"/>
      <c r="L42" s="119"/>
      <c r="M42" s="119"/>
      <c r="N42" s="119"/>
      <c r="O42" s="119"/>
      <c r="P42" s="119"/>
      <c r="Q42" s="119"/>
      <c r="R42" s="119"/>
      <c r="S42" s="119"/>
      <c r="T42" s="119"/>
      <c r="V42" s="244" t="s">
        <v>438</v>
      </c>
      <c r="W42" s="244" t="s">
        <v>455</v>
      </c>
      <c r="Y42" s="244" t="s">
        <v>438</v>
      </c>
      <c r="Z42" s="244" t="s">
        <v>455</v>
      </c>
    </row>
    <row r="43" spans="1:27">
      <c r="B43" s="119"/>
      <c r="C43" s="119"/>
      <c r="D43" s="119"/>
      <c r="E43" s="119"/>
      <c r="F43" s="119"/>
      <c r="G43" s="119"/>
      <c r="H43" s="119"/>
      <c r="I43" s="119"/>
      <c r="J43" s="119"/>
      <c r="K43" s="119"/>
      <c r="L43" s="119"/>
      <c r="M43" s="119"/>
      <c r="N43" s="119"/>
      <c r="O43" s="119"/>
      <c r="P43" s="119"/>
      <c r="Q43" s="119"/>
      <c r="R43" s="119"/>
      <c r="S43" s="119"/>
      <c r="T43" s="119"/>
      <c r="V43" s="245" t="s">
        <v>439</v>
      </c>
      <c r="W43" s="244" t="s">
        <v>456</v>
      </c>
      <c r="Y43" s="244" t="s">
        <v>439</v>
      </c>
      <c r="Z43" s="244" t="s">
        <v>456</v>
      </c>
    </row>
    <row r="44" spans="1:27">
      <c r="B44" s="119"/>
      <c r="C44" s="119"/>
      <c r="D44" s="119"/>
      <c r="E44" s="119"/>
      <c r="F44" s="119"/>
      <c r="G44" s="119"/>
      <c r="H44" s="119"/>
      <c r="I44" s="119"/>
      <c r="J44" s="119"/>
      <c r="K44" s="119"/>
      <c r="L44" s="119"/>
      <c r="M44" s="119"/>
      <c r="N44" s="119"/>
      <c r="O44" s="119"/>
      <c r="P44" s="119"/>
      <c r="Q44" s="119"/>
      <c r="R44" s="119"/>
      <c r="S44" s="119"/>
      <c r="T44" s="119"/>
      <c r="V44" s="244" t="s">
        <v>440</v>
      </c>
      <c r="W44" s="244" t="s">
        <v>457</v>
      </c>
      <c r="Y44" s="244" t="s">
        <v>440</v>
      </c>
      <c r="Z44" s="244" t="s">
        <v>457</v>
      </c>
    </row>
    <row r="45" spans="1:27">
      <c r="B45" s="119"/>
      <c r="C45" s="119"/>
      <c r="D45" s="119"/>
      <c r="E45" s="119"/>
      <c r="F45" s="119"/>
      <c r="G45" s="119"/>
      <c r="H45" s="119"/>
      <c r="I45" s="119"/>
      <c r="J45" s="119"/>
      <c r="K45" s="119"/>
      <c r="L45" s="119"/>
      <c r="M45" s="119"/>
      <c r="N45" s="119"/>
      <c r="O45" s="119"/>
      <c r="P45" s="119"/>
      <c r="Q45" s="119"/>
      <c r="R45" s="119"/>
      <c r="S45" s="119"/>
      <c r="T45" s="119"/>
      <c r="V45" s="244" t="s">
        <v>441</v>
      </c>
      <c r="W45" s="244" t="s">
        <v>458</v>
      </c>
      <c r="Y45" s="244" t="s">
        <v>441</v>
      </c>
      <c r="Z45" s="244" t="s">
        <v>458</v>
      </c>
    </row>
    <row r="46" spans="1:27">
      <c r="B46" s="119"/>
      <c r="C46" s="119"/>
      <c r="D46" s="119"/>
      <c r="E46" s="119"/>
      <c r="F46" s="119"/>
      <c r="G46" s="119"/>
      <c r="H46" s="119"/>
      <c r="I46" s="119"/>
      <c r="J46" s="119"/>
      <c r="K46" s="119"/>
      <c r="L46" s="119"/>
      <c r="M46" s="119"/>
      <c r="N46" s="119"/>
      <c r="O46" s="119"/>
      <c r="P46" s="119"/>
      <c r="Q46" s="119"/>
      <c r="R46" s="119"/>
      <c r="S46" s="119"/>
      <c r="T46" s="119"/>
      <c r="V46" s="244" t="s">
        <v>442</v>
      </c>
      <c r="W46" s="244" t="s">
        <v>459</v>
      </c>
      <c r="Y46" s="244" t="s">
        <v>442</v>
      </c>
      <c r="Z46" s="244" t="s">
        <v>459</v>
      </c>
    </row>
    <row r="47" spans="1:27">
      <c r="B47" s="119"/>
      <c r="C47" s="119"/>
      <c r="D47" s="119"/>
      <c r="E47" s="119"/>
      <c r="F47" s="119"/>
      <c r="G47" s="119"/>
      <c r="H47" s="119"/>
      <c r="I47" s="119"/>
      <c r="J47" s="119"/>
      <c r="K47" s="119"/>
      <c r="L47" s="119"/>
      <c r="M47" s="119"/>
      <c r="N47" s="119"/>
      <c r="O47" s="119"/>
      <c r="P47" s="119"/>
      <c r="Q47" s="119"/>
      <c r="R47" s="119"/>
      <c r="S47" s="119"/>
      <c r="T47" s="119"/>
      <c r="V47" s="244" t="s">
        <v>443</v>
      </c>
      <c r="W47" s="244" t="s">
        <v>460</v>
      </c>
      <c r="Y47" s="244" t="s">
        <v>443</v>
      </c>
      <c r="Z47" s="244" t="s">
        <v>460</v>
      </c>
    </row>
    <row r="48" spans="1:27">
      <c r="B48" s="119"/>
      <c r="C48" s="119"/>
      <c r="D48" s="119"/>
      <c r="E48" s="119"/>
      <c r="F48" s="119"/>
      <c r="G48" s="119"/>
      <c r="H48" s="119"/>
      <c r="I48" s="119"/>
      <c r="J48" s="119"/>
      <c r="K48" s="119"/>
      <c r="L48" s="119"/>
      <c r="M48" s="119"/>
      <c r="N48" s="119"/>
      <c r="O48" s="119"/>
      <c r="P48" s="119"/>
      <c r="Q48" s="119"/>
      <c r="R48" s="119"/>
      <c r="S48" s="119"/>
      <c r="T48" s="119"/>
      <c r="V48" s="244" t="s">
        <v>444</v>
      </c>
      <c r="W48" s="245" t="s">
        <v>461</v>
      </c>
      <c r="X48" s="6"/>
      <c r="Y48" s="244" t="s">
        <v>444</v>
      </c>
      <c r="Z48" s="245" t="s">
        <v>461</v>
      </c>
      <c r="AA48" s="6"/>
    </row>
    <row r="49" spans="2:27">
      <c r="B49" s="119"/>
      <c r="C49" s="119"/>
      <c r="D49" s="119"/>
      <c r="E49" s="119"/>
      <c r="F49" s="119"/>
      <c r="G49" s="119"/>
      <c r="H49" s="119"/>
      <c r="I49" s="119"/>
      <c r="J49" s="119"/>
      <c r="K49" s="119"/>
      <c r="L49" s="119"/>
      <c r="M49" s="119"/>
      <c r="N49" s="119"/>
      <c r="O49" s="119"/>
      <c r="P49" s="119"/>
      <c r="Q49" s="119"/>
      <c r="R49" s="119"/>
      <c r="S49" s="119"/>
      <c r="T49" s="119"/>
      <c r="V49" s="244" t="s">
        <v>445</v>
      </c>
      <c r="W49" s="244" t="s">
        <v>462</v>
      </c>
      <c r="X49" s="6"/>
      <c r="Y49" s="244" t="s">
        <v>445</v>
      </c>
      <c r="Z49" s="244" t="s">
        <v>462</v>
      </c>
      <c r="AA49" s="6"/>
    </row>
    <row r="50" spans="2:27">
      <c r="B50" s="119"/>
      <c r="C50" s="119"/>
      <c r="D50" s="119"/>
      <c r="E50" s="119"/>
      <c r="F50" s="119"/>
      <c r="G50" s="119"/>
      <c r="H50" s="119"/>
      <c r="I50" s="119"/>
      <c r="J50" s="119"/>
      <c r="K50" s="119"/>
      <c r="L50" s="119"/>
      <c r="M50" s="119"/>
      <c r="N50" s="119"/>
      <c r="O50" s="119"/>
      <c r="P50" s="119"/>
      <c r="Q50" s="119"/>
      <c r="R50" s="119"/>
      <c r="S50" s="119"/>
      <c r="T50" s="119"/>
      <c r="V50" s="246" t="s">
        <v>446</v>
      </c>
      <c r="W50" s="244" t="s">
        <v>463</v>
      </c>
      <c r="X50" s="6"/>
      <c r="Y50" s="246" t="s">
        <v>446</v>
      </c>
      <c r="Z50" s="244" t="s">
        <v>463</v>
      </c>
      <c r="AA50" s="6"/>
    </row>
    <row r="51" spans="2:27">
      <c r="B51" s="119"/>
      <c r="C51" s="119"/>
      <c r="D51" s="119"/>
      <c r="E51" s="119"/>
      <c r="F51" s="119"/>
      <c r="G51" s="119"/>
      <c r="H51" s="119"/>
      <c r="I51" s="119"/>
      <c r="J51" s="119"/>
      <c r="K51" s="119"/>
      <c r="L51" s="119"/>
      <c r="M51" s="119"/>
      <c r="N51" s="119"/>
      <c r="O51" s="119"/>
      <c r="P51" s="119"/>
      <c r="Q51" s="119"/>
      <c r="R51" s="119"/>
      <c r="S51" s="119"/>
      <c r="T51" s="119"/>
      <c r="V51" s="247" t="s">
        <v>447</v>
      </c>
      <c r="W51" s="244" t="s">
        <v>464</v>
      </c>
      <c r="X51" s="6"/>
      <c r="Y51" s="247" t="s">
        <v>447</v>
      </c>
      <c r="Z51" s="244" t="s">
        <v>464</v>
      </c>
      <c r="AA51" s="6"/>
    </row>
    <row r="52" spans="2:27">
      <c r="B52" s="119"/>
      <c r="C52" s="119"/>
      <c r="D52" s="119"/>
      <c r="E52" s="119"/>
      <c r="F52" s="119"/>
      <c r="G52" s="119"/>
      <c r="H52" s="119"/>
      <c r="I52" s="119"/>
      <c r="J52" s="119"/>
      <c r="K52" s="119"/>
      <c r="L52" s="119"/>
      <c r="M52" s="119"/>
      <c r="N52" s="119"/>
      <c r="O52" s="119"/>
      <c r="P52" s="119"/>
      <c r="Q52" s="119"/>
      <c r="R52" s="119"/>
      <c r="S52" s="119"/>
      <c r="T52" s="119"/>
      <c r="V52" s="295"/>
      <c r="W52" s="244" t="s">
        <v>465</v>
      </c>
      <c r="X52" s="6"/>
      <c r="Y52" s="284"/>
      <c r="Z52" s="244" t="s">
        <v>465</v>
      </c>
      <c r="AA52" s="6"/>
    </row>
    <row r="53" spans="2:27">
      <c r="B53" s="119"/>
      <c r="C53" s="119"/>
      <c r="D53" s="119"/>
      <c r="E53" s="119"/>
      <c r="F53" s="119"/>
      <c r="G53" s="119"/>
      <c r="H53" s="119"/>
      <c r="I53" s="119"/>
      <c r="J53" s="119"/>
      <c r="K53" s="119"/>
      <c r="L53" s="119"/>
      <c r="M53" s="119"/>
      <c r="N53" s="119"/>
      <c r="O53" s="119"/>
      <c r="P53" s="119"/>
      <c r="Q53" s="119"/>
      <c r="R53" s="119"/>
      <c r="S53" s="119"/>
      <c r="T53" s="119"/>
      <c r="V53" s="204"/>
      <c r="W53" s="248" t="s">
        <v>466</v>
      </c>
      <c r="X53" s="6"/>
      <c r="Y53" s="257"/>
      <c r="Z53" s="258" t="s">
        <v>466</v>
      </c>
      <c r="AA53" s="6"/>
    </row>
    <row r="54" spans="2:27">
      <c r="B54" s="119"/>
      <c r="C54" s="119"/>
      <c r="D54" s="119"/>
      <c r="E54" s="119"/>
      <c r="F54" s="119"/>
      <c r="G54" s="119"/>
      <c r="H54" s="119"/>
      <c r="I54" s="119"/>
      <c r="J54" s="119"/>
      <c r="K54" s="119"/>
      <c r="L54" s="119"/>
      <c r="M54" s="119"/>
      <c r="N54" s="119"/>
      <c r="O54" s="119"/>
      <c r="P54" s="119"/>
      <c r="Q54" s="119"/>
      <c r="R54" s="119"/>
      <c r="S54" s="119"/>
      <c r="T54" s="119"/>
      <c r="V54" s="250"/>
      <c r="W54" s="251"/>
      <c r="X54" s="6"/>
      <c r="Y54" s="250"/>
      <c r="Z54" s="251"/>
      <c r="AA54" s="6"/>
    </row>
    <row r="55" spans="2:27">
      <c r="B55" s="119"/>
      <c r="C55" s="119"/>
      <c r="D55" s="119"/>
      <c r="E55" s="119"/>
      <c r="F55" s="119"/>
      <c r="G55" s="119"/>
      <c r="H55" s="119"/>
      <c r="I55" s="119"/>
      <c r="J55" s="119"/>
      <c r="K55" s="119"/>
      <c r="L55" s="119"/>
      <c r="M55" s="119"/>
      <c r="N55" s="119"/>
      <c r="O55" s="119"/>
      <c r="P55" s="119"/>
      <c r="Q55" s="119"/>
      <c r="R55" s="119"/>
      <c r="S55" s="119"/>
      <c r="T55" s="119"/>
      <c r="V55" s="249"/>
      <c r="W55" s="251"/>
      <c r="X55" s="6"/>
      <c r="Y55" s="249"/>
      <c r="Z55" s="251"/>
      <c r="AA55" s="6"/>
    </row>
    <row r="56" spans="2:27">
      <c r="V56" s="6"/>
      <c r="W56" s="6"/>
      <c r="X56" s="6"/>
      <c r="Y56" s="6"/>
      <c r="Z56" s="6"/>
      <c r="AA56" s="6"/>
    </row>
    <row r="57" spans="2:27">
      <c r="V57" s="6"/>
      <c r="W57" s="6"/>
      <c r="X57" s="6"/>
      <c r="Y57" s="6"/>
      <c r="Z57" s="6"/>
      <c r="AA57" s="6"/>
    </row>
  </sheetData>
  <mergeCells count="24">
    <mergeCell ref="B17:L17"/>
    <mergeCell ref="B11:L11"/>
    <mergeCell ref="C12:L12"/>
    <mergeCell ref="C13:L13"/>
    <mergeCell ref="C14:L14"/>
    <mergeCell ref="C15:L15"/>
    <mergeCell ref="B3:T3"/>
    <mergeCell ref="B4:T4"/>
    <mergeCell ref="B5:T5"/>
    <mergeCell ref="R7:T7"/>
    <mergeCell ref="B9:L9"/>
    <mergeCell ref="N9:T9"/>
    <mergeCell ref="C18:L18"/>
    <mergeCell ref="C19:L19"/>
    <mergeCell ref="C20:L20"/>
    <mergeCell ref="D21:L22"/>
    <mergeCell ref="C23:L25"/>
    <mergeCell ref="C26:L28"/>
    <mergeCell ref="C29:L30"/>
    <mergeCell ref="B32:T32"/>
    <mergeCell ref="Y32:Z32"/>
    <mergeCell ref="Y33:Z33"/>
    <mergeCell ref="V32:W32"/>
    <mergeCell ref="V33:W33"/>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B49073"/>
  </sheetPr>
  <dimension ref="A1:C2"/>
  <sheetViews>
    <sheetView showGridLines="0" showRowColHeaders="0" zoomScale="70" zoomScaleNormal="70" workbookViewId="0"/>
  </sheetViews>
  <sheetFormatPr defaultRowHeight="14.25"/>
  <cols>
    <col min="1" max="1" width="12.33203125" customWidth="1"/>
    <col min="3" max="3" width="12.46484375" customWidth="1"/>
  </cols>
  <sheetData>
    <row r="1" spans="1:3" ht="15.75">
      <c r="A1" s="16" t="s">
        <v>661</v>
      </c>
    </row>
    <row r="2" spans="1:3" ht="15.75">
      <c r="A2" s="26" t="s">
        <v>34</v>
      </c>
      <c r="C2" s="27">
        <v>42977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5DAC7"/>
  </sheetPr>
  <dimension ref="A2:AA55"/>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469</v>
      </c>
      <c r="C3" s="338"/>
      <c r="D3" s="338"/>
      <c r="E3" s="338"/>
      <c r="F3" s="338"/>
      <c r="G3" s="338"/>
      <c r="H3" s="338"/>
      <c r="I3" s="338"/>
      <c r="J3" s="338"/>
      <c r="K3" s="338"/>
      <c r="L3" s="338"/>
      <c r="M3" s="338"/>
      <c r="N3" s="338"/>
      <c r="O3" s="338"/>
      <c r="P3" s="338"/>
      <c r="Q3" s="338"/>
      <c r="R3" s="338"/>
      <c r="S3" s="338"/>
      <c r="T3" s="338"/>
    </row>
    <row r="4" spans="1:20" ht="30.75">
      <c r="B4" s="339" t="s">
        <v>478</v>
      </c>
      <c r="C4" s="339"/>
      <c r="D4" s="339"/>
      <c r="E4" s="339"/>
      <c r="F4" s="339"/>
      <c r="G4" s="339"/>
      <c r="H4" s="339"/>
      <c r="I4" s="339"/>
      <c r="J4" s="339"/>
      <c r="K4" s="339"/>
      <c r="L4" s="339"/>
      <c r="M4" s="339"/>
      <c r="N4" s="339"/>
      <c r="O4" s="339"/>
      <c r="P4" s="339"/>
      <c r="Q4" s="339"/>
      <c r="R4" s="339"/>
      <c r="S4" s="339"/>
      <c r="T4" s="339"/>
    </row>
    <row r="5" spans="1:20" ht="18">
      <c r="B5" s="340" t="s">
        <v>214</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306</v>
      </c>
      <c r="C9" s="341"/>
      <c r="D9" s="341"/>
      <c r="E9" s="341"/>
      <c r="F9" s="341"/>
      <c r="G9" s="341"/>
      <c r="H9" s="341"/>
      <c r="I9" s="341"/>
      <c r="J9" s="341"/>
      <c r="K9" s="341"/>
      <c r="L9" s="341"/>
      <c r="N9" s="331" t="s">
        <v>38</v>
      </c>
      <c r="O9" s="331"/>
      <c r="P9" s="331"/>
      <c r="Q9" s="331"/>
      <c r="R9" s="331"/>
      <c r="S9" s="331"/>
      <c r="T9" s="331"/>
    </row>
    <row r="10" spans="1:20" ht="23.25">
      <c r="B10" s="216"/>
      <c r="C10" s="216"/>
      <c r="D10" s="216"/>
      <c r="E10" s="216"/>
      <c r="F10" s="216"/>
      <c r="G10" s="216"/>
      <c r="H10" s="216"/>
      <c r="I10" s="216"/>
      <c r="J10" s="216"/>
      <c r="K10" s="216"/>
      <c r="L10" s="216"/>
      <c r="N10" s="122"/>
      <c r="O10" s="122"/>
      <c r="P10" s="122"/>
      <c r="Q10" s="122"/>
      <c r="R10" s="122"/>
      <c r="S10" s="122"/>
      <c r="T10" s="122"/>
    </row>
    <row r="11" spans="1:20">
      <c r="B11" s="348" t="s">
        <v>40</v>
      </c>
      <c r="C11" s="348"/>
      <c r="D11" s="348"/>
      <c r="E11" s="348"/>
      <c r="F11" s="348"/>
      <c r="G11" s="348"/>
      <c r="H11" s="348"/>
      <c r="I11" s="348"/>
      <c r="J11" s="348"/>
      <c r="K11" s="348"/>
      <c r="L11" s="348"/>
      <c r="N11" s="11"/>
      <c r="O11" s="11"/>
      <c r="P11" s="11"/>
      <c r="Q11" s="11"/>
    </row>
    <row r="12" spans="1:20">
      <c r="B12" s="217"/>
      <c r="C12" s="349" t="s">
        <v>377</v>
      </c>
      <c r="D12" s="349"/>
      <c r="E12" s="349"/>
      <c r="F12" s="349"/>
      <c r="G12" s="349"/>
      <c r="H12" s="349"/>
      <c r="I12" s="349"/>
      <c r="J12" s="349"/>
      <c r="K12" s="349"/>
      <c r="L12" s="349"/>
      <c r="N12" s="11"/>
      <c r="O12" s="11"/>
      <c r="P12" s="11"/>
      <c r="Q12" s="11"/>
    </row>
    <row r="13" spans="1:20">
      <c r="B13" s="218"/>
      <c r="C13" s="350" t="s">
        <v>307</v>
      </c>
      <c r="D13" s="350"/>
      <c r="E13" s="350"/>
      <c r="F13" s="350"/>
      <c r="G13" s="350"/>
      <c r="H13" s="350"/>
      <c r="I13" s="350"/>
      <c r="J13" s="350"/>
      <c r="K13" s="350"/>
      <c r="L13" s="350"/>
      <c r="N13" s="110"/>
      <c r="O13" s="111"/>
      <c r="P13" s="111"/>
      <c r="Q13" s="111"/>
    </row>
    <row r="14" spans="1:20">
      <c r="B14" s="218"/>
      <c r="C14" s="346" t="s">
        <v>292</v>
      </c>
      <c r="D14" s="346"/>
      <c r="E14" s="346"/>
      <c r="F14" s="346"/>
      <c r="G14" s="346"/>
      <c r="H14" s="346"/>
      <c r="I14" s="346"/>
      <c r="J14" s="346"/>
      <c r="K14" s="346"/>
      <c r="L14" s="346"/>
      <c r="N14" s="110"/>
      <c r="O14" s="111"/>
      <c r="P14" s="111"/>
      <c r="Q14" s="111"/>
    </row>
    <row r="15" spans="1:20">
      <c r="B15" s="218"/>
      <c r="C15" s="346" t="s">
        <v>308</v>
      </c>
      <c r="D15" s="346"/>
      <c r="E15" s="346"/>
      <c r="F15" s="346"/>
      <c r="G15" s="346"/>
      <c r="H15" s="346"/>
      <c r="I15" s="346"/>
      <c r="J15" s="346"/>
      <c r="K15" s="346"/>
      <c r="L15" s="346"/>
      <c r="N15" s="110"/>
      <c r="O15" s="111"/>
      <c r="P15" s="111"/>
      <c r="Q15" s="111"/>
    </row>
    <row r="16" spans="1:20">
      <c r="A16" s="3"/>
      <c r="B16" s="218"/>
      <c r="C16" s="219"/>
      <c r="D16" s="219"/>
      <c r="E16" s="219"/>
      <c r="F16" s="219"/>
      <c r="G16" s="219"/>
      <c r="H16" s="219"/>
      <c r="I16" s="219"/>
      <c r="J16" s="219"/>
      <c r="K16" s="219"/>
      <c r="L16" s="218"/>
      <c r="N16" s="110"/>
      <c r="O16" s="111"/>
      <c r="P16" s="111"/>
      <c r="Q16" s="111"/>
    </row>
    <row r="17" spans="1:26">
      <c r="A17" s="3"/>
      <c r="B17" s="348" t="s">
        <v>41</v>
      </c>
      <c r="C17" s="348"/>
      <c r="D17" s="348"/>
      <c r="E17" s="348"/>
      <c r="F17" s="348"/>
      <c r="G17" s="348"/>
      <c r="H17" s="348"/>
      <c r="I17" s="348"/>
      <c r="J17" s="348"/>
      <c r="K17" s="348"/>
      <c r="L17" s="348"/>
      <c r="N17" s="110"/>
      <c r="O17" s="111"/>
      <c r="P17" s="111"/>
      <c r="Q17" s="111"/>
    </row>
    <row r="18" spans="1:26">
      <c r="A18" s="3"/>
      <c r="B18" s="217"/>
      <c r="C18" s="346" t="s">
        <v>295</v>
      </c>
      <c r="D18" s="346"/>
      <c r="E18" s="346"/>
      <c r="F18" s="346"/>
      <c r="G18" s="346"/>
      <c r="H18" s="346"/>
      <c r="I18" s="346"/>
      <c r="J18" s="346"/>
      <c r="K18" s="346"/>
      <c r="L18" s="346"/>
      <c r="N18" s="110"/>
      <c r="O18" s="111"/>
      <c r="P18" s="111"/>
      <c r="Q18" s="111"/>
    </row>
    <row r="19" spans="1:26">
      <c r="A19" s="3"/>
      <c r="B19" s="218"/>
      <c r="C19" s="346" t="s">
        <v>317</v>
      </c>
      <c r="D19" s="346"/>
      <c r="E19" s="346"/>
      <c r="F19" s="346"/>
      <c r="G19" s="346"/>
      <c r="H19" s="346"/>
      <c r="I19" s="346"/>
      <c r="J19" s="346"/>
      <c r="K19" s="346"/>
      <c r="L19" s="346"/>
      <c r="N19" s="110"/>
      <c r="O19" s="111"/>
      <c r="P19" s="111"/>
      <c r="Q19" s="111"/>
    </row>
    <row r="20" spans="1:26">
      <c r="A20" s="3"/>
      <c r="B20" s="218"/>
      <c r="C20" s="346" t="s">
        <v>369</v>
      </c>
      <c r="D20" s="346"/>
      <c r="E20" s="346"/>
      <c r="F20" s="346"/>
      <c r="G20" s="346"/>
      <c r="H20" s="346"/>
      <c r="I20" s="346"/>
      <c r="J20" s="346"/>
      <c r="K20" s="346"/>
      <c r="L20" s="346"/>
      <c r="N20" s="110"/>
      <c r="O20" s="111"/>
      <c r="P20" s="111"/>
      <c r="Q20" s="111"/>
    </row>
    <row r="21" spans="1:26">
      <c r="A21" s="3"/>
      <c r="B21" s="218"/>
      <c r="C21" s="220" t="str">
        <f>"--&gt;"</f>
        <v>--&gt;</v>
      </c>
      <c r="D21" s="347" t="s">
        <v>212</v>
      </c>
      <c r="E21" s="347"/>
      <c r="F21" s="347"/>
      <c r="G21" s="347"/>
      <c r="H21" s="347"/>
      <c r="I21" s="347"/>
      <c r="J21" s="347"/>
      <c r="K21" s="347"/>
      <c r="L21" s="347"/>
      <c r="N21" s="110"/>
      <c r="O21" s="111"/>
      <c r="P21" s="111"/>
      <c r="Q21" s="111"/>
    </row>
    <row r="22" spans="1:26">
      <c r="A22" s="3"/>
      <c r="B22" s="218"/>
      <c r="C22" s="218"/>
      <c r="D22" s="347"/>
      <c r="E22" s="347"/>
      <c r="F22" s="347"/>
      <c r="G22" s="347"/>
      <c r="H22" s="347"/>
      <c r="I22" s="347"/>
      <c r="J22" s="347"/>
      <c r="K22" s="347"/>
      <c r="L22" s="347"/>
      <c r="N22" s="110"/>
      <c r="O22" s="111"/>
      <c r="P22" s="111"/>
      <c r="Q22" s="111"/>
    </row>
    <row r="23" spans="1:26">
      <c r="A23" s="3"/>
      <c r="B23" s="218"/>
      <c r="C23" s="346" t="s">
        <v>356</v>
      </c>
      <c r="D23" s="346"/>
      <c r="E23" s="346"/>
      <c r="F23" s="346"/>
      <c r="G23" s="346"/>
      <c r="H23" s="346"/>
      <c r="I23" s="346"/>
      <c r="J23" s="346"/>
      <c r="K23" s="346"/>
      <c r="L23" s="346"/>
    </row>
    <row r="24" spans="1:26">
      <c r="A24" s="3"/>
      <c r="B24" s="218"/>
      <c r="C24" s="346"/>
      <c r="D24" s="346"/>
      <c r="E24" s="346"/>
      <c r="F24" s="346"/>
      <c r="G24" s="346"/>
      <c r="H24" s="346"/>
      <c r="I24" s="346"/>
      <c r="J24" s="346"/>
      <c r="K24" s="346"/>
      <c r="L24" s="346"/>
      <c r="Q24" s="2"/>
      <c r="S24" s="11"/>
      <c r="T24" s="11"/>
    </row>
    <row r="25" spans="1:26">
      <c r="A25" s="3"/>
      <c r="B25" s="218"/>
      <c r="C25" s="346"/>
      <c r="D25" s="346"/>
      <c r="E25" s="346"/>
      <c r="F25" s="346"/>
      <c r="G25" s="346"/>
      <c r="H25" s="346"/>
      <c r="I25" s="346"/>
      <c r="J25" s="346"/>
      <c r="K25" s="346"/>
      <c r="L25" s="346"/>
      <c r="Q25" s="2"/>
      <c r="S25" s="11"/>
      <c r="T25" s="11"/>
    </row>
    <row r="26" spans="1:26" ht="14.45" customHeight="1">
      <c r="A26" s="3"/>
      <c r="B26" s="218"/>
      <c r="C26" s="344" t="s">
        <v>322</v>
      </c>
      <c r="D26" s="344"/>
      <c r="E26" s="344"/>
      <c r="F26" s="344"/>
      <c r="G26" s="344"/>
      <c r="H26" s="344"/>
      <c r="I26" s="344"/>
      <c r="J26" s="344"/>
      <c r="K26" s="344"/>
      <c r="L26" s="344"/>
      <c r="Q26" s="2"/>
      <c r="S26" s="11"/>
      <c r="T26" s="11"/>
    </row>
    <row r="27" spans="1:26">
      <c r="B27" s="219"/>
      <c r="C27" s="344"/>
      <c r="D27" s="344"/>
      <c r="E27" s="344"/>
      <c r="F27" s="344"/>
      <c r="G27" s="344"/>
      <c r="H27" s="344"/>
      <c r="I27" s="344"/>
      <c r="J27" s="344"/>
      <c r="K27" s="344"/>
      <c r="L27" s="344"/>
      <c r="Q27" s="2"/>
      <c r="S27" s="11"/>
      <c r="T27" s="11"/>
    </row>
    <row r="28" spans="1:26">
      <c r="B28" s="219"/>
      <c r="C28" s="344"/>
      <c r="D28" s="344"/>
      <c r="E28" s="344"/>
      <c r="F28" s="344"/>
      <c r="G28" s="344"/>
      <c r="H28" s="344"/>
      <c r="I28" s="344"/>
      <c r="J28" s="344"/>
      <c r="K28" s="344"/>
      <c r="L28" s="344"/>
      <c r="Q28" s="2"/>
      <c r="S28" s="11"/>
      <c r="T28" s="11"/>
    </row>
    <row r="29" spans="1:26">
      <c r="B29" s="221"/>
      <c r="C29" s="345"/>
      <c r="D29" s="345"/>
      <c r="E29" s="345"/>
      <c r="F29" s="345"/>
      <c r="G29" s="345"/>
      <c r="H29" s="345"/>
      <c r="I29" s="345"/>
      <c r="J29" s="345"/>
      <c r="K29" s="345"/>
      <c r="L29" s="345"/>
      <c r="S29" s="11"/>
      <c r="T29" s="11"/>
    </row>
    <row r="30" spans="1:26">
      <c r="B30" s="222"/>
      <c r="C30" s="345"/>
      <c r="D30" s="345"/>
      <c r="E30" s="345"/>
      <c r="F30" s="345"/>
      <c r="G30" s="345"/>
      <c r="H30" s="345"/>
      <c r="I30" s="345"/>
      <c r="J30" s="345"/>
      <c r="K30" s="345"/>
      <c r="L30" s="345"/>
      <c r="M30" s="9"/>
      <c r="N30" s="122"/>
      <c r="O30" s="34"/>
      <c r="P30" s="35"/>
      <c r="Q30" s="35"/>
      <c r="R30" s="35"/>
      <c r="S30" s="35"/>
      <c r="T30" s="122"/>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19"/>
      <c r="C33" s="119"/>
      <c r="D33" s="119"/>
      <c r="E33" s="119"/>
      <c r="F33" s="119"/>
      <c r="G33" s="119"/>
      <c r="H33" s="119"/>
      <c r="I33" s="119"/>
      <c r="J33" s="119"/>
      <c r="K33" s="119"/>
      <c r="L33" s="119"/>
      <c r="M33" s="119"/>
      <c r="N33" s="119"/>
      <c r="O33" s="119"/>
      <c r="P33" s="119"/>
      <c r="Q33" s="119"/>
      <c r="R33" s="119"/>
      <c r="S33" s="119"/>
      <c r="T33" s="119"/>
      <c r="V33" s="319" t="s">
        <v>65</v>
      </c>
      <c r="W33" s="320"/>
      <c r="X33" s="11"/>
      <c r="Y33" s="319" t="s">
        <v>66</v>
      </c>
      <c r="Z33" s="320"/>
    </row>
    <row r="34" spans="1:27">
      <c r="B34" s="119"/>
      <c r="C34" s="119"/>
      <c r="D34" s="119"/>
      <c r="E34" s="119"/>
      <c r="F34" s="119"/>
      <c r="G34" s="119"/>
      <c r="H34" s="119"/>
      <c r="I34" s="119"/>
      <c r="J34" s="119"/>
      <c r="K34" s="119"/>
      <c r="L34" s="119"/>
      <c r="M34" s="119"/>
      <c r="N34" s="119"/>
      <c r="O34" s="119"/>
      <c r="P34" s="119"/>
      <c r="Q34" s="119"/>
      <c r="R34" s="119"/>
      <c r="S34" s="119"/>
      <c r="T34" s="119"/>
      <c r="V34" s="56" t="s">
        <v>61</v>
      </c>
      <c r="W34" s="56" t="s">
        <v>62</v>
      </c>
      <c r="X34" s="11"/>
      <c r="Y34" s="56" t="s">
        <v>61</v>
      </c>
      <c r="Z34" s="56" t="s">
        <v>62</v>
      </c>
    </row>
    <row r="35" spans="1:27">
      <c r="B35" s="119"/>
      <c r="C35" s="119"/>
      <c r="D35" s="119"/>
      <c r="E35" s="119"/>
      <c r="F35" s="119"/>
      <c r="G35" s="119"/>
      <c r="H35" s="119"/>
      <c r="I35" s="119"/>
      <c r="J35" s="119"/>
      <c r="K35" s="119"/>
      <c r="L35" s="119"/>
      <c r="M35" s="119"/>
      <c r="N35" s="119"/>
      <c r="O35" s="119"/>
      <c r="P35" s="119"/>
      <c r="Q35" s="119"/>
      <c r="R35" s="119"/>
      <c r="S35" s="119"/>
      <c r="T35" s="119"/>
      <c r="V35" s="244" t="s">
        <v>392</v>
      </c>
      <c r="W35" s="244" t="s">
        <v>448</v>
      </c>
      <c r="X35" s="11"/>
      <c r="Y35" s="244" t="s">
        <v>392</v>
      </c>
      <c r="Z35" s="244" t="s">
        <v>448</v>
      </c>
    </row>
    <row r="36" spans="1:27">
      <c r="B36" s="119"/>
      <c r="C36" s="119"/>
      <c r="D36" s="119"/>
      <c r="E36" s="119"/>
      <c r="F36" s="119"/>
      <c r="G36" s="119"/>
      <c r="H36" s="119"/>
      <c r="I36" s="119"/>
      <c r="J36" s="119"/>
      <c r="K36" s="119"/>
      <c r="L36" s="119"/>
      <c r="M36" s="119"/>
      <c r="N36" s="119"/>
      <c r="O36" s="119"/>
      <c r="P36" s="119"/>
      <c r="Q36" s="119"/>
      <c r="R36" s="119"/>
      <c r="S36" s="119"/>
      <c r="T36" s="119"/>
      <c r="V36" s="244" t="s">
        <v>393</v>
      </c>
      <c r="W36" s="244" t="s">
        <v>449</v>
      </c>
      <c r="X36" s="11"/>
      <c r="Y36" s="244" t="s">
        <v>393</v>
      </c>
      <c r="Z36" s="244" t="s">
        <v>449</v>
      </c>
    </row>
    <row r="37" spans="1:27">
      <c r="B37" s="119"/>
      <c r="C37" s="119"/>
      <c r="D37" s="119"/>
      <c r="E37" s="119"/>
      <c r="F37" s="119"/>
      <c r="G37" s="119"/>
      <c r="H37" s="119"/>
      <c r="I37" s="119"/>
      <c r="J37" s="119"/>
      <c r="K37" s="119"/>
      <c r="L37" s="119"/>
      <c r="M37" s="119"/>
      <c r="N37" s="119"/>
      <c r="O37" s="119"/>
      <c r="P37" s="119"/>
      <c r="Q37" s="119"/>
      <c r="R37" s="119"/>
      <c r="S37" s="119"/>
      <c r="T37" s="119"/>
      <c r="V37" s="244" t="s">
        <v>394</v>
      </c>
      <c r="W37" s="244" t="s">
        <v>450</v>
      </c>
      <c r="X37" s="11"/>
      <c r="Y37" s="244" t="s">
        <v>394</v>
      </c>
      <c r="Z37" s="244" t="s">
        <v>450</v>
      </c>
    </row>
    <row r="38" spans="1:27">
      <c r="B38" s="119"/>
      <c r="C38" s="119"/>
      <c r="D38" s="119"/>
      <c r="E38" s="119"/>
      <c r="F38" s="119"/>
      <c r="G38" s="119"/>
      <c r="H38" s="119"/>
      <c r="I38" s="119"/>
      <c r="J38" s="119"/>
      <c r="K38" s="119"/>
      <c r="L38" s="119"/>
      <c r="M38" s="119"/>
      <c r="N38" s="119"/>
      <c r="O38" s="119"/>
      <c r="P38" s="119"/>
      <c r="Q38" s="119"/>
      <c r="R38" s="119"/>
      <c r="S38" s="119"/>
      <c r="T38" s="119"/>
      <c r="V38" s="244" t="s">
        <v>434</v>
      </c>
      <c r="W38" s="244" t="s">
        <v>451</v>
      </c>
      <c r="X38" s="11"/>
      <c r="Y38" s="244" t="s">
        <v>434</v>
      </c>
      <c r="Z38" s="244" t="s">
        <v>451</v>
      </c>
    </row>
    <row r="39" spans="1:27">
      <c r="B39" s="119"/>
      <c r="C39" s="119"/>
      <c r="D39" s="119"/>
      <c r="E39" s="119"/>
      <c r="F39" s="119"/>
      <c r="G39" s="119"/>
      <c r="H39" s="119"/>
      <c r="I39" s="119"/>
      <c r="J39" s="119"/>
      <c r="K39" s="119"/>
      <c r="L39" s="119"/>
      <c r="M39" s="119"/>
      <c r="N39" s="119"/>
      <c r="O39" s="119"/>
      <c r="P39" s="119"/>
      <c r="Q39" s="119"/>
      <c r="R39" s="119"/>
      <c r="S39" s="119"/>
      <c r="T39" s="119"/>
      <c r="V39" s="244" t="s">
        <v>435</v>
      </c>
      <c r="W39" s="244" t="s">
        <v>452</v>
      </c>
      <c r="Y39" s="244" t="s">
        <v>435</v>
      </c>
      <c r="Z39" s="244" t="s">
        <v>452</v>
      </c>
    </row>
    <row r="40" spans="1:27">
      <c r="B40" s="119"/>
      <c r="C40" s="119"/>
      <c r="D40" s="119"/>
      <c r="E40" s="119"/>
      <c r="F40" s="119"/>
      <c r="G40" s="119"/>
      <c r="H40" s="119"/>
      <c r="I40" s="119"/>
      <c r="J40" s="119"/>
      <c r="K40" s="119"/>
      <c r="L40" s="119"/>
      <c r="M40" s="119"/>
      <c r="N40" s="119"/>
      <c r="O40" s="119"/>
      <c r="P40" s="119"/>
      <c r="Q40" s="119"/>
      <c r="R40" s="119"/>
      <c r="S40" s="119"/>
      <c r="T40" s="119"/>
      <c r="V40" s="244" t="s">
        <v>436</v>
      </c>
      <c r="W40" s="244" t="s">
        <v>453</v>
      </c>
      <c r="Y40" s="244" t="s">
        <v>436</v>
      </c>
      <c r="Z40" s="244" t="s">
        <v>453</v>
      </c>
    </row>
    <row r="41" spans="1:27">
      <c r="B41" s="119"/>
      <c r="C41" s="119"/>
      <c r="D41" s="119"/>
      <c r="E41" s="119"/>
      <c r="F41" s="119"/>
      <c r="G41" s="119"/>
      <c r="H41" s="119"/>
      <c r="I41" s="119"/>
      <c r="J41" s="119"/>
      <c r="K41" s="119"/>
      <c r="L41" s="119"/>
      <c r="M41" s="119"/>
      <c r="N41" s="119"/>
      <c r="O41" s="119"/>
      <c r="P41" s="119"/>
      <c r="Q41" s="119"/>
      <c r="R41" s="119"/>
      <c r="S41" s="119"/>
      <c r="T41" s="119"/>
      <c r="V41" s="244" t="s">
        <v>437</v>
      </c>
      <c r="W41" s="245" t="s">
        <v>454</v>
      </c>
      <c r="Y41" s="244" t="s">
        <v>437</v>
      </c>
      <c r="Z41" s="245" t="s">
        <v>454</v>
      </c>
    </row>
    <row r="42" spans="1:27">
      <c r="B42" s="119"/>
      <c r="C42" s="119"/>
      <c r="D42" s="119"/>
      <c r="E42" s="119"/>
      <c r="F42" s="119"/>
      <c r="G42" s="119"/>
      <c r="H42" s="119"/>
      <c r="I42" s="119"/>
      <c r="J42" s="119"/>
      <c r="K42" s="119"/>
      <c r="L42" s="119"/>
      <c r="M42" s="119"/>
      <c r="N42" s="119"/>
      <c r="O42" s="119"/>
      <c r="P42" s="119"/>
      <c r="Q42" s="119"/>
      <c r="R42" s="119"/>
      <c r="S42" s="119"/>
      <c r="T42" s="119"/>
      <c r="V42" s="244" t="s">
        <v>438</v>
      </c>
      <c r="W42" s="244" t="s">
        <v>455</v>
      </c>
      <c r="Y42" s="244" t="s">
        <v>438</v>
      </c>
      <c r="Z42" s="244" t="s">
        <v>455</v>
      </c>
    </row>
    <row r="43" spans="1:27">
      <c r="B43" s="119"/>
      <c r="C43" s="119"/>
      <c r="D43" s="119"/>
      <c r="E43" s="119"/>
      <c r="F43" s="119"/>
      <c r="G43" s="119"/>
      <c r="H43" s="119"/>
      <c r="I43" s="119"/>
      <c r="J43" s="119"/>
      <c r="K43" s="119"/>
      <c r="L43" s="119"/>
      <c r="M43" s="119"/>
      <c r="N43" s="119"/>
      <c r="O43" s="119"/>
      <c r="P43" s="119"/>
      <c r="Q43" s="119"/>
      <c r="R43" s="119"/>
      <c r="S43" s="119"/>
      <c r="T43" s="119"/>
      <c r="V43" s="245" t="s">
        <v>439</v>
      </c>
      <c r="W43" s="244" t="s">
        <v>456</v>
      </c>
      <c r="Y43" s="244" t="s">
        <v>439</v>
      </c>
      <c r="Z43" s="244" t="s">
        <v>456</v>
      </c>
    </row>
    <row r="44" spans="1:27">
      <c r="B44" s="119"/>
      <c r="C44" s="119"/>
      <c r="D44" s="119"/>
      <c r="E44" s="119"/>
      <c r="F44" s="119"/>
      <c r="G44" s="119"/>
      <c r="H44" s="119"/>
      <c r="I44" s="119"/>
      <c r="J44" s="119"/>
      <c r="K44" s="119"/>
      <c r="L44" s="119"/>
      <c r="M44" s="119"/>
      <c r="N44" s="119"/>
      <c r="O44" s="119"/>
      <c r="P44" s="119"/>
      <c r="Q44" s="119"/>
      <c r="R44" s="119"/>
      <c r="S44" s="119"/>
      <c r="T44" s="119"/>
      <c r="V44" s="244" t="s">
        <v>440</v>
      </c>
      <c r="W44" s="244" t="s">
        <v>457</v>
      </c>
      <c r="Y44" s="244" t="s">
        <v>440</v>
      </c>
      <c r="Z44" s="244" t="s">
        <v>457</v>
      </c>
    </row>
    <row r="45" spans="1:27">
      <c r="B45" s="119"/>
      <c r="C45" s="119"/>
      <c r="D45" s="119"/>
      <c r="E45" s="119"/>
      <c r="F45" s="119"/>
      <c r="G45" s="119"/>
      <c r="H45" s="119"/>
      <c r="I45" s="119"/>
      <c r="J45" s="119"/>
      <c r="K45" s="119"/>
      <c r="L45" s="119"/>
      <c r="M45" s="119"/>
      <c r="N45" s="119"/>
      <c r="O45" s="119"/>
      <c r="P45" s="119"/>
      <c r="Q45" s="119"/>
      <c r="R45" s="119"/>
      <c r="S45" s="119"/>
      <c r="T45" s="119"/>
      <c r="V45" s="244" t="s">
        <v>441</v>
      </c>
      <c r="W45" s="244" t="s">
        <v>458</v>
      </c>
      <c r="Y45" s="244" t="s">
        <v>441</v>
      </c>
      <c r="Z45" s="244" t="s">
        <v>458</v>
      </c>
    </row>
    <row r="46" spans="1:27">
      <c r="B46" s="119"/>
      <c r="C46" s="119"/>
      <c r="D46" s="119"/>
      <c r="E46" s="119"/>
      <c r="F46" s="119"/>
      <c r="G46" s="119"/>
      <c r="H46" s="119"/>
      <c r="I46" s="119"/>
      <c r="J46" s="119"/>
      <c r="K46" s="119"/>
      <c r="L46" s="119"/>
      <c r="M46" s="119"/>
      <c r="N46" s="119"/>
      <c r="O46" s="119"/>
      <c r="P46" s="119"/>
      <c r="Q46" s="119"/>
      <c r="R46" s="119"/>
      <c r="S46" s="119"/>
      <c r="T46" s="119"/>
      <c r="V46" s="244" t="s">
        <v>442</v>
      </c>
      <c r="W46" s="244" t="s">
        <v>459</v>
      </c>
      <c r="Y46" s="244" t="s">
        <v>442</v>
      </c>
      <c r="Z46" s="244" t="s">
        <v>459</v>
      </c>
    </row>
    <row r="47" spans="1:27">
      <c r="B47" s="119"/>
      <c r="C47" s="119"/>
      <c r="D47" s="119"/>
      <c r="E47" s="119"/>
      <c r="F47" s="119"/>
      <c r="G47" s="119"/>
      <c r="H47" s="119"/>
      <c r="I47" s="119"/>
      <c r="J47" s="119"/>
      <c r="K47" s="119"/>
      <c r="L47" s="119"/>
      <c r="M47" s="119"/>
      <c r="N47" s="119"/>
      <c r="O47" s="119"/>
      <c r="P47" s="119"/>
      <c r="Q47" s="119"/>
      <c r="R47" s="119"/>
      <c r="S47" s="119"/>
      <c r="T47" s="119"/>
      <c r="U47" s="6"/>
      <c r="V47" s="244" t="s">
        <v>443</v>
      </c>
      <c r="W47" s="244" t="s">
        <v>460</v>
      </c>
      <c r="X47" s="6"/>
      <c r="Y47" s="244" t="s">
        <v>443</v>
      </c>
      <c r="Z47" s="244" t="s">
        <v>460</v>
      </c>
      <c r="AA47" s="6"/>
    </row>
    <row r="48" spans="1:27">
      <c r="B48" s="119"/>
      <c r="C48" s="119"/>
      <c r="D48" s="119"/>
      <c r="E48" s="119"/>
      <c r="F48" s="119"/>
      <c r="G48" s="119"/>
      <c r="H48" s="119"/>
      <c r="I48" s="119"/>
      <c r="J48" s="119"/>
      <c r="K48" s="119"/>
      <c r="L48" s="119"/>
      <c r="M48" s="119"/>
      <c r="N48" s="119"/>
      <c r="O48" s="119"/>
      <c r="P48" s="119"/>
      <c r="Q48" s="119"/>
      <c r="R48" s="119"/>
      <c r="S48" s="119"/>
      <c r="T48" s="119"/>
      <c r="U48" s="6"/>
      <c r="V48" s="244" t="s">
        <v>444</v>
      </c>
      <c r="W48" s="245" t="s">
        <v>461</v>
      </c>
      <c r="X48" s="6"/>
      <c r="Y48" s="244" t="s">
        <v>444</v>
      </c>
      <c r="Z48" s="245" t="s">
        <v>461</v>
      </c>
      <c r="AA48" s="6"/>
    </row>
    <row r="49" spans="2:27">
      <c r="B49" s="119"/>
      <c r="C49" s="119"/>
      <c r="D49" s="119"/>
      <c r="E49" s="119"/>
      <c r="F49" s="119"/>
      <c r="G49" s="119"/>
      <c r="H49" s="119"/>
      <c r="I49" s="119"/>
      <c r="J49" s="119"/>
      <c r="K49" s="119"/>
      <c r="L49" s="119"/>
      <c r="M49" s="119"/>
      <c r="N49" s="119"/>
      <c r="O49" s="119"/>
      <c r="P49" s="119"/>
      <c r="Q49" s="119"/>
      <c r="R49" s="119"/>
      <c r="S49" s="119"/>
      <c r="T49" s="119"/>
      <c r="U49" s="6"/>
      <c r="V49" s="244" t="s">
        <v>445</v>
      </c>
      <c r="W49" s="244" t="s">
        <v>462</v>
      </c>
      <c r="X49" s="6"/>
      <c r="Y49" s="244" t="s">
        <v>445</v>
      </c>
      <c r="Z49" s="244" t="s">
        <v>462</v>
      </c>
      <c r="AA49" s="6"/>
    </row>
    <row r="50" spans="2:27">
      <c r="B50" s="119"/>
      <c r="C50" s="119"/>
      <c r="D50" s="119"/>
      <c r="E50" s="119"/>
      <c r="F50" s="119"/>
      <c r="G50" s="119"/>
      <c r="H50" s="119"/>
      <c r="I50" s="119"/>
      <c r="J50" s="119"/>
      <c r="K50" s="119"/>
      <c r="L50" s="119"/>
      <c r="M50" s="119"/>
      <c r="N50" s="119"/>
      <c r="O50" s="119"/>
      <c r="P50" s="119"/>
      <c r="Q50" s="119"/>
      <c r="R50" s="119"/>
      <c r="S50" s="119"/>
      <c r="T50" s="119"/>
      <c r="U50" s="6"/>
      <c r="V50" s="246" t="s">
        <v>446</v>
      </c>
      <c r="W50" s="244" t="s">
        <v>463</v>
      </c>
      <c r="X50" s="6"/>
      <c r="Y50" s="246" t="s">
        <v>446</v>
      </c>
      <c r="Z50" s="244" t="s">
        <v>463</v>
      </c>
      <c r="AA50" s="6"/>
    </row>
    <row r="51" spans="2:27">
      <c r="B51" s="119"/>
      <c r="C51" s="119"/>
      <c r="D51" s="119"/>
      <c r="E51" s="119"/>
      <c r="F51" s="119"/>
      <c r="G51" s="119"/>
      <c r="H51" s="119"/>
      <c r="I51" s="119"/>
      <c r="J51" s="119"/>
      <c r="K51" s="119"/>
      <c r="L51" s="119"/>
      <c r="M51" s="119"/>
      <c r="N51" s="119"/>
      <c r="O51" s="119"/>
      <c r="P51" s="119"/>
      <c r="Q51" s="119"/>
      <c r="R51" s="119"/>
      <c r="S51" s="119"/>
      <c r="T51" s="119"/>
      <c r="U51" s="6"/>
      <c r="V51" s="247" t="s">
        <v>447</v>
      </c>
      <c r="W51" s="244" t="s">
        <v>464</v>
      </c>
      <c r="X51" s="6"/>
      <c r="Y51" s="247" t="s">
        <v>447</v>
      </c>
      <c r="Z51" s="244" t="s">
        <v>464</v>
      </c>
      <c r="AA51" s="6"/>
    </row>
    <row r="52" spans="2:27">
      <c r="B52" s="119"/>
      <c r="C52" s="119"/>
      <c r="D52" s="119"/>
      <c r="E52" s="119"/>
      <c r="F52" s="119"/>
      <c r="G52" s="119"/>
      <c r="H52" s="119"/>
      <c r="I52" s="119"/>
      <c r="J52" s="119"/>
      <c r="K52" s="119"/>
      <c r="L52" s="119"/>
      <c r="M52" s="119"/>
      <c r="N52" s="119"/>
      <c r="O52" s="119"/>
      <c r="P52" s="119"/>
      <c r="Q52" s="119"/>
      <c r="R52" s="119"/>
      <c r="S52" s="119"/>
      <c r="T52" s="119"/>
      <c r="U52" s="6"/>
      <c r="V52" s="295"/>
      <c r="W52" s="244" t="s">
        <v>465</v>
      </c>
      <c r="X52" s="6"/>
      <c r="Y52" s="284"/>
      <c r="Z52" s="244" t="s">
        <v>465</v>
      </c>
      <c r="AA52" s="6"/>
    </row>
    <row r="53" spans="2:27">
      <c r="B53" s="119"/>
      <c r="C53" s="119"/>
      <c r="D53" s="119"/>
      <c r="E53" s="119"/>
      <c r="F53" s="119"/>
      <c r="G53" s="119"/>
      <c r="H53" s="119"/>
      <c r="I53" s="119"/>
      <c r="J53" s="119"/>
      <c r="K53" s="119"/>
      <c r="L53" s="119"/>
      <c r="M53" s="119"/>
      <c r="N53" s="119"/>
      <c r="O53" s="119"/>
      <c r="P53" s="119"/>
      <c r="Q53" s="119"/>
      <c r="R53" s="119"/>
      <c r="S53" s="119"/>
      <c r="T53" s="119"/>
      <c r="U53" s="6"/>
      <c r="V53" s="204"/>
      <c r="W53" s="248" t="s">
        <v>466</v>
      </c>
      <c r="X53" s="6"/>
      <c r="Y53" s="257"/>
      <c r="Z53" s="258" t="s">
        <v>466</v>
      </c>
      <c r="AA53" s="6"/>
    </row>
    <row r="54" spans="2:27">
      <c r="B54" s="119"/>
      <c r="C54" s="119"/>
      <c r="D54" s="119"/>
      <c r="E54" s="119"/>
      <c r="F54" s="119"/>
      <c r="G54" s="119"/>
      <c r="H54" s="119"/>
      <c r="I54" s="119"/>
      <c r="J54" s="119"/>
      <c r="K54" s="119"/>
      <c r="L54" s="119"/>
      <c r="M54" s="119"/>
      <c r="N54" s="119"/>
      <c r="O54" s="119"/>
      <c r="P54" s="119"/>
      <c r="Q54" s="119"/>
      <c r="R54" s="119"/>
      <c r="S54" s="119"/>
      <c r="T54" s="119"/>
      <c r="U54" s="6"/>
      <c r="V54" s="250"/>
      <c r="W54" s="251"/>
      <c r="X54" s="6"/>
      <c r="Y54" s="250"/>
      <c r="Z54" s="251"/>
      <c r="AA54" s="6"/>
    </row>
    <row r="55" spans="2:27">
      <c r="B55" s="119"/>
      <c r="C55" s="119"/>
      <c r="D55" s="119"/>
      <c r="E55" s="119"/>
      <c r="F55" s="119"/>
      <c r="G55" s="119"/>
      <c r="H55" s="119"/>
      <c r="I55" s="119"/>
      <c r="J55" s="119"/>
      <c r="K55" s="119"/>
      <c r="L55" s="119"/>
      <c r="M55" s="119"/>
      <c r="N55" s="119"/>
      <c r="O55" s="119"/>
      <c r="P55" s="119"/>
      <c r="Q55" s="119"/>
      <c r="R55" s="119"/>
      <c r="S55" s="119"/>
      <c r="T55" s="119"/>
      <c r="U55" s="6"/>
      <c r="V55" s="249"/>
      <c r="W55" s="251"/>
      <c r="X55" s="6"/>
      <c r="Y55" s="249"/>
      <c r="Z55" s="251"/>
      <c r="AA55" s="6"/>
    </row>
  </sheetData>
  <mergeCells count="24">
    <mergeCell ref="B17:L17"/>
    <mergeCell ref="B11:L11"/>
    <mergeCell ref="C12:L12"/>
    <mergeCell ref="C13:L13"/>
    <mergeCell ref="C14:L14"/>
    <mergeCell ref="C15:L15"/>
    <mergeCell ref="B3:T3"/>
    <mergeCell ref="B4:T4"/>
    <mergeCell ref="B5:T5"/>
    <mergeCell ref="R7:T7"/>
    <mergeCell ref="B9:L9"/>
    <mergeCell ref="N9:T9"/>
    <mergeCell ref="C18:L18"/>
    <mergeCell ref="C19:L19"/>
    <mergeCell ref="C20:L20"/>
    <mergeCell ref="D21:L22"/>
    <mergeCell ref="C23:L25"/>
    <mergeCell ref="C26:L28"/>
    <mergeCell ref="C29:L30"/>
    <mergeCell ref="B32:T32"/>
    <mergeCell ref="Y32:Z32"/>
    <mergeCell ref="Y33:Z33"/>
    <mergeCell ref="V32:W32"/>
    <mergeCell ref="V33:W33"/>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49073"/>
  </sheetPr>
  <dimension ref="A1:C2"/>
  <sheetViews>
    <sheetView showGridLines="0" showRowColHeaders="0" zoomScale="70" zoomScaleNormal="70" workbookViewId="0"/>
  </sheetViews>
  <sheetFormatPr defaultRowHeight="14.25"/>
  <cols>
    <col min="1" max="1" width="14" customWidth="1"/>
    <col min="3" max="3" width="11.796875" customWidth="1"/>
  </cols>
  <sheetData>
    <row r="1" spans="1:3" ht="15.75">
      <c r="A1" s="16" t="s">
        <v>660</v>
      </c>
    </row>
    <row r="2" spans="1:3" ht="15.75">
      <c r="A2" s="26" t="s">
        <v>34</v>
      </c>
      <c r="C2" s="27">
        <v>42927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B5DAC7"/>
  </sheetPr>
  <dimension ref="A2:Z55"/>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635</v>
      </c>
      <c r="C3" s="338"/>
      <c r="D3" s="338"/>
      <c r="E3" s="338"/>
      <c r="F3" s="338"/>
      <c r="G3" s="338"/>
      <c r="H3" s="338"/>
      <c r="I3" s="338"/>
      <c r="J3" s="338"/>
      <c r="K3" s="338"/>
      <c r="L3" s="338"/>
      <c r="M3" s="338"/>
      <c r="N3" s="338"/>
      <c r="O3" s="338"/>
      <c r="P3" s="338"/>
      <c r="Q3" s="338"/>
      <c r="R3" s="338"/>
      <c r="S3" s="338"/>
      <c r="T3" s="338"/>
    </row>
    <row r="4" spans="1:20" ht="30.75">
      <c r="B4" s="359" t="s">
        <v>479</v>
      </c>
      <c r="C4" s="359"/>
      <c r="D4" s="359"/>
      <c r="E4" s="359"/>
      <c r="F4" s="359"/>
      <c r="G4" s="359"/>
      <c r="H4" s="359"/>
      <c r="I4" s="359"/>
      <c r="J4" s="359"/>
      <c r="K4" s="359"/>
      <c r="L4" s="359"/>
      <c r="M4" s="359"/>
      <c r="N4" s="359"/>
      <c r="O4" s="359"/>
      <c r="P4" s="359"/>
      <c r="Q4" s="359"/>
      <c r="R4" s="359"/>
      <c r="S4" s="359"/>
      <c r="T4" s="359"/>
    </row>
    <row r="5" spans="1:20" ht="18">
      <c r="B5" s="340" t="s">
        <v>214</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31"/>
      <c r="O10" s="31"/>
      <c r="P10" s="31"/>
      <c r="Q10" s="31"/>
      <c r="R10" s="31"/>
      <c r="S10" s="31"/>
      <c r="T10" s="31"/>
    </row>
    <row r="11" spans="1:20">
      <c r="B11" s="336" t="s">
        <v>40</v>
      </c>
      <c r="C11" s="336"/>
      <c r="D11" s="336"/>
      <c r="E11" s="336"/>
      <c r="F11" s="336"/>
      <c r="G11" s="336"/>
      <c r="H11" s="336"/>
      <c r="I11" s="336"/>
      <c r="J11" s="336"/>
      <c r="K11" s="336"/>
      <c r="L11" s="336"/>
      <c r="N11" s="111" t="s">
        <v>211</v>
      </c>
      <c r="O11" s="111" t="s">
        <v>286</v>
      </c>
      <c r="P11" s="111"/>
      <c r="Q11" s="111"/>
    </row>
    <row r="12" spans="1:20">
      <c r="B12" s="1"/>
      <c r="C12" s="337" t="s">
        <v>521</v>
      </c>
      <c r="D12" s="337"/>
      <c r="E12" s="337"/>
      <c r="F12" s="337"/>
      <c r="G12" s="337"/>
      <c r="H12" s="337"/>
      <c r="I12" s="337"/>
      <c r="J12" s="337"/>
      <c r="K12" s="337"/>
      <c r="L12" s="337"/>
      <c r="N12" s="111" t="s">
        <v>287</v>
      </c>
      <c r="O12" s="111" t="s">
        <v>234</v>
      </c>
      <c r="P12" s="111" t="s">
        <v>100</v>
      </c>
      <c r="Q12" s="111" t="s">
        <v>235</v>
      </c>
    </row>
    <row r="13" spans="1:20">
      <c r="B13" s="32"/>
      <c r="C13" s="332" t="s">
        <v>232</v>
      </c>
      <c r="D13" s="332"/>
      <c r="E13" s="332"/>
      <c r="F13" s="332"/>
      <c r="G13" s="332"/>
      <c r="H13" s="332"/>
      <c r="I13" s="332"/>
      <c r="J13" s="332"/>
      <c r="K13" s="332"/>
      <c r="L13" s="332"/>
      <c r="N13" s="112">
        <v>2017</v>
      </c>
      <c r="O13" s="111">
        <v>0.36956521739130432</v>
      </c>
      <c r="P13" s="111">
        <v>0.47826086956521741</v>
      </c>
      <c r="Q13" s="111">
        <v>0.47826086956521741</v>
      </c>
    </row>
    <row r="14" spans="1:20">
      <c r="B14" s="32"/>
      <c r="C14" s="333" t="s">
        <v>292</v>
      </c>
      <c r="D14" s="333"/>
      <c r="E14" s="333"/>
      <c r="F14" s="333"/>
      <c r="G14" s="333"/>
      <c r="H14" s="333"/>
      <c r="I14" s="333"/>
      <c r="J14" s="333"/>
      <c r="K14" s="333"/>
      <c r="L14" s="333"/>
      <c r="N14" s="112">
        <v>2018</v>
      </c>
      <c r="O14" s="111"/>
      <c r="P14" s="111"/>
      <c r="Q14" s="111"/>
    </row>
    <row r="15" spans="1:20">
      <c r="B15" s="32"/>
      <c r="C15" s="333" t="s">
        <v>522</v>
      </c>
      <c r="D15" s="333"/>
      <c r="E15" s="333"/>
      <c r="F15" s="333"/>
      <c r="G15" s="333"/>
      <c r="H15" s="333"/>
      <c r="I15" s="333"/>
      <c r="J15" s="333"/>
      <c r="K15" s="333"/>
      <c r="L15" s="333"/>
      <c r="N15" s="112">
        <v>2019</v>
      </c>
      <c r="O15" s="111"/>
      <c r="P15" s="111"/>
      <c r="Q15" s="111"/>
    </row>
    <row r="16" spans="1:20">
      <c r="A16" s="3"/>
      <c r="B16" s="32"/>
      <c r="C16" s="47"/>
      <c r="D16" s="47"/>
      <c r="E16" s="47"/>
      <c r="F16" s="47"/>
      <c r="G16" s="47"/>
      <c r="H16" s="47"/>
      <c r="I16" s="47"/>
      <c r="J16" s="47"/>
      <c r="K16" s="47"/>
      <c r="L16" s="32"/>
      <c r="N16" s="112">
        <v>2020</v>
      </c>
      <c r="O16" s="111"/>
      <c r="P16" s="111"/>
      <c r="Q16" s="111"/>
    </row>
    <row r="17" spans="1:26">
      <c r="A17" s="3"/>
      <c r="B17" s="336" t="s">
        <v>41</v>
      </c>
      <c r="C17" s="336"/>
      <c r="D17" s="336"/>
      <c r="E17" s="336"/>
      <c r="F17" s="336"/>
      <c r="G17" s="336"/>
      <c r="H17" s="336"/>
      <c r="I17" s="336"/>
      <c r="J17" s="336"/>
      <c r="K17" s="336"/>
      <c r="L17" s="336"/>
      <c r="N17" s="112">
        <v>2021</v>
      </c>
      <c r="O17" s="111"/>
      <c r="P17" s="111"/>
      <c r="Q17" s="111"/>
    </row>
    <row r="18" spans="1:26">
      <c r="A18" s="3"/>
      <c r="B18" s="1"/>
      <c r="C18" s="333" t="s">
        <v>295</v>
      </c>
      <c r="D18" s="333"/>
      <c r="E18" s="333"/>
      <c r="F18" s="333"/>
      <c r="G18" s="333"/>
      <c r="H18" s="333"/>
      <c r="I18" s="333"/>
      <c r="J18" s="333"/>
      <c r="K18" s="333"/>
      <c r="L18" s="333"/>
      <c r="N18" s="112">
        <v>2022</v>
      </c>
      <c r="O18" s="111"/>
      <c r="P18" s="111"/>
      <c r="Q18" s="111"/>
    </row>
    <row r="19" spans="1:26">
      <c r="A19" s="3"/>
      <c r="B19" s="32"/>
      <c r="C19" s="333" t="s">
        <v>317</v>
      </c>
      <c r="D19" s="333"/>
      <c r="E19" s="333"/>
      <c r="F19" s="333"/>
      <c r="G19" s="333"/>
      <c r="H19" s="333"/>
      <c r="I19" s="333"/>
      <c r="J19" s="333"/>
      <c r="K19" s="333"/>
      <c r="L19" s="333"/>
      <c r="N19" s="112">
        <v>2023</v>
      </c>
      <c r="O19" s="111"/>
      <c r="P19" s="111"/>
      <c r="Q19" s="111"/>
    </row>
    <row r="20" spans="1:26">
      <c r="A20" s="3"/>
      <c r="B20" s="32"/>
      <c r="C20" s="333" t="s">
        <v>369</v>
      </c>
      <c r="D20" s="333"/>
      <c r="E20" s="333"/>
      <c r="F20" s="333"/>
      <c r="G20" s="333"/>
      <c r="H20" s="333"/>
      <c r="I20" s="333"/>
      <c r="J20" s="333"/>
      <c r="K20" s="333"/>
      <c r="L20" s="333"/>
      <c r="N20" s="112">
        <v>2024</v>
      </c>
      <c r="O20" s="111"/>
      <c r="P20" s="111"/>
      <c r="Q20" s="111"/>
    </row>
    <row r="21" spans="1:26">
      <c r="A21" s="3"/>
      <c r="B21" s="32"/>
      <c r="C21" s="58" t="str">
        <f>"--&gt;"</f>
        <v>--&gt;</v>
      </c>
      <c r="D21" s="334" t="s">
        <v>212</v>
      </c>
      <c r="E21" s="334"/>
      <c r="F21" s="334"/>
      <c r="G21" s="334"/>
      <c r="H21" s="334"/>
      <c r="I21" s="334"/>
      <c r="J21" s="334"/>
      <c r="K21" s="334"/>
      <c r="L21" s="334"/>
      <c r="N21" s="112">
        <v>2025</v>
      </c>
      <c r="O21" s="111"/>
      <c r="P21" s="111"/>
      <c r="Q21" s="111"/>
    </row>
    <row r="22" spans="1:26">
      <c r="A22" s="3"/>
      <c r="B22" s="32"/>
      <c r="C22" s="32"/>
      <c r="D22" s="334"/>
      <c r="E22" s="334"/>
      <c r="F22" s="334"/>
      <c r="G22" s="334"/>
      <c r="H22" s="334"/>
      <c r="I22" s="334"/>
      <c r="J22" s="334"/>
      <c r="K22" s="334"/>
      <c r="L22" s="334"/>
    </row>
    <row r="23" spans="1:26">
      <c r="A23" s="3"/>
      <c r="B23" s="32"/>
      <c r="C23" s="333" t="s">
        <v>356</v>
      </c>
      <c r="D23" s="333"/>
      <c r="E23" s="333"/>
      <c r="F23" s="333"/>
      <c r="G23" s="333"/>
      <c r="H23" s="333"/>
      <c r="I23" s="333"/>
      <c r="J23" s="333"/>
      <c r="K23" s="333"/>
      <c r="L23" s="333"/>
    </row>
    <row r="24" spans="1:26">
      <c r="A24" s="3"/>
      <c r="B24" s="32"/>
      <c r="C24" s="333"/>
      <c r="D24" s="333"/>
      <c r="E24" s="333"/>
      <c r="F24" s="333"/>
      <c r="G24" s="333"/>
      <c r="H24" s="333"/>
      <c r="I24" s="333"/>
      <c r="J24" s="333"/>
      <c r="K24" s="333"/>
      <c r="L24" s="333"/>
      <c r="Q24" s="2"/>
      <c r="S24" s="11"/>
      <c r="T24" s="11"/>
    </row>
    <row r="25" spans="1:26">
      <c r="A25" s="3"/>
      <c r="B25" s="32"/>
      <c r="C25" s="333"/>
      <c r="D25" s="333"/>
      <c r="E25" s="333"/>
      <c r="F25" s="333"/>
      <c r="G25" s="333"/>
      <c r="H25" s="333"/>
      <c r="I25" s="333"/>
      <c r="J25" s="333"/>
      <c r="K25" s="333"/>
      <c r="L25" s="333"/>
      <c r="Q25" s="2"/>
      <c r="S25" s="11"/>
      <c r="T25" s="11"/>
    </row>
    <row r="26" spans="1:26" ht="14.45" customHeight="1">
      <c r="A26" s="3"/>
      <c r="B26" s="32"/>
      <c r="C26" s="335" t="s">
        <v>322</v>
      </c>
      <c r="D26" s="335"/>
      <c r="E26" s="335"/>
      <c r="F26" s="335"/>
      <c r="G26" s="335"/>
      <c r="H26" s="335"/>
      <c r="I26" s="335"/>
      <c r="J26" s="335"/>
      <c r="K26" s="335"/>
      <c r="L26" s="335"/>
      <c r="Q26" s="2"/>
      <c r="S26" s="11"/>
      <c r="T26" s="11"/>
    </row>
    <row r="27" spans="1:26">
      <c r="B27" s="47"/>
      <c r="C27" s="335"/>
      <c r="D27" s="335"/>
      <c r="E27" s="335"/>
      <c r="F27" s="335"/>
      <c r="G27" s="335"/>
      <c r="H27" s="335"/>
      <c r="I27" s="335"/>
      <c r="J27" s="335"/>
      <c r="K27" s="335"/>
      <c r="L27" s="335"/>
      <c r="Q27" s="2"/>
      <c r="S27" s="11"/>
      <c r="T27" s="11"/>
    </row>
    <row r="28" spans="1:26">
      <c r="B28" s="47"/>
      <c r="C28" s="335"/>
      <c r="D28" s="335"/>
      <c r="E28" s="335"/>
      <c r="F28" s="335"/>
      <c r="G28" s="335"/>
      <c r="H28" s="335"/>
      <c r="I28" s="335"/>
      <c r="J28" s="335"/>
      <c r="K28" s="335"/>
      <c r="L28" s="335"/>
      <c r="Q28" s="2"/>
      <c r="S28" s="11"/>
      <c r="T28" s="11"/>
    </row>
    <row r="29" spans="1:26">
      <c r="B29" s="83"/>
      <c r="C29" s="351"/>
      <c r="D29" s="351"/>
      <c r="E29" s="351"/>
      <c r="F29" s="351"/>
      <c r="G29" s="351"/>
      <c r="H29" s="351"/>
      <c r="I29" s="351"/>
      <c r="J29" s="351"/>
      <c r="K29" s="351"/>
      <c r="L29" s="351"/>
      <c r="S29" s="11"/>
      <c r="T29" s="11"/>
    </row>
    <row r="30" spans="1:26">
      <c r="B30" s="31"/>
      <c r="C30" s="351"/>
      <c r="D30" s="351"/>
      <c r="E30" s="351"/>
      <c r="F30" s="351"/>
      <c r="G30" s="351"/>
      <c r="H30" s="351"/>
      <c r="I30" s="351"/>
      <c r="J30" s="351"/>
      <c r="K30" s="351"/>
      <c r="L30" s="351"/>
      <c r="M30" s="9"/>
      <c r="N30" s="31"/>
      <c r="O30" s="34"/>
      <c r="P30" s="35"/>
      <c r="Q30" s="35"/>
      <c r="R30" s="35"/>
      <c r="S30" s="35"/>
      <c r="T30" s="31"/>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6">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6">
      <c r="B34" s="1"/>
      <c r="C34" s="1"/>
      <c r="D34" s="1"/>
      <c r="E34" s="1"/>
      <c r="F34" s="1"/>
      <c r="G34" s="1"/>
      <c r="H34" s="1"/>
      <c r="I34" s="1"/>
      <c r="J34" s="1"/>
      <c r="K34" s="1"/>
      <c r="L34" s="1"/>
      <c r="M34" s="1"/>
      <c r="N34" s="1"/>
      <c r="O34" s="1"/>
      <c r="P34" s="1"/>
      <c r="Q34" s="1"/>
      <c r="R34" s="1"/>
      <c r="S34" s="1"/>
      <c r="T34" s="1"/>
      <c r="V34" s="56" t="s">
        <v>61</v>
      </c>
      <c r="W34" s="56" t="s">
        <v>62</v>
      </c>
      <c r="X34" s="11"/>
      <c r="Y34" s="56" t="s">
        <v>61</v>
      </c>
      <c r="Z34" s="56" t="s">
        <v>62</v>
      </c>
    </row>
    <row r="35" spans="1:26">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6">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6">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6">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6">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6">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6">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6">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6">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6">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6">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6">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row>
    <row r="47" spans="1:26">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row>
    <row r="48" spans="1:26">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row>
    <row r="49" spans="2:26">
      <c r="B49" s="1"/>
      <c r="C49" s="1"/>
      <c r="D49" s="1"/>
      <c r="E49" s="1"/>
      <c r="F49" s="1"/>
      <c r="G49" s="1"/>
      <c r="H49" s="1"/>
      <c r="I49" s="1"/>
      <c r="J49" s="1"/>
      <c r="K49" s="1"/>
      <c r="L49" s="1"/>
      <c r="M49" s="1"/>
      <c r="N49" s="1"/>
      <c r="O49" s="1"/>
      <c r="P49" s="1"/>
      <c r="Q49" s="1"/>
      <c r="R49" s="1"/>
      <c r="S49" s="1"/>
      <c r="T49" s="1"/>
      <c r="V49" s="244" t="s">
        <v>445</v>
      </c>
      <c r="W49" s="244" t="s">
        <v>462</v>
      </c>
      <c r="X49" s="6"/>
      <c r="Y49" s="244" t="s">
        <v>445</v>
      </c>
      <c r="Z49" s="244" t="s">
        <v>462</v>
      </c>
    </row>
    <row r="50" spans="2:26">
      <c r="B50" s="1"/>
      <c r="C50" s="1"/>
      <c r="D50" s="1"/>
      <c r="E50" s="1"/>
      <c r="F50" s="1"/>
      <c r="G50" s="1"/>
      <c r="H50" s="1"/>
      <c r="I50" s="1"/>
      <c r="J50" s="1"/>
      <c r="K50" s="1"/>
      <c r="L50" s="1"/>
      <c r="M50" s="1"/>
      <c r="N50" s="1"/>
      <c r="O50" s="1"/>
      <c r="P50" s="1"/>
      <c r="Q50" s="1"/>
      <c r="R50" s="1"/>
      <c r="S50" s="1"/>
      <c r="T50" s="1"/>
      <c r="V50" s="246" t="s">
        <v>446</v>
      </c>
      <c r="W50" s="244" t="s">
        <v>463</v>
      </c>
      <c r="X50" s="6"/>
      <c r="Y50" s="246" t="s">
        <v>446</v>
      </c>
      <c r="Z50" s="244" t="s">
        <v>463</v>
      </c>
    </row>
    <row r="51" spans="2:26">
      <c r="B51" s="1"/>
      <c r="C51" s="1"/>
      <c r="D51" s="1"/>
      <c r="E51" s="1"/>
      <c r="F51" s="1"/>
      <c r="G51" s="1"/>
      <c r="H51" s="1"/>
      <c r="I51" s="1"/>
      <c r="J51" s="1"/>
      <c r="K51" s="1"/>
      <c r="L51" s="1"/>
      <c r="M51" s="1"/>
      <c r="N51" s="1"/>
      <c r="O51" s="1"/>
      <c r="P51" s="1"/>
      <c r="Q51" s="1"/>
      <c r="R51" s="1"/>
      <c r="S51" s="1"/>
      <c r="T51" s="1"/>
      <c r="V51" s="247" t="s">
        <v>447</v>
      </c>
      <c r="W51" s="244" t="s">
        <v>464</v>
      </c>
      <c r="X51" s="6"/>
      <c r="Y51" s="247" t="s">
        <v>447</v>
      </c>
      <c r="Z51" s="244" t="s">
        <v>464</v>
      </c>
    </row>
    <row r="52" spans="2:26">
      <c r="B52" s="1"/>
      <c r="C52" s="1"/>
      <c r="D52" s="1"/>
      <c r="E52" s="1"/>
      <c r="F52" s="1"/>
      <c r="G52" s="1"/>
      <c r="H52" s="1"/>
      <c r="I52" s="1"/>
      <c r="J52" s="1"/>
      <c r="K52" s="1"/>
      <c r="L52" s="1"/>
      <c r="M52" s="1"/>
      <c r="N52" s="1"/>
      <c r="O52" s="1"/>
      <c r="P52" s="1"/>
      <c r="Q52" s="1"/>
      <c r="R52" s="1"/>
      <c r="S52" s="1"/>
      <c r="T52" s="1"/>
      <c r="V52" s="295"/>
      <c r="W52" s="244" t="s">
        <v>465</v>
      </c>
      <c r="X52" s="6"/>
      <c r="Y52" s="284"/>
      <c r="Z52" s="244" t="s">
        <v>465</v>
      </c>
    </row>
    <row r="53" spans="2:26">
      <c r="B53" s="1"/>
      <c r="C53" s="1"/>
      <c r="D53" s="1"/>
      <c r="E53" s="1"/>
      <c r="F53" s="1"/>
      <c r="G53" s="1"/>
      <c r="H53" s="1"/>
      <c r="I53" s="1"/>
      <c r="J53" s="1"/>
      <c r="K53" s="1"/>
      <c r="L53" s="1"/>
      <c r="M53" s="1"/>
      <c r="N53" s="1"/>
      <c r="O53" s="1"/>
      <c r="P53" s="1"/>
      <c r="Q53" s="1"/>
      <c r="R53" s="1"/>
      <c r="S53" s="1"/>
      <c r="T53" s="1"/>
      <c r="V53" s="204"/>
      <c r="W53" s="248" t="s">
        <v>466</v>
      </c>
      <c r="X53" s="6"/>
      <c r="Y53" s="257"/>
      <c r="Z53" s="258" t="s">
        <v>466</v>
      </c>
    </row>
    <row r="54" spans="2:26">
      <c r="B54" s="119"/>
      <c r="C54" s="119"/>
      <c r="D54" s="119"/>
      <c r="E54" s="119"/>
      <c r="F54" s="119"/>
      <c r="G54" s="119"/>
      <c r="H54" s="119"/>
      <c r="I54" s="119"/>
      <c r="J54" s="119"/>
      <c r="K54" s="119"/>
      <c r="L54" s="119"/>
      <c r="M54" s="119"/>
      <c r="N54" s="119"/>
      <c r="O54" s="119"/>
      <c r="P54" s="119"/>
      <c r="Q54" s="119"/>
      <c r="R54" s="119"/>
      <c r="S54" s="119"/>
      <c r="T54" s="119"/>
      <c r="V54" s="250"/>
      <c r="W54" s="251"/>
      <c r="X54" s="6"/>
      <c r="Y54" s="250"/>
      <c r="Z54" s="251"/>
    </row>
    <row r="55" spans="2:26">
      <c r="B55" s="119"/>
      <c r="C55" s="119"/>
      <c r="D55" s="119"/>
      <c r="E55" s="119"/>
      <c r="F55" s="119"/>
      <c r="G55" s="119"/>
      <c r="H55" s="119"/>
      <c r="I55" s="119"/>
      <c r="J55" s="119"/>
      <c r="K55" s="119"/>
      <c r="L55" s="119"/>
      <c r="M55" s="119"/>
      <c r="N55" s="119"/>
      <c r="O55" s="119"/>
      <c r="P55" s="119"/>
      <c r="Q55" s="119"/>
      <c r="R55" s="119"/>
      <c r="S55" s="119"/>
      <c r="T55" s="119"/>
      <c r="V55" s="249"/>
      <c r="W55" s="251"/>
      <c r="X55" s="6"/>
      <c r="Y55" s="249"/>
      <c r="Z55" s="251"/>
    </row>
  </sheetData>
  <mergeCells count="24">
    <mergeCell ref="B11:L11"/>
    <mergeCell ref="C12:L12"/>
    <mergeCell ref="C13:L13"/>
    <mergeCell ref="C14:L14"/>
    <mergeCell ref="B3:T3"/>
    <mergeCell ref="B4:T4"/>
    <mergeCell ref="B5:T5"/>
    <mergeCell ref="R7:T7"/>
    <mergeCell ref="B9:L9"/>
    <mergeCell ref="N9:T9"/>
    <mergeCell ref="Y32:Z32"/>
    <mergeCell ref="Y33:Z33"/>
    <mergeCell ref="V33:W33"/>
    <mergeCell ref="C15:L15"/>
    <mergeCell ref="B17:L17"/>
    <mergeCell ref="C18:L18"/>
    <mergeCell ref="C19:L19"/>
    <mergeCell ref="C20:L20"/>
    <mergeCell ref="D21:L22"/>
    <mergeCell ref="C23:L25"/>
    <mergeCell ref="C26:L28"/>
    <mergeCell ref="C29:L30"/>
    <mergeCell ref="B32:T32"/>
    <mergeCell ref="V32:W32"/>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B49073"/>
  </sheetPr>
  <dimension ref="A1:BH154"/>
  <sheetViews>
    <sheetView showGridLines="0" showRowColHeaders="0" zoomScale="70" zoomScaleNormal="70" workbookViewId="0"/>
  </sheetViews>
  <sheetFormatPr defaultRowHeight="14.25"/>
  <cols>
    <col min="1" max="1" width="15.796875" customWidth="1"/>
    <col min="2" max="8" width="26.796875" customWidth="1"/>
    <col min="9" max="29" width="12.796875" customWidth="1"/>
    <col min="59" max="60" width="12.796875" customWidth="1"/>
  </cols>
  <sheetData>
    <row r="1" spans="1:60" ht="15.75">
      <c r="A1" s="16" t="s">
        <v>233</v>
      </c>
      <c r="B1" s="84"/>
      <c r="C1" s="84"/>
      <c r="D1" s="84"/>
      <c r="E1" s="84"/>
      <c r="F1" s="84"/>
      <c r="G1" s="84"/>
    </row>
    <row r="2" spans="1:60" ht="15.75">
      <c r="A2" s="26" t="s">
        <v>34</v>
      </c>
      <c r="C2" s="27">
        <v>42977</v>
      </c>
      <c r="G2" s="342" t="s">
        <v>44</v>
      </c>
      <c r="H2" s="342"/>
    </row>
    <row r="3" spans="1:60" ht="23.65" thickBot="1">
      <c r="A3" s="354" t="s">
        <v>7</v>
      </c>
      <c r="B3" s="354"/>
      <c r="C3" s="354"/>
      <c r="D3" s="354"/>
      <c r="E3" s="354"/>
      <c r="F3" s="354"/>
      <c r="G3" s="354"/>
      <c r="H3" s="354"/>
      <c r="J3" s="321" t="s">
        <v>46</v>
      </c>
      <c r="K3" s="321"/>
      <c r="L3" s="11"/>
      <c r="M3" s="318" t="s">
        <v>46</v>
      </c>
      <c r="N3" s="318"/>
    </row>
    <row r="4" spans="1:60">
      <c r="A4" s="119"/>
      <c r="B4" s="119"/>
      <c r="C4" s="119"/>
      <c r="D4" s="119"/>
      <c r="E4" s="119"/>
      <c r="F4" s="119"/>
      <c r="G4" s="119"/>
      <c r="H4" s="119"/>
      <c r="J4" s="319" t="s">
        <v>65</v>
      </c>
      <c r="K4" s="320"/>
      <c r="L4" s="11"/>
      <c r="M4" s="319" t="s">
        <v>66</v>
      </c>
      <c r="N4" s="320"/>
    </row>
    <row r="5" spans="1:60">
      <c r="A5" s="119"/>
      <c r="B5" s="352" t="s">
        <v>374</v>
      </c>
      <c r="C5" s="352"/>
      <c r="D5" s="352"/>
      <c r="E5" s="352"/>
      <c r="F5" s="352"/>
      <c r="G5" s="352"/>
      <c r="H5" s="352"/>
      <c r="J5" s="56" t="s">
        <v>61</v>
      </c>
      <c r="K5" s="56" t="s">
        <v>62</v>
      </c>
      <c r="L5" s="11"/>
      <c r="M5" s="56" t="s">
        <v>61</v>
      </c>
      <c r="N5" s="56" t="s">
        <v>62</v>
      </c>
    </row>
    <row r="6" spans="1:60">
      <c r="A6" s="119"/>
      <c r="B6" s="352" t="s">
        <v>326</v>
      </c>
      <c r="C6" s="352"/>
      <c r="D6" s="352"/>
      <c r="E6" s="352"/>
      <c r="F6" s="352"/>
      <c r="G6" s="352"/>
      <c r="H6" s="352"/>
      <c r="J6" s="244" t="s">
        <v>392</v>
      </c>
      <c r="K6" s="244" t="s">
        <v>448</v>
      </c>
      <c r="L6" s="11"/>
      <c r="M6" s="244" t="s">
        <v>392</v>
      </c>
      <c r="N6" s="244" t="s">
        <v>448</v>
      </c>
    </row>
    <row r="7" spans="1:60">
      <c r="A7" s="119"/>
      <c r="B7" s="352" t="s">
        <v>329</v>
      </c>
      <c r="C7" s="352"/>
      <c r="D7" s="352"/>
      <c r="E7" s="352"/>
      <c r="F7" s="352"/>
      <c r="G7" s="352"/>
      <c r="H7" s="352"/>
      <c r="J7" s="244" t="s">
        <v>393</v>
      </c>
      <c r="K7" s="244" t="s">
        <v>449</v>
      </c>
      <c r="L7" s="11"/>
      <c r="M7" s="244" t="s">
        <v>393</v>
      </c>
      <c r="N7" s="244" t="s">
        <v>449</v>
      </c>
    </row>
    <row r="8" spans="1:60">
      <c r="A8" s="119"/>
      <c r="B8" s="353" t="s">
        <v>325</v>
      </c>
      <c r="C8" s="353"/>
      <c r="D8" s="353"/>
      <c r="E8" s="353"/>
      <c r="F8" s="353"/>
      <c r="G8" s="353"/>
      <c r="H8" s="353"/>
      <c r="J8" s="244" t="s">
        <v>394</v>
      </c>
      <c r="K8" s="244" t="s">
        <v>450</v>
      </c>
      <c r="L8" s="11"/>
      <c r="M8" s="244" t="s">
        <v>394</v>
      </c>
      <c r="N8" s="244" t="s">
        <v>450</v>
      </c>
    </row>
    <row r="9" spans="1:60">
      <c r="A9" s="119"/>
      <c r="B9" s="353" t="s">
        <v>524</v>
      </c>
      <c r="C9" s="353"/>
      <c r="D9" s="353"/>
      <c r="E9" s="353"/>
      <c r="F9" s="353"/>
      <c r="G9" s="353"/>
      <c r="H9" s="353"/>
      <c r="J9" s="244" t="s">
        <v>434</v>
      </c>
      <c r="K9" s="244" t="s">
        <v>451</v>
      </c>
      <c r="L9" s="11"/>
      <c r="M9" s="244" t="s">
        <v>434</v>
      </c>
      <c r="N9" s="244" t="s">
        <v>451</v>
      </c>
    </row>
    <row r="10" spans="1:60">
      <c r="A10" s="119"/>
      <c r="B10" s="123" t="s">
        <v>523</v>
      </c>
      <c r="C10" s="123"/>
      <c r="D10" s="123"/>
      <c r="E10" s="123"/>
      <c r="F10" s="123"/>
      <c r="G10" s="123"/>
      <c r="H10" s="123"/>
      <c r="J10" s="244" t="s">
        <v>435</v>
      </c>
      <c r="K10" s="244" t="s">
        <v>452</v>
      </c>
      <c r="M10" s="244" t="s">
        <v>435</v>
      </c>
      <c r="N10" s="244" t="s">
        <v>452</v>
      </c>
    </row>
    <row r="11" spans="1:60">
      <c r="A11" s="119"/>
      <c r="B11" s="119"/>
      <c r="C11" s="119"/>
      <c r="D11" s="119"/>
      <c r="E11" s="119"/>
      <c r="F11" s="119"/>
      <c r="G11" s="119"/>
      <c r="H11" s="119"/>
      <c r="J11" s="244" t="s">
        <v>436</v>
      </c>
      <c r="K11" s="244" t="s">
        <v>453</v>
      </c>
      <c r="M11" s="244" t="s">
        <v>436</v>
      </c>
      <c r="N11" s="244" t="s">
        <v>453</v>
      </c>
    </row>
    <row r="12" spans="1:60" ht="15.75">
      <c r="A12" s="26"/>
      <c r="C12" s="27"/>
      <c r="J12" s="244" t="s">
        <v>437</v>
      </c>
      <c r="K12" s="245" t="s">
        <v>454</v>
      </c>
      <c r="M12" s="244" t="s">
        <v>437</v>
      </c>
      <c r="N12" s="245" t="s">
        <v>454</v>
      </c>
    </row>
    <row r="13" spans="1:60">
      <c r="A13" s="133" t="s">
        <v>2</v>
      </c>
      <c r="B13" s="133" t="s">
        <v>203</v>
      </c>
      <c r="C13" s="133" t="s">
        <v>153</v>
      </c>
      <c r="D13" s="133" t="s">
        <v>158</v>
      </c>
      <c r="E13" s="133" t="s">
        <v>162</v>
      </c>
      <c r="F13" s="133" t="s">
        <v>178</v>
      </c>
      <c r="G13" s="133" t="s">
        <v>188</v>
      </c>
      <c r="H13" s="133" t="s">
        <v>209</v>
      </c>
      <c r="I13" s="152"/>
      <c r="J13" s="244" t="s">
        <v>438</v>
      </c>
      <c r="K13" s="244" t="s">
        <v>455</v>
      </c>
      <c r="M13" s="244" t="s">
        <v>438</v>
      </c>
      <c r="N13" s="244" t="s">
        <v>455</v>
      </c>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8"/>
      <c r="BG13" s="8"/>
      <c r="BH13" s="8"/>
    </row>
    <row r="14" spans="1:60">
      <c r="A14" s="2">
        <v>2017</v>
      </c>
      <c r="B14" t="s">
        <v>234</v>
      </c>
      <c r="C14" s="79">
        <f>COUNTIF(C$47:C$61,"=1")/COUNT(C$47:C$61)</f>
        <v>0.35714285714285715</v>
      </c>
      <c r="D14" s="79">
        <f>COUNTIF(C$62:C$66,"=1")/COUNT(C$62:C$66)</f>
        <v>0.4</v>
      </c>
      <c r="E14" s="79">
        <f>COUNTIF(C$67:C$70,"=1")/COUNT(C$67:C$70)</f>
        <v>0.25</v>
      </c>
      <c r="F14" s="79">
        <f>COUNTIF(C$71:C$85,"=1")/COUNT(C$71:C$85)</f>
        <v>0.33333333333333331</v>
      </c>
      <c r="G14" s="79">
        <f>COUNTIF(C$86:C$95,"=1")/COUNT(C$86:C$95)</f>
        <v>0.5</v>
      </c>
      <c r="H14" s="79">
        <f>COUNTIF(C$47:C$95,"=1")/COUNT(C$47:C$95)</f>
        <v>0.36956521739130432</v>
      </c>
      <c r="I14" s="82"/>
      <c r="J14" s="245" t="s">
        <v>439</v>
      </c>
      <c r="K14" s="244" t="s">
        <v>456</v>
      </c>
      <c r="M14" s="244" t="s">
        <v>439</v>
      </c>
      <c r="N14" s="244" t="s">
        <v>456</v>
      </c>
      <c r="O14" s="153"/>
      <c r="P14" s="82"/>
      <c r="Q14" s="82"/>
      <c r="R14" s="82"/>
      <c r="S14" s="153"/>
      <c r="T14" s="153"/>
      <c r="U14" s="82"/>
      <c r="V14" s="82"/>
      <c r="W14" s="82"/>
      <c r="X14" s="82"/>
      <c r="Y14" s="82"/>
      <c r="Z14" s="82"/>
      <c r="AA14" s="82"/>
      <c r="AB14" s="82"/>
      <c r="AC14" s="153"/>
      <c r="AD14" s="82"/>
      <c r="AE14" s="153"/>
      <c r="AF14" s="82"/>
      <c r="AG14" s="153"/>
      <c r="AH14" s="82"/>
      <c r="AI14" s="82"/>
      <c r="AJ14" s="82"/>
      <c r="AK14" s="82"/>
      <c r="AL14" s="82"/>
      <c r="AM14" s="82"/>
      <c r="AN14" s="82"/>
      <c r="AO14" s="82"/>
      <c r="AP14" s="82"/>
      <c r="AQ14" s="82"/>
      <c r="AR14" s="82"/>
      <c r="AS14" s="82"/>
      <c r="AT14" s="82"/>
      <c r="AU14" s="82"/>
      <c r="AV14" s="82"/>
      <c r="AW14" s="82"/>
      <c r="AX14" s="82"/>
      <c r="AY14" s="82"/>
      <c r="AZ14" s="153"/>
      <c r="BA14" s="82"/>
      <c r="BB14" s="82"/>
      <c r="BC14" s="82"/>
      <c r="BD14" s="82"/>
      <c r="BE14" s="153"/>
      <c r="BF14" s="8"/>
      <c r="BG14" s="8"/>
      <c r="BH14" s="8"/>
    </row>
    <row r="15" spans="1:60">
      <c r="A15">
        <v>2017</v>
      </c>
      <c r="B15" t="s">
        <v>235</v>
      </c>
      <c r="C15" s="79">
        <f>COUNTIF(D$47:D$61,"=1")/COUNT(D$47:D$61)</f>
        <v>0.35714285714285715</v>
      </c>
      <c r="D15" s="79">
        <f>COUNTIF(D$62:D$66,"=1")/COUNT(D$62:D$66)</f>
        <v>0.6</v>
      </c>
      <c r="E15" s="79">
        <f>COUNTIF(D$67:D$70,"=1")/COUNT(D$67:D$70)</f>
        <v>0.25</v>
      </c>
      <c r="F15" s="79">
        <f>COUNTIF(D$71:D$85,"=1")/COUNT(D$71:D$85)</f>
        <v>0.53333333333333333</v>
      </c>
      <c r="G15" s="79">
        <f>COUNTIF(D$86:D$95,"=1")/COUNT(D$86:D$95)</f>
        <v>0.625</v>
      </c>
      <c r="H15" s="79">
        <f>COUNTIF(D$47:D$95,"=1")/COUNT(D$47:D$95)</f>
        <v>0.47826086956521741</v>
      </c>
      <c r="I15" s="82"/>
      <c r="J15" s="244" t="s">
        <v>440</v>
      </c>
      <c r="K15" s="244" t="s">
        <v>457</v>
      </c>
      <c r="M15" s="244" t="s">
        <v>440</v>
      </c>
      <c r="N15" s="244" t="s">
        <v>457</v>
      </c>
      <c r="O15" s="153"/>
      <c r="P15" s="82"/>
      <c r="Q15" s="82"/>
      <c r="R15" s="82"/>
      <c r="S15" s="153"/>
      <c r="T15" s="153"/>
      <c r="U15" s="82"/>
      <c r="V15" s="82"/>
      <c r="W15" s="82"/>
      <c r="X15" s="82"/>
      <c r="Y15" s="82"/>
      <c r="Z15" s="82"/>
      <c r="AA15" s="82"/>
      <c r="AB15" s="82"/>
      <c r="AC15" s="153"/>
      <c r="AD15" s="82"/>
      <c r="AE15" s="153"/>
      <c r="AF15" s="82"/>
      <c r="AG15" s="153"/>
      <c r="AH15" s="82"/>
      <c r="AI15" s="82"/>
      <c r="AJ15" s="82"/>
      <c r="AK15" s="82"/>
      <c r="AL15" s="82"/>
      <c r="AM15" s="82"/>
      <c r="AN15" s="82"/>
      <c r="AO15" s="82"/>
      <c r="AP15" s="82"/>
      <c r="AQ15" s="82"/>
      <c r="AR15" s="82"/>
      <c r="AS15" s="82"/>
      <c r="AT15" s="82"/>
      <c r="AU15" s="82"/>
      <c r="AV15" s="82"/>
      <c r="AW15" s="82"/>
      <c r="AX15" s="82"/>
      <c r="AY15" s="82"/>
      <c r="AZ15" s="153"/>
      <c r="BA15" s="82"/>
      <c r="BB15" s="82"/>
      <c r="BC15" s="82"/>
      <c r="BD15" s="82"/>
      <c r="BE15" s="153"/>
      <c r="BF15" s="8"/>
      <c r="BG15" s="8"/>
      <c r="BH15" s="8"/>
    </row>
    <row r="16" spans="1:60">
      <c r="A16" s="2">
        <v>2017</v>
      </c>
      <c r="B16" t="s">
        <v>100</v>
      </c>
      <c r="C16" s="79">
        <f>COUNTIF(E$47:E$61,"=1")/COUNT(E$47:E$61)</f>
        <v>0.35714285714285715</v>
      </c>
      <c r="D16" s="79">
        <f>COUNTIF(E$62:E$66,"=1")/COUNT(E$62:E$66)</f>
        <v>0.6</v>
      </c>
      <c r="E16" s="79">
        <f>COUNTIF(E$67:E$70,"=1")/COUNT(E$67:E$70)</f>
        <v>0.25</v>
      </c>
      <c r="F16" s="79">
        <f>COUNTIF(E$71:E$85,"=1")/COUNT(E$71:E$85)</f>
        <v>0.6</v>
      </c>
      <c r="G16" s="79">
        <f>COUNTIF(E$86:E$95,"=1")/COUNT(E$86:E$95)</f>
        <v>0.5</v>
      </c>
      <c r="H16" s="79">
        <f>COUNTIF(E$47:E$95,"=1")/COUNT(E$47:E$95)</f>
        <v>0.47826086956521741</v>
      </c>
      <c r="I16" s="82"/>
      <c r="J16" s="244" t="s">
        <v>441</v>
      </c>
      <c r="K16" s="244" t="s">
        <v>458</v>
      </c>
      <c r="M16" s="244" t="s">
        <v>441</v>
      </c>
      <c r="N16" s="244" t="s">
        <v>458</v>
      </c>
      <c r="O16" s="153"/>
      <c r="P16" s="82"/>
      <c r="Q16" s="82"/>
      <c r="R16" s="82"/>
      <c r="S16" s="153"/>
      <c r="T16" s="153"/>
      <c r="U16" s="82"/>
      <c r="V16" s="82"/>
      <c r="W16" s="82"/>
      <c r="X16" s="82"/>
      <c r="Y16" s="82"/>
      <c r="Z16" s="82"/>
      <c r="AA16" s="82"/>
      <c r="AB16" s="82"/>
      <c r="AC16" s="153"/>
      <c r="AD16" s="82"/>
      <c r="AE16" s="153"/>
      <c r="AF16" s="82"/>
      <c r="AG16" s="153"/>
      <c r="AH16" s="82"/>
      <c r="AI16" s="82"/>
      <c r="AJ16" s="82"/>
      <c r="AK16" s="82"/>
      <c r="AL16" s="82"/>
      <c r="AM16" s="82"/>
      <c r="AN16" s="82"/>
      <c r="AO16" s="82"/>
      <c r="AP16" s="82"/>
      <c r="AQ16" s="82"/>
      <c r="AR16" s="82"/>
      <c r="AS16" s="82"/>
      <c r="AT16" s="82"/>
      <c r="AU16" s="82"/>
      <c r="AV16" s="82"/>
      <c r="AW16" s="82"/>
      <c r="AX16" s="82"/>
      <c r="AY16" s="82"/>
      <c r="AZ16" s="153"/>
      <c r="BA16" s="82"/>
      <c r="BB16" s="82"/>
      <c r="BC16" s="82"/>
      <c r="BD16" s="82"/>
      <c r="BE16" s="153"/>
      <c r="BF16" s="8"/>
      <c r="BG16" s="8"/>
      <c r="BH16" s="8"/>
    </row>
    <row r="17" spans="1:60">
      <c r="A17">
        <v>2018</v>
      </c>
      <c r="B17" t="s">
        <v>234</v>
      </c>
      <c r="C17" s="79" t="e">
        <f>COUNTIF(F$47:F$61,"=1")/COUNT(F$47:F$61)</f>
        <v>#DIV/0!</v>
      </c>
      <c r="D17" s="79" t="e">
        <f>COUNTIF(F$62:F$66,"=1")/COUNT(F$62:F$66)</f>
        <v>#DIV/0!</v>
      </c>
      <c r="E17" s="79" t="e">
        <f>COUNTIF(F$67:F$70,"=1")/COUNT(F$67:F$70)</f>
        <v>#DIV/0!</v>
      </c>
      <c r="F17" s="79" t="e">
        <f>COUNTIF(F$71:F$85,"=1")/COUNT(F$71:F$85)</f>
        <v>#DIV/0!</v>
      </c>
      <c r="G17" s="79" t="e">
        <f>COUNTIF(F$86:F$95,"=1")/COUNT(F$86:F$95)</f>
        <v>#DIV/0!</v>
      </c>
      <c r="H17" s="79" t="e">
        <f>COUNTIF(F$47:F$95,"=1")/COUNT(F$47:F$95)</f>
        <v>#DIV/0!</v>
      </c>
      <c r="I17" s="82"/>
      <c r="J17" s="244" t="s">
        <v>442</v>
      </c>
      <c r="K17" s="244" t="s">
        <v>459</v>
      </c>
      <c r="M17" s="244" t="s">
        <v>442</v>
      </c>
      <c r="N17" s="244" t="s">
        <v>459</v>
      </c>
      <c r="O17" s="82"/>
      <c r="P17" s="82"/>
      <c r="Q17" s="82"/>
      <c r="R17" s="82"/>
      <c r="S17" s="82"/>
      <c r="T17" s="153"/>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153"/>
      <c r="BC17" s="82"/>
      <c r="BD17" s="82"/>
      <c r="BE17" s="153"/>
      <c r="BF17" s="8"/>
      <c r="BG17" s="8"/>
      <c r="BH17" s="8"/>
    </row>
    <row r="18" spans="1:60">
      <c r="A18">
        <v>2018</v>
      </c>
      <c r="B18" t="s">
        <v>235</v>
      </c>
      <c r="C18" s="79" t="e">
        <f>COUNTIF(G$47:G$61,"=1")/COUNT(G$47:G$61)</f>
        <v>#DIV/0!</v>
      </c>
      <c r="D18" s="79" t="e">
        <f>COUNTIF(G$62:G$66,"=1")/COUNT(G$62:G$66)</f>
        <v>#DIV/0!</v>
      </c>
      <c r="E18" s="79" t="e">
        <f>COUNTIF(G$67:G$70,"=1")/COUNT(G$67:G$70)</f>
        <v>#DIV/0!</v>
      </c>
      <c r="F18" s="79" t="e">
        <f>COUNTIF(G$71:G$85,"=1")/COUNT(G$71:G$85)</f>
        <v>#DIV/0!</v>
      </c>
      <c r="G18" s="79" t="e">
        <f>COUNTIF(G$86:G$95,"=1")/COUNT(G$86:G$95)</f>
        <v>#DIV/0!</v>
      </c>
      <c r="H18" s="79" t="e">
        <f>COUNTIF(G$47:G$95,"=1")/COUNT(G$47:G$95)</f>
        <v>#DIV/0!</v>
      </c>
      <c r="I18" s="82"/>
      <c r="J18" s="244" t="s">
        <v>443</v>
      </c>
      <c r="K18" s="244" t="s">
        <v>460</v>
      </c>
      <c r="M18" s="244" t="s">
        <v>443</v>
      </c>
      <c r="N18" s="244" t="s">
        <v>460</v>
      </c>
      <c r="O18" s="82"/>
      <c r="P18" s="82"/>
      <c r="Q18" s="82"/>
      <c r="R18" s="82"/>
      <c r="S18" s="82"/>
      <c r="T18" s="153"/>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153"/>
      <c r="BC18" s="82"/>
      <c r="BD18" s="82"/>
      <c r="BE18" s="153"/>
      <c r="BF18" s="8"/>
      <c r="BG18" s="8"/>
      <c r="BH18" s="8"/>
    </row>
    <row r="19" spans="1:60">
      <c r="A19">
        <v>2018</v>
      </c>
      <c r="B19" t="s">
        <v>100</v>
      </c>
      <c r="C19" s="79" t="e">
        <f>COUNTIF(H$47:H$61,"=1")/COUNT(H$47:H$61)</f>
        <v>#DIV/0!</v>
      </c>
      <c r="D19" s="79" t="e">
        <f>COUNTIF(H$62:H$66,"=1")/COUNT(H$62:H$66)</f>
        <v>#DIV/0!</v>
      </c>
      <c r="E19" s="79" t="e">
        <f>COUNTIF(H$67:H$70,"=1")/COUNT(H$67:H$70)</f>
        <v>#DIV/0!</v>
      </c>
      <c r="F19" s="79" t="e">
        <f>COUNTIF(H$71:H$85,"=1")/COUNT(H$71:H$85)</f>
        <v>#DIV/0!</v>
      </c>
      <c r="G19" s="79" t="e">
        <f>COUNTIF(H$86:H$95,"=1")/COUNT(H$86:H$95)</f>
        <v>#DIV/0!</v>
      </c>
      <c r="H19" s="79" t="e">
        <f>COUNTIF(H$47:H$95,"=1")/COUNT(H$47:H$95)</f>
        <v>#DIV/0!</v>
      </c>
      <c r="I19" s="82"/>
      <c r="J19" s="244" t="s">
        <v>444</v>
      </c>
      <c r="K19" s="245" t="s">
        <v>461</v>
      </c>
      <c r="M19" s="244" t="s">
        <v>444</v>
      </c>
      <c r="N19" s="245" t="s">
        <v>461</v>
      </c>
      <c r="O19" s="82"/>
      <c r="P19" s="82"/>
      <c r="Q19" s="82"/>
      <c r="R19" s="82"/>
      <c r="S19" s="82"/>
      <c r="T19" s="153"/>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153"/>
      <c r="BB19" s="153"/>
      <c r="BC19" s="82"/>
      <c r="BD19" s="82"/>
      <c r="BE19" s="153"/>
      <c r="BF19" s="8"/>
      <c r="BG19" s="8"/>
      <c r="BH19" s="8"/>
    </row>
    <row r="20" spans="1:60">
      <c r="A20">
        <v>2019</v>
      </c>
      <c r="B20" t="s">
        <v>234</v>
      </c>
      <c r="C20" s="79" t="e">
        <f>COUNTIF(I$47:I$61,"=1")/COUNT(I$47:I$61)</f>
        <v>#DIV/0!</v>
      </c>
      <c r="D20" s="79" t="e">
        <f>COUNTIF(I$62:I$66,"=1")/COUNT(I$62:I$66)</f>
        <v>#DIV/0!</v>
      </c>
      <c r="E20" s="79" t="e">
        <f>COUNTIF(I$67:I$70,"=1")/COUNT(I$67:I$70)</f>
        <v>#DIV/0!</v>
      </c>
      <c r="F20" s="79" t="e">
        <f>COUNTIF(I$71:I$85,"=1")/COUNT(I$71:I$85)</f>
        <v>#DIV/0!</v>
      </c>
      <c r="G20" s="79" t="e">
        <f>COUNTIF(I$86:I$95,"=1")/COUNT(I$86:I$95)</f>
        <v>#DIV/0!</v>
      </c>
      <c r="H20" s="79" t="e">
        <f>COUNTIF(I$47:I$95,"=1")/COUNT(I$47:I$95)</f>
        <v>#DIV/0!</v>
      </c>
      <c r="I20" s="8"/>
      <c r="J20" s="244" t="s">
        <v>445</v>
      </c>
      <c r="K20" s="244" t="s">
        <v>462</v>
      </c>
      <c r="L20" s="6"/>
      <c r="M20" s="244" t="s">
        <v>445</v>
      </c>
      <c r="N20" s="244" t="s">
        <v>462</v>
      </c>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row>
    <row r="21" spans="1:60">
      <c r="A21">
        <v>2019</v>
      </c>
      <c r="B21" t="s">
        <v>235</v>
      </c>
      <c r="C21" s="79" t="e">
        <f>COUNTIF(J$47:J$61,"=1")/COUNT(J$47:J$61)</f>
        <v>#DIV/0!</v>
      </c>
      <c r="D21" s="79" t="e">
        <f>COUNTIF(J$62:J$66,"=1")/COUNT(J$62:J$66)</f>
        <v>#DIV/0!</v>
      </c>
      <c r="E21" s="79" t="e">
        <f>COUNTIF(J$67:J$70,"=1")/COUNT(J$67:J$70)</f>
        <v>#DIV/0!</v>
      </c>
      <c r="F21" s="79" t="e">
        <f>COUNTIF(J$71:J$85,"=1")/COUNT(J$71:J$85)</f>
        <v>#DIV/0!</v>
      </c>
      <c r="G21" s="79" t="e">
        <f>COUNTIF(J$86:J$95,"=1")/COUNT(J$86:J$95)</f>
        <v>#DIV/0!</v>
      </c>
      <c r="H21" s="79" t="e">
        <f>COUNTIF(J$47:J$95,"=1")/COUNT(J$47:J$95)</f>
        <v>#DIV/0!</v>
      </c>
      <c r="I21" s="8"/>
      <c r="J21" s="246" t="s">
        <v>446</v>
      </c>
      <c r="K21" s="244" t="s">
        <v>463</v>
      </c>
      <c r="L21" s="6"/>
      <c r="M21" s="246" t="s">
        <v>446</v>
      </c>
      <c r="N21" s="244" t="s">
        <v>463</v>
      </c>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row>
    <row r="22" spans="1:60">
      <c r="A22">
        <v>2019</v>
      </c>
      <c r="B22" t="s">
        <v>100</v>
      </c>
      <c r="C22" s="79" t="e">
        <f>COUNTIF(K$47:K$61,"=1")/COUNT(K$47:K$61)</f>
        <v>#DIV/0!</v>
      </c>
      <c r="D22" s="79" t="e">
        <f>COUNTIF(K$62:K$66,"=1")/COUNT(K$62:K$66)</f>
        <v>#DIV/0!</v>
      </c>
      <c r="E22" s="79" t="e">
        <f>COUNTIF(K$67:K$70,"=1")/COUNT(K$67:K$70)</f>
        <v>#DIV/0!</v>
      </c>
      <c r="F22" s="79" t="e">
        <f>COUNTIF(K$71:K$85,"=1")/COUNT(K$71:K$85)</f>
        <v>#DIV/0!</v>
      </c>
      <c r="G22" s="79" t="e">
        <f>COUNTIF(K$86:K$95,"=1")/COUNT(K$86:K$95)</f>
        <v>#DIV/0!</v>
      </c>
      <c r="H22" s="79" t="e">
        <f>COUNTIF(K$47:K$95,"=1")/COUNT(K$47:K$95)</f>
        <v>#DIV/0!</v>
      </c>
      <c r="J22" s="247" t="s">
        <v>447</v>
      </c>
      <c r="K22" s="244" t="s">
        <v>464</v>
      </c>
      <c r="L22" s="6"/>
      <c r="M22" s="247" t="s">
        <v>447</v>
      </c>
      <c r="N22" s="244" t="s">
        <v>464</v>
      </c>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row>
    <row r="23" spans="1:60">
      <c r="A23">
        <v>2020</v>
      </c>
      <c r="B23" t="s">
        <v>234</v>
      </c>
      <c r="C23" s="79" t="e">
        <f>COUNTIF(L$47:L$61,"=1")/COUNT(L$47:L$61)</f>
        <v>#DIV/0!</v>
      </c>
      <c r="D23" s="79" t="e">
        <f>COUNTIF(L$62:L$66,"=1")/COUNT(L$62:L$66)</f>
        <v>#DIV/0!</v>
      </c>
      <c r="E23" s="79" t="e">
        <f>COUNTIF(L$67:L$70,"=1")/COUNT(L$67:L$70)</f>
        <v>#DIV/0!</v>
      </c>
      <c r="F23" s="79" t="e">
        <f>COUNTIF(L$71:L$85,"=1")/COUNT(L$71:L$85)</f>
        <v>#DIV/0!</v>
      </c>
      <c r="G23" s="79" t="e">
        <f>COUNTIF(L$86:L$95,"=1")/COUNT(L$86:L$95)</f>
        <v>#DIV/0!</v>
      </c>
      <c r="H23" s="79" t="e">
        <f>COUNTIF(L$47:L$95,"=1")/COUNT(L$47:L$95)</f>
        <v>#DIV/0!</v>
      </c>
      <c r="J23" s="295"/>
      <c r="K23" s="244" t="s">
        <v>465</v>
      </c>
      <c r="L23" s="6"/>
      <c r="M23" s="284"/>
      <c r="N23" s="244" t="s">
        <v>465</v>
      </c>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row>
    <row r="24" spans="1:60">
      <c r="A24">
        <v>2020</v>
      </c>
      <c r="B24" t="s">
        <v>235</v>
      </c>
      <c r="C24" s="79" t="e">
        <f>COUNTIF(M$47:M$61,"=1")/COUNT(M$47:M$61)</f>
        <v>#DIV/0!</v>
      </c>
      <c r="D24" s="79" t="e">
        <f>COUNTIF(M$62:M$66,"=1")/COUNT(M$62:M$66)</f>
        <v>#DIV/0!</v>
      </c>
      <c r="E24" s="79" t="e">
        <f>COUNTIF(M$67:M$70,"=1")/COUNT(M$67:M$70)</f>
        <v>#DIV/0!</v>
      </c>
      <c r="F24" s="79" t="e">
        <f>COUNTIF(M$71:M$85,"=1")/COUNT(M$71:M$85)</f>
        <v>#DIV/0!</v>
      </c>
      <c r="G24" s="79" t="e">
        <f>COUNTIF(M$86:M$95,"=1")/COUNT(M$86:M$95)</f>
        <v>#DIV/0!</v>
      </c>
      <c r="H24" s="79" t="e">
        <f>COUNTIF(M$47:M$95,"=1")/COUNT(M$47:M$95)</f>
        <v>#DIV/0!</v>
      </c>
      <c r="J24" s="204"/>
      <c r="K24" s="248" t="s">
        <v>466</v>
      </c>
      <c r="L24" s="6"/>
      <c r="M24" s="257"/>
      <c r="N24" s="258" t="s">
        <v>466</v>
      </c>
    </row>
    <row r="25" spans="1:60">
      <c r="A25">
        <v>2020</v>
      </c>
      <c r="B25" t="s">
        <v>100</v>
      </c>
      <c r="C25" s="79" t="e">
        <f>COUNTIF(N$47:N$61,"=1")/COUNT(N$47:N$61)</f>
        <v>#DIV/0!</v>
      </c>
      <c r="D25" s="79" t="e">
        <f>COUNTIF(N$62:N$66,"=1")/COUNT(N$62:N$66)</f>
        <v>#DIV/0!</v>
      </c>
      <c r="E25" s="79" t="e">
        <f>COUNTIF(N$67:N$70,"=1")/COUNT(N$67:N$70)</f>
        <v>#DIV/0!</v>
      </c>
      <c r="F25" s="79" t="e">
        <f>COUNTIF(N$71:N$85,"=1")/COUNT(N$71:N$85)</f>
        <v>#DIV/0!</v>
      </c>
      <c r="G25" s="79" t="e">
        <f>COUNTIF(N$86:N$95,"=1")/COUNT(N$86:N$95)</f>
        <v>#DIV/0!</v>
      </c>
      <c r="H25" s="79" t="e">
        <f>COUNTIF(N$47:N$95,"=1")/COUNT(N$47:N$95)</f>
        <v>#DIV/0!</v>
      </c>
      <c r="J25" s="250"/>
      <c r="K25" s="251"/>
      <c r="L25" s="6"/>
      <c r="M25" s="250"/>
      <c r="N25" s="251"/>
    </row>
    <row r="26" spans="1:60">
      <c r="A26">
        <v>2021</v>
      </c>
      <c r="B26" t="s">
        <v>234</v>
      </c>
      <c r="C26" s="79" t="e">
        <f>COUNTIF(O$47:O$61,"=1")/COUNT(O$47:O$61)</f>
        <v>#DIV/0!</v>
      </c>
      <c r="D26" s="79" t="e">
        <f>COUNTIF(O$62:O$66,"=1")/COUNT(O$62:O$66)</f>
        <v>#DIV/0!</v>
      </c>
      <c r="E26" s="79" t="e">
        <f>COUNTIF(O$67:O$70,"=1")/COUNT(O$67:O$70)</f>
        <v>#DIV/0!</v>
      </c>
      <c r="F26" s="79" t="e">
        <f>COUNTIF(O$71:O$85,"=1")/COUNT(O$71:O$85)</f>
        <v>#DIV/0!</v>
      </c>
      <c r="G26" s="79" t="e">
        <f>COUNTIF(O$86:O$95,"=1")/COUNT(O$86:O$95)</f>
        <v>#DIV/0!</v>
      </c>
      <c r="H26" s="79" t="e">
        <f>COUNTIF(O$47:O$95,"=1")/COUNT(O$47:O$95)</f>
        <v>#DIV/0!</v>
      </c>
      <c r="J26" s="249"/>
      <c r="K26" s="251"/>
      <c r="L26" s="6"/>
      <c r="M26" s="249"/>
      <c r="N26" s="251"/>
    </row>
    <row r="27" spans="1:60">
      <c r="A27">
        <v>2021</v>
      </c>
      <c r="B27" t="s">
        <v>235</v>
      </c>
      <c r="C27" s="79" t="e">
        <f>COUNTIF(P$47:P$61,"=1")/COUNT(P$47:P$61)</f>
        <v>#DIV/0!</v>
      </c>
      <c r="D27" s="79" t="e">
        <f>COUNTIF(P$62:P$66,"=1")/COUNT(P$62:P$66)</f>
        <v>#DIV/0!</v>
      </c>
      <c r="E27" s="79" t="e">
        <f>COUNTIF(P$67:P$70,"=1")/COUNT(P$67:P$70)</f>
        <v>#DIV/0!</v>
      </c>
      <c r="F27" s="79" t="e">
        <f>COUNTIF(P$71:P$85,"=1")/COUNT(P$71:P$85)</f>
        <v>#DIV/0!</v>
      </c>
      <c r="G27" s="79" t="e">
        <f>COUNTIF(P$86:P$95,"=1")/COUNT(P$86:P$95)</f>
        <v>#DIV/0!</v>
      </c>
      <c r="H27" s="79" t="e">
        <f>COUNTIF(P$47:P$95,"=1")/COUNT(P$47:P$95)</f>
        <v>#DIV/0!</v>
      </c>
      <c r="J27" s="6"/>
      <c r="K27" s="6"/>
      <c r="L27" s="6"/>
      <c r="M27" s="6"/>
      <c r="N27" s="6"/>
    </row>
    <row r="28" spans="1:60">
      <c r="A28">
        <v>2021</v>
      </c>
      <c r="B28" t="s">
        <v>100</v>
      </c>
      <c r="C28" s="79" t="e">
        <f>COUNTIF(Q$47:Q$61,"=1")/COUNT(Q$47:Q$61)</f>
        <v>#DIV/0!</v>
      </c>
      <c r="D28" s="79" t="e">
        <f>COUNTIF(Q$62:Q$66,"=1")/COUNT(Q$62:Q$66)</f>
        <v>#DIV/0!</v>
      </c>
      <c r="E28" s="79" t="e">
        <f>COUNTIF(Q$67:Q$70,"=1")/COUNT(Q$67:Q$70)</f>
        <v>#DIV/0!</v>
      </c>
      <c r="F28" s="79" t="e">
        <f>COUNTIF(Q$71:Q$85,"=1")/COUNT(Q$71:Q$85)</f>
        <v>#DIV/0!</v>
      </c>
      <c r="G28" s="79" t="e">
        <f>COUNTIF(Q$86:Q$95,"=1")/COUNT(Q$86:Q$95)</f>
        <v>#DIV/0!</v>
      </c>
      <c r="H28" s="79" t="e">
        <f>COUNTIF(Q$47:Q$95,"=1")/COUNT(Q$47:Q$95)</f>
        <v>#DIV/0!</v>
      </c>
      <c r="J28" s="6"/>
      <c r="K28" s="6"/>
      <c r="L28" s="6"/>
      <c r="M28" s="6"/>
      <c r="N28" s="6"/>
    </row>
    <row r="29" spans="1:60">
      <c r="A29">
        <v>2022</v>
      </c>
      <c r="B29" t="s">
        <v>234</v>
      </c>
      <c r="C29" s="79" t="e">
        <f>COUNTIF(R$47:R$61,"=1")/COUNT(R$47:R$61)</f>
        <v>#DIV/0!</v>
      </c>
      <c r="D29" s="79" t="e">
        <f>COUNTIF(R$62:R$66,"=1")/COUNT(R$62:R$66)</f>
        <v>#DIV/0!</v>
      </c>
      <c r="E29" s="79" t="e">
        <f>COUNTIF(R$67:R$70,"=1")/COUNT(R$67:R$70)</f>
        <v>#DIV/0!</v>
      </c>
      <c r="F29" s="79" t="e">
        <f>COUNTIF(R$71:R$85,"=1")/COUNT(R$71:R$85)</f>
        <v>#DIV/0!</v>
      </c>
      <c r="G29" s="79" t="e">
        <f>COUNTIF(R$86:R$95,"=1")/COUNT(R$86:R$95)</f>
        <v>#DIV/0!</v>
      </c>
      <c r="H29" s="79" t="e">
        <f>COUNTIF(R$47:R$95,"=1")/COUNT(R$47:R$95)</f>
        <v>#DIV/0!</v>
      </c>
    </row>
    <row r="30" spans="1:60">
      <c r="A30">
        <v>2022</v>
      </c>
      <c r="B30" t="s">
        <v>235</v>
      </c>
      <c r="C30" s="79" t="e">
        <f>COUNTIF(S$47:S$61,"=1")/COUNT(S$47:S$61)</f>
        <v>#DIV/0!</v>
      </c>
      <c r="D30" s="79" t="e">
        <f>COUNTIF(S$62:S$66,"=1")/COUNT(S$62:S$66)</f>
        <v>#DIV/0!</v>
      </c>
      <c r="E30" s="79" t="e">
        <f>COUNTIF(S$67:S$70,"=1")/COUNT(S$67:S$70)</f>
        <v>#DIV/0!</v>
      </c>
      <c r="F30" s="79" t="e">
        <f>COUNTIF(S$71:S$85,"=1")/COUNT(S$71:S$85)</f>
        <v>#DIV/0!</v>
      </c>
      <c r="G30" s="79" t="e">
        <f>COUNTIF(S$86:S$95,"=1")/COUNT(S$86:S$95)</f>
        <v>#DIV/0!</v>
      </c>
      <c r="H30" s="79" t="e">
        <f>COUNTIF(S$47:S$95,"=1")/COUNT(S$47:S$95)</f>
        <v>#DIV/0!</v>
      </c>
    </row>
    <row r="31" spans="1:60">
      <c r="A31">
        <v>2022</v>
      </c>
      <c r="B31" t="s">
        <v>100</v>
      </c>
      <c r="C31" s="79" t="e">
        <f>COUNTIF(T$47:T$61,"=1")/COUNT(T$47:T$61)</f>
        <v>#DIV/0!</v>
      </c>
      <c r="D31" s="79" t="e">
        <f>COUNTIF(T$62:T$66,"=1")/COUNT(T$62:T$66)</f>
        <v>#DIV/0!</v>
      </c>
      <c r="E31" s="79" t="e">
        <f>COUNTIF(T$67:T$70,"=1")/COUNT(T$67:T$70)</f>
        <v>#DIV/0!</v>
      </c>
      <c r="F31" s="79" t="e">
        <f>COUNTIF(T$71:T$85,"=1")/COUNT(T$71:T$85)</f>
        <v>#DIV/0!</v>
      </c>
      <c r="G31" s="79" t="e">
        <f>COUNTIF(T$86:T$95,"=1")/COUNT(T$86:T$95)</f>
        <v>#DIV/0!</v>
      </c>
      <c r="H31" s="79" t="e">
        <f>COUNTIF(T$47:T$95,"=1")/COUNT(T$47:T$95)</f>
        <v>#DIV/0!</v>
      </c>
    </row>
    <row r="32" spans="1:60">
      <c r="A32">
        <v>2023</v>
      </c>
      <c r="B32" t="s">
        <v>234</v>
      </c>
      <c r="C32" s="79" t="e">
        <f>COUNTIF(U$47:U$61,"=1")/COUNT(U$47:U$61)</f>
        <v>#DIV/0!</v>
      </c>
      <c r="D32" s="79" t="e">
        <f>COUNTIF(U$62:U$66,"=1")/COUNT(U$62:U$66)</f>
        <v>#DIV/0!</v>
      </c>
      <c r="E32" s="79" t="e">
        <f>COUNTIF(U$67:U$70,"=1")/COUNT(U$67:U$70)</f>
        <v>#DIV/0!</v>
      </c>
      <c r="F32" s="79" t="e">
        <f>COUNTIF(U$71:U$85,"=1")/COUNT(U$71:U$85)</f>
        <v>#DIV/0!</v>
      </c>
      <c r="G32" s="79" t="e">
        <f>COUNTIF(U$86:U$95,"=1")/COUNT(U$86:U$95)</f>
        <v>#DIV/0!</v>
      </c>
      <c r="H32" s="79" t="e">
        <f>COUNTIF(U$47:U$95,"=1")/COUNT(U$47:U$95)</f>
        <v>#DIV/0!</v>
      </c>
    </row>
    <row r="33" spans="1:60">
      <c r="A33">
        <v>2023</v>
      </c>
      <c r="B33" t="s">
        <v>235</v>
      </c>
      <c r="C33" s="79" t="e">
        <f>COUNTIF(V$47:V$61,"=1")/COUNT(V$47:V$61)</f>
        <v>#DIV/0!</v>
      </c>
      <c r="D33" s="79" t="e">
        <f>COUNTIF(V$62:V$66,"=1")/COUNT(V$62:V$66)</f>
        <v>#DIV/0!</v>
      </c>
      <c r="E33" s="79" t="e">
        <f>COUNTIF(V$67:V$70,"=1")/COUNT(V$67:V$70)</f>
        <v>#DIV/0!</v>
      </c>
      <c r="F33" s="79" t="e">
        <f>COUNTIF(V$71:V$85,"=1")/COUNT(V$71:V$85)</f>
        <v>#DIV/0!</v>
      </c>
      <c r="G33" s="79" t="e">
        <f>COUNTIF(V$86:V$95,"=1")/COUNT(V$86:V$95)</f>
        <v>#DIV/0!</v>
      </c>
      <c r="H33" s="79" t="e">
        <f>COUNTIF(V$47:V$95,"=1")/COUNT(V$47:V$95)</f>
        <v>#DIV/0!</v>
      </c>
    </row>
    <row r="34" spans="1:60">
      <c r="A34">
        <v>2023</v>
      </c>
      <c r="B34" t="s">
        <v>100</v>
      </c>
      <c r="C34" s="79" t="e">
        <f>COUNTIF(W$47:W$61,"=1")/COUNT(W$47:W$61)</f>
        <v>#DIV/0!</v>
      </c>
      <c r="D34" s="79" t="e">
        <f>COUNTIF(W$62:W$66,"=1")/COUNT(W$62:W$66)</f>
        <v>#DIV/0!</v>
      </c>
      <c r="E34" s="79" t="e">
        <f>COUNTIF(W$67:W$70,"=1")/COUNT(W$67:W$70)</f>
        <v>#DIV/0!</v>
      </c>
      <c r="F34" s="79" t="e">
        <f>COUNTIF(W$71:W$85,"=1")/COUNT(W$71:W$85)</f>
        <v>#DIV/0!</v>
      </c>
      <c r="G34" s="79" t="e">
        <f>COUNTIF(W$86:W$95,"=1")/COUNT(W$86:W$95)</f>
        <v>#DIV/0!</v>
      </c>
      <c r="H34" s="79" t="e">
        <f>COUNTIF(W$47:W$95,"=1")/COUNT(W$47:W$95)</f>
        <v>#DIV/0!</v>
      </c>
    </row>
    <row r="35" spans="1:60">
      <c r="A35">
        <v>2024</v>
      </c>
      <c r="B35" t="s">
        <v>234</v>
      </c>
      <c r="C35" s="79" t="e">
        <f>COUNTIF(X$47:X$61,"=1")/COUNT(X$47:X$61)</f>
        <v>#DIV/0!</v>
      </c>
      <c r="D35" s="79" t="e">
        <f>COUNTIF(X$62:X$66,"=1")/COUNT(X$62:X$66)</f>
        <v>#DIV/0!</v>
      </c>
      <c r="E35" s="79" t="e">
        <f>COUNTIF(X$67:X$70,"=1")/COUNT(X$67:X$70)</f>
        <v>#DIV/0!</v>
      </c>
      <c r="F35" s="79" t="e">
        <f>COUNTIF(X$71:X$85,"=1")/COUNT(X$71:X$85)</f>
        <v>#DIV/0!</v>
      </c>
      <c r="G35" s="79" t="e">
        <f>COUNTIF(X$86:X$95,"=1")/COUNT(X$86:X$95)</f>
        <v>#DIV/0!</v>
      </c>
      <c r="H35" s="79" t="e">
        <f>COUNTIF(X$47:X$95,"=1")/COUNT(X$47:X$95)</f>
        <v>#DIV/0!</v>
      </c>
      <c r="BG35" s="57"/>
      <c r="BH35" s="57"/>
    </row>
    <row r="36" spans="1:60">
      <c r="A36">
        <v>2024</v>
      </c>
      <c r="B36" t="s">
        <v>235</v>
      </c>
      <c r="C36" s="79" t="e">
        <f>COUNTIF(Y$47:Y$61,"=1")/COUNT(Y$47:Y$61)</f>
        <v>#DIV/0!</v>
      </c>
      <c r="D36" s="79" t="e">
        <f>COUNTIF(Y$62:Y$66,"=1")/COUNT(Y$62:Y$66)</f>
        <v>#DIV/0!</v>
      </c>
      <c r="E36" s="79" t="e">
        <f>COUNTIF(Y$67:Y$70,"=1")/COUNT(Y$67:Y$70)</f>
        <v>#DIV/0!</v>
      </c>
      <c r="F36" s="79" t="e">
        <f>COUNTIF(Y$71:Y$85,"=1")/COUNT(Y$71:Y$85)</f>
        <v>#DIV/0!</v>
      </c>
      <c r="G36" s="79" t="e">
        <f>COUNTIF(Y$86:Y$95,"=1")/COUNT(Y$86:Y$95)</f>
        <v>#DIV/0!</v>
      </c>
      <c r="H36" s="79" t="e">
        <f>COUNTIF(Y$47:Y$95,"=1")/COUNT(Y$47:Y$95)</f>
        <v>#DIV/0!</v>
      </c>
    </row>
    <row r="37" spans="1:60">
      <c r="A37">
        <v>2024</v>
      </c>
      <c r="B37" t="s">
        <v>100</v>
      </c>
      <c r="C37" s="79" t="e">
        <f>COUNTIF(Z$47:Z$61,"=1")/COUNT(Z$47:Z$61)</f>
        <v>#DIV/0!</v>
      </c>
      <c r="D37" s="79" t="e">
        <f>COUNTIF(Z$62:Z$66,"=1")/COUNT(Z$62:Z$66)</f>
        <v>#DIV/0!</v>
      </c>
      <c r="E37" s="79" t="e">
        <f>COUNTIF(Z$67:Z$70,"=1")/COUNT(Z$67:Z$70)</f>
        <v>#DIV/0!</v>
      </c>
      <c r="F37" s="79" t="e">
        <f>COUNTIF(Z$71:Z$85,"=1")/COUNT(Z$71:Z$85)</f>
        <v>#DIV/0!</v>
      </c>
      <c r="G37" s="79" t="e">
        <f>COUNTIF(Z$86:Z$95,"=1")/COUNT(Z$86:Z$95)</f>
        <v>#DIV/0!</v>
      </c>
      <c r="H37" s="79" t="e">
        <f>COUNTIF(Z$47:Z$95,"=1")/COUNT(Z$47:Z$95)</f>
        <v>#DIV/0!</v>
      </c>
    </row>
    <row r="38" spans="1:60">
      <c r="A38">
        <v>2025</v>
      </c>
      <c r="B38" t="s">
        <v>234</v>
      </c>
      <c r="C38" s="79" t="e">
        <f>COUNTIF(AA$47:AA$61,"=1")/COUNT(AA$47:AA$61)</f>
        <v>#DIV/0!</v>
      </c>
      <c r="D38" s="79" t="e">
        <f>COUNTIF(AA$62:AA$66,"=1")/COUNT(AA$62:AA$66)</f>
        <v>#DIV/0!</v>
      </c>
      <c r="E38" s="79" t="e">
        <f>COUNTIF(AA$67:AA$70,"=1")/COUNT(AA$67:AA$70)</f>
        <v>#DIV/0!</v>
      </c>
      <c r="F38" s="79" t="e">
        <f>COUNTIF(AA$71:AA$85,"=1")/COUNT(AA$71:AA$85)</f>
        <v>#DIV/0!</v>
      </c>
      <c r="G38" s="79" t="e">
        <f>COUNTIF(AA$86:AA$95,"=1")/COUNT(AA$86:AA$95)</f>
        <v>#DIV/0!</v>
      </c>
      <c r="H38" s="79" t="e">
        <f>COUNTIF(AA$47:AA$95,"=1")/COUNT(AA$47:AA$95)</f>
        <v>#DIV/0!</v>
      </c>
    </row>
    <row r="39" spans="1:60">
      <c r="A39">
        <v>2025</v>
      </c>
      <c r="B39" t="s">
        <v>235</v>
      </c>
      <c r="C39" s="79" t="e">
        <f>COUNTIF(AB$47:AB$61,"=1")/COUNT(AB$47:AB$61)</f>
        <v>#DIV/0!</v>
      </c>
      <c r="D39" s="79" t="e">
        <f>COUNTIF(AB$62:AB$66,"=1")/COUNT(AB$62:AB$66)</f>
        <v>#DIV/0!</v>
      </c>
      <c r="E39" s="79" t="e">
        <f>COUNTIF(AB$67:AB$70,"=1")/COUNT(AB$67:AB$70)</f>
        <v>#DIV/0!</v>
      </c>
      <c r="F39" s="79" t="e">
        <f>COUNTIF(AB$71:AB$85,"=1")/COUNT(AB$71:AB$85)</f>
        <v>#DIV/0!</v>
      </c>
      <c r="G39" s="79" t="e">
        <f>COUNTIF(AB$86:AB$95,"=1")/COUNT(AB$86:AB$95)</f>
        <v>#DIV/0!</v>
      </c>
      <c r="H39" s="79" t="e">
        <f>COUNTIF(AB$47:AB$95,"=1")/COUNT(AB$47:AB$95)</f>
        <v>#DIV/0!</v>
      </c>
    </row>
    <row r="40" spans="1:60">
      <c r="A40">
        <v>2025</v>
      </c>
      <c r="B40" t="s">
        <v>100</v>
      </c>
      <c r="C40" s="79" t="e">
        <f>COUNTIF(AC$47:AC$61,"=1")/COUNT(AC$47:AC$61)</f>
        <v>#DIV/0!</v>
      </c>
      <c r="D40" s="79" t="e">
        <f>COUNTIF(AC$62:AC$66,"=1")/COUNT(AC$62:AC$66)</f>
        <v>#DIV/0!</v>
      </c>
      <c r="E40" s="79" t="e">
        <f>COUNTIF(AC$67:AC$70,"=1")/COUNT(AC$67:AC$70)</f>
        <v>#DIV/0!</v>
      </c>
      <c r="F40" s="79" t="e">
        <f>COUNTIF(AC$71:AC$85,"=1")/COUNT(AC$71:AC$85)</f>
        <v>#DIV/0!</v>
      </c>
      <c r="G40" s="79" t="e">
        <f>COUNTIF(AC$86:AC$95,"=1")/COUNT(AC$86:AC$95)</f>
        <v>#DIV/0!</v>
      </c>
      <c r="H40" s="79" t="e">
        <f>COUNTIF(AC$47:AC$95,"=1")/COUNT(AC$47:AC$95)</f>
        <v>#DIV/0!</v>
      </c>
    </row>
    <row r="41" spans="1:60">
      <c r="C41" s="79"/>
      <c r="D41" s="79"/>
      <c r="E41" s="79"/>
      <c r="F41" s="79"/>
      <c r="G41" s="79"/>
      <c r="H41" s="79"/>
    </row>
    <row r="42" spans="1:60">
      <c r="C42" s="79"/>
      <c r="D42" s="79"/>
      <c r="E42" s="79"/>
      <c r="F42" s="79"/>
      <c r="G42" s="79"/>
      <c r="H42" s="79"/>
    </row>
    <row r="43" spans="1:60">
      <c r="C43" s="79"/>
      <c r="D43" s="79"/>
      <c r="E43" s="79"/>
      <c r="F43" s="79"/>
      <c r="G43" s="79"/>
      <c r="H43" s="79"/>
    </row>
    <row r="45" spans="1:60" ht="18">
      <c r="A45" s="355" t="s">
        <v>195</v>
      </c>
      <c r="B45" s="355"/>
      <c r="C45" s="356">
        <v>2017</v>
      </c>
      <c r="D45" s="357"/>
      <c r="E45" s="358"/>
      <c r="F45" s="357">
        <v>2018</v>
      </c>
      <c r="G45" s="357"/>
      <c r="H45" s="357"/>
      <c r="I45" s="356">
        <v>2019</v>
      </c>
      <c r="J45" s="357"/>
      <c r="K45" s="358"/>
      <c r="L45" s="357">
        <v>2020</v>
      </c>
      <c r="M45" s="357"/>
      <c r="N45" s="357"/>
      <c r="O45" s="356">
        <v>2021</v>
      </c>
      <c r="P45" s="357"/>
      <c r="Q45" s="358"/>
      <c r="R45" s="357">
        <v>2022</v>
      </c>
      <c r="S45" s="357"/>
      <c r="T45" s="357"/>
      <c r="U45" s="356">
        <v>2023</v>
      </c>
      <c r="V45" s="357"/>
      <c r="W45" s="358"/>
      <c r="X45" s="357">
        <v>2024</v>
      </c>
      <c r="Y45" s="357"/>
      <c r="Z45" s="357"/>
      <c r="AA45" s="356">
        <v>2025</v>
      </c>
      <c r="AB45" s="357"/>
      <c r="AC45" s="358"/>
    </row>
    <row r="46" spans="1:60" ht="18">
      <c r="A46" s="81" t="s">
        <v>199</v>
      </c>
      <c r="B46" s="80" t="s">
        <v>210</v>
      </c>
      <c r="C46" s="178" t="s">
        <v>238</v>
      </c>
      <c r="D46" s="139" t="s">
        <v>237</v>
      </c>
      <c r="E46" s="139" t="s">
        <v>236</v>
      </c>
      <c r="F46" s="178" t="s">
        <v>238</v>
      </c>
      <c r="G46" s="139" t="s">
        <v>237</v>
      </c>
      <c r="H46" s="139" t="s">
        <v>236</v>
      </c>
      <c r="I46" s="178" t="s">
        <v>238</v>
      </c>
      <c r="J46" s="139" t="s">
        <v>237</v>
      </c>
      <c r="K46" s="139" t="s">
        <v>236</v>
      </c>
      <c r="L46" s="178" t="s">
        <v>238</v>
      </c>
      <c r="M46" s="132" t="s">
        <v>237</v>
      </c>
      <c r="N46" s="132" t="s">
        <v>236</v>
      </c>
      <c r="O46" s="131" t="s">
        <v>238</v>
      </c>
      <c r="P46" s="132" t="s">
        <v>237</v>
      </c>
      <c r="Q46" s="132" t="s">
        <v>236</v>
      </c>
      <c r="R46" s="131" t="s">
        <v>238</v>
      </c>
      <c r="S46" s="132" t="s">
        <v>237</v>
      </c>
      <c r="T46" s="132" t="s">
        <v>236</v>
      </c>
      <c r="U46" s="131" t="s">
        <v>238</v>
      </c>
      <c r="V46" s="132" t="s">
        <v>237</v>
      </c>
      <c r="W46" s="132" t="s">
        <v>236</v>
      </c>
      <c r="X46" s="131" t="s">
        <v>238</v>
      </c>
      <c r="Y46" s="132" t="s">
        <v>237</v>
      </c>
      <c r="Z46" s="132" t="s">
        <v>236</v>
      </c>
      <c r="AA46" s="131" t="s">
        <v>238</v>
      </c>
      <c r="AB46" s="132" t="s">
        <v>237</v>
      </c>
      <c r="AC46" s="132" t="s">
        <v>236</v>
      </c>
    </row>
    <row r="47" spans="1:60">
      <c r="A47" s="68" t="s">
        <v>189</v>
      </c>
      <c r="B47" t="s">
        <v>153</v>
      </c>
      <c r="C47" s="82">
        <v>0</v>
      </c>
      <c r="D47" s="82">
        <v>0</v>
      </c>
      <c r="E47" s="82">
        <v>0</v>
      </c>
      <c r="F47" s="82"/>
      <c r="G47" s="82"/>
      <c r="H47" s="82"/>
      <c r="I47" s="8"/>
      <c r="J47" s="82"/>
      <c r="K47" s="8"/>
      <c r="L47" s="8"/>
    </row>
    <row r="48" spans="1:60">
      <c r="A48" s="69" t="s">
        <v>141</v>
      </c>
      <c r="B48" t="s">
        <v>153</v>
      </c>
      <c r="C48" s="82">
        <v>1</v>
      </c>
      <c r="D48" s="82">
        <v>0</v>
      </c>
      <c r="E48" s="82">
        <v>0</v>
      </c>
      <c r="F48" s="82"/>
      <c r="G48" s="82"/>
      <c r="H48" s="82"/>
      <c r="I48" s="8"/>
      <c r="J48" s="82"/>
      <c r="K48" s="8"/>
      <c r="L48" s="8"/>
    </row>
    <row r="49" spans="1:12">
      <c r="A49" s="69" t="s">
        <v>143</v>
      </c>
      <c r="B49" t="s">
        <v>153</v>
      </c>
      <c r="C49" s="82">
        <v>0</v>
      </c>
      <c r="D49" s="82">
        <v>1</v>
      </c>
      <c r="E49" s="82">
        <v>1</v>
      </c>
      <c r="F49" s="82"/>
      <c r="G49" s="82"/>
      <c r="H49" s="82"/>
      <c r="I49" s="8"/>
      <c r="J49" s="82"/>
      <c r="K49" s="8"/>
      <c r="L49" s="8"/>
    </row>
    <row r="50" spans="1:12">
      <c r="A50" s="69" t="s">
        <v>152</v>
      </c>
      <c r="B50" t="s">
        <v>153</v>
      </c>
      <c r="C50" s="82">
        <v>0</v>
      </c>
      <c r="D50" s="82">
        <v>0</v>
      </c>
      <c r="E50" s="82">
        <v>0</v>
      </c>
      <c r="F50" s="82"/>
      <c r="G50" s="82"/>
      <c r="H50" s="82"/>
      <c r="I50" s="8"/>
      <c r="J50" s="82"/>
      <c r="K50" s="8"/>
      <c r="L50" s="8"/>
    </row>
    <row r="51" spans="1:12">
      <c r="A51" s="69" t="s">
        <v>146</v>
      </c>
      <c r="B51" t="s">
        <v>153</v>
      </c>
      <c r="C51" s="82">
        <v>1</v>
      </c>
      <c r="D51" s="82">
        <v>1</v>
      </c>
      <c r="E51" s="82">
        <v>1</v>
      </c>
      <c r="F51" s="82"/>
      <c r="G51" s="82"/>
      <c r="H51" s="82"/>
      <c r="I51" s="8"/>
      <c r="J51" s="82"/>
      <c r="K51" s="8"/>
      <c r="L51" s="8"/>
    </row>
    <row r="52" spans="1:12">
      <c r="A52" s="69" t="s">
        <v>142</v>
      </c>
      <c r="B52" t="s">
        <v>153</v>
      </c>
      <c r="C52" s="82">
        <v>0</v>
      </c>
      <c r="D52" s="82">
        <v>0</v>
      </c>
      <c r="E52" s="82">
        <v>0</v>
      </c>
      <c r="F52" s="82"/>
      <c r="G52" s="82"/>
      <c r="H52" s="82"/>
      <c r="I52" s="8"/>
      <c r="J52" s="82"/>
      <c r="K52" s="8"/>
      <c r="L52" s="8"/>
    </row>
    <row r="53" spans="1:12">
      <c r="A53" s="69" t="s">
        <v>148</v>
      </c>
      <c r="B53" t="s">
        <v>153</v>
      </c>
      <c r="C53" s="82">
        <v>0</v>
      </c>
      <c r="D53" s="82">
        <v>0</v>
      </c>
      <c r="E53" s="82">
        <v>0</v>
      </c>
      <c r="F53" s="82"/>
      <c r="G53" s="82"/>
      <c r="H53" s="82"/>
      <c r="I53" s="8"/>
      <c r="J53" s="82"/>
      <c r="K53" s="8"/>
      <c r="L53" s="8"/>
    </row>
    <row r="54" spans="1:12">
      <c r="A54" s="69" t="s">
        <v>149</v>
      </c>
      <c r="B54" t="s">
        <v>153</v>
      </c>
      <c r="C54" s="82">
        <v>0</v>
      </c>
      <c r="D54" s="82">
        <v>0</v>
      </c>
      <c r="E54" s="82">
        <v>0</v>
      </c>
      <c r="F54" s="82"/>
      <c r="G54" s="82"/>
      <c r="H54" s="82"/>
      <c r="I54" s="8"/>
      <c r="J54" s="82"/>
      <c r="K54" s="8"/>
      <c r="L54" s="8"/>
    </row>
    <row r="55" spans="1:12">
      <c r="A55" s="69" t="s">
        <v>147</v>
      </c>
      <c r="B55" t="s">
        <v>153</v>
      </c>
      <c r="C55" s="82">
        <v>1</v>
      </c>
      <c r="D55" s="82">
        <v>1</v>
      </c>
      <c r="E55" s="82">
        <v>1</v>
      </c>
      <c r="F55" s="82"/>
      <c r="G55" s="82"/>
      <c r="H55" s="82"/>
      <c r="I55" s="8"/>
      <c r="J55" s="82"/>
      <c r="K55" s="8"/>
      <c r="L55" s="8"/>
    </row>
    <row r="56" spans="1:12">
      <c r="A56" s="68" t="s">
        <v>190</v>
      </c>
      <c r="B56" t="s">
        <v>153</v>
      </c>
      <c r="C56" s="82">
        <v>0</v>
      </c>
      <c r="D56" s="82">
        <v>0</v>
      </c>
      <c r="E56" s="82">
        <v>0</v>
      </c>
      <c r="F56" s="82"/>
      <c r="G56" s="82"/>
      <c r="H56" s="82"/>
      <c r="I56" s="8"/>
      <c r="J56" s="82"/>
      <c r="K56" s="8"/>
      <c r="L56" s="8"/>
    </row>
    <row r="57" spans="1:12">
      <c r="A57" s="69" t="s">
        <v>145</v>
      </c>
      <c r="B57" t="s">
        <v>153</v>
      </c>
      <c r="C57" s="82">
        <v>1</v>
      </c>
      <c r="D57" s="82">
        <v>1</v>
      </c>
      <c r="E57" s="82">
        <v>1</v>
      </c>
      <c r="F57" s="82"/>
      <c r="G57" s="82"/>
      <c r="H57" s="82"/>
      <c r="I57" s="8"/>
      <c r="J57" s="82"/>
      <c r="K57" s="8"/>
      <c r="L57" s="8"/>
    </row>
    <row r="58" spans="1:12">
      <c r="A58" s="68" t="s">
        <v>191</v>
      </c>
      <c r="B58" t="s">
        <v>153</v>
      </c>
      <c r="C58" s="82" t="s">
        <v>207</v>
      </c>
      <c r="D58" s="82" t="s">
        <v>208</v>
      </c>
      <c r="E58" s="82" t="s">
        <v>208</v>
      </c>
      <c r="F58" s="82"/>
      <c r="G58" s="82"/>
      <c r="H58" s="82"/>
      <c r="I58" s="8"/>
      <c r="J58" s="82"/>
      <c r="K58" s="8"/>
      <c r="L58" s="8"/>
    </row>
    <row r="59" spans="1:12">
      <c r="A59" s="69" t="s">
        <v>150</v>
      </c>
      <c r="B59" t="s">
        <v>153</v>
      </c>
      <c r="C59" s="82">
        <v>1</v>
      </c>
      <c r="D59" s="82">
        <v>1</v>
      </c>
      <c r="E59" s="82">
        <v>1</v>
      </c>
      <c r="F59" s="82"/>
      <c r="G59" s="82"/>
      <c r="H59" s="82"/>
      <c r="I59" s="8"/>
      <c r="J59" s="82"/>
      <c r="K59" s="8"/>
      <c r="L59" s="8"/>
    </row>
    <row r="60" spans="1:12">
      <c r="A60" s="69" t="s">
        <v>151</v>
      </c>
      <c r="B60" t="s">
        <v>153</v>
      </c>
      <c r="C60" s="82">
        <v>0</v>
      </c>
      <c r="D60" s="82">
        <v>0</v>
      </c>
      <c r="E60" s="82">
        <v>0</v>
      </c>
      <c r="F60" s="82"/>
      <c r="G60" s="82"/>
      <c r="H60" s="82"/>
      <c r="I60" s="8"/>
      <c r="J60" s="82"/>
      <c r="K60" s="8"/>
      <c r="L60" s="8"/>
    </row>
    <row r="61" spans="1:12">
      <c r="A61" s="69" t="s">
        <v>144</v>
      </c>
      <c r="B61" t="s">
        <v>153</v>
      </c>
      <c r="C61" s="82">
        <v>0</v>
      </c>
      <c r="D61" s="82">
        <v>0</v>
      </c>
      <c r="E61" s="82">
        <v>0</v>
      </c>
      <c r="F61" s="82"/>
      <c r="G61" s="82"/>
      <c r="H61" s="82"/>
      <c r="I61" s="8"/>
      <c r="J61" s="82"/>
      <c r="K61" s="8"/>
      <c r="L61" s="8"/>
    </row>
    <row r="62" spans="1:12">
      <c r="A62" s="69" t="s">
        <v>154</v>
      </c>
      <c r="B62" s="71" t="s">
        <v>158</v>
      </c>
      <c r="C62" s="82">
        <v>0</v>
      </c>
      <c r="D62" s="82">
        <v>1</v>
      </c>
      <c r="E62" s="82">
        <v>1</v>
      </c>
      <c r="F62" s="82"/>
      <c r="G62" s="82"/>
      <c r="H62" s="82"/>
      <c r="I62" s="8"/>
      <c r="J62" s="82"/>
      <c r="K62" s="8"/>
      <c r="L62" s="8"/>
    </row>
    <row r="63" spans="1:12">
      <c r="A63" s="69" t="s">
        <v>155</v>
      </c>
      <c r="B63" s="71" t="s">
        <v>158</v>
      </c>
      <c r="C63" s="82">
        <v>0</v>
      </c>
      <c r="D63" s="82">
        <v>0</v>
      </c>
      <c r="E63" s="82">
        <v>0</v>
      </c>
      <c r="F63" s="82"/>
      <c r="G63" s="82"/>
      <c r="H63" s="82"/>
      <c r="I63" s="8"/>
      <c r="J63" s="82"/>
      <c r="K63" s="8"/>
      <c r="L63" s="8"/>
    </row>
    <row r="64" spans="1:12">
      <c r="A64" s="69" t="s">
        <v>156</v>
      </c>
      <c r="B64" s="71" t="s">
        <v>158</v>
      </c>
      <c r="C64" s="82">
        <v>1</v>
      </c>
      <c r="D64" s="82">
        <v>1</v>
      </c>
      <c r="E64" s="82">
        <v>1</v>
      </c>
      <c r="F64" s="82"/>
      <c r="G64" s="82"/>
      <c r="H64" s="82"/>
      <c r="I64" s="8"/>
      <c r="J64" s="82"/>
      <c r="K64" s="8"/>
      <c r="L64" s="8"/>
    </row>
    <row r="65" spans="1:12">
      <c r="A65" s="69" t="s">
        <v>157</v>
      </c>
      <c r="B65" s="71" t="s">
        <v>158</v>
      </c>
      <c r="C65" s="82">
        <v>0</v>
      </c>
      <c r="D65" s="82">
        <v>0</v>
      </c>
      <c r="E65" s="82">
        <v>0</v>
      </c>
      <c r="F65" s="82"/>
      <c r="G65" s="82"/>
      <c r="H65" s="82"/>
      <c r="I65" s="8"/>
      <c r="J65" s="82"/>
      <c r="K65" s="8"/>
      <c r="L65" s="8"/>
    </row>
    <row r="66" spans="1:12">
      <c r="A66" s="68" t="s">
        <v>192</v>
      </c>
      <c r="B66" s="71" t="s">
        <v>158</v>
      </c>
      <c r="C66" s="82">
        <v>1</v>
      </c>
      <c r="D66" s="82">
        <v>1</v>
      </c>
      <c r="E66" s="82">
        <v>1</v>
      </c>
      <c r="F66" s="82"/>
      <c r="G66" s="82"/>
      <c r="H66" s="82"/>
      <c r="I66" s="8"/>
      <c r="J66" s="82"/>
      <c r="K66" s="8"/>
      <c r="L66" s="8"/>
    </row>
    <row r="67" spans="1:12">
      <c r="A67" s="69" t="s">
        <v>159</v>
      </c>
      <c r="B67" s="71" t="s">
        <v>162</v>
      </c>
      <c r="C67" s="82">
        <v>0</v>
      </c>
      <c r="D67" s="82">
        <v>0</v>
      </c>
      <c r="E67" s="82">
        <v>0</v>
      </c>
      <c r="F67" s="82"/>
      <c r="G67" s="82"/>
      <c r="H67" s="82"/>
      <c r="I67" s="8"/>
      <c r="J67" s="82"/>
      <c r="K67" s="8"/>
      <c r="L67" s="8"/>
    </row>
    <row r="68" spans="1:12">
      <c r="A68" s="69" t="s">
        <v>160</v>
      </c>
      <c r="B68" s="71" t="s">
        <v>162</v>
      </c>
      <c r="C68" s="82">
        <v>1</v>
      </c>
      <c r="D68" s="82">
        <v>1</v>
      </c>
      <c r="E68" s="82">
        <v>1</v>
      </c>
      <c r="F68" s="82"/>
      <c r="G68" s="82"/>
      <c r="H68" s="82"/>
      <c r="I68" s="8"/>
      <c r="J68" s="82"/>
      <c r="K68" s="8"/>
      <c r="L68" s="8"/>
    </row>
    <row r="69" spans="1:12">
      <c r="A69" s="68" t="s">
        <v>193</v>
      </c>
      <c r="B69" s="71" t="s">
        <v>162</v>
      </c>
      <c r="C69" s="82">
        <v>0</v>
      </c>
      <c r="D69" s="82">
        <v>0</v>
      </c>
      <c r="E69" s="82">
        <v>0</v>
      </c>
      <c r="F69" s="82"/>
      <c r="G69" s="82"/>
      <c r="H69" s="82"/>
      <c r="I69" s="8"/>
      <c r="J69" s="82"/>
      <c r="K69" s="8"/>
      <c r="L69" s="8"/>
    </row>
    <row r="70" spans="1:12">
      <c r="A70" s="69" t="s">
        <v>161</v>
      </c>
      <c r="B70" s="71" t="s">
        <v>162</v>
      </c>
      <c r="C70" s="82">
        <v>0</v>
      </c>
      <c r="D70" s="82">
        <v>0</v>
      </c>
      <c r="E70" s="82">
        <v>0</v>
      </c>
      <c r="F70" s="82"/>
      <c r="G70" s="82"/>
      <c r="H70" s="82"/>
      <c r="I70" s="8"/>
      <c r="J70" s="82"/>
      <c r="K70" s="8"/>
      <c r="L70" s="8"/>
    </row>
    <row r="71" spans="1:12">
      <c r="A71" s="69" t="s">
        <v>163</v>
      </c>
      <c r="B71" s="71" t="s">
        <v>178</v>
      </c>
      <c r="C71" s="82">
        <v>0</v>
      </c>
      <c r="D71" s="82">
        <v>0</v>
      </c>
      <c r="E71" s="82">
        <v>0</v>
      </c>
      <c r="F71" s="82"/>
      <c r="G71" s="82"/>
      <c r="H71" s="82"/>
      <c r="I71" s="8"/>
      <c r="J71" s="82"/>
      <c r="K71" s="8"/>
      <c r="L71" s="8"/>
    </row>
    <row r="72" spans="1:12">
      <c r="A72" s="69" t="s">
        <v>164</v>
      </c>
      <c r="B72" s="71" t="s">
        <v>178</v>
      </c>
      <c r="C72" s="82">
        <v>0</v>
      </c>
      <c r="D72" s="82">
        <v>0</v>
      </c>
      <c r="E72" s="82">
        <v>0</v>
      </c>
      <c r="F72" s="82"/>
      <c r="G72" s="82"/>
      <c r="H72" s="82"/>
      <c r="I72" s="8"/>
      <c r="J72" s="82"/>
      <c r="K72" s="8"/>
      <c r="L72" s="8"/>
    </row>
    <row r="73" spans="1:12">
      <c r="A73" s="69" t="s">
        <v>165</v>
      </c>
      <c r="B73" s="71" t="s">
        <v>178</v>
      </c>
      <c r="C73" s="82">
        <v>1</v>
      </c>
      <c r="D73" s="82">
        <v>1</v>
      </c>
      <c r="E73" s="82">
        <v>1</v>
      </c>
      <c r="F73" s="82"/>
      <c r="G73" s="82"/>
      <c r="H73" s="82"/>
      <c r="I73" s="8"/>
      <c r="J73" s="82"/>
      <c r="K73" s="8"/>
      <c r="L73" s="8"/>
    </row>
    <row r="74" spans="1:12">
      <c r="A74" s="69" t="s">
        <v>166</v>
      </c>
      <c r="B74" s="71" t="s">
        <v>178</v>
      </c>
      <c r="C74" s="82">
        <v>0</v>
      </c>
      <c r="D74" s="82">
        <v>0</v>
      </c>
      <c r="E74" s="82">
        <v>0</v>
      </c>
      <c r="F74" s="82"/>
      <c r="G74" s="82"/>
      <c r="H74" s="82"/>
      <c r="I74" s="8"/>
      <c r="J74" s="82"/>
      <c r="K74" s="8"/>
      <c r="L74" s="8"/>
    </row>
    <row r="75" spans="1:12">
      <c r="A75" s="69" t="s">
        <v>167</v>
      </c>
      <c r="B75" s="71" t="s">
        <v>178</v>
      </c>
      <c r="C75" s="82">
        <v>0</v>
      </c>
      <c r="D75" s="82">
        <v>0</v>
      </c>
      <c r="E75" s="82">
        <v>1</v>
      </c>
      <c r="F75" s="82"/>
      <c r="G75" s="82"/>
      <c r="H75" s="82"/>
      <c r="I75" s="8"/>
      <c r="J75" s="82"/>
      <c r="K75" s="8"/>
      <c r="L75" s="8"/>
    </row>
    <row r="76" spans="1:12">
      <c r="A76" s="69" t="s">
        <v>168</v>
      </c>
      <c r="B76" s="71" t="s">
        <v>178</v>
      </c>
      <c r="C76" s="82">
        <v>0</v>
      </c>
      <c r="D76" s="82">
        <v>0</v>
      </c>
      <c r="E76" s="82">
        <v>0</v>
      </c>
      <c r="F76" s="82"/>
      <c r="G76" s="82"/>
      <c r="H76" s="82"/>
      <c r="I76" s="8"/>
      <c r="J76" s="82"/>
      <c r="K76" s="8"/>
      <c r="L76" s="8"/>
    </row>
    <row r="77" spans="1:12">
      <c r="A77" s="69" t="s">
        <v>169</v>
      </c>
      <c r="B77" s="71" t="s">
        <v>178</v>
      </c>
      <c r="C77" s="82">
        <v>0</v>
      </c>
      <c r="D77" s="82">
        <v>1</v>
      </c>
      <c r="E77" s="82">
        <v>1</v>
      </c>
      <c r="F77" s="82"/>
      <c r="G77" s="82"/>
      <c r="H77" s="82"/>
      <c r="I77" s="8"/>
      <c r="J77" s="82"/>
      <c r="K77" s="8"/>
      <c r="L77" s="8"/>
    </row>
    <row r="78" spans="1:12">
      <c r="A78" s="69" t="s">
        <v>170</v>
      </c>
      <c r="B78" s="71" t="s">
        <v>178</v>
      </c>
      <c r="C78" s="82">
        <v>0</v>
      </c>
      <c r="D78" s="82">
        <v>1</v>
      </c>
      <c r="E78" s="82">
        <v>1</v>
      </c>
      <c r="F78" s="82"/>
      <c r="G78" s="82"/>
      <c r="H78" s="82"/>
      <c r="I78" s="8"/>
      <c r="J78" s="82"/>
      <c r="K78" s="8"/>
      <c r="L78" s="8"/>
    </row>
    <row r="79" spans="1:12">
      <c r="A79" s="69" t="s">
        <v>171</v>
      </c>
      <c r="B79" s="71" t="s">
        <v>178</v>
      </c>
      <c r="C79" s="82">
        <v>1</v>
      </c>
      <c r="D79" s="82">
        <v>1</v>
      </c>
      <c r="E79" s="82">
        <v>1</v>
      </c>
      <c r="F79" s="82"/>
      <c r="G79" s="82"/>
      <c r="H79" s="82"/>
      <c r="I79" s="8"/>
      <c r="J79" s="82"/>
      <c r="K79" s="8"/>
      <c r="L79" s="8"/>
    </row>
    <row r="80" spans="1:12">
      <c r="A80" s="69" t="s">
        <v>172</v>
      </c>
      <c r="B80" s="71" t="s">
        <v>178</v>
      </c>
      <c r="C80" s="82">
        <v>0</v>
      </c>
      <c r="D80" s="82">
        <v>0</v>
      </c>
      <c r="E80" s="82">
        <v>0</v>
      </c>
      <c r="F80" s="82"/>
      <c r="G80" s="82"/>
      <c r="H80" s="82"/>
      <c r="I80" s="8"/>
      <c r="J80" s="82"/>
      <c r="K80" s="8"/>
      <c r="L80" s="8"/>
    </row>
    <row r="81" spans="1:12">
      <c r="A81" s="69" t="s">
        <v>173</v>
      </c>
      <c r="B81" s="71" t="s">
        <v>178</v>
      </c>
      <c r="C81" s="82">
        <v>0</v>
      </c>
      <c r="D81" s="82">
        <v>0</v>
      </c>
      <c r="E81" s="82">
        <v>0</v>
      </c>
      <c r="F81" s="82"/>
      <c r="G81" s="82"/>
      <c r="H81" s="82"/>
      <c r="I81" s="8"/>
      <c r="J81" s="82"/>
      <c r="K81" s="8"/>
      <c r="L81" s="8"/>
    </row>
    <row r="82" spans="1:12">
      <c r="A82" s="69" t="s">
        <v>174</v>
      </c>
      <c r="B82" s="71" t="s">
        <v>178</v>
      </c>
      <c r="C82" s="82">
        <v>0</v>
      </c>
      <c r="D82" s="82">
        <v>1</v>
      </c>
      <c r="E82" s="82">
        <v>1</v>
      </c>
      <c r="F82" s="82"/>
      <c r="G82" s="82"/>
      <c r="H82" s="82"/>
      <c r="I82" s="8"/>
      <c r="J82" s="82"/>
      <c r="K82" s="8"/>
      <c r="L82" s="8"/>
    </row>
    <row r="83" spans="1:12">
      <c r="A83" s="69" t="s">
        <v>175</v>
      </c>
      <c r="B83" s="71" t="s">
        <v>178</v>
      </c>
      <c r="C83" s="82">
        <v>1</v>
      </c>
      <c r="D83" s="82">
        <v>1</v>
      </c>
      <c r="E83" s="82">
        <v>1</v>
      </c>
      <c r="F83" s="82"/>
      <c r="G83" s="82"/>
      <c r="H83" s="82"/>
      <c r="I83" s="8"/>
      <c r="J83" s="82"/>
      <c r="K83" s="8"/>
      <c r="L83" s="8"/>
    </row>
    <row r="84" spans="1:12">
      <c r="A84" s="69" t="s">
        <v>176</v>
      </c>
      <c r="B84" s="71" t="s">
        <v>178</v>
      </c>
      <c r="C84" s="82">
        <v>1</v>
      </c>
      <c r="D84" s="82">
        <v>1</v>
      </c>
      <c r="E84" s="82">
        <v>1</v>
      </c>
      <c r="F84" s="82"/>
      <c r="G84" s="82"/>
      <c r="H84" s="82"/>
      <c r="I84" s="8"/>
      <c r="J84" s="82"/>
      <c r="K84" s="8"/>
      <c r="L84" s="8"/>
    </row>
    <row r="85" spans="1:12">
      <c r="A85" s="69" t="s">
        <v>177</v>
      </c>
      <c r="B85" s="71" t="s">
        <v>178</v>
      </c>
      <c r="C85" s="82">
        <v>1</v>
      </c>
      <c r="D85" s="82">
        <v>1</v>
      </c>
      <c r="E85" s="82">
        <v>1</v>
      </c>
      <c r="F85" s="82"/>
      <c r="G85" s="82"/>
      <c r="H85" s="82"/>
      <c r="I85" s="8"/>
      <c r="J85" s="82"/>
      <c r="K85" s="8"/>
      <c r="L85" s="8"/>
    </row>
    <row r="86" spans="1:12">
      <c r="A86" s="68" t="s">
        <v>194</v>
      </c>
      <c r="B86" s="71" t="s">
        <v>188</v>
      </c>
      <c r="C86" s="82">
        <v>1</v>
      </c>
      <c r="D86" s="82">
        <v>1</v>
      </c>
      <c r="E86" s="82">
        <v>1</v>
      </c>
      <c r="F86" s="82"/>
      <c r="G86" s="82"/>
      <c r="H86" s="82"/>
      <c r="I86" s="8"/>
      <c r="J86" s="82"/>
      <c r="K86" s="8"/>
      <c r="L86" s="8"/>
    </row>
    <row r="87" spans="1:12">
      <c r="A87" s="69" t="s">
        <v>184</v>
      </c>
      <c r="B87" s="71" t="s">
        <v>188</v>
      </c>
      <c r="C87" s="82">
        <v>1</v>
      </c>
      <c r="D87" s="82">
        <v>1</v>
      </c>
      <c r="E87" s="82">
        <v>1</v>
      </c>
      <c r="F87" s="82"/>
      <c r="G87" s="82"/>
      <c r="H87" s="82"/>
      <c r="I87" s="8"/>
      <c r="J87" s="82"/>
      <c r="K87" s="8"/>
      <c r="L87" s="8"/>
    </row>
    <row r="88" spans="1:12">
      <c r="A88" s="69" t="s">
        <v>182</v>
      </c>
      <c r="B88" s="71" t="s">
        <v>188</v>
      </c>
      <c r="C88" s="82">
        <v>0</v>
      </c>
      <c r="D88" s="82">
        <v>0</v>
      </c>
      <c r="E88" s="82">
        <v>0</v>
      </c>
      <c r="F88" s="82"/>
      <c r="G88" s="82"/>
      <c r="H88" s="82"/>
      <c r="I88" s="8"/>
      <c r="J88" s="82"/>
      <c r="K88" s="8"/>
      <c r="L88" s="8"/>
    </row>
    <row r="89" spans="1:12">
      <c r="A89" s="69" t="s">
        <v>181</v>
      </c>
      <c r="B89" s="71" t="s">
        <v>188</v>
      </c>
      <c r="C89" s="82">
        <v>0</v>
      </c>
      <c r="D89" s="82">
        <v>0</v>
      </c>
      <c r="E89" s="82">
        <v>0</v>
      </c>
      <c r="F89" s="82"/>
      <c r="G89" s="82"/>
      <c r="H89" s="82"/>
      <c r="I89" s="8"/>
      <c r="J89" s="82"/>
      <c r="K89" s="8"/>
      <c r="L89" s="8"/>
    </row>
    <row r="90" spans="1:12">
      <c r="A90" s="69" t="s">
        <v>179</v>
      </c>
      <c r="B90" s="71" t="s">
        <v>188</v>
      </c>
      <c r="C90" s="82">
        <v>0</v>
      </c>
      <c r="D90" s="82">
        <v>1</v>
      </c>
      <c r="E90" s="82">
        <v>0</v>
      </c>
      <c r="F90" s="82"/>
      <c r="G90" s="82"/>
      <c r="H90" s="82"/>
      <c r="I90" s="8"/>
      <c r="J90" s="82"/>
      <c r="K90" s="8"/>
      <c r="L90" s="8"/>
    </row>
    <row r="91" spans="1:12">
      <c r="A91" s="69" t="s">
        <v>185</v>
      </c>
      <c r="B91" s="71" t="s">
        <v>188</v>
      </c>
      <c r="C91" s="82">
        <v>0</v>
      </c>
      <c r="D91" s="82">
        <v>0</v>
      </c>
      <c r="E91" s="82">
        <v>0</v>
      </c>
      <c r="F91" s="82"/>
      <c r="G91" s="82"/>
      <c r="H91" s="82"/>
      <c r="I91" s="8"/>
      <c r="J91" s="82"/>
      <c r="K91" s="8"/>
      <c r="L91" s="8"/>
    </row>
    <row r="92" spans="1:12">
      <c r="A92" s="70" t="s">
        <v>187</v>
      </c>
      <c r="B92" s="71" t="s">
        <v>188</v>
      </c>
      <c r="C92" s="82" t="s">
        <v>207</v>
      </c>
      <c r="D92" s="82" t="s">
        <v>207</v>
      </c>
      <c r="E92" s="82" t="s">
        <v>207</v>
      </c>
      <c r="F92" s="82"/>
      <c r="G92" s="82"/>
      <c r="H92" s="82"/>
      <c r="I92" s="8"/>
      <c r="J92" s="82"/>
      <c r="K92" s="8"/>
      <c r="L92" s="8"/>
    </row>
    <row r="93" spans="1:12">
      <c r="A93" s="69" t="s">
        <v>186</v>
      </c>
      <c r="B93" s="71" t="s">
        <v>188</v>
      </c>
      <c r="C93" s="82">
        <v>1</v>
      </c>
      <c r="D93" s="82">
        <v>1</v>
      </c>
      <c r="E93" s="82">
        <v>1</v>
      </c>
      <c r="F93" s="82"/>
      <c r="G93" s="82"/>
      <c r="H93" s="82"/>
      <c r="I93" s="8"/>
      <c r="J93" s="82"/>
      <c r="K93" s="8"/>
      <c r="L93" s="8"/>
    </row>
    <row r="94" spans="1:12">
      <c r="A94" s="69" t="s">
        <v>183</v>
      </c>
      <c r="B94" s="71" t="s">
        <v>188</v>
      </c>
      <c r="C94" s="82">
        <v>1</v>
      </c>
      <c r="D94" s="82">
        <v>1</v>
      </c>
      <c r="E94" s="82">
        <v>1</v>
      </c>
      <c r="F94" s="82"/>
      <c r="G94" s="82"/>
      <c r="H94" s="82"/>
      <c r="I94" s="8"/>
      <c r="J94" s="82"/>
      <c r="K94" s="8"/>
      <c r="L94" s="8"/>
    </row>
    <row r="95" spans="1:12">
      <c r="A95" s="69" t="s">
        <v>180</v>
      </c>
      <c r="B95" s="71" t="s">
        <v>188</v>
      </c>
      <c r="C95" s="82" t="s">
        <v>207</v>
      </c>
      <c r="D95" s="82" t="s">
        <v>207</v>
      </c>
      <c r="E95" s="82" t="s">
        <v>207</v>
      </c>
      <c r="F95" s="82"/>
      <c r="G95" s="82"/>
      <c r="H95" s="82"/>
      <c r="I95" s="8"/>
      <c r="J95" s="82"/>
      <c r="K95" s="8"/>
      <c r="L95" s="8"/>
    </row>
    <row r="96" spans="1:12">
      <c r="C96" s="82"/>
      <c r="D96" s="82"/>
      <c r="E96" s="82"/>
      <c r="F96" s="82"/>
      <c r="G96" s="82"/>
      <c r="H96" s="82"/>
      <c r="I96" s="8"/>
      <c r="J96" s="8"/>
      <c r="K96" s="8"/>
      <c r="L96" s="8"/>
    </row>
    <row r="97" spans="3:12">
      <c r="C97" s="82"/>
      <c r="D97" s="82"/>
      <c r="E97" s="82"/>
      <c r="F97" s="82"/>
      <c r="G97" s="82"/>
      <c r="H97" s="82"/>
      <c r="I97" s="8"/>
      <c r="J97" s="8"/>
      <c r="K97" s="8"/>
      <c r="L97" s="8"/>
    </row>
    <row r="98" spans="3:12">
      <c r="C98" s="82"/>
      <c r="D98" s="82"/>
      <c r="E98" s="82"/>
      <c r="F98" s="82"/>
      <c r="G98" s="82"/>
      <c r="H98" s="82"/>
      <c r="I98" s="8"/>
      <c r="J98" s="8"/>
      <c r="K98" s="8"/>
      <c r="L98" s="8"/>
    </row>
    <row r="99" spans="3:12">
      <c r="C99" s="82"/>
      <c r="D99" s="82"/>
      <c r="E99" s="82"/>
      <c r="F99" s="82"/>
      <c r="G99" s="82"/>
      <c r="H99" s="82"/>
      <c r="I99" s="8"/>
      <c r="J99" s="8"/>
      <c r="K99" s="8"/>
      <c r="L99" s="8"/>
    </row>
    <row r="100" spans="3:12">
      <c r="C100" s="82"/>
      <c r="D100" s="82"/>
      <c r="E100" s="82"/>
      <c r="F100" s="82"/>
      <c r="G100" s="82"/>
      <c r="H100" s="82"/>
      <c r="I100" s="8"/>
      <c r="J100" s="8"/>
      <c r="K100" s="8"/>
      <c r="L100" s="8"/>
    </row>
    <row r="101" spans="3:12">
      <c r="C101" s="82"/>
      <c r="D101" s="82"/>
      <c r="E101" s="82"/>
      <c r="F101" s="82"/>
      <c r="G101" s="82"/>
      <c r="H101" s="82"/>
      <c r="I101" s="8"/>
      <c r="J101" s="8"/>
      <c r="K101" s="8"/>
      <c r="L101" s="8"/>
    </row>
    <row r="102" spans="3:12">
      <c r="C102" s="82"/>
      <c r="D102" s="82"/>
      <c r="E102" s="82"/>
      <c r="F102" s="82"/>
      <c r="G102" s="82"/>
      <c r="H102" s="8"/>
      <c r="I102" s="8"/>
      <c r="J102" s="8"/>
      <c r="K102" s="8"/>
      <c r="L102" s="8"/>
    </row>
    <row r="103" spans="3:12">
      <c r="C103" s="82"/>
      <c r="D103" s="82"/>
      <c r="E103" s="82"/>
      <c r="F103" s="82"/>
      <c r="G103" s="82"/>
      <c r="H103" s="8"/>
      <c r="I103" s="8"/>
      <c r="J103" s="8"/>
      <c r="K103" s="8"/>
      <c r="L103" s="8"/>
    </row>
    <row r="104" spans="3:12">
      <c r="C104" s="82"/>
      <c r="D104" s="82"/>
      <c r="E104" s="82"/>
      <c r="F104" s="82"/>
      <c r="G104" s="82"/>
      <c r="H104" s="8"/>
      <c r="I104" s="8"/>
      <c r="J104" s="8"/>
      <c r="K104" s="8"/>
      <c r="L104" s="8"/>
    </row>
    <row r="105" spans="3:12">
      <c r="C105" s="82"/>
      <c r="D105" s="82"/>
      <c r="E105" s="82"/>
      <c r="F105" s="82"/>
      <c r="G105" s="82"/>
      <c r="H105" s="8"/>
      <c r="I105" s="8"/>
      <c r="J105" s="8"/>
      <c r="K105" s="8"/>
      <c r="L105" s="8"/>
    </row>
    <row r="106" spans="3:12">
      <c r="C106" s="82"/>
      <c r="D106" s="82"/>
      <c r="E106" s="82"/>
      <c r="F106" s="82"/>
      <c r="G106" s="82"/>
      <c r="H106" s="8"/>
      <c r="I106" s="8"/>
      <c r="J106" s="8"/>
      <c r="K106" s="8"/>
      <c r="L106" s="8"/>
    </row>
    <row r="107" spans="3:12">
      <c r="C107" s="82"/>
      <c r="D107" s="82"/>
      <c r="E107" s="82"/>
      <c r="F107" s="82"/>
      <c r="G107" s="82"/>
      <c r="H107" s="8"/>
      <c r="I107" s="8"/>
      <c r="J107" s="8"/>
      <c r="K107" s="8"/>
      <c r="L107" s="8"/>
    </row>
    <row r="108" spans="3:12">
      <c r="C108" s="82"/>
      <c r="D108" s="82"/>
      <c r="E108" s="82"/>
      <c r="F108" s="82"/>
      <c r="G108" s="82"/>
      <c r="H108" s="8"/>
      <c r="I108" s="8"/>
      <c r="J108" s="8"/>
      <c r="K108" s="8"/>
      <c r="L108" s="8"/>
    </row>
    <row r="109" spans="3:12">
      <c r="C109" s="82"/>
      <c r="D109" s="82"/>
      <c r="E109" s="82"/>
      <c r="F109" s="82"/>
      <c r="G109" s="82"/>
      <c r="H109" s="8"/>
      <c r="I109" s="8"/>
      <c r="J109" s="8"/>
      <c r="K109" s="8"/>
      <c r="L109" s="8"/>
    </row>
    <row r="110" spans="3:12">
      <c r="C110" s="82"/>
      <c r="D110" s="82"/>
      <c r="E110" s="82"/>
      <c r="F110" s="82"/>
      <c r="G110" s="82"/>
      <c r="H110" s="8"/>
      <c r="I110" s="8"/>
      <c r="J110" s="8"/>
      <c r="K110" s="8"/>
      <c r="L110" s="8"/>
    </row>
    <row r="111" spans="3:12">
      <c r="C111" s="82"/>
      <c r="D111" s="82"/>
      <c r="E111" s="82"/>
      <c r="F111" s="82"/>
      <c r="G111" s="82"/>
      <c r="H111" s="8"/>
      <c r="I111" s="8"/>
      <c r="J111" s="8"/>
      <c r="K111" s="8"/>
      <c r="L111" s="8"/>
    </row>
    <row r="112" spans="3:12">
      <c r="C112" s="82"/>
      <c r="D112" s="82"/>
      <c r="E112" s="82"/>
      <c r="F112" s="82"/>
      <c r="G112" s="82"/>
      <c r="H112" s="8"/>
      <c r="I112" s="8"/>
      <c r="J112" s="8"/>
      <c r="K112" s="8"/>
      <c r="L112" s="8"/>
    </row>
    <row r="113" spans="3:12">
      <c r="C113" s="82"/>
      <c r="D113" s="82"/>
      <c r="E113" s="82"/>
      <c r="F113" s="82"/>
      <c r="G113" s="82"/>
      <c r="H113" s="8"/>
      <c r="I113" s="8"/>
      <c r="J113" s="8"/>
      <c r="K113" s="8"/>
      <c r="L113" s="8"/>
    </row>
    <row r="114" spans="3:12">
      <c r="C114" s="82"/>
      <c r="D114" s="82"/>
      <c r="E114" s="82"/>
      <c r="F114" s="82"/>
      <c r="G114" s="82"/>
      <c r="H114" s="8"/>
      <c r="I114" s="8"/>
      <c r="J114" s="8"/>
      <c r="K114" s="8"/>
      <c r="L114" s="8"/>
    </row>
    <row r="115" spans="3:12">
      <c r="C115" s="82"/>
      <c r="D115" s="82"/>
      <c r="E115" s="82"/>
      <c r="F115" s="82"/>
      <c r="G115" s="82"/>
      <c r="H115" s="8"/>
      <c r="I115" s="8"/>
      <c r="J115" s="8"/>
      <c r="K115" s="8"/>
      <c r="L115" s="8"/>
    </row>
    <row r="116" spans="3:12">
      <c r="C116" s="82"/>
      <c r="D116" s="82"/>
      <c r="E116" s="82"/>
      <c r="F116" s="82"/>
      <c r="G116" s="82"/>
      <c r="H116" s="8"/>
      <c r="I116" s="8"/>
      <c r="J116" s="8"/>
      <c r="K116" s="8"/>
      <c r="L116" s="8"/>
    </row>
    <row r="117" spans="3:12">
      <c r="C117" s="82"/>
      <c r="D117" s="82"/>
      <c r="E117" s="82"/>
      <c r="F117" s="82"/>
      <c r="G117" s="82"/>
      <c r="H117" s="8"/>
      <c r="I117" s="8"/>
      <c r="J117" s="8"/>
      <c r="K117" s="8"/>
      <c r="L117" s="8"/>
    </row>
    <row r="118" spans="3:12">
      <c r="C118" s="82"/>
      <c r="D118" s="82"/>
      <c r="E118" s="82"/>
      <c r="F118" s="82"/>
      <c r="G118" s="82"/>
      <c r="H118" s="8"/>
      <c r="I118" s="8"/>
      <c r="J118" s="8"/>
      <c r="K118" s="8"/>
      <c r="L118" s="8"/>
    </row>
    <row r="119" spans="3:12">
      <c r="C119" s="82"/>
      <c r="D119" s="82"/>
      <c r="E119" s="82"/>
      <c r="F119" s="82"/>
      <c r="G119" s="82"/>
      <c r="H119" s="8"/>
      <c r="I119" s="8"/>
      <c r="J119" s="8"/>
      <c r="K119" s="8"/>
      <c r="L119" s="8"/>
    </row>
    <row r="120" spans="3:12">
      <c r="C120" s="82"/>
      <c r="D120" s="82"/>
      <c r="E120" s="82"/>
      <c r="F120" s="82"/>
      <c r="G120" s="82"/>
      <c r="H120" s="8"/>
      <c r="I120" s="8"/>
      <c r="J120" s="8"/>
      <c r="K120" s="8"/>
      <c r="L120" s="8"/>
    </row>
    <row r="121" spans="3:12">
      <c r="C121" s="82"/>
      <c r="D121" s="82"/>
      <c r="E121" s="82"/>
      <c r="F121" s="82"/>
      <c r="G121" s="82"/>
      <c r="H121" s="8"/>
      <c r="I121" s="8"/>
      <c r="J121" s="8"/>
      <c r="K121" s="8"/>
      <c r="L121" s="8"/>
    </row>
    <row r="122" spans="3:12">
      <c r="C122" s="82"/>
      <c r="D122" s="82"/>
      <c r="E122" s="82"/>
      <c r="F122" s="82"/>
      <c r="G122" s="82"/>
      <c r="H122" s="8"/>
      <c r="I122" s="8"/>
      <c r="J122" s="8"/>
      <c r="K122" s="8"/>
      <c r="L122" s="8"/>
    </row>
    <row r="123" spans="3:12">
      <c r="C123" s="82"/>
      <c r="D123" s="82"/>
      <c r="E123" s="82"/>
      <c r="F123" s="82"/>
      <c r="G123" s="82"/>
      <c r="H123" s="8"/>
      <c r="I123" s="8"/>
      <c r="J123" s="8"/>
      <c r="K123" s="8"/>
      <c r="L123" s="8"/>
    </row>
    <row r="124" spans="3:12">
      <c r="C124" s="82"/>
      <c r="D124" s="82"/>
      <c r="E124" s="82"/>
      <c r="F124" s="82"/>
      <c r="G124" s="82"/>
      <c r="H124" s="8"/>
      <c r="I124" s="8"/>
      <c r="J124" s="8"/>
      <c r="K124" s="8"/>
      <c r="L124" s="8"/>
    </row>
    <row r="125" spans="3:12">
      <c r="C125" s="82"/>
      <c r="D125" s="82"/>
      <c r="E125" s="82"/>
      <c r="F125" s="82"/>
      <c r="G125" s="82"/>
      <c r="H125" s="8"/>
      <c r="I125" s="8"/>
      <c r="J125" s="8"/>
      <c r="K125" s="8"/>
      <c r="L125" s="8"/>
    </row>
    <row r="126" spans="3:12">
      <c r="C126" s="82"/>
      <c r="D126" s="82"/>
      <c r="E126" s="82"/>
      <c r="F126" s="82"/>
      <c r="G126" s="82"/>
      <c r="H126" s="8"/>
      <c r="I126" s="8"/>
      <c r="J126" s="8"/>
      <c r="K126" s="8"/>
      <c r="L126" s="8"/>
    </row>
    <row r="127" spans="3:12">
      <c r="C127" s="82"/>
      <c r="D127" s="82"/>
      <c r="E127" s="82"/>
      <c r="F127" s="82"/>
      <c r="G127" s="82"/>
      <c r="H127" s="8"/>
      <c r="I127" s="8"/>
      <c r="J127" s="8"/>
      <c r="K127" s="8"/>
      <c r="L127" s="8"/>
    </row>
    <row r="128" spans="3:12">
      <c r="C128" s="82"/>
      <c r="D128" s="82"/>
      <c r="E128" s="82"/>
      <c r="F128" s="82"/>
      <c r="G128" s="82"/>
      <c r="H128" s="8"/>
      <c r="I128" s="8"/>
      <c r="J128" s="8"/>
      <c r="K128" s="8"/>
      <c r="L128" s="8"/>
    </row>
    <row r="129" spans="3:12">
      <c r="C129" s="82"/>
      <c r="D129" s="82"/>
      <c r="E129" s="82"/>
      <c r="F129" s="82"/>
      <c r="G129" s="82"/>
      <c r="H129" s="8"/>
      <c r="I129" s="8"/>
      <c r="J129" s="8"/>
      <c r="K129" s="8"/>
      <c r="L129" s="8"/>
    </row>
    <row r="130" spans="3:12">
      <c r="C130" s="82"/>
      <c r="D130" s="82"/>
      <c r="E130" s="82"/>
      <c r="F130" s="82"/>
      <c r="G130" s="82"/>
      <c r="H130" s="8"/>
      <c r="I130" s="8"/>
      <c r="J130" s="8"/>
      <c r="K130" s="8"/>
      <c r="L130" s="8"/>
    </row>
    <row r="131" spans="3:12">
      <c r="C131" s="82"/>
      <c r="D131" s="82"/>
      <c r="E131" s="82"/>
      <c r="F131" s="82"/>
      <c r="G131" s="82"/>
      <c r="H131" s="8"/>
      <c r="I131" s="8"/>
      <c r="J131" s="8"/>
      <c r="K131" s="8"/>
      <c r="L131" s="8"/>
    </row>
    <row r="132" spans="3:12">
      <c r="C132" s="82"/>
      <c r="D132" s="82"/>
      <c r="E132" s="82"/>
      <c r="F132" s="82"/>
      <c r="G132" s="82"/>
      <c r="H132" s="8"/>
      <c r="I132" s="8"/>
      <c r="J132" s="8"/>
      <c r="K132" s="8"/>
      <c r="L132" s="8"/>
    </row>
    <row r="133" spans="3:12">
      <c r="C133" s="82"/>
      <c r="D133" s="82"/>
      <c r="E133" s="82"/>
      <c r="F133" s="82"/>
      <c r="G133" s="82"/>
      <c r="H133" s="8"/>
      <c r="I133" s="8"/>
      <c r="J133" s="8"/>
      <c r="K133" s="8"/>
      <c r="L133" s="8"/>
    </row>
    <row r="134" spans="3:12">
      <c r="C134" s="82"/>
      <c r="D134" s="82"/>
      <c r="E134" s="82"/>
      <c r="F134" s="82"/>
      <c r="G134" s="82"/>
      <c r="H134" s="8"/>
      <c r="I134" s="8"/>
      <c r="J134" s="8"/>
      <c r="K134" s="8"/>
      <c r="L134" s="8"/>
    </row>
    <row r="135" spans="3:12">
      <c r="C135" s="82"/>
      <c r="D135" s="82"/>
      <c r="E135" s="82"/>
      <c r="F135" s="82"/>
      <c r="G135" s="82"/>
      <c r="H135" s="8"/>
      <c r="I135" s="8"/>
      <c r="J135" s="8"/>
      <c r="K135" s="8"/>
      <c r="L135" s="8"/>
    </row>
    <row r="136" spans="3:12">
      <c r="C136" s="82"/>
      <c r="D136" s="82"/>
      <c r="E136" s="82"/>
      <c r="F136" s="82"/>
      <c r="G136" s="82"/>
      <c r="H136" s="8"/>
      <c r="I136" s="8"/>
      <c r="J136" s="8"/>
      <c r="K136" s="8"/>
      <c r="L136" s="8"/>
    </row>
    <row r="137" spans="3:12">
      <c r="C137" s="82"/>
      <c r="D137" s="82"/>
      <c r="E137" s="82"/>
      <c r="F137" s="82"/>
      <c r="G137" s="82"/>
      <c r="H137" s="8"/>
      <c r="I137" s="8"/>
      <c r="J137" s="8"/>
      <c r="K137" s="8"/>
      <c r="L137" s="8"/>
    </row>
    <row r="138" spans="3:12">
      <c r="C138" s="82"/>
      <c r="D138" s="82"/>
      <c r="E138" s="82"/>
      <c r="F138" s="82"/>
      <c r="G138" s="82"/>
      <c r="H138" s="8"/>
      <c r="I138" s="8"/>
      <c r="J138" s="8"/>
      <c r="K138" s="8"/>
      <c r="L138" s="8"/>
    </row>
    <row r="139" spans="3:12">
      <c r="C139" s="82"/>
      <c r="D139" s="82"/>
      <c r="E139" s="82"/>
      <c r="F139" s="82"/>
      <c r="G139" s="82"/>
      <c r="H139" s="8"/>
      <c r="I139" s="8"/>
      <c r="J139" s="8"/>
      <c r="K139" s="8"/>
      <c r="L139" s="8"/>
    </row>
    <row r="140" spans="3:12">
      <c r="C140" s="82"/>
      <c r="D140" s="82"/>
      <c r="E140" s="82"/>
      <c r="F140" s="82"/>
      <c r="G140" s="82"/>
      <c r="H140" s="8"/>
      <c r="I140" s="8"/>
      <c r="J140" s="8"/>
      <c r="K140" s="8"/>
      <c r="L140" s="8"/>
    </row>
    <row r="141" spans="3:12">
      <c r="C141" s="82"/>
      <c r="D141" s="82"/>
      <c r="E141" s="82"/>
      <c r="F141" s="82"/>
      <c r="G141" s="82"/>
      <c r="H141" s="8"/>
      <c r="I141" s="8"/>
      <c r="J141" s="8"/>
      <c r="K141" s="8"/>
      <c r="L141" s="8"/>
    </row>
    <row r="142" spans="3:12">
      <c r="C142" s="82"/>
      <c r="D142" s="82"/>
      <c r="E142" s="82"/>
      <c r="F142" s="82"/>
      <c r="G142" s="82"/>
      <c r="H142" s="8"/>
      <c r="I142" s="8"/>
      <c r="J142" s="8"/>
      <c r="K142" s="8"/>
      <c r="L142" s="8"/>
    </row>
    <row r="143" spans="3:12">
      <c r="C143" s="8"/>
      <c r="D143" s="8"/>
      <c r="E143" s="8"/>
      <c r="F143" s="8"/>
      <c r="G143" s="8"/>
      <c r="H143" s="8"/>
      <c r="I143" s="8"/>
      <c r="J143" s="8"/>
      <c r="K143" s="8"/>
      <c r="L143" s="8"/>
    </row>
    <row r="144" spans="3:12">
      <c r="C144" s="8"/>
      <c r="D144" s="8"/>
      <c r="E144" s="8"/>
      <c r="F144" s="8"/>
      <c r="G144" s="8"/>
      <c r="H144" s="8"/>
      <c r="I144" s="8"/>
      <c r="J144" s="8"/>
      <c r="K144" s="8"/>
      <c r="L144" s="8"/>
    </row>
    <row r="145" spans="1:12">
      <c r="C145" s="8"/>
      <c r="D145" s="8"/>
      <c r="E145" s="8"/>
      <c r="F145" s="8"/>
      <c r="G145" s="8"/>
      <c r="H145" s="8"/>
      <c r="I145" s="8"/>
      <c r="J145" s="8"/>
      <c r="K145" s="8"/>
      <c r="L145" s="8"/>
    </row>
    <row r="146" spans="1:12">
      <c r="C146" s="8"/>
      <c r="D146" s="8"/>
      <c r="E146" s="8"/>
      <c r="F146" s="8"/>
      <c r="G146" s="8"/>
      <c r="H146" s="8"/>
      <c r="I146" s="8"/>
      <c r="J146" s="8"/>
      <c r="K146" s="8"/>
      <c r="L146" s="8"/>
    </row>
    <row r="147" spans="1:12">
      <c r="C147" s="8"/>
      <c r="D147" s="8"/>
      <c r="E147" s="8"/>
      <c r="F147" s="8"/>
      <c r="G147" s="8"/>
      <c r="H147" s="8"/>
      <c r="I147" s="8"/>
      <c r="J147" s="8"/>
      <c r="K147" s="8"/>
      <c r="L147" s="8"/>
    </row>
    <row r="148" spans="1:12">
      <c r="C148" s="8"/>
      <c r="D148" s="8"/>
      <c r="E148" s="8"/>
      <c r="F148" s="8"/>
      <c r="G148" s="8"/>
      <c r="H148" s="8"/>
      <c r="I148" s="8"/>
      <c r="J148" s="8"/>
      <c r="K148" s="8"/>
      <c r="L148" s="8"/>
    </row>
    <row r="149" spans="1:12">
      <c r="C149" s="8"/>
      <c r="D149" s="8"/>
      <c r="E149" s="8"/>
      <c r="F149" s="8"/>
      <c r="G149" s="8"/>
      <c r="H149" s="8"/>
      <c r="I149" s="8"/>
      <c r="J149" s="8"/>
      <c r="K149" s="8"/>
      <c r="L149" s="8"/>
    </row>
    <row r="150" spans="1:12">
      <c r="C150" s="8"/>
      <c r="D150" s="8"/>
      <c r="E150" s="8"/>
      <c r="F150" s="8"/>
      <c r="G150" s="8"/>
      <c r="H150" s="8"/>
      <c r="I150" s="8"/>
      <c r="J150" s="8"/>
      <c r="K150" s="8"/>
      <c r="L150" s="8"/>
    </row>
    <row r="151" spans="1:12">
      <c r="C151" s="8"/>
      <c r="D151" s="8"/>
      <c r="E151" s="8"/>
      <c r="F151" s="8"/>
      <c r="G151" s="8"/>
      <c r="H151" s="8"/>
      <c r="I151" s="8"/>
      <c r="J151" s="8"/>
      <c r="K151" s="8"/>
      <c r="L151" s="8"/>
    </row>
    <row r="152" spans="1:12">
      <c r="C152" s="8"/>
      <c r="D152" s="8"/>
      <c r="E152" s="8"/>
      <c r="F152" s="8"/>
      <c r="G152" s="8"/>
      <c r="H152" s="8"/>
      <c r="I152" s="8"/>
      <c r="J152" s="8"/>
      <c r="K152" s="8"/>
      <c r="L152" s="8"/>
    </row>
    <row r="153" spans="1:12">
      <c r="A153" s="69"/>
      <c r="C153" s="8"/>
      <c r="D153" s="8"/>
      <c r="E153" s="8"/>
      <c r="F153" s="8"/>
      <c r="G153" s="8"/>
      <c r="H153" s="8"/>
      <c r="I153" s="8"/>
      <c r="J153" s="8"/>
      <c r="K153" s="8"/>
      <c r="L153" s="8"/>
    </row>
    <row r="154" spans="1:12">
      <c r="A154" s="68"/>
      <c r="B154" s="71"/>
    </row>
  </sheetData>
  <autoFilter ref="A46:AC95">
    <sortState ref="A47:AC95">
      <sortCondition ref="B46:B95"/>
    </sortState>
  </autoFilter>
  <mergeCells count="21">
    <mergeCell ref="A45:B45"/>
    <mergeCell ref="C45:E45"/>
    <mergeCell ref="F45:H45"/>
    <mergeCell ref="I45:K45"/>
    <mergeCell ref="L45:N45"/>
    <mergeCell ref="O45:Q45"/>
    <mergeCell ref="R45:T45"/>
    <mergeCell ref="U45:W45"/>
    <mergeCell ref="X45:Z45"/>
    <mergeCell ref="AA45:AC45"/>
    <mergeCell ref="B9:H9"/>
    <mergeCell ref="G2:H2"/>
    <mergeCell ref="J3:K3"/>
    <mergeCell ref="M3:N3"/>
    <mergeCell ref="J4:K4"/>
    <mergeCell ref="M4:N4"/>
    <mergeCell ref="A3:H3"/>
    <mergeCell ref="B5:H5"/>
    <mergeCell ref="B6:H6"/>
    <mergeCell ref="B7:H7"/>
    <mergeCell ref="B8:H8"/>
  </mergeCells>
  <conditionalFormatting sqref="C14:H43">
    <cfRule type="expression" dxfId="144" priority="1">
      <formula>ISERROR(C14)</formula>
    </cfRule>
  </conditionalFormatting>
  <hyperlinks>
    <hyperlink ref="G2" location="'Information och Innehåll'!A1" display="Tillbaka till Information och Innehåll"/>
    <hyperlink ref="J6" location="V1.1.1!A1" display="V1.1.1"/>
    <hyperlink ref="J7" location="V1.1.2!A1" display="V1.1.2"/>
    <hyperlink ref="J8" location="V1.1.3!A1" display="V1.1.3"/>
    <hyperlink ref="J9" location="V2.1.1!A1" display="V2.1.1"/>
    <hyperlink ref="J10" location="V2.1.2!A1" display="V2.1.2"/>
    <hyperlink ref="J12" location="V3.1.2!A1" display="V3.1.2"/>
    <hyperlink ref="J11" location="V3.1.1!A1" display="V3.1.1"/>
    <hyperlink ref="J13" location="V3.1.3!A1" display="V3.1.3"/>
    <hyperlink ref="J15" location="V4.1.1!A1" display="V4.1.1"/>
    <hyperlink ref="J16" location="V4.2.1!A1" display="V4.2.1"/>
    <hyperlink ref="J17" location="V4.2.2!A1" display="V4.2.2"/>
    <hyperlink ref="J18" location="V4.2.3!A1" display="V4.2.3"/>
    <hyperlink ref="J19" location="V4.2.4!A1" display="V4.2.4"/>
    <hyperlink ref="J20" location="V5.1.1!A1" display="V5.1.1"/>
    <hyperlink ref="J21" location="V5.1.2!A1" display="V5.1.2"/>
    <hyperlink ref="K6" location="B1.1.1!A1" display="B1.1.1"/>
    <hyperlink ref="K7" location="B1.1.2!A1" display="B1.1.2"/>
    <hyperlink ref="K8" location="B1.2.1!A1" display="B1.2.1"/>
    <hyperlink ref="K9" location="B1.2.2!A1" display="B1.2.2"/>
    <hyperlink ref="K10" location="B1.2.3!A1" display="B1.2.3"/>
    <hyperlink ref="K11" location="B2.1.1!A1" display="B2.1.1"/>
    <hyperlink ref="K13" location="B2.2.1!A1" display="B2.2.1"/>
    <hyperlink ref="K14" location="B2.2.2!A1" display="B2.2.2"/>
    <hyperlink ref="K15" location="B2.2.3!A1" display="B2.2.3"/>
    <hyperlink ref="K16" location="B2.2.4!A1" display="B2.2.4"/>
    <hyperlink ref="K17" location="B3.1.1!A1" display="B3.1.1"/>
    <hyperlink ref="K18" location="B3.1.2!A1" display="B3.1.2"/>
    <hyperlink ref="K21" location="B4.1.1!A1" display="B4.1.1"/>
    <hyperlink ref="K22" location="B5.1.1!A1" display="B5.1.1"/>
    <hyperlink ref="K23" location="B5.1.2!A1" display="B5.1.2"/>
    <hyperlink ref="K24" location="B5.1.3!A1" display="B5.1.3"/>
    <hyperlink ref="K19" location="B3.1.3!A1" display="B3.1.3"/>
    <hyperlink ref="K12" location="B2.1.2!A1" display="B2.1.2"/>
    <hyperlink ref="J22" location="V5.1.3!A1" display="V5.1.3"/>
    <hyperlink ref="K20" location="B3.2.1!A1" display="B3.2.1"/>
    <hyperlink ref="J14" location="B3.2.1!A1" display="V3.2.1"/>
    <hyperlink ref="M6" location="'V1.1.1 DATA'!A1" display="V1.1.1"/>
    <hyperlink ref="M7" location="'V1.1.2 DATA'!A1" display="V1.1.2"/>
    <hyperlink ref="M8" location="'V1.1.3 Data'!A1" display="V1.1.3"/>
    <hyperlink ref="M9" location="'V2.1.1 DATA'!A1" display="V2.1.1"/>
    <hyperlink ref="M10" location="'V2.1.2 DATA'!A1" display="V2.1.2"/>
    <hyperlink ref="M12" location="'V3.1.2 DATA'!A1" display="V3.1.2"/>
    <hyperlink ref="M11" location="'V3.1.1 DATA'!A1" display="V3.1.1"/>
    <hyperlink ref="M13" location="'V3.1.3 DATA'!A1" display="V3.1.3"/>
    <hyperlink ref="M14" location="'V3.2.1 DATA'!A1" display="V3.2.1"/>
    <hyperlink ref="M15" location="'V4.1.1 DATA'!A1" display="V4.1.1"/>
    <hyperlink ref="M16" location="'V4.2.1 DATA'!A1" display="V4.2.1"/>
    <hyperlink ref="M18" location="'V4.2.3 DATA'!A1" display="V4.2.3"/>
    <hyperlink ref="M19" location="'V4.2.4 DATA'!A1" display="V4.2.4"/>
    <hyperlink ref="M20" location="'V5.1.1 DATA'!A1" display="V5.1.1"/>
    <hyperlink ref="M21" location="'V5.1.2 DATA'!A1" display="V5.1.2"/>
    <hyperlink ref="N6" location="'B1.1.1 DATA'!A1" display="B1.1.1"/>
    <hyperlink ref="N7" location="'B1.1.2 DATA'!A1" display="B1.1.2"/>
    <hyperlink ref="N8" location="'B1.2.1 DATA'!A1" display="B1.2.1"/>
    <hyperlink ref="N9" location="'B1.2.2 DATA'!A1" display="B1.2.2"/>
    <hyperlink ref="N10" location="'B1.2.3 DATA'!A1" display="B1.2.3"/>
    <hyperlink ref="N11" location="'B2.1.1 DATA'!A1" display="B2.1.1"/>
    <hyperlink ref="N13" location="'B2.2.1 DATA'!A1" display="B2.2.1"/>
    <hyperlink ref="N14" location="'B2.2.2 DATA'!A1" display="B2.2.2"/>
    <hyperlink ref="N15" location="'B2.2.3 DATA'!A1" display="B2.2.3"/>
    <hyperlink ref="N16" location="'B2.2.4 DATA'!A1" display="B2.2.4"/>
    <hyperlink ref="N17" location="'B3.1.1 DATA'!A1" display="B3.1.1"/>
    <hyperlink ref="N18" location="'B3.1.2 DATA'!A1" display="B3.1.2"/>
    <hyperlink ref="N20" location="'B3.2.1 DATA'!A1" display="B3.2.1"/>
    <hyperlink ref="N21" location="'B4.1.1 DATA'!A1" display="B4.1.1"/>
    <hyperlink ref="N22" location="'B5.1.1 DATA'!A1" display="B5.1.1"/>
    <hyperlink ref="N23" location="'B5.1.2 DATA'!A1" display="B5.1.2"/>
    <hyperlink ref="N24" location="'B5.1.3 DATA'!A1" display="B5.1.3"/>
    <hyperlink ref="N12" location="'B2.1.2 DATA'!A1" display="B2.1.2"/>
    <hyperlink ref="M22" location="'V5.1.3 DATA'!A1" display="V5.1.3"/>
    <hyperlink ref="N19" location="'B3.1.3 DATA'!A1" display="B3.1.3"/>
    <hyperlink ref="M17" location="'V4.2.2 DATA'!A1" display="V4.2.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B5DAC7"/>
  </sheetPr>
  <dimension ref="A1:AD57"/>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1" spans="1:20" ht="14.45" customHeight="1"/>
    <row r="2" spans="1:20" ht="14.45" customHeight="1">
      <c r="P2" s="10"/>
      <c r="Q2" s="11"/>
      <c r="R2" s="11"/>
    </row>
    <row r="3" spans="1:20" ht="23.25">
      <c r="B3" s="338" t="s">
        <v>398</v>
      </c>
      <c r="C3" s="338"/>
      <c r="D3" s="338"/>
      <c r="E3" s="338"/>
      <c r="F3" s="338"/>
      <c r="G3" s="338"/>
      <c r="H3" s="338"/>
      <c r="I3" s="338"/>
      <c r="J3" s="338"/>
      <c r="K3" s="338"/>
      <c r="L3" s="338"/>
      <c r="M3" s="338"/>
      <c r="N3" s="338"/>
      <c r="O3" s="338"/>
      <c r="P3" s="338"/>
      <c r="Q3" s="338"/>
      <c r="R3" s="338"/>
      <c r="S3" s="338"/>
      <c r="T3" s="338"/>
    </row>
    <row r="4" spans="1:20" ht="30.75">
      <c r="B4" s="339" t="s">
        <v>480</v>
      </c>
      <c r="C4" s="339"/>
      <c r="D4" s="339"/>
      <c r="E4" s="339"/>
      <c r="F4" s="339"/>
      <c r="G4" s="339"/>
      <c r="H4" s="339"/>
      <c r="I4" s="339"/>
      <c r="J4" s="339"/>
      <c r="K4" s="339"/>
      <c r="L4" s="339"/>
      <c r="M4" s="339"/>
      <c r="N4" s="339"/>
      <c r="O4" s="339"/>
      <c r="P4" s="339"/>
      <c r="Q4" s="339"/>
      <c r="R4" s="339"/>
      <c r="S4" s="339"/>
      <c r="T4" s="339"/>
    </row>
    <row r="5" spans="1:20" ht="18">
      <c r="B5" s="340" t="s">
        <v>214</v>
      </c>
      <c r="C5" s="340"/>
      <c r="D5" s="340"/>
      <c r="E5" s="340"/>
      <c r="F5" s="340"/>
      <c r="G5" s="340"/>
      <c r="H5" s="340"/>
      <c r="I5" s="340"/>
      <c r="J5" s="340"/>
      <c r="K5" s="340"/>
      <c r="L5" s="340"/>
      <c r="M5" s="340"/>
      <c r="N5" s="340"/>
      <c r="O5" s="340"/>
      <c r="P5" s="340"/>
      <c r="Q5" s="340"/>
      <c r="R5" s="340"/>
      <c r="S5" s="340"/>
      <c r="T5" s="340"/>
    </row>
    <row r="6" spans="1:20" ht="14.45" customHeight="1">
      <c r="P6" s="11"/>
      <c r="Q6" s="11"/>
      <c r="R6" s="11"/>
    </row>
    <row r="7" spans="1:20" ht="14.45" customHeight="1">
      <c r="B7" s="26" t="s">
        <v>35</v>
      </c>
      <c r="E7" s="27">
        <v>42977</v>
      </c>
      <c r="P7" s="11"/>
      <c r="Q7" s="11"/>
      <c r="R7" s="342" t="s">
        <v>44</v>
      </c>
      <c r="S7" s="342"/>
      <c r="T7" s="342"/>
    </row>
    <row r="8" spans="1:20" ht="14.45" customHeight="1">
      <c r="P8" s="11"/>
      <c r="Q8" s="11"/>
      <c r="R8" s="11"/>
    </row>
    <row r="9" spans="1:20" ht="23.65" thickBot="1">
      <c r="B9" s="341" t="s">
        <v>306</v>
      </c>
      <c r="C9" s="341"/>
      <c r="D9" s="341"/>
      <c r="E9" s="341"/>
      <c r="F9" s="341"/>
      <c r="G9" s="341"/>
      <c r="H9" s="341"/>
      <c r="I9" s="341"/>
      <c r="J9" s="341"/>
      <c r="K9" s="341"/>
      <c r="L9" s="341"/>
      <c r="N9" s="331" t="s">
        <v>38</v>
      </c>
      <c r="O9" s="331"/>
      <c r="P9" s="331"/>
      <c r="Q9" s="331"/>
      <c r="R9" s="331"/>
      <c r="S9" s="331"/>
      <c r="T9" s="331"/>
    </row>
    <row r="10" spans="1:20" ht="14.45" customHeight="1">
      <c r="B10" s="216"/>
      <c r="C10" s="216"/>
      <c r="D10" s="216"/>
      <c r="E10" s="216"/>
      <c r="F10" s="216"/>
      <c r="G10" s="216"/>
      <c r="H10" s="216"/>
      <c r="I10" s="216"/>
      <c r="J10" s="216"/>
      <c r="K10" s="216"/>
      <c r="L10" s="216"/>
      <c r="N10" s="122"/>
      <c r="O10" s="122"/>
      <c r="P10" s="122"/>
      <c r="Q10" s="122"/>
      <c r="R10" s="122"/>
      <c r="S10" s="122"/>
      <c r="T10" s="122"/>
    </row>
    <row r="11" spans="1:20" ht="14.45" customHeight="1">
      <c r="B11" s="348" t="s">
        <v>40</v>
      </c>
      <c r="C11" s="348"/>
      <c r="D11" s="348"/>
      <c r="E11" s="348"/>
      <c r="F11" s="348"/>
      <c r="G11" s="348"/>
      <c r="H11" s="348"/>
      <c r="I11" s="348"/>
      <c r="J11" s="348"/>
      <c r="K11" s="348"/>
      <c r="L11" s="348"/>
      <c r="N11" s="111"/>
      <c r="O11" s="111"/>
    </row>
    <row r="12" spans="1:20" ht="14.45" customHeight="1">
      <c r="B12" s="217"/>
      <c r="C12" s="349" t="s">
        <v>378</v>
      </c>
      <c r="D12" s="349"/>
      <c r="E12" s="349"/>
      <c r="F12" s="349"/>
      <c r="G12" s="349"/>
      <c r="H12" s="349"/>
      <c r="I12" s="349"/>
      <c r="J12" s="349"/>
      <c r="K12" s="349"/>
      <c r="L12" s="349"/>
      <c r="N12" s="111"/>
      <c r="O12" s="111"/>
    </row>
    <row r="13" spans="1:20" ht="14.45" customHeight="1">
      <c r="B13" s="218"/>
      <c r="C13" s="350" t="s">
        <v>309</v>
      </c>
      <c r="D13" s="350"/>
      <c r="E13" s="350"/>
      <c r="F13" s="350"/>
      <c r="G13" s="350"/>
      <c r="H13" s="350"/>
      <c r="I13" s="350"/>
      <c r="J13" s="350"/>
      <c r="K13" s="350"/>
      <c r="L13" s="350"/>
      <c r="N13" s="112"/>
      <c r="O13" s="111"/>
    </row>
    <row r="14" spans="1:20" ht="14.45" customHeight="1">
      <c r="B14" s="218"/>
      <c r="C14" s="346" t="s">
        <v>292</v>
      </c>
      <c r="D14" s="346"/>
      <c r="E14" s="346"/>
      <c r="F14" s="346"/>
      <c r="G14" s="346"/>
      <c r="H14" s="346"/>
      <c r="I14" s="346"/>
      <c r="J14" s="346"/>
      <c r="K14" s="346"/>
      <c r="L14" s="346"/>
      <c r="N14" s="112"/>
      <c r="O14" s="111"/>
    </row>
    <row r="15" spans="1:20" ht="14.45" customHeight="1">
      <c r="B15" s="218"/>
      <c r="C15" s="346" t="s">
        <v>310</v>
      </c>
      <c r="D15" s="346"/>
      <c r="E15" s="346"/>
      <c r="F15" s="346"/>
      <c r="G15" s="346"/>
      <c r="H15" s="346"/>
      <c r="I15" s="346"/>
      <c r="J15" s="346"/>
      <c r="K15" s="346"/>
      <c r="L15" s="346"/>
      <c r="N15" s="112"/>
      <c r="O15" s="111"/>
    </row>
    <row r="16" spans="1:20" ht="14.45" customHeight="1">
      <c r="A16" s="3"/>
      <c r="B16" s="218"/>
      <c r="C16" s="219"/>
      <c r="D16" s="219"/>
      <c r="E16" s="219"/>
      <c r="F16" s="219"/>
      <c r="G16" s="219"/>
      <c r="H16" s="219"/>
      <c r="I16" s="219"/>
      <c r="J16" s="219"/>
      <c r="K16" s="219"/>
      <c r="L16" s="218"/>
      <c r="N16" s="112"/>
      <c r="O16" s="111"/>
    </row>
    <row r="17" spans="1:26" ht="14.45" customHeight="1">
      <c r="A17" s="3"/>
      <c r="B17" s="348" t="s">
        <v>41</v>
      </c>
      <c r="C17" s="348"/>
      <c r="D17" s="348"/>
      <c r="E17" s="348"/>
      <c r="F17" s="348"/>
      <c r="G17" s="348"/>
      <c r="H17" s="348"/>
      <c r="I17" s="348"/>
      <c r="J17" s="348"/>
      <c r="K17" s="348"/>
      <c r="L17" s="348"/>
      <c r="N17" s="112"/>
      <c r="O17" s="111"/>
    </row>
    <row r="18" spans="1:26" ht="14.45" customHeight="1">
      <c r="A18" s="3"/>
      <c r="B18" s="217"/>
      <c r="C18" s="346" t="s">
        <v>295</v>
      </c>
      <c r="D18" s="346"/>
      <c r="E18" s="346"/>
      <c r="F18" s="346"/>
      <c r="G18" s="346"/>
      <c r="H18" s="346"/>
      <c r="I18" s="346"/>
      <c r="J18" s="346"/>
      <c r="K18" s="346"/>
      <c r="L18" s="346"/>
      <c r="N18" s="112"/>
      <c r="O18" s="111"/>
    </row>
    <row r="19" spans="1:26" ht="14.45" customHeight="1">
      <c r="A19" s="3"/>
      <c r="B19" s="218"/>
      <c r="C19" s="346" t="s">
        <v>318</v>
      </c>
      <c r="D19" s="346"/>
      <c r="E19" s="346"/>
      <c r="F19" s="346"/>
      <c r="G19" s="346"/>
      <c r="H19" s="346"/>
      <c r="I19" s="346"/>
      <c r="J19" s="346"/>
      <c r="K19" s="346"/>
      <c r="L19" s="346"/>
      <c r="N19" s="112"/>
      <c r="O19" s="111"/>
    </row>
    <row r="20" spans="1:26" ht="14.45" customHeight="1">
      <c r="A20" s="3"/>
      <c r="B20" s="218"/>
      <c r="C20" s="346" t="s">
        <v>369</v>
      </c>
      <c r="D20" s="346"/>
      <c r="E20" s="346"/>
      <c r="F20" s="346"/>
      <c r="G20" s="346"/>
      <c r="H20" s="346"/>
      <c r="I20" s="346"/>
      <c r="J20" s="346"/>
      <c r="K20" s="346"/>
      <c r="L20" s="346"/>
      <c r="N20" s="112"/>
      <c r="O20" s="111"/>
    </row>
    <row r="21" spans="1:26" ht="14.45" customHeight="1">
      <c r="A21" s="3"/>
      <c r="B21" s="218"/>
      <c r="C21" s="220" t="str">
        <f>"--&gt;"</f>
        <v>--&gt;</v>
      </c>
      <c r="D21" s="347" t="s">
        <v>212</v>
      </c>
      <c r="E21" s="347"/>
      <c r="F21" s="347"/>
      <c r="G21" s="347"/>
      <c r="H21" s="347"/>
      <c r="I21" s="347"/>
      <c r="J21" s="347"/>
      <c r="K21" s="347"/>
      <c r="L21" s="347"/>
      <c r="N21" s="112"/>
      <c r="O21" s="111"/>
    </row>
    <row r="22" spans="1:26" ht="14.45" customHeight="1">
      <c r="A22" s="3"/>
      <c r="B22" s="218"/>
      <c r="C22" s="218"/>
      <c r="D22" s="347"/>
      <c r="E22" s="347"/>
      <c r="F22" s="347"/>
      <c r="G22" s="347"/>
      <c r="H22" s="347"/>
      <c r="I22" s="347"/>
      <c r="J22" s="347"/>
      <c r="K22" s="347"/>
      <c r="L22" s="347"/>
      <c r="N22" s="112"/>
      <c r="O22" s="111"/>
    </row>
    <row r="23" spans="1:26" ht="14.45" customHeight="1">
      <c r="A23" s="3"/>
      <c r="B23" s="218"/>
      <c r="C23" s="346" t="s">
        <v>356</v>
      </c>
      <c r="D23" s="346"/>
      <c r="E23" s="346"/>
      <c r="F23" s="346"/>
      <c r="G23" s="346"/>
      <c r="H23" s="346"/>
      <c r="I23" s="346"/>
      <c r="J23" s="346"/>
      <c r="K23" s="346"/>
      <c r="L23" s="346"/>
    </row>
    <row r="24" spans="1:26" ht="14.45" customHeight="1">
      <c r="A24" s="3"/>
      <c r="B24" s="218"/>
      <c r="C24" s="346"/>
      <c r="D24" s="346"/>
      <c r="E24" s="346"/>
      <c r="F24" s="346"/>
      <c r="G24" s="346"/>
      <c r="H24" s="346"/>
      <c r="I24" s="346"/>
      <c r="J24" s="346"/>
      <c r="K24" s="346"/>
      <c r="L24" s="346"/>
      <c r="Q24" s="2"/>
      <c r="S24" s="11"/>
      <c r="T24" s="11"/>
    </row>
    <row r="25" spans="1:26" ht="14.45" customHeight="1">
      <c r="A25" s="3"/>
      <c r="B25" s="218"/>
      <c r="C25" s="346"/>
      <c r="D25" s="346"/>
      <c r="E25" s="346"/>
      <c r="F25" s="346"/>
      <c r="G25" s="346"/>
      <c r="H25" s="346"/>
      <c r="I25" s="346"/>
      <c r="J25" s="346"/>
      <c r="K25" s="346"/>
      <c r="L25" s="346"/>
      <c r="Q25" s="2"/>
      <c r="S25" s="11"/>
      <c r="T25" s="11"/>
    </row>
    <row r="26" spans="1:26" ht="14.45" customHeight="1">
      <c r="A26" s="3"/>
      <c r="B26" s="218"/>
      <c r="C26" s="360" t="s">
        <v>320</v>
      </c>
      <c r="D26" s="360"/>
      <c r="E26" s="360"/>
      <c r="F26" s="360"/>
      <c r="G26" s="360"/>
      <c r="H26" s="360"/>
      <c r="I26" s="360"/>
      <c r="J26" s="360"/>
      <c r="K26" s="360"/>
      <c r="L26" s="360"/>
      <c r="Q26" s="2"/>
      <c r="S26" s="11"/>
      <c r="T26" s="11"/>
    </row>
    <row r="27" spans="1:26" ht="14.45" customHeight="1">
      <c r="B27" s="219"/>
      <c r="C27" s="360"/>
      <c r="D27" s="360"/>
      <c r="E27" s="360"/>
      <c r="F27" s="360"/>
      <c r="G27" s="360"/>
      <c r="H27" s="360"/>
      <c r="I27" s="360"/>
      <c r="J27" s="360"/>
      <c r="K27" s="360"/>
      <c r="L27" s="360"/>
      <c r="Q27" s="2"/>
      <c r="S27" s="11"/>
      <c r="T27" s="11"/>
    </row>
    <row r="28" spans="1:26" ht="14.45" customHeight="1">
      <c r="B28" s="219"/>
      <c r="C28" s="360"/>
      <c r="D28" s="360"/>
      <c r="E28" s="360"/>
      <c r="F28" s="360"/>
      <c r="G28" s="360"/>
      <c r="H28" s="360"/>
      <c r="I28" s="360"/>
      <c r="J28" s="360"/>
      <c r="K28" s="360"/>
      <c r="L28" s="360"/>
      <c r="Q28" s="2"/>
      <c r="S28" s="11"/>
      <c r="T28" s="11"/>
    </row>
    <row r="29" spans="1:26" ht="14.45" customHeight="1">
      <c r="B29" s="221"/>
      <c r="C29" s="345"/>
      <c r="D29" s="345"/>
      <c r="E29" s="345"/>
      <c r="F29" s="345"/>
      <c r="G29" s="345"/>
      <c r="H29" s="345"/>
      <c r="I29" s="345"/>
      <c r="J29" s="345"/>
      <c r="K29" s="345"/>
      <c r="L29" s="345"/>
      <c r="S29" s="11"/>
      <c r="T29" s="11"/>
    </row>
    <row r="30" spans="1:26" ht="14.45" customHeight="1">
      <c r="B30" s="222"/>
      <c r="C30" s="345"/>
      <c r="D30" s="345"/>
      <c r="E30" s="345"/>
      <c r="F30" s="345"/>
      <c r="G30" s="345"/>
      <c r="H30" s="345"/>
      <c r="I30" s="345"/>
      <c r="J30" s="345"/>
      <c r="K30" s="345"/>
      <c r="L30" s="345"/>
      <c r="M30" s="9"/>
      <c r="N30" s="122"/>
      <c r="O30" s="34"/>
      <c r="P30" s="35"/>
      <c r="Q30" s="35"/>
      <c r="R30" s="35"/>
      <c r="S30" s="35"/>
      <c r="T30" s="122"/>
    </row>
    <row r="31" spans="1:26" ht="14.45" customHeight="1">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30">
      <c r="A33" s="3"/>
      <c r="B33" s="119"/>
      <c r="C33" s="119"/>
      <c r="D33" s="119"/>
      <c r="E33" s="119"/>
      <c r="F33" s="119"/>
      <c r="G33" s="119"/>
      <c r="H33" s="119"/>
      <c r="I33" s="119"/>
      <c r="J33" s="119"/>
      <c r="K33" s="119"/>
      <c r="L33" s="119"/>
      <c r="M33" s="119"/>
      <c r="N33" s="119"/>
      <c r="O33" s="119"/>
      <c r="P33" s="119"/>
      <c r="Q33" s="119"/>
      <c r="R33" s="119"/>
      <c r="S33" s="119"/>
      <c r="T33" s="119"/>
      <c r="V33" s="319" t="s">
        <v>65</v>
      </c>
      <c r="W33" s="320"/>
      <c r="X33" s="11"/>
      <c r="Y33" s="319" t="s">
        <v>66</v>
      </c>
      <c r="Z33" s="320"/>
    </row>
    <row r="34" spans="1:30">
      <c r="B34" s="119"/>
      <c r="C34" s="119"/>
      <c r="D34" s="119"/>
      <c r="E34" s="119"/>
      <c r="F34" s="119"/>
      <c r="G34" s="119"/>
      <c r="H34" s="119"/>
      <c r="I34" s="119"/>
      <c r="J34" s="119"/>
      <c r="K34" s="119"/>
      <c r="L34" s="119"/>
      <c r="M34" s="119"/>
      <c r="N34" s="119"/>
      <c r="O34" s="119"/>
      <c r="P34" s="119"/>
      <c r="Q34" s="119"/>
      <c r="R34" s="119"/>
      <c r="S34" s="119"/>
      <c r="T34" s="119"/>
      <c r="V34" s="56" t="s">
        <v>61</v>
      </c>
      <c r="W34" s="56" t="s">
        <v>62</v>
      </c>
      <c r="X34" s="11"/>
      <c r="Y34" s="56" t="s">
        <v>61</v>
      </c>
      <c r="Z34" s="56" t="s">
        <v>62</v>
      </c>
    </row>
    <row r="35" spans="1:30">
      <c r="B35" s="119"/>
      <c r="C35" s="119"/>
      <c r="D35" s="119"/>
      <c r="E35" s="119"/>
      <c r="F35" s="119"/>
      <c r="G35" s="119"/>
      <c r="H35" s="119"/>
      <c r="I35" s="119"/>
      <c r="J35" s="119"/>
      <c r="K35" s="119"/>
      <c r="L35" s="119"/>
      <c r="M35" s="119"/>
      <c r="N35" s="119"/>
      <c r="O35" s="119"/>
      <c r="P35" s="119"/>
      <c r="Q35" s="119"/>
      <c r="R35" s="119"/>
      <c r="S35" s="119"/>
      <c r="T35" s="119"/>
      <c r="V35" s="244" t="s">
        <v>392</v>
      </c>
      <c r="W35" s="244" t="s">
        <v>448</v>
      </c>
      <c r="X35" s="11"/>
      <c r="Y35" s="244" t="s">
        <v>392</v>
      </c>
      <c r="Z35" s="244" t="s">
        <v>448</v>
      </c>
    </row>
    <row r="36" spans="1:30">
      <c r="B36" s="119"/>
      <c r="C36" s="119"/>
      <c r="D36" s="119"/>
      <c r="E36" s="119"/>
      <c r="F36" s="119"/>
      <c r="G36" s="119"/>
      <c r="H36" s="119"/>
      <c r="I36" s="119"/>
      <c r="J36" s="119"/>
      <c r="K36" s="119"/>
      <c r="L36" s="119"/>
      <c r="M36" s="119"/>
      <c r="N36" s="119"/>
      <c r="O36" s="119"/>
      <c r="P36" s="119"/>
      <c r="Q36" s="119"/>
      <c r="R36" s="119"/>
      <c r="S36" s="119"/>
      <c r="T36" s="119"/>
      <c r="V36" s="244" t="s">
        <v>393</v>
      </c>
      <c r="W36" s="244" t="s">
        <v>449</v>
      </c>
      <c r="X36" s="11"/>
      <c r="Y36" s="244" t="s">
        <v>393</v>
      </c>
      <c r="Z36" s="244" t="s">
        <v>449</v>
      </c>
    </row>
    <row r="37" spans="1:30">
      <c r="B37" s="119"/>
      <c r="C37" s="119"/>
      <c r="D37" s="119"/>
      <c r="E37" s="119"/>
      <c r="F37" s="119"/>
      <c r="G37" s="119"/>
      <c r="H37" s="119"/>
      <c r="I37" s="119"/>
      <c r="J37" s="119"/>
      <c r="K37" s="119"/>
      <c r="L37" s="119"/>
      <c r="M37" s="119"/>
      <c r="N37" s="119"/>
      <c r="O37" s="119"/>
      <c r="P37" s="119"/>
      <c r="Q37" s="119"/>
      <c r="R37" s="119"/>
      <c r="S37" s="119"/>
      <c r="T37" s="119"/>
      <c r="V37" s="244" t="s">
        <v>394</v>
      </c>
      <c r="W37" s="244" t="s">
        <v>450</v>
      </c>
      <c r="X37" s="11"/>
      <c r="Y37" s="244" t="s">
        <v>394</v>
      </c>
      <c r="Z37" s="244" t="s">
        <v>450</v>
      </c>
    </row>
    <row r="38" spans="1:30">
      <c r="B38" s="119"/>
      <c r="C38" s="119"/>
      <c r="D38" s="119"/>
      <c r="E38" s="119"/>
      <c r="F38" s="119"/>
      <c r="G38" s="119"/>
      <c r="H38" s="119"/>
      <c r="I38" s="119"/>
      <c r="J38" s="119"/>
      <c r="K38" s="119"/>
      <c r="L38" s="119"/>
      <c r="M38" s="119"/>
      <c r="N38" s="119"/>
      <c r="O38" s="119"/>
      <c r="P38" s="119"/>
      <c r="Q38" s="119"/>
      <c r="R38" s="119"/>
      <c r="S38" s="119"/>
      <c r="T38" s="119"/>
      <c r="V38" s="244" t="s">
        <v>434</v>
      </c>
      <c r="W38" s="244" t="s">
        <v>451</v>
      </c>
      <c r="X38" s="11"/>
      <c r="Y38" s="244" t="s">
        <v>434</v>
      </c>
      <c r="Z38" s="244" t="s">
        <v>451</v>
      </c>
    </row>
    <row r="39" spans="1:30">
      <c r="B39" s="119"/>
      <c r="C39" s="119"/>
      <c r="D39" s="119"/>
      <c r="E39" s="119"/>
      <c r="F39" s="119"/>
      <c r="G39" s="119"/>
      <c r="H39" s="119"/>
      <c r="I39" s="119"/>
      <c r="J39" s="119"/>
      <c r="K39" s="119"/>
      <c r="L39" s="119"/>
      <c r="M39" s="119"/>
      <c r="N39" s="119"/>
      <c r="O39" s="119"/>
      <c r="P39" s="119"/>
      <c r="Q39" s="119"/>
      <c r="R39" s="119"/>
      <c r="S39" s="119"/>
      <c r="T39" s="119"/>
      <c r="V39" s="244" t="s">
        <v>435</v>
      </c>
      <c r="W39" s="244" t="s">
        <v>452</v>
      </c>
      <c r="Y39" s="244" t="s">
        <v>435</v>
      </c>
      <c r="Z39" s="244" t="s">
        <v>452</v>
      </c>
    </row>
    <row r="40" spans="1:30">
      <c r="B40" s="119"/>
      <c r="C40" s="119"/>
      <c r="D40" s="119"/>
      <c r="E40" s="119"/>
      <c r="F40" s="119"/>
      <c r="G40" s="119"/>
      <c r="H40" s="119"/>
      <c r="I40" s="119"/>
      <c r="J40" s="119"/>
      <c r="K40" s="119"/>
      <c r="L40" s="119"/>
      <c r="M40" s="119"/>
      <c r="N40" s="119"/>
      <c r="O40" s="119"/>
      <c r="P40" s="119"/>
      <c r="Q40" s="119"/>
      <c r="R40" s="119"/>
      <c r="S40" s="119"/>
      <c r="T40" s="119"/>
      <c r="V40" s="244" t="s">
        <v>436</v>
      </c>
      <c r="W40" s="244" t="s">
        <v>453</v>
      </c>
      <c r="Y40" s="244" t="s">
        <v>436</v>
      </c>
      <c r="Z40" s="244" t="s">
        <v>453</v>
      </c>
    </row>
    <row r="41" spans="1:30">
      <c r="B41" s="119"/>
      <c r="C41" s="119"/>
      <c r="D41" s="119"/>
      <c r="E41" s="119"/>
      <c r="F41" s="119"/>
      <c r="G41" s="119"/>
      <c r="H41" s="119"/>
      <c r="I41" s="119"/>
      <c r="J41" s="119"/>
      <c r="K41" s="119"/>
      <c r="L41" s="119"/>
      <c r="M41" s="119"/>
      <c r="N41" s="119"/>
      <c r="O41" s="119"/>
      <c r="P41" s="119"/>
      <c r="Q41" s="119"/>
      <c r="R41" s="119"/>
      <c r="S41" s="119"/>
      <c r="T41" s="119"/>
      <c r="V41" s="244" t="s">
        <v>437</v>
      </c>
      <c r="W41" s="245" t="s">
        <v>454</v>
      </c>
      <c r="Y41" s="244" t="s">
        <v>437</v>
      </c>
      <c r="Z41" s="245" t="s">
        <v>454</v>
      </c>
    </row>
    <row r="42" spans="1:30">
      <c r="B42" s="119"/>
      <c r="C42" s="119"/>
      <c r="D42" s="119"/>
      <c r="E42" s="119"/>
      <c r="F42" s="119"/>
      <c r="G42" s="119"/>
      <c r="H42" s="119"/>
      <c r="I42" s="119"/>
      <c r="J42" s="119"/>
      <c r="K42" s="119"/>
      <c r="L42" s="119"/>
      <c r="M42" s="119"/>
      <c r="N42" s="119"/>
      <c r="O42" s="119"/>
      <c r="P42" s="119"/>
      <c r="Q42" s="119"/>
      <c r="R42" s="119"/>
      <c r="S42" s="119"/>
      <c r="T42" s="119"/>
      <c r="V42" s="244" t="s">
        <v>438</v>
      </c>
      <c r="W42" s="244" t="s">
        <v>455</v>
      </c>
      <c r="Y42" s="244" t="s">
        <v>438</v>
      </c>
      <c r="Z42" s="244" t="s">
        <v>455</v>
      </c>
    </row>
    <row r="43" spans="1:30">
      <c r="B43" s="119"/>
      <c r="C43" s="119"/>
      <c r="D43" s="119"/>
      <c r="E43" s="119"/>
      <c r="F43" s="119"/>
      <c r="G43" s="119"/>
      <c r="H43" s="119"/>
      <c r="I43" s="119"/>
      <c r="J43" s="119"/>
      <c r="K43" s="119"/>
      <c r="L43" s="119"/>
      <c r="M43" s="119"/>
      <c r="N43" s="119"/>
      <c r="O43" s="119"/>
      <c r="P43" s="119"/>
      <c r="Q43" s="119"/>
      <c r="R43" s="119"/>
      <c r="S43" s="119"/>
      <c r="T43" s="119"/>
      <c r="V43" s="245" t="s">
        <v>439</v>
      </c>
      <c r="W43" s="244" t="s">
        <v>456</v>
      </c>
      <c r="Y43" s="244" t="s">
        <v>439</v>
      </c>
      <c r="Z43" s="244" t="s">
        <v>456</v>
      </c>
    </row>
    <row r="44" spans="1:30">
      <c r="B44" s="119"/>
      <c r="C44" s="119"/>
      <c r="D44" s="119"/>
      <c r="E44" s="119"/>
      <c r="F44" s="119"/>
      <c r="G44" s="119"/>
      <c r="H44" s="119"/>
      <c r="I44" s="119"/>
      <c r="J44" s="119"/>
      <c r="K44" s="119"/>
      <c r="L44" s="119"/>
      <c r="M44" s="119"/>
      <c r="N44" s="119"/>
      <c r="O44" s="119"/>
      <c r="P44" s="119"/>
      <c r="Q44" s="119"/>
      <c r="R44" s="119"/>
      <c r="S44" s="119"/>
      <c r="T44" s="119"/>
      <c r="V44" s="244" t="s">
        <v>440</v>
      </c>
      <c r="W44" s="244" t="s">
        <v>457</v>
      </c>
      <c r="Y44" s="244" t="s">
        <v>440</v>
      </c>
      <c r="Z44" s="244" t="s">
        <v>457</v>
      </c>
    </row>
    <row r="45" spans="1:30">
      <c r="B45" s="119"/>
      <c r="C45" s="119"/>
      <c r="D45" s="119"/>
      <c r="E45" s="119"/>
      <c r="F45" s="119"/>
      <c r="G45" s="119"/>
      <c r="H45" s="119"/>
      <c r="I45" s="119"/>
      <c r="J45" s="119"/>
      <c r="K45" s="119"/>
      <c r="L45" s="119"/>
      <c r="M45" s="119"/>
      <c r="N45" s="119"/>
      <c r="O45" s="119"/>
      <c r="P45" s="119"/>
      <c r="Q45" s="119"/>
      <c r="R45" s="119"/>
      <c r="S45" s="119"/>
      <c r="T45" s="119"/>
      <c r="V45" s="244" t="s">
        <v>441</v>
      </c>
      <c r="W45" s="244" t="s">
        <v>458</v>
      </c>
      <c r="Y45" s="244" t="s">
        <v>441</v>
      </c>
      <c r="Z45" s="244" t="s">
        <v>458</v>
      </c>
    </row>
    <row r="46" spans="1:30">
      <c r="B46" s="119"/>
      <c r="C46" s="119"/>
      <c r="D46" s="119"/>
      <c r="E46" s="119"/>
      <c r="F46" s="119"/>
      <c r="G46" s="119"/>
      <c r="H46" s="119"/>
      <c r="I46" s="119"/>
      <c r="J46" s="119"/>
      <c r="K46" s="119"/>
      <c r="L46" s="119"/>
      <c r="M46" s="119"/>
      <c r="N46" s="119"/>
      <c r="O46" s="119"/>
      <c r="P46" s="119"/>
      <c r="Q46" s="119"/>
      <c r="R46" s="119"/>
      <c r="S46" s="119"/>
      <c r="T46" s="119"/>
      <c r="V46" s="244" t="s">
        <v>442</v>
      </c>
      <c r="W46" s="244" t="s">
        <v>459</v>
      </c>
      <c r="X46" s="6"/>
      <c r="Y46" s="244" t="s">
        <v>442</v>
      </c>
      <c r="Z46" s="244" t="s">
        <v>459</v>
      </c>
      <c r="AA46" s="6"/>
      <c r="AB46" s="6"/>
      <c r="AC46" s="6"/>
      <c r="AD46" s="6"/>
    </row>
    <row r="47" spans="1:30">
      <c r="B47" s="119"/>
      <c r="C47" s="119"/>
      <c r="D47" s="119"/>
      <c r="E47" s="119"/>
      <c r="F47" s="119"/>
      <c r="G47" s="119"/>
      <c r="H47" s="119"/>
      <c r="I47" s="119"/>
      <c r="J47" s="119"/>
      <c r="K47" s="119"/>
      <c r="L47" s="119"/>
      <c r="M47" s="119"/>
      <c r="N47" s="119"/>
      <c r="O47" s="119"/>
      <c r="P47" s="119"/>
      <c r="Q47" s="119"/>
      <c r="R47" s="119"/>
      <c r="S47" s="119"/>
      <c r="T47" s="119"/>
      <c r="V47" s="244" t="s">
        <v>443</v>
      </c>
      <c r="W47" s="244" t="s">
        <v>460</v>
      </c>
      <c r="X47" s="6"/>
      <c r="Y47" s="244" t="s">
        <v>443</v>
      </c>
      <c r="Z47" s="244" t="s">
        <v>460</v>
      </c>
      <c r="AA47" s="6"/>
      <c r="AB47" s="6"/>
      <c r="AC47" s="6"/>
      <c r="AD47" s="6"/>
    </row>
    <row r="48" spans="1:30">
      <c r="B48" s="119"/>
      <c r="C48" s="119"/>
      <c r="D48" s="119"/>
      <c r="E48" s="119"/>
      <c r="F48" s="119"/>
      <c r="G48" s="119"/>
      <c r="H48" s="119"/>
      <c r="I48" s="119"/>
      <c r="J48" s="119"/>
      <c r="K48" s="119"/>
      <c r="L48" s="119"/>
      <c r="M48" s="119"/>
      <c r="N48" s="119"/>
      <c r="O48" s="119"/>
      <c r="P48" s="119"/>
      <c r="Q48" s="119"/>
      <c r="R48" s="119"/>
      <c r="S48" s="119"/>
      <c r="T48" s="119"/>
      <c r="V48" s="244" t="s">
        <v>444</v>
      </c>
      <c r="W48" s="245" t="s">
        <v>461</v>
      </c>
      <c r="X48" s="6"/>
      <c r="Y48" s="244" t="s">
        <v>444</v>
      </c>
      <c r="Z48" s="245" t="s">
        <v>461</v>
      </c>
      <c r="AA48" s="6"/>
      <c r="AB48" s="6"/>
      <c r="AC48" s="6"/>
      <c r="AD48" s="6"/>
    </row>
    <row r="49" spans="2:30">
      <c r="B49" s="119"/>
      <c r="C49" s="119"/>
      <c r="D49" s="119"/>
      <c r="E49" s="119"/>
      <c r="F49" s="119"/>
      <c r="G49" s="119"/>
      <c r="H49" s="119"/>
      <c r="I49" s="119"/>
      <c r="J49" s="119"/>
      <c r="K49" s="119"/>
      <c r="L49" s="119"/>
      <c r="M49" s="119"/>
      <c r="N49" s="119"/>
      <c r="O49" s="119"/>
      <c r="P49" s="119"/>
      <c r="Q49" s="119"/>
      <c r="R49" s="119"/>
      <c r="S49" s="119"/>
      <c r="T49" s="119"/>
      <c r="V49" s="244" t="s">
        <v>445</v>
      </c>
      <c r="W49" s="244" t="s">
        <v>462</v>
      </c>
      <c r="X49" s="6"/>
      <c r="Y49" s="244" t="s">
        <v>445</v>
      </c>
      <c r="Z49" s="244" t="s">
        <v>462</v>
      </c>
      <c r="AA49" s="6"/>
      <c r="AB49" s="6"/>
      <c r="AC49" s="6"/>
      <c r="AD49" s="6"/>
    </row>
    <row r="50" spans="2:30">
      <c r="B50" s="119"/>
      <c r="C50" s="119"/>
      <c r="D50" s="119"/>
      <c r="E50" s="119"/>
      <c r="F50" s="119"/>
      <c r="G50" s="119"/>
      <c r="H50" s="119"/>
      <c r="I50" s="119"/>
      <c r="J50" s="119"/>
      <c r="K50" s="119"/>
      <c r="L50" s="119"/>
      <c r="M50" s="119"/>
      <c r="N50" s="119"/>
      <c r="O50" s="119"/>
      <c r="P50" s="119"/>
      <c r="Q50" s="119"/>
      <c r="R50" s="119"/>
      <c r="S50" s="119"/>
      <c r="T50" s="119"/>
      <c r="V50" s="246" t="s">
        <v>446</v>
      </c>
      <c r="W50" s="244" t="s">
        <v>463</v>
      </c>
      <c r="X50" s="6"/>
      <c r="Y50" s="246" t="s">
        <v>446</v>
      </c>
      <c r="Z50" s="244" t="s">
        <v>463</v>
      </c>
      <c r="AA50" s="6"/>
      <c r="AB50" s="6"/>
      <c r="AC50" s="6"/>
      <c r="AD50" s="6"/>
    </row>
    <row r="51" spans="2:30">
      <c r="B51" s="119"/>
      <c r="C51" s="119"/>
      <c r="D51" s="119"/>
      <c r="E51" s="119"/>
      <c r="F51" s="119"/>
      <c r="G51" s="119"/>
      <c r="H51" s="119"/>
      <c r="I51" s="119"/>
      <c r="J51" s="119"/>
      <c r="K51" s="119"/>
      <c r="L51" s="119"/>
      <c r="M51" s="119"/>
      <c r="N51" s="119"/>
      <c r="O51" s="119"/>
      <c r="P51" s="119"/>
      <c r="Q51" s="119"/>
      <c r="R51" s="119"/>
      <c r="S51" s="119"/>
      <c r="T51" s="119"/>
      <c r="V51" s="247" t="s">
        <v>447</v>
      </c>
      <c r="W51" s="244" t="s">
        <v>464</v>
      </c>
      <c r="X51" s="6"/>
      <c r="Y51" s="247" t="s">
        <v>447</v>
      </c>
      <c r="Z51" s="244" t="s">
        <v>464</v>
      </c>
      <c r="AA51" s="6"/>
      <c r="AB51" s="6"/>
      <c r="AC51" s="6"/>
      <c r="AD51" s="6"/>
    </row>
    <row r="52" spans="2:30">
      <c r="B52" s="119"/>
      <c r="C52" s="119"/>
      <c r="D52" s="119"/>
      <c r="E52" s="119"/>
      <c r="F52" s="119"/>
      <c r="G52" s="119"/>
      <c r="H52" s="119"/>
      <c r="I52" s="119"/>
      <c r="J52" s="119"/>
      <c r="K52" s="119"/>
      <c r="L52" s="119"/>
      <c r="M52" s="119"/>
      <c r="N52" s="119"/>
      <c r="O52" s="119"/>
      <c r="P52" s="119"/>
      <c r="Q52" s="119"/>
      <c r="R52" s="119"/>
      <c r="S52" s="119"/>
      <c r="T52" s="119"/>
      <c r="V52" s="295"/>
      <c r="W52" s="244" t="s">
        <v>465</v>
      </c>
      <c r="X52" s="6"/>
      <c r="Y52" s="284"/>
      <c r="Z52" s="244" t="s">
        <v>465</v>
      </c>
      <c r="AA52" s="6"/>
      <c r="AB52" s="6"/>
      <c r="AC52" s="6"/>
      <c r="AD52" s="6"/>
    </row>
    <row r="53" spans="2:30">
      <c r="B53" s="119"/>
      <c r="C53" s="119"/>
      <c r="D53" s="119"/>
      <c r="E53" s="119"/>
      <c r="F53" s="119"/>
      <c r="G53" s="119"/>
      <c r="H53" s="119"/>
      <c r="I53" s="119"/>
      <c r="J53" s="119"/>
      <c r="K53" s="119"/>
      <c r="L53" s="119"/>
      <c r="M53" s="119"/>
      <c r="N53" s="119"/>
      <c r="O53" s="119"/>
      <c r="P53" s="119"/>
      <c r="Q53" s="119"/>
      <c r="R53" s="119"/>
      <c r="S53" s="119"/>
      <c r="T53" s="119"/>
      <c r="V53" s="204"/>
      <c r="W53" s="248" t="s">
        <v>466</v>
      </c>
      <c r="X53" s="6"/>
      <c r="Y53" s="257"/>
      <c r="Z53" s="258" t="s">
        <v>466</v>
      </c>
      <c r="AA53" s="6"/>
      <c r="AB53" s="6"/>
      <c r="AC53" s="6"/>
      <c r="AD53" s="6"/>
    </row>
    <row r="54" spans="2:30">
      <c r="B54" s="119"/>
      <c r="C54" s="119"/>
      <c r="D54" s="119"/>
      <c r="E54" s="119"/>
      <c r="F54" s="119"/>
      <c r="G54" s="119"/>
      <c r="H54" s="119"/>
      <c r="I54" s="119"/>
      <c r="J54" s="119"/>
      <c r="K54" s="119"/>
      <c r="L54" s="119"/>
      <c r="M54" s="119"/>
      <c r="N54" s="119"/>
      <c r="O54" s="119"/>
      <c r="P54" s="119"/>
      <c r="Q54" s="119"/>
      <c r="R54" s="119"/>
      <c r="S54" s="119"/>
      <c r="T54" s="119"/>
      <c r="V54" s="250"/>
      <c r="W54" s="251"/>
      <c r="X54" s="6"/>
      <c r="Y54" s="250"/>
      <c r="Z54" s="251"/>
      <c r="AA54" s="6"/>
      <c r="AB54" s="6"/>
      <c r="AC54" s="6"/>
      <c r="AD54" s="6"/>
    </row>
    <row r="55" spans="2:30">
      <c r="B55" s="119"/>
      <c r="C55" s="119"/>
      <c r="D55" s="119"/>
      <c r="E55" s="119"/>
      <c r="F55" s="119"/>
      <c r="G55" s="119"/>
      <c r="H55" s="119"/>
      <c r="I55" s="119"/>
      <c r="J55" s="119"/>
      <c r="K55" s="119"/>
      <c r="L55" s="119"/>
      <c r="M55" s="119"/>
      <c r="N55" s="119"/>
      <c r="O55" s="119"/>
      <c r="P55" s="119"/>
      <c r="Q55" s="119"/>
      <c r="R55" s="119"/>
      <c r="S55" s="119"/>
      <c r="T55" s="119"/>
      <c r="V55" s="249"/>
      <c r="W55" s="251"/>
      <c r="X55" s="6"/>
      <c r="Y55" s="249"/>
      <c r="Z55" s="251"/>
      <c r="AA55" s="6"/>
      <c r="AB55" s="6"/>
      <c r="AC55" s="6"/>
      <c r="AD55" s="6"/>
    </row>
    <row r="56" spans="2:30">
      <c r="V56" s="6"/>
      <c r="W56" s="6"/>
      <c r="X56" s="6"/>
      <c r="Y56" s="6"/>
      <c r="Z56" s="6"/>
      <c r="AA56" s="6"/>
      <c r="AB56" s="6"/>
      <c r="AC56" s="6"/>
      <c r="AD56" s="6"/>
    </row>
    <row r="57" spans="2:30">
      <c r="V57" s="6"/>
      <c r="W57" s="6"/>
      <c r="X57" s="6"/>
      <c r="Y57" s="6"/>
      <c r="Z57" s="6"/>
      <c r="AA57" s="6"/>
      <c r="AB57" s="6"/>
      <c r="AC57" s="6"/>
      <c r="AD57" s="6"/>
    </row>
  </sheetData>
  <mergeCells count="24">
    <mergeCell ref="B3:T3"/>
    <mergeCell ref="B4:T4"/>
    <mergeCell ref="B5:T5"/>
    <mergeCell ref="R7:T7"/>
    <mergeCell ref="B9:L9"/>
    <mergeCell ref="N9:T9"/>
    <mergeCell ref="D21:L22"/>
    <mergeCell ref="B11:L11"/>
    <mergeCell ref="C12:L12"/>
    <mergeCell ref="C13:L13"/>
    <mergeCell ref="C14:L14"/>
    <mergeCell ref="C15:L15"/>
    <mergeCell ref="B17:L17"/>
    <mergeCell ref="C18:L18"/>
    <mergeCell ref="C19:L19"/>
    <mergeCell ref="C20:L20"/>
    <mergeCell ref="Y32:Z32"/>
    <mergeCell ref="Y33:Z33"/>
    <mergeCell ref="C23:L25"/>
    <mergeCell ref="C26:L28"/>
    <mergeCell ref="C29:L30"/>
    <mergeCell ref="B32:T32"/>
    <mergeCell ref="V32:W32"/>
    <mergeCell ref="V33:W33"/>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B49073"/>
  </sheetPr>
  <dimension ref="A1:E2"/>
  <sheetViews>
    <sheetView showGridLines="0" showRowColHeaders="0" zoomScale="70" zoomScaleNormal="70" workbookViewId="0"/>
  </sheetViews>
  <sheetFormatPr defaultRowHeight="14.25"/>
  <cols>
    <col min="1" max="1" width="12.53125" customWidth="1"/>
    <col min="3" max="3" width="11.53125" customWidth="1"/>
  </cols>
  <sheetData>
    <row r="1" spans="1:5" ht="15.75">
      <c r="A1" s="16" t="s">
        <v>311</v>
      </c>
      <c r="B1" s="121"/>
      <c r="C1" s="121"/>
      <c r="D1" s="121"/>
      <c r="E1" s="121"/>
    </row>
    <row r="2" spans="1:5" ht="15.75">
      <c r="A2" s="26" t="s">
        <v>34</v>
      </c>
      <c r="C2" s="27">
        <v>42977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B5DAC7"/>
  </sheetPr>
  <dimension ref="A1:AB56"/>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 min="27" max="29" width="12.1328125" customWidth="1"/>
    <col min="30" max="31" width="16.86328125" customWidth="1"/>
  </cols>
  <sheetData>
    <row r="1" spans="1:28" ht="14.45" customHeight="1"/>
    <row r="2" spans="1:28" ht="14.45" customHeight="1">
      <c r="P2" s="10"/>
      <c r="Q2" s="11"/>
      <c r="R2" s="11"/>
    </row>
    <row r="3" spans="1:28" ht="23.25">
      <c r="B3" s="338" t="s">
        <v>396</v>
      </c>
      <c r="C3" s="338"/>
      <c r="D3" s="338"/>
      <c r="E3" s="338"/>
      <c r="F3" s="338"/>
      <c r="G3" s="338"/>
      <c r="H3" s="338"/>
      <c r="I3" s="338"/>
      <c r="J3" s="338"/>
      <c r="K3" s="338"/>
      <c r="L3" s="338"/>
      <c r="M3" s="338"/>
      <c r="N3" s="338"/>
      <c r="O3" s="338"/>
      <c r="P3" s="338"/>
      <c r="Q3" s="338"/>
      <c r="R3" s="338"/>
      <c r="S3" s="338"/>
      <c r="T3" s="338"/>
    </row>
    <row r="4" spans="1:28" ht="30.75">
      <c r="B4" s="339" t="s">
        <v>472</v>
      </c>
      <c r="C4" s="339"/>
      <c r="D4" s="339"/>
      <c r="E4" s="339"/>
      <c r="F4" s="339"/>
      <c r="G4" s="339"/>
      <c r="H4" s="339"/>
      <c r="I4" s="339"/>
      <c r="J4" s="339"/>
      <c r="K4" s="339"/>
      <c r="L4" s="339"/>
      <c r="M4" s="339"/>
      <c r="N4" s="339"/>
      <c r="O4" s="339"/>
      <c r="P4" s="339"/>
      <c r="Q4" s="339"/>
      <c r="R4" s="339"/>
      <c r="S4" s="339"/>
      <c r="T4" s="339"/>
    </row>
    <row r="5" spans="1:28" ht="18">
      <c r="B5" s="340" t="s">
        <v>8</v>
      </c>
      <c r="C5" s="340"/>
      <c r="D5" s="340"/>
      <c r="E5" s="340"/>
      <c r="F5" s="340"/>
      <c r="G5" s="340"/>
      <c r="H5" s="340"/>
      <c r="I5" s="340"/>
      <c r="J5" s="340"/>
      <c r="K5" s="340"/>
      <c r="L5" s="340"/>
      <c r="M5" s="340"/>
      <c r="N5" s="340"/>
      <c r="O5" s="340"/>
      <c r="P5" s="340"/>
      <c r="Q5" s="340"/>
      <c r="R5" s="340"/>
      <c r="S5" s="340"/>
      <c r="T5" s="340"/>
    </row>
    <row r="6" spans="1:28" ht="14.45" customHeight="1">
      <c r="P6" s="11"/>
      <c r="Q6" s="11"/>
      <c r="R6" s="11"/>
    </row>
    <row r="7" spans="1:28" ht="14.45" customHeight="1">
      <c r="B7" s="26" t="s">
        <v>35</v>
      </c>
      <c r="E7" s="27">
        <v>42978</v>
      </c>
      <c r="P7" s="342" t="s">
        <v>44</v>
      </c>
      <c r="Q7" s="342"/>
      <c r="R7" s="342"/>
      <c r="S7" s="342"/>
      <c r="T7" s="342"/>
    </row>
    <row r="8" spans="1:28" ht="14.45" customHeight="1">
      <c r="P8" s="11"/>
      <c r="Q8" s="11"/>
      <c r="R8" s="11"/>
    </row>
    <row r="9" spans="1:28" ht="23.65" thickBot="1">
      <c r="B9" s="341" t="s">
        <v>7</v>
      </c>
      <c r="C9" s="341"/>
      <c r="D9" s="341"/>
      <c r="E9" s="341"/>
      <c r="F9" s="341"/>
      <c r="G9" s="341"/>
      <c r="H9" s="341"/>
      <c r="I9" s="341"/>
      <c r="J9" s="341"/>
      <c r="K9" s="341"/>
      <c r="L9" s="341"/>
      <c r="N9" s="331" t="s">
        <v>38</v>
      </c>
      <c r="O9" s="331"/>
      <c r="P9" s="331"/>
      <c r="Q9" s="331"/>
      <c r="R9" s="331"/>
      <c r="S9" s="331"/>
      <c r="T9" s="331"/>
    </row>
    <row r="10" spans="1:28" ht="14.45" customHeight="1">
      <c r="B10" s="33"/>
      <c r="C10" s="33"/>
      <c r="D10" s="33"/>
      <c r="E10" s="33"/>
      <c r="F10" s="33"/>
      <c r="G10" s="33"/>
      <c r="H10" s="33"/>
      <c r="I10" s="33"/>
      <c r="J10" s="33"/>
      <c r="K10" s="33"/>
      <c r="L10" s="33"/>
      <c r="N10" s="122"/>
      <c r="O10" s="122"/>
      <c r="P10" s="122"/>
      <c r="Q10" s="122"/>
      <c r="R10" s="122"/>
      <c r="S10" s="122"/>
      <c r="T10" s="122"/>
    </row>
    <row r="11" spans="1:28" ht="14.45" customHeight="1">
      <c r="B11" s="336" t="s">
        <v>40</v>
      </c>
      <c r="C11" s="336"/>
      <c r="D11" s="336"/>
      <c r="E11" s="336"/>
      <c r="F11" s="336"/>
      <c r="G11" s="336"/>
      <c r="H11" s="336"/>
      <c r="I11" s="336"/>
      <c r="J11" s="336"/>
      <c r="K11" s="336"/>
      <c r="L11" s="336"/>
      <c r="N11" s="206" t="s">
        <v>54</v>
      </c>
      <c r="O11" s="207" t="s">
        <v>286</v>
      </c>
      <c r="P11" s="207"/>
      <c r="Q11" s="208"/>
      <c r="R11" s="11"/>
      <c r="S11" s="11"/>
      <c r="T11" s="11"/>
    </row>
    <row r="12" spans="1:28" ht="14.45" customHeight="1">
      <c r="B12" s="119"/>
      <c r="C12" s="337" t="s">
        <v>503</v>
      </c>
      <c r="D12" s="337"/>
      <c r="E12" s="337"/>
      <c r="F12" s="337"/>
      <c r="G12" s="337"/>
      <c r="H12" s="337"/>
      <c r="I12" s="337"/>
      <c r="J12" s="337"/>
      <c r="K12" s="337"/>
      <c r="L12" s="337"/>
      <c r="N12" s="209" t="s">
        <v>287</v>
      </c>
      <c r="O12" s="210" t="s">
        <v>5</v>
      </c>
      <c r="P12" s="210" t="s">
        <v>6</v>
      </c>
      <c r="Q12" s="211" t="s">
        <v>42</v>
      </c>
      <c r="R12" s="11"/>
      <c r="S12" s="11"/>
      <c r="T12" s="11"/>
    </row>
    <row r="13" spans="1:28" ht="14.45" customHeight="1">
      <c r="B13" s="117"/>
      <c r="C13" s="332" t="s">
        <v>504</v>
      </c>
      <c r="D13" s="332"/>
      <c r="E13" s="332"/>
      <c r="F13" s="332"/>
      <c r="G13" s="332"/>
      <c r="H13" s="332"/>
      <c r="I13" s="332"/>
      <c r="J13" s="332"/>
      <c r="K13" s="332"/>
      <c r="L13" s="332"/>
      <c r="N13" s="214">
        <v>2010</v>
      </c>
      <c r="O13" s="210">
        <v>19.600000000000001</v>
      </c>
      <c r="P13" s="210">
        <v>8.18</v>
      </c>
      <c r="Q13" s="211">
        <v>13.82</v>
      </c>
      <c r="R13" s="11"/>
      <c r="S13" s="11"/>
      <c r="T13" s="11"/>
    </row>
    <row r="14" spans="1:28" ht="14.45" customHeight="1">
      <c r="B14" s="117"/>
      <c r="C14" s="333" t="s">
        <v>292</v>
      </c>
      <c r="D14" s="333"/>
      <c r="E14" s="333"/>
      <c r="F14" s="333"/>
      <c r="G14" s="333"/>
      <c r="H14" s="333"/>
      <c r="I14" s="333"/>
      <c r="J14" s="333"/>
      <c r="K14" s="333"/>
      <c r="L14" s="333"/>
      <c r="N14" s="214">
        <v>2011</v>
      </c>
      <c r="O14" s="210">
        <v>18.059999999999999</v>
      </c>
      <c r="P14" s="210">
        <v>9.73</v>
      </c>
      <c r="Q14" s="211">
        <v>13.85</v>
      </c>
      <c r="R14" s="11"/>
      <c r="S14" s="11"/>
      <c r="T14" s="11"/>
    </row>
    <row r="15" spans="1:28" ht="14.45" customHeight="1">
      <c r="B15" s="117"/>
      <c r="C15" s="333" t="s">
        <v>67</v>
      </c>
      <c r="D15" s="333"/>
      <c r="E15" s="333"/>
      <c r="F15" s="333"/>
      <c r="G15" s="333"/>
      <c r="H15" s="333"/>
      <c r="I15" s="333"/>
      <c r="J15" s="333"/>
      <c r="K15" s="333"/>
      <c r="L15" s="333"/>
      <c r="N15" s="214">
        <v>2012</v>
      </c>
      <c r="O15" s="210">
        <v>23.13</v>
      </c>
      <c r="P15" s="210">
        <v>7.71</v>
      </c>
      <c r="Q15" s="211">
        <v>15.34</v>
      </c>
      <c r="R15" s="11"/>
      <c r="S15" s="11"/>
      <c r="T15" s="11"/>
      <c r="X15" s="11"/>
      <c r="Y15" s="11"/>
      <c r="Z15" s="11"/>
      <c r="AA15" s="11"/>
      <c r="AB15" s="11"/>
    </row>
    <row r="16" spans="1:28" ht="14.45" customHeight="1">
      <c r="A16" s="3"/>
      <c r="B16" s="117"/>
      <c r="C16" s="118"/>
      <c r="D16" s="118"/>
      <c r="E16" s="118"/>
      <c r="F16" s="118"/>
      <c r="G16" s="118"/>
      <c r="H16" s="118"/>
      <c r="I16" s="118"/>
      <c r="J16" s="118"/>
      <c r="K16" s="118"/>
      <c r="L16" s="117"/>
      <c r="N16" s="214">
        <v>2013</v>
      </c>
      <c r="O16" s="210">
        <v>23.24</v>
      </c>
      <c r="P16" s="210">
        <v>9.56</v>
      </c>
      <c r="Q16" s="211">
        <v>16.329999999999998</v>
      </c>
      <c r="R16" s="11"/>
      <c r="S16" s="11"/>
      <c r="T16" s="11"/>
      <c r="X16" s="11"/>
      <c r="Y16" s="11"/>
      <c r="Z16" s="11"/>
      <c r="AA16" s="11"/>
      <c r="AB16" s="11"/>
    </row>
    <row r="17" spans="1:28" ht="14.45" customHeight="1">
      <c r="A17" s="3"/>
      <c r="B17" s="336" t="s">
        <v>41</v>
      </c>
      <c r="C17" s="336"/>
      <c r="D17" s="336"/>
      <c r="E17" s="336"/>
      <c r="F17" s="336"/>
      <c r="G17" s="336"/>
      <c r="H17" s="336"/>
      <c r="I17" s="336"/>
      <c r="J17" s="336"/>
      <c r="K17" s="336"/>
      <c r="L17" s="336"/>
      <c r="N17" s="214">
        <v>2014</v>
      </c>
      <c r="O17" s="210">
        <v>20.41</v>
      </c>
      <c r="P17" s="210">
        <v>11.68</v>
      </c>
      <c r="Q17" s="211">
        <v>16</v>
      </c>
      <c r="R17" s="11"/>
      <c r="S17" s="11"/>
      <c r="T17" s="11"/>
      <c r="X17" s="11"/>
      <c r="Y17" s="11"/>
      <c r="Z17" s="11"/>
      <c r="AA17" s="11"/>
      <c r="AB17" s="11"/>
    </row>
    <row r="18" spans="1:28" ht="14.45" customHeight="1">
      <c r="A18" s="3"/>
      <c r="B18" s="119"/>
      <c r="C18" s="333" t="s">
        <v>295</v>
      </c>
      <c r="D18" s="333"/>
      <c r="E18" s="333"/>
      <c r="F18" s="333"/>
      <c r="G18" s="333"/>
      <c r="H18" s="333"/>
      <c r="I18" s="333"/>
      <c r="J18" s="333"/>
      <c r="K18" s="333"/>
      <c r="L18" s="333"/>
      <c r="N18" s="214">
        <v>2015</v>
      </c>
      <c r="O18" s="210">
        <v>25.57</v>
      </c>
      <c r="P18" s="210">
        <v>8.2899999999999991</v>
      </c>
      <c r="Q18" s="211">
        <v>16.86</v>
      </c>
      <c r="R18" s="11"/>
      <c r="S18" s="11"/>
      <c r="T18" s="11"/>
      <c r="X18" s="11"/>
      <c r="Y18" s="11"/>
      <c r="Z18" s="11"/>
      <c r="AA18" s="11"/>
      <c r="AB18" s="11"/>
    </row>
    <row r="19" spans="1:28" ht="14.45" customHeight="1">
      <c r="A19" s="3"/>
      <c r="B19" s="117"/>
      <c r="C19" s="333" t="s">
        <v>296</v>
      </c>
      <c r="D19" s="333"/>
      <c r="E19" s="333"/>
      <c r="F19" s="333"/>
      <c r="G19" s="333"/>
      <c r="H19" s="333"/>
      <c r="I19" s="333"/>
      <c r="J19" s="333"/>
      <c r="K19" s="333"/>
      <c r="L19" s="333"/>
      <c r="N19" s="214">
        <v>2016</v>
      </c>
      <c r="O19" s="210"/>
      <c r="P19" s="210"/>
      <c r="Q19" s="211"/>
      <c r="R19" s="11"/>
      <c r="S19" s="11"/>
      <c r="T19" s="11"/>
      <c r="X19" s="11"/>
      <c r="Y19" s="11"/>
      <c r="Z19" s="11"/>
      <c r="AA19" s="11"/>
      <c r="AB19" s="11"/>
    </row>
    <row r="20" spans="1:28" ht="14.45" customHeight="1">
      <c r="A20" s="3"/>
      <c r="B20" s="117"/>
      <c r="C20" s="333" t="s">
        <v>370</v>
      </c>
      <c r="D20" s="333"/>
      <c r="E20" s="333"/>
      <c r="F20" s="333"/>
      <c r="G20" s="333"/>
      <c r="H20" s="333"/>
      <c r="I20" s="333"/>
      <c r="J20" s="333"/>
      <c r="K20" s="333"/>
      <c r="L20" s="333"/>
      <c r="N20" s="214">
        <v>2017</v>
      </c>
      <c r="O20" s="210"/>
      <c r="P20" s="210"/>
      <c r="Q20" s="211"/>
      <c r="R20" s="11"/>
      <c r="S20" s="11"/>
      <c r="T20" s="11"/>
      <c r="X20" s="11"/>
      <c r="Y20" s="11"/>
      <c r="Z20" s="11"/>
      <c r="AA20" s="11"/>
      <c r="AB20" s="11"/>
    </row>
    <row r="21" spans="1:28" ht="14.45" customHeight="1">
      <c r="A21" s="3"/>
      <c r="B21" s="117"/>
      <c r="C21" s="58" t="str">
        <f>"--&gt;"</f>
        <v>--&gt;</v>
      </c>
      <c r="D21" s="334" t="s">
        <v>52</v>
      </c>
      <c r="E21" s="334"/>
      <c r="F21" s="334"/>
      <c r="G21" s="334"/>
      <c r="H21" s="334"/>
      <c r="I21" s="334"/>
      <c r="J21" s="334"/>
      <c r="K21" s="334"/>
      <c r="L21" s="334"/>
      <c r="N21" s="214">
        <v>2018</v>
      </c>
      <c r="O21" s="210"/>
      <c r="P21" s="210"/>
      <c r="Q21" s="211"/>
      <c r="R21" s="11"/>
      <c r="S21" s="11"/>
      <c r="T21" s="11"/>
      <c r="X21" s="11"/>
      <c r="Y21" s="11"/>
      <c r="Z21" s="11"/>
      <c r="AA21" s="11"/>
      <c r="AB21" s="11"/>
    </row>
    <row r="22" spans="1:28" ht="14.45" customHeight="1">
      <c r="A22" s="3"/>
      <c r="B22" s="117"/>
      <c r="C22" s="117"/>
      <c r="D22" s="334"/>
      <c r="E22" s="334"/>
      <c r="F22" s="334"/>
      <c r="G22" s="334"/>
      <c r="H22" s="334"/>
      <c r="I22" s="334"/>
      <c r="J22" s="334"/>
      <c r="K22" s="334"/>
      <c r="L22" s="334"/>
      <c r="N22" s="214">
        <v>2019</v>
      </c>
      <c r="O22" s="210"/>
      <c r="P22" s="210"/>
      <c r="Q22" s="211"/>
      <c r="R22" s="11"/>
      <c r="S22" s="11"/>
      <c r="T22" s="11"/>
      <c r="X22" s="11"/>
      <c r="Y22" s="11"/>
      <c r="Z22" s="11"/>
      <c r="AA22" s="11"/>
      <c r="AB22" s="11"/>
    </row>
    <row r="23" spans="1:28" ht="14.45" customHeight="1">
      <c r="A23" s="3"/>
      <c r="B23" s="117"/>
      <c r="C23" s="333" t="s">
        <v>297</v>
      </c>
      <c r="D23" s="333"/>
      <c r="E23" s="333"/>
      <c r="F23" s="333"/>
      <c r="G23" s="333"/>
      <c r="H23" s="333"/>
      <c r="I23" s="333"/>
      <c r="J23" s="333"/>
      <c r="K23" s="333"/>
      <c r="L23" s="333"/>
      <c r="N23" s="214">
        <v>2020</v>
      </c>
      <c r="O23" s="210"/>
      <c r="P23" s="210"/>
      <c r="Q23" s="211"/>
      <c r="R23" s="11"/>
      <c r="S23" s="11"/>
      <c r="T23" s="11"/>
      <c r="X23" s="28"/>
      <c r="Y23" s="28"/>
      <c r="Z23" s="11"/>
      <c r="AA23" s="11"/>
      <c r="AB23" s="11"/>
    </row>
    <row r="24" spans="1:28" ht="14.45" customHeight="1">
      <c r="A24" s="3"/>
      <c r="B24" s="117"/>
      <c r="C24" s="333"/>
      <c r="D24" s="333"/>
      <c r="E24" s="333"/>
      <c r="F24" s="333"/>
      <c r="G24" s="333"/>
      <c r="H24" s="333"/>
      <c r="I24" s="333"/>
      <c r="J24" s="333"/>
      <c r="K24" s="333"/>
      <c r="L24" s="333"/>
      <c r="N24" s="214">
        <v>2021</v>
      </c>
      <c r="O24" s="210"/>
      <c r="P24" s="210"/>
      <c r="Q24" s="211"/>
      <c r="R24" s="11"/>
      <c r="S24" s="11"/>
      <c r="T24" s="11"/>
      <c r="X24" s="28"/>
      <c r="Y24" s="28"/>
      <c r="Z24" s="11"/>
      <c r="AA24" s="11"/>
      <c r="AB24" s="11"/>
    </row>
    <row r="25" spans="1:28" ht="14.45" customHeight="1">
      <c r="A25" s="3"/>
      <c r="B25" s="117"/>
      <c r="C25" s="333"/>
      <c r="D25" s="333"/>
      <c r="E25" s="333"/>
      <c r="F25" s="333"/>
      <c r="G25" s="333"/>
      <c r="H25" s="333"/>
      <c r="I25" s="333"/>
      <c r="J25" s="333"/>
      <c r="K25" s="333"/>
      <c r="L25" s="333"/>
      <c r="N25" s="214">
        <v>2022</v>
      </c>
      <c r="O25" s="210"/>
      <c r="P25" s="210"/>
      <c r="Q25" s="211"/>
      <c r="R25" s="11"/>
      <c r="S25" s="11"/>
      <c r="T25" s="11"/>
      <c r="X25" s="28"/>
      <c r="Y25" s="28"/>
      <c r="Z25" s="11"/>
      <c r="AA25" s="11"/>
      <c r="AB25" s="11"/>
    </row>
    <row r="26" spans="1:28" ht="14.45" customHeight="1">
      <c r="A26" s="3"/>
      <c r="B26" s="117"/>
      <c r="C26" s="335" t="s">
        <v>373</v>
      </c>
      <c r="D26" s="335"/>
      <c r="E26" s="335"/>
      <c r="F26" s="335"/>
      <c r="G26" s="335"/>
      <c r="H26" s="335"/>
      <c r="I26" s="335"/>
      <c r="J26" s="335"/>
      <c r="K26" s="335"/>
      <c r="L26" s="335"/>
      <c r="N26" s="214">
        <v>2023</v>
      </c>
      <c r="O26" s="210"/>
      <c r="P26" s="210"/>
      <c r="Q26" s="211"/>
      <c r="R26" s="11"/>
      <c r="S26" s="11"/>
      <c r="T26" s="11"/>
      <c r="X26" s="28"/>
      <c r="Y26" s="28"/>
      <c r="Z26" s="11"/>
      <c r="AA26" s="11"/>
      <c r="AB26" s="11"/>
    </row>
    <row r="27" spans="1:28" ht="14.45" customHeight="1">
      <c r="B27" s="118"/>
      <c r="C27" s="335"/>
      <c r="D27" s="335"/>
      <c r="E27" s="335"/>
      <c r="F27" s="335"/>
      <c r="G27" s="335"/>
      <c r="H27" s="335"/>
      <c r="I27" s="335"/>
      <c r="J27" s="335"/>
      <c r="K27" s="335"/>
      <c r="L27" s="335"/>
      <c r="N27" s="214">
        <v>2024</v>
      </c>
      <c r="O27" s="210"/>
      <c r="P27" s="210"/>
      <c r="Q27" s="211"/>
      <c r="R27" s="11"/>
      <c r="S27" s="11"/>
      <c r="T27" s="11"/>
      <c r="X27" s="11"/>
      <c r="Y27" s="11"/>
      <c r="Z27" s="11"/>
      <c r="AA27" s="11"/>
      <c r="AB27" s="11"/>
    </row>
    <row r="28" spans="1:28" ht="14.45" customHeight="1">
      <c r="B28" s="118"/>
      <c r="C28" s="335"/>
      <c r="D28" s="335"/>
      <c r="E28" s="335"/>
      <c r="F28" s="335"/>
      <c r="G28" s="335"/>
      <c r="H28" s="335"/>
      <c r="I28" s="335"/>
      <c r="J28" s="335"/>
      <c r="K28" s="335"/>
      <c r="L28" s="335"/>
      <c r="N28" s="215">
        <v>2025</v>
      </c>
      <c r="O28" s="212"/>
      <c r="P28" s="212"/>
      <c r="Q28" s="213"/>
      <c r="R28" s="11"/>
      <c r="S28" s="11"/>
      <c r="T28" s="11"/>
      <c r="X28" s="11"/>
      <c r="Y28" s="11"/>
      <c r="Z28" s="11"/>
      <c r="AA28" s="11"/>
      <c r="AB28" s="11"/>
    </row>
    <row r="29" spans="1:28" ht="14.45" customHeight="1">
      <c r="B29" s="47"/>
      <c r="C29" s="47"/>
      <c r="D29" s="47"/>
      <c r="E29" s="47"/>
      <c r="F29" s="47"/>
      <c r="G29" s="47"/>
      <c r="H29" s="47"/>
      <c r="I29" s="47"/>
      <c r="J29" s="47"/>
      <c r="K29" s="47"/>
      <c r="L29" s="47"/>
      <c r="P29" s="11"/>
      <c r="Q29" s="11"/>
      <c r="R29" s="11"/>
      <c r="S29" s="11"/>
      <c r="T29" s="11"/>
      <c r="X29" s="11"/>
      <c r="Y29" s="11"/>
      <c r="Z29" s="11"/>
      <c r="AA29" s="11"/>
      <c r="AB29" s="11"/>
    </row>
    <row r="30" spans="1:28">
      <c r="B30" s="47"/>
      <c r="C30" s="47"/>
      <c r="D30" s="47"/>
      <c r="E30" s="47"/>
      <c r="F30" s="47"/>
      <c r="G30" s="47"/>
      <c r="H30" s="47"/>
      <c r="I30" s="47"/>
      <c r="J30" s="47"/>
      <c r="K30" s="47"/>
      <c r="L30" s="47"/>
      <c r="M30" s="9"/>
      <c r="N30" s="119"/>
      <c r="O30" s="119"/>
      <c r="P30" s="119"/>
      <c r="Q30" s="119"/>
      <c r="R30" s="119"/>
      <c r="S30" s="119"/>
      <c r="T30" s="119"/>
      <c r="X30" s="11"/>
      <c r="Y30" s="11"/>
      <c r="Z30" s="11"/>
      <c r="AA30" s="11"/>
      <c r="AB30" s="11"/>
    </row>
    <row r="31" spans="1:28">
      <c r="A31" s="3"/>
      <c r="B31" s="9"/>
      <c r="C31" s="9"/>
      <c r="D31" s="9"/>
      <c r="E31" s="9"/>
      <c r="F31" s="9"/>
      <c r="G31" s="9"/>
      <c r="H31" s="9"/>
      <c r="I31" s="9"/>
      <c r="J31" s="9"/>
      <c r="K31" s="9"/>
      <c r="L31" s="9"/>
      <c r="M31" s="11"/>
      <c r="V31" s="57"/>
      <c r="W31" s="57"/>
      <c r="X31" s="11"/>
      <c r="Y31" s="11"/>
      <c r="Z31" s="11"/>
      <c r="AA31" s="11"/>
      <c r="AB31" s="11"/>
    </row>
    <row r="32" spans="1:28"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c r="AA32" s="11"/>
      <c r="AB32" s="11"/>
    </row>
    <row r="33" spans="1:28">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c r="AA33" s="11"/>
      <c r="AB33" s="11"/>
    </row>
    <row r="34" spans="1:28" ht="15" customHeight="1">
      <c r="B34" s="1"/>
      <c r="C34" s="22"/>
      <c r="D34" s="22"/>
      <c r="E34" s="22"/>
      <c r="F34" s="22"/>
      <c r="G34" s="22"/>
      <c r="H34" s="22"/>
      <c r="I34" s="22"/>
      <c r="J34" s="22"/>
      <c r="K34" s="22"/>
      <c r="L34" s="22"/>
      <c r="M34" s="4"/>
      <c r="N34" s="1"/>
      <c r="O34" s="1"/>
      <c r="P34" s="1"/>
      <c r="Q34" s="1"/>
      <c r="R34" s="1"/>
      <c r="S34" s="1"/>
      <c r="T34" s="1"/>
      <c r="V34" s="56" t="s">
        <v>61</v>
      </c>
      <c r="W34" s="56" t="s">
        <v>62</v>
      </c>
      <c r="X34" s="11"/>
      <c r="Y34" s="56" t="s">
        <v>61</v>
      </c>
      <c r="Z34" s="56" t="s">
        <v>62</v>
      </c>
      <c r="AA34" s="11"/>
      <c r="AB34" s="11"/>
    </row>
    <row r="35" spans="1:28">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c r="AA35" s="11"/>
      <c r="AB35" s="11"/>
    </row>
    <row r="36" spans="1:28">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c r="AA36" s="11"/>
      <c r="AB36" s="11"/>
    </row>
    <row r="37" spans="1:28">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c r="AA37" s="11"/>
      <c r="AB37" s="11"/>
    </row>
    <row r="38" spans="1:28">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c r="AA38" s="11"/>
      <c r="AB38" s="11"/>
    </row>
    <row r="39" spans="1:28">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8">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8">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8">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8">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8">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8">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8">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row>
    <row r="47" spans="1:28">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row>
    <row r="48" spans="1:28">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row>
    <row r="49" spans="2:27">
      <c r="B49" s="1"/>
      <c r="C49" s="1"/>
      <c r="D49" s="1"/>
      <c r="E49" s="1"/>
      <c r="F49" s="1"/>
      <c r="G49" s="1"/>
      <c r="H49" s="1"/>
      <c r="I49" s="1"/>
      <c r="J49" s="1"/>
      <c r="K49" s="1"/>
      <c r="L49" s="1"/>
      <c r="M49" s="1"/>
      <c r="N49" s="1"/>
      <c r="O49" s="1"/>
      <c r="P49" s="1"/>
      <c r="Q49" s="1"/>
      <c r="R49" s="1"/>
      <c r="S49" s="1"/>
      <c r="T49" s="1"/>
      <c r="V49" s="244" t="s">
        <v>445</v>
      </c>
      <c r="W49" s="244" t="s">
        <v>462</v>
      </c>
      <c r="Y49" s="244" t="s">
        <v>445</v>
      </c>
      <c r="Z49" s="244" t="s">
        <v>462</v>
      </c>
    </row>
    <row r="50" spans="2:27">
      <c r="B50" s="1"/>
      <c r="C50" s="1"/>
      <c r="D50" s="1"/>
      <c r="E50" s="1"/>
      <c r="F50" s="1"/>
      <c r="G50" s="1"/>
      <c r="H50" s="1"/>
      <c r="I50" s="1"/>
      <c r="J50" s="1"/>
      <c r="K50" s="1"/>
      <c r="L50" s="1"/>
      <c r="M50" s="1"/>
      <c r="N50" s="1"/>
      <c r="O50" s="1"/>
      <c r="P50" s="1"/>
      <c r="Q50" s="1"/>
      <c r="R50" s="1"/>
      <c r="S50" s="1"/>
      <c r="T50" s="1"/>
      <c r="V50" s="246" t="s">
        <v>446</v>
      </c>
      <c r="W50" s="244" t="s">
        <v>463</v>
      </c>
      <c r="Y50" s="246" t="s">
        <v>446</v>
      </c>
      <c r="Z50" s="244" t="s">
        <v>463</v>
      </c>
    </row>
    <row r="51" spans="2:27">
      <c r="B51" s="1"/>
      <c r="C51" s="1"/>
      <c r="D51" s="1"/>
      <c r="E51" s="1"/>
      <c r="F51" s="1"/>
      <c r="G51" s="1"/>
      <c r="H51" s="1"/>
      <c r="I51" s="1"/>
      <c r="J51" s="1"/>
      <c r="K51" s="1"/>
      <c r="L51" s="1"/>
      <c r="M51" s="1"/>
      <c r="N51" s="1"/>
      <c r="O51" s="1"/>
      <c r="P51" s="1"/>
      <c r="Q51" s="1"/>
      <c r="R51" s="1"/>
      <c r="S51" s="1"/>
      <c r="T51" s="1"/>
      <c r="V51" s="247" t="s">
        <v>447</v>
      </c>
      <c r="W51" s="244" t="s">
        <v>464</v>
      </c>
      <c r="Y51" s="247" t="s">
        <v>447</v>
      </c>
      <c r="Z51" s="244" t="s">
        <v>464</v>
      </c>
    </row>
    <row r="52" spans="2:27">
      <c r="B52" s="1"/>
      <c r="C52" s="1"/>
      <c r="D52" s="1"/>
      <c r="E52" s="1"/>
      <c r="F52" s="1"/>
      <c r="G52" s="1"/>
      <c r="H52" s="1"/>
      <c r="I52" s="1"/>
      <c r="J52" s="1"/>
      <c r="K52" s="1"/>
      <c r="L52" s="1"/>
      <c r="M52" s="1"/>
      <c r="N52" s="1"/>
      <c r="O52" s="1"/>
      <c r="P52" s="1"/>
      <c r="Q52" s="1"/>
      <c r="R52" s="1"/>
      <c r="S52" s="1"/>
      <c r="T52" s="1"/>
      <c r="V52" s="295"/>
      <c r="W52" s="244" t="s">
        <v>465</v>
      </c>
      <c r="Y52" s="284"/>
      <c r="Z52" s="244" t="s">
        <v>465</v>
      </c>
    </row>
    <row r="53" spans="2:27">
      <c r="B53" s="1"/>
      <c r="C53" s="1"/>
      <c r="D53" s="1"/>
      <c r="E53" s="1"/>
      <c r="F53" s="1"/>
      <c r="G53" s="1"/>
      <c r="H53" s="1"/>
      <c r="I53" s="1"/>
      <c r="J53" s="1"/>
      <c r="K53" s="1"/>
      <c r="L53" s="1"/>
      <c r="M53" s="1"/>
      <c r="N53" s="1"/>
      <c r="O53" s="1"/>
      <c r="P53" s="1"/>
      <c r="Q53" s="1"/>
      <c r="R53" s="1"/>
      <c r="S53" s="1"/>
      <c r="T53" s="1"/>
      <c r="V53" s="204"/>
      <c r="W53" s="248" t="s">
        <v>466</v>
      </c>
      <c r="Y53" s="257"/>
      <c r="Z53" s="258" t="s">
        <v>466</v>
      </c>
    </row>
    <row r="54" spans="2:27">
      <c r="B54" s="119"/>
      <c r="C54" s="119"/>
      <c r="D54" s="119"/>
      <c r="E54" s="119"/>
      <c r="F54" s="119"/>
      <c r="G54" s="119"/>
      <c r="H54" s="119"/>
      <c r="I54" s="119"/>
      <c r="J54" s="119"/>
      <c r="K54" s="119"/>
      <c r="L54" s="119"/>
      <c r="M54" s="119"/>
      <c r="N54" s="119"/>
      <c r="O54" s="119"/>
      <c r="P54" s="119"/>
      <c r="Q54" s="119"/>
      <c r="R54" s="119"/>
      <c r="S54" s="119"/>
      <c r="T54" s="119"/>
      <c r="V54" s="250"/>
      <c r="W54" s="251"/>
      <c r="X54" s="249"/>
      <c r="Y54" s="250"/>
      <c r="Z54" s="251"/>
      <c r="AA54" s="249"/>
    </row>
    <row r="55" spans="2:27">
      <c r="B55" s="119"/>
      <c r="C55" s="119"/>
      <c r="D55" s="119"/>
      <c r="E55" s="119"/>
      <c r="F55" s="119"/>
      <c r="G55" s="119"/>
      <c r="H55" s="119"/>
      <c r="I55" s="119"/>
      <c r="J55" s="119"/>
      <c r="K55" s="119"/>
      <c r="L55" s="119"/>
      <c r="M55" s="119"/>
      <c r="N55" s="119"/>
      <c r="O55" s="119"/>
      <c r="P55" s="119"/>
      <c r="Q55" s="119"/>
      <c r="R55" s="119"/>
      <c r="S55" s="119"/>
      <c r="T55" s="119"/>
      <c r="V55" s="249"/>
      <c r="W55" s="251"/>
      <c r="X55" s="249"/>
      <c r="Y55" s="249"/>
      <c r="Z55" s="251"/>
      <c r="AA55" s="249"/>
    </row>
    <row r="56" spans="2:27">
      <c r="V56" s="249"/>
      <c r="W56" s="249"/>
      <c r="X56" s="249"/>
      <c r="Y56" s="249"/>
      <c r="Z56" s="249"/>
      <c r="AA56" s="249"/>
    </row>
  </sheetData>
  <sheetProtection sort="0" autoFilter="0" pivotTables="0"/>
  <mergeCells count="23">
    <mergeCell ref="B11:L11"/>
    <mergeCell ref="C12:L12"/>
    <mergeCell ref="B17:L17"/>
    <mergeCell ref="B32:T32"/>
    <mergeCell ref="B3:T3"/>
    <mergeCell ref="B4:T4"/>
    <mergeCell ref="B5:T5"/>
    <mergeCell ref="N9:T9"/>
    <mergeCell ref="B9:L9"/>
    <mergeCell ref="P7:T7"/>
    <mergeCell ref="V32:W32"/>
    <mergeCell ref="V33:W33"/>
    <mergeCell ref="Y32:Z32"/>
    <mergeCell ref="Y33:Z33"/>
    <mergeCell ref="C13:L13"/>
    <mergeCell ref="C14:L14"/>
    <mergeCell ref="C15:L15"/>
    <mergeCell ref="C18:L18"/>
    <mergeCell ref="C19:L19"/>
    <mergeCell ref="C20:L20"/>
    <mergeCell ref="D21:L22"/>
    <mergeCell ref="C23:L25"/>
    <mergeCell ref="C26:L28"/>
  </mergeCells>
  <hyperlinks>
    <hyperlink ref="P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B5DAC7"/>
  </sheetPr>
  <dimension ref="A1:AA56"/>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 min="27" max="27" width="17.33203125" customWidth="1"/>
  </cols>
  <sheetData>
    <row r="1" spans="1:23" ht="14.45" customHeight="1"/>
    <row r="2" spans="1:23" ht="14.45" customHeight="1">
      <c r="P2" s="10"/>
      <c r="Q2" s="11"/>
      <c r="R2" s="11"/>
    </row>
    <row r="3" spans="1:23" ht="23.25">
      <c r="B3" s="338" t="s">
        <v>399</v>
      </c>
      <c r="C3" s="338"/>
      <c r="D3" s="338"/>
      <c r="E3" s="338"/>
      <c r="F3" s="338"/>
      <c r="G3" s="338"/>
      <c r="H3" s="338"/>
      <c r="I3" s="338"/>
      <c r="J3" s="338"/>
      <c r="K3" s="338"/>
      <c r="L3" s="338"/>
      <c r="M3" s="338"/>
      <c r="N3" s="338"/>
      <c r="O3" s="338"/>
      <c r="P3" s="338"/>
      <c r="Q3" s="338"/>
      <c r="R3" s="338"/>
      <c r="S3" s="338"/>
      <c r="T3" s="338"/>
    </row>
    <row r="4" spans="1:23" ht="30.75">
      <c r="B4" s="339" t="s">
        <v>481</v>
      </c>
      <c r="C4" s="339"/>
      <c r="D4" s="339"/>
      <c r="E4" s="339"/>
      <c r="F4" s="339"/>
      <c r="G4" s="339"/>
      <c r="H4" s="339"/>
      <c r="I4" s="339"/>
      <c r="J4" s="339"/>
      <c r="K4" s="339"/>
      <c r="L4" s="339"/>
      <c r="M4" s="339"/>
      <c r="N4" s="339"/>
      <c r="O4" s="339"/>
      <c r="P4" s="339"/>
      <c r="Q4" s="339"/>
      <c r="R4" s="339"/>
      <c r="S4" s="339"/>
      <c r="T4" s="339"/>
    </row>
    <row r="5" spans="1:23" ht="18">
      <c r="B5" s="340" t="s">
        <v>45</v>
      </c>
      <c r="C5" s="340"/>
      <c r="D5" s="340"/>
      <c r="E5" s="340"/>
      <c r="F5" s="340"/>
      <c r="G5" s="340"/>
      <c r="H5" s="340"/>
      <c r="I5" s="340"/>
      <c r="J5" s="340"/>
      <c r="K5" s="340"/>
      <c r="L5" s="340"/>
      <c r="M5" s="340"/>
      <c r="N5" s="340"/>
      <c r="O5" s="340"/>
      <c r="P5" s="340"/>
      <c r="Q5" s="340"/>
      <c r="R5" s="340"/>
      <c r="S5" s="340"/>
      <c r="T5" s="340"/>
    </row>
    <row r="6" spans="1:23" ht="14.45" customHeight="1">
      <c r="P6" s="11"/>
      <c r="Q6" s="11"/>
      <c r="R6" s="11"/>
    </row>
    <row r="7" spans="1:23" ht="14.45" customHeight="1">
      <c r="B7" s="26" t="s">
        <v>35</v>
      </c>
      <c r="E7" s="27">
        <v>42977</v>
      </c>
      <c r="P7" s="11"/>
      <c r="Q7" s="11"/>
      <c r="R7" s="342" t="s">
        <v>44</v>
      </c>
      <c r="S7" s="342"/>
      <c r="T7" s="342"/>
    </row>
    <row r="8" spans="1:23" ht="14.45" customHeight="1">
      <c r="P8" s="11"/>
      <c r="Q8" s="11"/>
      <c r="R8" s="11"/>
    </row>
    <row r="9" spans="1:23" ht="23.65" thickBot="1">
      <c r="B9" s="341" t="s">
        <v>7</v>
      </c>
      <c r="C9" s="341"/>
      <c r="D9" s="341"/>
      <c r="E9" s="341"/>
      <c r="F9" s="341"/>
      <c r="G9" s="341"/>
      <c r="H9" s="341"/>
      <c r="I9" s="341"/>
      <c r="J9" s="341"/>
      <c r="K9" s="341"/>
      <c r="L9" s="341"/>
      <c r="N9" s="331" t="s">
        <v>38</v>
      </c>
      <c r="O9" s="331"/>
      <c r="P9" s="331"/>
      <c r="Q9" s="331"/>
      <c r="R9" s="331"/>
      <c r="S9" s="331"/>
      <c r="T9" s="331"/>
      <c r="V9" s="11"/>
      <c r="W9" s="11"/>
    </row>
    <row r="10" spans="1:23" ht="14.45" customHeight="1">
      <c r="B10" s="33"/>
      <c r="C10" s="33"/>
      <c r="D10" s="33"/>
      <c r="E10" s="33"/>
      <c r="F10" s="33"/>
      <c r="G10" s="33"/>
      <c r="H10" s="33"/>
      <c r="I10" s="33"/>
      <c r="J10" s="33"/>
      <c r="K10" s="33"/>
      <c r="L10" s="33"/>
      <c r="N10" s="31"/>
      <c r="O10" s="31"/>
      <c r="P10" s="31"/>
      <c r="Q10" s="31"/>
      <c r="R10" s="31"/>
      <c r="S10" s="31"/>
      <c r="T10" s="31"/>
      <c r="V10" s="11"/>
      <c r="W10" s="11"/>
    </row>
    <row r="11" spans="1:23" ht="14.45" customHeight="1">
      <c r="B11" s="336" t="s">
        <v>40</v>
      </c>
      <c r="C11" s="336"/>
      <c r="D11" s="336"/>
      <c r="E11" s="336"/>
      <c r="F11" s="336"/>
      <c r="G11" s="336"/>
      <c r="H11" s="336"/>
      <c r="I11" s="336"/>
      <c r="J11" s="336"/>
      <c r="K11" s="336"/>
      <c r="L11" s="336"/>
      <c r="N11" s="223" t="s">
        <v>211</v>
      </c>
      <c r="O11" s="223" t="s">
        <v>286</v>
      </c>
      <c r="P11" s="200"/>
      <c r="Q11" s="200"/>
    </row>
    <row r="12" spans="1:23">
      <c r="B12" s="1"/>
      <c r="C12" s="337" t="s">
        <v>525</v>
      </c>
      <c r="D12" s="337"/>
      <c r="E12" s="337"/>
      <c r="F12" s="337"/>
      <c r="G12" s="337"/>
      <c r="H12" s="337"/>
      <c r="I12" s="337"/>
      <c r="J12" s="337"/>
      <c r="K12" s="337"/>
      <c r="L12" s="337"/>
      <c r="N12" s="223" t="s">
        <v>287</v>
      </c>
      <c r="O12" s="200" t="s">
        <v>126</v>
      </c>
      <c r="P12" s="200" t="s">
        <v>75</v>
      </c>
      <c r="Q12" s="200" t="s">
        <v>198</v>
      </c>
    </row>
    <row r="13" spans="1:23">
      <c r="B13" s="32"/>
      <c r="C13" s="332" t="s">
        <v>526</v>
      </c>
      <c r="D13" s="332"/>
      <c r="E13" s="332"/>
      <c r="F13" s="332"/>
      <c r="G13" s="332"/>
      <c r="H13" s="332"/>
      <c r="I13" s="332"/>
      <c r="J13" s="332"/>
      <c r="K13" s="332"/>
      <c r="L13" s="332"/>
      <c r="N13" s="88">
        <v>2014</v>
      </c>
      <c r="O13" s="200">
        <v>103</v>
      </c>
      <c r="P13" s="200">
        <v>143</v>
      </c>
      <c r="Q13" s="200">
        <v>316</v>
      </c>
    </row>
    <row r="14" spans="1:23">
      <c r="B14" s="32"/>
      <c r="C14" s="333" t="s">
        <v>292</v>
      </c>
      <c r="D14" s="333"/>
      <c r="E14" s="333"/>
      <c r="F14" s="333"/>
      <c r="G14" s="333"/>
      <c r="H14" s="333"/>
      <c r="I14" s="333"/>
      <c r="J14" s="333"/>
      <c r="K14" s="333"/>
      <c r="L14" s="333"/>
      <c r="N14" s="88">
        <v>2015</v>
      </c>
      <c r="O14" s="200">
        <v>103</v>
      </c>
      <c r="P14" s="200">
        <v>134</v>
      </c>
      <c r="Q14" s="200">
        <v>281</v>
      </c>
    </row>
    <row r="15" spans="1:23">
      <c r="B15" s="32"/>
      <c r="C15" s="333" t="s">
        <v>527</v>
      </c>
      <c r="D15" s="333"/>
      <c r="E15" s="333"/>
      <c r="F15" s="333"/>
      <c r="G15" s="333"/>
      <c r="H15" s="333"/>
      <c r="I15" s="333"/>
      <c r="J15" s="333"/>
      <c r="K15" s="333"/>
      <c r="L15" s="333"/>
      <c r="N15" s="88">
        <v>2016</v>
      </c>
      <c r="O15" s="200">
        <v>212</v>
      </c>
      <c r="P15" s="200">
        <v>245</v>
      </c>
      <c r="Q15" s="200">
        <v>545</v>
      </c>
    </row>
    <row r="16" spans="1:23">
      <c r="A16" s="3"/>
      <c r="B16" s="1"/>
      <c r="C16" s="1"/>
      <c r="D16" s="1"/>
      <c r="E16" s="1"/>
      <c r="F16" s="1"/>
      <c r="G16" s="1"/>
      <c r="H16" s="1"/>
      <c r="I16" s="1"/>
      <c r="J16" s="1"/>
      <c r="K16" s="1"/>
      <c r="L16" s="31"/>
      <c r="N16" s="88">
        <v>2017</v>
      </c>
      <c r="O16" s="200"/>
      <c r="P16" s="200"/>
      <c r="Q16" s="200"/>
    </row>
    <row r="17" spans="1:26">
      <c r="A17" s="3"/>
      <c r="B17" s="361" t="s">
        <v>41</v>
      </c>
      <c r="C17" s="361"/>
      <c r="D17" s="361"/>
      <c r="E17" s="361"/>
      <c r="F17" s="361"/>
      <c r="G17" s="361"/>
      <c r="H17" s="361"/>
      <c r="I17" s="361"/>
      <c r="J17" s="361"/>
      <c r="K17" s="361"/>
      <c r="L17" s="361"/>
      <c r="N17" s="88">
        <v>2018</v>
      </c>
      <c r="O17" s="200"/>
      <c r="P17" s="200"/>
      <c r="Q17" s="200"/>
    </row>
    <row r="18" spans="1:26">
      <c r="A18" s="3"/>
      <c r="B18" s="31"/>
      <c r="C18" s="362" t="s">
        <v>295</v>
      </c>
      <c r="D18" s="362"/>
      <c r="E18" s="362"/>
      <c r="F18" s="362"/>
      <c r="G18" s="362"/>
      <c r="H18" s="362"/>
      <c r="I18" s="362"/>
      <c r="J18" s="362"/>
      <c r="K18" s="362"/>
      <c r="L18" s="362"/>
      <c r="N18" s="88">
        <v>2019</v>
      </c>
      <c r="O18" s="200"/>
      <c r="P18" s="200"/>
      <c r="Q18" s="200"/>
    </row>
    <row r="19" spans="1:26">
      <c r="A19" s="3"/>
      <c r="B19" s="31"/>
      <c r="C19" s="362" t="s">
        <v>366</v>
      </c>
      <c r="D19" s="362"/>
      <c r="E19" s="362"/>
      <c r="F19" s="362"/>
      <c r="G19" s="362"/>
      <c r="H19" s="362"/>
      <c r="I19" s="362"/>
      <c r="J19" s="362"/>
      <c r="K19" s="362"/>
      <c r="L19" s="362"/>
      <c r="N19" s="88">
        <v>2020</v>
      </c>
      <c r="O19" s="200"/>
      <c r="P19" s="200"/>
      <c r="Q19" s="200"/>
    </row>
    <row r="20" spans="1:26">
      <c r="A20" s="3"/>
      <c r="B20" s="31"/>
      <c r="C20" s="353" t="s">
        <v>367</v>
      </c>
      <c r="D20" s="353"/>
      <c r="E20" s="353"/>
      <c r="F20" s="353"/>
      <c r="G20" s="353"/>
      <c r="H20" s="353"/>
      <c r="I20" s="353"/>
      <c r="J20" s="353"/>
      <c r="K20" s="353"/>
      <c r="L20" s="353"/>
      <c r="N20" s="88">
        <v>2021</v>
      </c>
      <c r="O20" s="200"/>
      <c r="P20" s="200"/>
      <c r="Q20" s="200"/>
    </row>
    <row r="21" spans="1:26">
      <c r="A21" s="3"/>
      <c r="B21" s="31"/>
      <c r="C21" s="48" t="str">
        <f>"--&gt;"</f>
        <v>--&gt;</v>
      </c>
      <c r="D21" s="334" t="s">
        <v>283</v>
      </c>
      <c r="E21" s="334"/>
      <c r="F21" s="334"/>
      <c r="G21" s="334"/>
      <c r="H21" s="334"/>
      <c r="I21" s="334"/>
      <c r="J21" s="334"/>
      <c r="K21" s="334"/>
      <c r="L21" s="334"/>
      <c r="N21" s="88">
        <v>2022</v>
      </c>
      <c r="O21" s="200"/>
      <c r="P21" s="200"/>
      <c r="Q21" s="200"/>
    </row>
    <row r="22" spans="1:26">
      <c r="A22" s="3"/>
      <c r="B22" s="31"/>
      <c r="C22" s="31"/>
      <c r="D22" s="334"/>
      <c r="E22" s="334"/>
      <c r="F22" s="334"/>
      <c r="G22" s="334"/>
      <c r="H22" s="334"/>
      <c r="I22" s="334"/>
      <c r="J22" s="334"/>
      <c r="K22" s="334"/>
      <c r="L22" s="334"/>
      <c r="N22" s="88">
        <v>2023</v>
      </c>
      <c r="O22" s="200"/>
      <c r="P22" s="200"/>
      <c r="Q22" s="200"/>
    </row>
    <row r="23" spans="1:26">
      <c r="A23" s="3"/>
      <c r="B23" s="31"/>
      <c r="C23" s="333" t="s">
        <v>356</v>
      </c>
      <c r="D23" s="333"/>
      <c r="E23" s="333"/>
      <c r="F23" s="333"/>
      <c r="G23" s="333"/>
      <c r="H23" s="333"/>
      <c r="I23" s="333"/>
      <c r="J23" s="333"/>
      <c r="K23" s="333"/>
      <c r="L23" s="333"/>
      <c r="N23" s="88">
        <v>2024</v>
      </c>
      <c r="O23" s="200"/>
      <c r="P23" s="200"/>
      <c r="Q23" s="200"/>
    </row>
    <row r="24" spans="1:26">
      <c r="A24" s="3"/>
      <c r="B24" s="31"/>
      <c r="C24" s="333"/>
      <c r="D24" s="333"/>
      <c r="E24" s="333"/>
      <c r="F24" s="333"/>
      <c r="G24" s="333"/>
      <c r="H24" s="333"/>
      <c r="I24" s="333"/>
      <c r="J24" s="333"/>
      <c r="K24" s="333"/>
      <c r="L24" s="333"/>
      <c r="N24" s="88">
        <v>2025</v>
      </c>
      <c r="O24" s="200"/>
      <c r="P24" s="200"/>
      <c r="Q24" s="200"/>
    </row>
    <row r="25" spans="1:26" ht="14.45" customHeight="1">
      <c r="A25" s="3"/>
      <c r="B25" s="31"/>
      <c r="C25" s="333"/>
      <c r="D25" s="333"/>
      <c r="E25" s="333"/>
      <c r="F25" s="333"/>
      <c r="G25" s="333"/>
      <c r="H25" s="333"/>
      <c r="I25" s="333"/>
      <c r="J25" s="333"/>
      <c r="K25" s="333"/>
      <c r="L25" s="333"/>
      <c r="V25" s="11"/>
      <c r="W25" s="11"/>
    </row>
    <row r="26" spans="1:26" ht="14.45" customHeight="1">
      <c r="A26" s="3"/>
      <c r="B26" s="1"/>
      <c r="C26" s="335" t="s">
        <v>365</v>
      </c>
      <c r="D26" s="335"/>
      <c r="E26" s="335"/>
      <c r="F26" s="335"/>
      <c r="G26" s="335"/>
      <c r="H26" s="335"/>
      <c r="I26" s="335"/>
      <c r="J26" s="335"/>
      <c r="K26" s="335"/>
      <c r="L26" s="335"/>
      <c r="Q26" s="37"/>
      <c r="V26" s="11"/>
      <c r="W26" s="11"/>
    </row>
    <row r="27" spans="1:26" ht="14.45" customHeight="1">
      <c r="B27" s="1"/>
      <c r="C27" s="335"/>
      <c r="D27" s="335"/>
      <c r="E27" s="335"/>
      <c r="F27" s="335"/>
      <c r="G27" s="335"/>
      <c r="H27" s="335"/>
      <c r="I27" s="335"/>
      <c r="J27" s="335"/>
      <c r="K27" s="335"/>
      <c r="L27" s="335"/>
      <c r="Q27" s="37"/>
      <c r="V27" s="11"/>
      <c r="W27" s="11"/>
    </row>
    <row r="28" spans="1:26" ht="14.45" customHeight="1">
      <c r="B28" s="1"/>
      <c r="C28" s="335"/>
      <c r="D28" s="335"/>
      <c r="E28" s="335"/>
      <c r="F28" s="335"/>
      <c r="G28" s="335"/>
      <c r="H28" s="335"/>
      <c r="I28" s="335"/>
      <c r="J28" s="335"/>
      <c r="K28" s="335"/>
      <c r="L28" s="335"/>
      <c r="Q28" s="37"/>
      <c r="V28" s="11"/>
      <c r="W28" s="11"/>
    </row>
    <row r="29" spans="1:26" ht="14.45" customHeight="1">
      <c r="B29" s="83"/>
      <c r="C29" s="351"/>
      <c r="D29" s="351"/>
      <c r="E29" s="351"/>
      <c r="F29" s="351"/>
      <c r="G29" s="351"/>
      <c r="H29" s="351"/>
      <c r="I29" s="351"/>
      <c r="J29" s="351"/>
      <c r="K29" s="351"/>
      <c r="L29" s="351"/>
      <c r="V29" s="11"/>
      <c r="W29" s="11"/>
    </row>
    <row r="30" spans="1:26" ht="14.45" customHeight="1">
      <c r="B30" s="31"/>
      <c r="C30" s="351"/>
      <c r="D30" s="351"/>
      <c r="E30" s="351"/>
      <c r="F30" s="351"/>
      <c r="G30" s="351"/>
      <c r="H30" s="351"/>
      <c r="I30" s="351"/>
      <c r="J30" s="351"/>
      <c r="K30" s="351"/>
      <c r="L30" s="351"/>
      <c r="M30" s="9"/>
      <c r="N30" s="31"/>
      <c r="O30" s="34"/>
      <c r="P30" s="35"/>
      <c r="Q30" s="35"/>
      <c r="R30" s="35"/>
      <c r="S30" s="35"/>
      <c r="T30" s="31"/>
      <c r="V30" s="11"/>
      <c r="W30" s="11"/>
    </row>
    <row r="31" spans="1:26">
      <c r="A31" s="3"/>
      <c r="B31" s="9"/>
      <c r="C31" s="9"/>
      <c r="D31" s="9"/>
      <c r="E31" s="9"/>
      <c r="F31" s="9"/>
      <c r="G31" s="9"/>
      <c r="H31" s="9"/>
      <c r="I31" s="9"/>
      <c r="J31" s="9"/>
      <c r="K31" s="9"/>
      <c r="L31" s="9"/>
      <c r="M31" s="11"/>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7" ht="23.25">
      <c r="B34" s="1"/>
      <c r="C34" s="22"/>
      <c r="D34" s="22"/>
      <c r="E34" s="22"/>
      <c r="F34" s="22"/>
      <c r="G34" s="22"/>
      <c r="H34" s="22"/>
      <c r="I34" s="22"/>
      <c r="J34" s="22"/>
      <c r="K34" s="22"/>
      <c r="L34" s="22"/>
      <c r="M34" s="31"/>
      <c r="N34" s="1"/>
      <c r="O34" s="1"/>
      <c r="P34" s="1"/>
      <c r="Q34" s="1"/>
      <c r="R34" s="1"/>
      <c r="S34" s="1"/>
      <c r="T34" s="1"/>
      <c r="V34" s="56" t="s">
        <v>61</v>
      </c>
      <c r="W34" s="56" t="s">
        <v>62</v>
      </c>
      <c r="X34" s="11"/>
      <c r="Y34" s="56" t="s">
        <v>61</v>
      </c>
      <c r="Z34" s="56" t="s">
        <v>62</v>
      </c>
    </row>
    <row r="35" spans="1:27">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7">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7">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7">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7">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7">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7">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7">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7">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7">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7">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7">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row>
    <row r="47" spans="1:27">
      <c r="B47" s="1"/>
      <c r="C47" s="1"/>
      <c r="D47" s="1"/>
      <c r="E47" s="1"/>
      <c r="F47" s="1"/>
      <c r="G47" s="1"/>
      <c r="H47" s="1"/>
      <c r="I47" s="1"/>
      <c r="J47" s="1"/>
      <c r="K47" s="1"/>
      <c r="L47" s="1"/>
      <c r="M47" s="1"/>
      <c r="N47" s="1"/>
      <c r="O47" s="1"/>
      <c r="P47" s="1"/>
      <c r="Q47" s="1"/>
      <c r="R47" s="1"/>
      <c r="S47" s="1"/>
      <c r="T47" s="1"/>
      <c r="V47" s="244" t="s">
        <v>443</v>
      </c>
      <c r="W47" s="244" t="s">
        <v>460</v>
      </c>
      <c r="X47" s="6"/>
      <c r="Y47" s="244" t="s">
        <v>443</v>
      </c>
      <c r="Z47" s="244" t="s">
        <v>460</v>
      </c>
      <c r="AA47" s="6"/>
    </row>
    <row r="48" spans="1:27">
      <c r="B48" s="1"/>
      <c r="C48" s="1"/>
      <c r="D48" s="1"/>
      <c r="E48" s="1"/>
      <c r="F48" s="1"/>
      <c r="G48" s="1"/>
      <c r="H48" s="1"/>
      <c r="I48" s="1"/>
      <c r="J48" s="1"/>
      <c r="K48" s="1"/>
      <c r="L48" s="1"/>
      <c r="M48" s="1"/>
      <c r="N48" s="1"/>
      <c r="O48" s="1"/>
      <c r="P48" s="1"/>
      <c r="Q48" s="1"/>
      <c r="R48" s="1"/>
      <c r="S48" s="1"/>
      <c r="T48" s="1"/>
      <c r="V48" s="244" t="s">
        <v>444</v>
      </c>
      <c r="W48" s="245" t="s">
        <v>461</v>
      </c>
      <c r="X48" s="6"/>
      <c r="Y48" s="244" t="s">
        <v>444</v>
      </c>
      <c r="Z48" s="245" t="s">
        <v>461</v>
      </c>
      <c r="AA48" s="6"/>
    </row>
    <row r="49" spans="2:27">
      <c r="B49" s="1"/>
      <c r="C49" s="1"/>
      <c r="D49" s="1"/>
      <c r="E49" s="1"/>
      <c r="F49" s="1"/>
      <c r="G49" s="1"/>
      <c r="H49" s="1"/>
      <c r="I49" s="1"/>
      <c r="J49" s="1"/>
      <c r="K49" s="1"/>
      <c r="L49" s="1"/>
      <c r="M49" s="1"/>
      <c r="N49" s="1"/>
      <c r="O49" s="1"/>
      <c r="P49" s="1"/>
      <c r="Q49" s="1"/>
      <c r="R49" s="1"/>
      <c r="S49" s="1"/>
      <c r="T49" s="1"/>
      <c r="V49" s="244" t="s">
        <v>445</v>
      </c>
      <c r="W49" s="244" t="s">
        <v>462</v>
      </c>
      <c r="X49" s="6"/>
      <c r="Y49" s="244" t="s">
        <v>445</v>
      </c>
      <c r="Z49" s="244" t="s">
        <v>462</v>
      </c>
      <c r="AA49" s="6"/>
    </row>
    <row r="50" spans="2:27">
      <c r="B50" s="1"/>
      <c r="C50" s="1"/>
      <c r="D50" s="1"/>
      <c r="E50" s="1"/>
      <c r="F50" s="1"/>
      <c r="G50" s="1"/>
      <c r="H50" s="1"/>
      <c r="I50" s="1"/>
      <c r="J50" s="1"/>
      <c r="K50" s="1"/>
      <c r="L50" s="1"/>
      <c r="M50" s="1"/>
      <c r="N50" s="1"/>
      <c r="O50" s="1"/>
      <c r="P50" s="1"/>
      <c r="Q50" s="1"/>
      <c r="R50" s="1"/>
      <c r="S50" s="1"/>
      <c r="T50" s="1"/>
      <c r="V50" s="246" t="s">
        <v>446</v>
      </c>
      <c r="W50" s="244" t="s">
        <v>463</v>
      </c>
      <c r="X50" s="6"/>
      <c r="Y50" s="246" t="s">
        <v>446</v>
      </c>
      <c r="Z50" s="244" t="s">
        <v>463</v>
      </c>
      <c r="AA50" s="6"/>
    </row>
    <row r="51" spans="2:27">
      <c r="B51" s="1"/>
      <c r="C51" s="1"/>
      <c r="D51" s="1"/>
      <c r="E51" s="1"/>
      <c r="F51" s="1"/>
      <c r="G51" s="1"/>
      <c r="H51" s="1"/>
      <c r="I51" s="1"/>
      <c r="J51" s="1"/>
      <c r="K51" s="1"/>
      <c r="L51" s="1"/>
      <c r="M51" s="1"/>
      <c r="N51" s="1"/>
      <c r="O51" s="1"/>
      <c r="P51" s="1"/>
      <c r="Q51" s="1"/>
      <c r="R51" s="1"/>
      <c r="S51" s="1"/>
      <c r="T51" s="1"/>
      <c r="V51" s="247" t="s">
        <v>447</v>
      </c>
      <c r="W51" s="244" t="s">
        <v>464</v>
      </c>
      <c r="X51" s="6"/>
      <c r="Y51" s="247" t="s">
        <v>447</v>
      </c>
      <c r="Z51" s="244" t="s">
        <v>464</v>
      </c>
      <c r="AA51" s="6"/>
    </row>
    <row r="52" spans="2:27">
      <c r="B52" s="1"/>
      <c r="C52" s="1"/>
      <c r="D52" s="1"/>
      <c r="E52" s="1"/>
      <c r="F52" s="1"/>
      <c r="G52" s="1"/>
      <c r="H52" s="1"/>
      <c r="I52" s="1"/>
      <c r="J52" s="1"/>
      <c r="K52" s="1"/>
      <c r="L52" s="1"/>
      <c r="M52" s="1"/>
      <c r="N52" s="1"/>
      <c r="O52" s="1"/>
      <c r="P52" s="1"/>
      <c r="Q52" s="1"/>
      <c r="R52" s="1"/>
      <c r="S52" s="1"/>
      <c r="T52" s="1"/>
      <c r="V52" s="295"/>
      <c r="W52" s="244" t="s">
        <v>465</v>
      </c>
      <c r="X52" s="6"/>
      <c r="Y52" s="284"/>
      <c r="Z52" s="244" t="s">
        <v>465</v>
      </c>
      <c r="AA52" s="6"/>
    </row>
    <row r="53" spans="2:27">
      <c r="B53" s="1"/>
      <c r="C53" s="1"/>
      <c r="D53" s="1"/>
      <c r="E53" s="1"/>
      <c r="F53" s="1"/>
      <c r="G53" s="1"/>
      <c r="H53" s="1"/>
      <c r="I53" s="1"/>
      <c r="J53" s="1"/>
      <c r="K53" s="1"/>
      <c r="L53" s="1"/>
      <c r="M53" s="1"/>
      <c r="N53" s="1"/>
      <c r="O53" s="1"/>
      <c r="P53" s="1"/>
      <c r="Q53" s="1"/>
      <c r="R53" s="1"/>
      <c r="S53" s="1"/>
      <c r="T53" s="1"/>
      <c r="V53" s="204"/>
      <c r="W53" s="248" t="s">
        <v>466</v>
      </c>
      <c r="X53" s="6"/>
      <c r="Y53" s="257"/>
      <c r="Z53" s="258" t="s">
        <v>466</v>
      </c>
      <c r="AA53" s="6"/>
    </row>
    <row r="54" spans="2:27">
      <c r="B54" s="119"/>
      <c r="C54" s="119"/>
      <c r="D54" s="119"/>
      <c r="E54" s="119"/>
      <c r="F54" s="119"/>
      <c r="G54" s="119"/>
      <c r="H54" s="119"/>
      <c r="I54" s="119"/>
      <c r="J54" s="119"/>
      <c r="K54" s="119"/>
      <c r="L54" s="119"/>
      <c r="M54" s="119"/>
      <c r="N54" s="119"/>
      <c r="O54" s="119"/>
      <c r="P54" s="119"/>
      <c r="Q54" s="119"/>
      <c r="R54" s="119"/>
      <c r="S54" s="119"/>
      <c r="T54" s="119"/>
      <c r="V54" s="250"/>
      <c r="W54" s="251"/>
      <c r="X54" s="6"/>
      <c r="Y54" s="250"/>
      <c r="Z54" s="251"/>
      <c r="AA54" s="6"/>
    </row>
    <row r="55" spans="2:27">
      <c r="B55" s="119"/>
      <c r="C55" s="119"/>
      <c r="D55" s="119"/>
      <c r="E55" s="119"/>
      <c r="F55" s="119"/>
      <c r="G55" s="119"/>
      <c r="H55" s="119"/>
      <c r="I55" s="119"/>
      <c r="J55" s="119"/>
      <c r="K55" s="119"/>
      <c r="L55" s="119"/>
      <c r="M55" s="119"/>
      <c r="N55" s="119"/>
      <c r="O55" s="119"/>
      <c r="P55" s="119"/>
      <c r="Q55" s="119"/>
      <c r="R55" s="119"/>
      <c r="S55" s="119"/>
      <c r="T55" s="119"/>
      <c r="V55" s="249"/>
      <c r="W55" s="251"/>
      <c r="X55" s="6"/>
      <c r="Y55" s="249"/>
      <c r="Z55" s="251"/>
      <c r="AA55" s="6"/>
    </row>
    <row r="56" spans="2:27">
      <c r="V56" s="6"/>
      <c r="W56" s="6"/>
      <c r="X56" s="6"/>
      <c r="Y56" s="6"/>
      <c r="Z56" s="6"/>
      <c r="AA56" s="6"/>
    </row>
  </sheetData>
  <mergeCells count="24">
    <mergeCell ref="B11:L11"/>
    <mergeCell ref="C12:L12"/>
    <mergeCell ref="C13:L13"/>
    <mergeCell ref="B3:T3"/>
    <mergeCell ref="B4:T4"/>
    <mergeCell ref="B5:T5"/>
    <mergeCell ref="R7:T7"/>
    <mergeCell ref="B9:L9"/>
    <mergeCell ref="N9:T9"/>
    <mergeCell ref="C14:L14"/>
    <mergeCell ref="C15:L15"/>
    <mergeCell ref="Y32:Z32"/>
    <mergeCell ref="Y33:Z33"/>
    <mergeCell ref="B32:T32"/>
    <mergeCell ref="C29:L30"/>
    <mergeCell ref="V32:W32"/>
    <mergeCell ref="V33:W33"/>
    <mergeCell ref="C26:L28"/>
    <mergeCell ref="B17:L17"/>
    <mergeCell ref="C19:L19"/>
    <mergeCell ref="C20:L20"/>
    <mergeCell ref="C18:L18"/>
    <mergeCell ref="D21:L22"/>
    <mergeCell ref="C23:L25"/>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B49073"/>
  </sheetPr>
  <dimension ref="A1:Y6940"/>
  <sheetViews>
    <sheetView showGridLines="0" showRowColHeaders="0" zoomScale="70" zoomScaleNormal="70" workbookViewId="0"/>
  </sheetViews>
  <sheetFormatPr defaultRowHeight="14.25"/>
  <cols>
    <col min="1" max="1" width="15.796875" customWidth="1"/>
    <col min="2" max="2" width="26.796875" customWidth="1"/>
    <col min="3" max="3" width="30.796875" customWidth="1"/>
    <col min="4" max="5" width="26.796875" customWidth="1"/>
    <col min="6" max="7" width="5.796875" customWidth="1"/>
    <col min="8" max="14" width="26.796875" customWidth="1"/>
    <col min="15" max="16" width="2.796875" customWidth="1"/>
    <col min="17" max="17" width="15.796875" customWidth="1"/>
    <col min="18" max="18" width="31.796875" customWidth="1"/>
    <col min="19" max="19" width="5.796875" customWidth="1"/>
    <col min="20" max="24" width="12.796875" customWidth="1"/>
  </cols>
  <sheetData>
    <row r="1" spans="1:24" ht="15.75">
      <c r="A1" s="16" t="s">
        <v>202</v>
      </c>
      <c r="J1" s="78"/>
    </row>
    <row r="2" spans="1:24" ht="15.75">
      <c r="A2" s="26" t="s">
        <v>35</v>
      </c>
      <c r="C2" s="27">
        <v>42977</v>
      </c>
      <c r="E2" s="342" t="s">
        <v>44</v>
      </c>
      <c r="F2" s="342"/>
      <c r="G2" s="342"/>
      <c r="H2" s="342"/>
      <c r="I2" s="120"/>
    </row>
    <row r="3" spans="1:24" ht="24" customHeight="1">
      <c r="A3" s="354" t="s">
        <v>7</v>
      </c>
      <c r="B3" s="354"/>
      <c r="C3" s="354"/>
      <c r="D3" s="354"/>
      <c r="E3" s="354"/>
      <c r="F3" s="354"/>
      <c r="G3" s="354"/>
      <c r="H3" s="354"/>
    </row>
    <row r="4" spans="1:24">
      <c r="A4" s="119"/>
      <c r="B4" s="119"/>
      <c r="C4" s="119"/>
      <c r="D4" s="119"/>
      <c r="E4" s="119"/>
      <c r="F4" s="119"/>
      <c r="G4" s="119"/>
      <c r="H4" s="119"/>
    </row>
    <row r="5" spans="1:24">
      <c r="A5" s="119"/>
      <c r="B5" s="352" t="s">
        <v>374</v>
      </c>
      <c r="C5" s="352"/>
      <c r="D5" s="352"/>
      <c r="E5" s="352"/>
      <c r="F5" s="352"/>
      <c r="G5" s="352"/>
      <c r="H5" s="352"/>
    </row>
    <row r="6" spans="1:24">
      <c r="A6" s="119"/>
      <c r="B6" s="352" t="s">
        <v>336</v>
      </c>
      <c r="C6" s="352"/>
      <c r="D6" s="352"/>
      <c r="E6" s="352"/>
      <c r="F6" s="352"/>
      <c r="G6" s="352"/>
      <c r="H6" s="352"/>
    </row>
    <row r="7" spans="1:24">
      <c r="A7" s="119"/>
      <c r="B7" s="352" t="s">
        <v>337</v>
      </c>
      <c r="C7" s="352"/>
      <c r="D7" s="352"/>
      <c r="E7" s="352"/>
      <c r="F7" s="352"/>
      <c r="G7" s="352"/>
      <c r="H7" s="352"/>
    </row>
    <row r="8" spans="1:24">
      <c r="A8" s="119"/>
      <c r="B8" s="353" t="s">
        <v>339</v>
      </c>
      <c r="C8" s="353"/>
      <c r="D8" s="353"/>
      <c r="E8" s="353"/>
      <c r="F8" s="353"/>
      <c r="G8" s="353"/>
      <c r="H8" s="353"/>
    </row>
    <row r="9" spans="1:24">
      <c r="A9" s="119"/>
      <c r="B9" s="353" t="s">
        <v>340</v>
      </c>
      <c r="C9" s="353"/>
      <c r="D9" s="353"/>
      <c r="E9" s="353"/>
      <c r="F9" s="353"/>
      <c r="G9" s="353"/>
      <c r="H9" s="353"/>
    </row>
    <row r="10" spans="1:24">
      <c r="A10" s="119"/>
      <c r="B10" s="353"/>
      <c r="C10" s="353"/>
      <c r="D10" s="353"/>
      <c r="E10" s="353"/>
      <c r="F10" s="353"/>
      <c r="G10" s="353"/>
      <c r="H10" s="353"/>
    </row>
    <row r="12" spans="1:24" ht="24" customHeight="1" thickBot="1">
      <c r="A12" s="137" t="s">
        <v>69</v>
      </c>
      <c r="B12" s="138" t="s">
        <v>70</v>
      </c>
      <c r="C12" s="138" t="s">
        <v>71</v>
      </c>
      <c r="D12" s="138" t="s">
        <v>72</v>
      </c>
      <c r="E12" s="76" t="s">
        <v>140</v>
      </c>
      <c r="F12" s="75"/>
      <c r="G12" s="76" t="s">
        <v>2</v>
      </c>
      <c r="H12" s="76" t="s">
        <v>364</v>
      </c>
      <c r="I12" s="76" t="s">
        <v>153</v>
      </c>
      <c r="J12" s="76" t="s">
        <v>158</v>
      </c>
      <c r="K12" s="76" t="s">
        <v>162</v>
      </c>
      <c r="L12" s="76" t="s">
        <v>178</v>
      </c>
      <c r="M12" s="76" t="s">
        <v>188</v>
      </c>
      <c r="N12" s="76" t="s">
        <v>209</v>
      </c>
      <c r="Q12" s="355" t="s">
        <v>195</v>
      </c>
      <c r="R12" s="355"/>
      <c r="T12" s="321" t="s">
        <v>46</v>
      </c>
      <c r="U12" s="321"/>
      <c r="V12" s="11"/>
      <c r="W12" s="318" t="s">
        <v>46</v>
      </c>
      <c r="X12" s="318"/>
    </row>
    <row r="13" spans="1:24" ht="14.45" customHeight="1">
      <c r="A13" s="64">
        <v>41642</v>
      </c>
      <c r="B13" s="65" t="s">
        <v>73</v>
      </c>
      <c r="C13" s="65" t="s">
        <v>100</v>
      </c>
      <c r="D13" s="65" t="s">
        <v>75</v>
      </c>
      <c r="E13" t="str">
        <f t="shared" ref="E13:E76" si="0">VLOOKUP(B13,$Q$14:$R$62,2,FALSE)</f>
        <v>Delregion Göteborg</v>
      </c>
      <c r="G13">
        <v>2014</v>
      </c>
      <c r="H13" s="68" t="s">
        <v>75</v>
      </c>
      <c r="I13">
        <f>COUNTIFS($E:$E,"=Delregion Fyrbodal",$D:$D,"=Socialtjänst",$A:$A,"&gt;2014-01-01",$A:$A,"&lt;2014-12-31")</f>
        <v>30</v>
      </c>
      <c r="J13">
        <f>COUNTIFS($E:$E,"=Delregion Göteborg",$D:$D,"=Socialtjänst",$A:$A,"&gt;2014-01-01",$A:$A,"&lt;2014-12-31")</f>
        <v>61</v>
      </c>
      <c r="K13">
        <f>COUNTIFS($E:$E,"=Delregion SIMBA",$D:$D,"=Socialtjänst",$A:$A,"&gt;2014-01-01",$A:$A,"&lt;2014-12-31")</f>
        <v>11</v>
      </c>
      <c r="L13">
        <f>COUNTIFS($E:$E,"=Delregion Skaraborg",$D:$D,"=Socialtjänst",$A:$A,"&gt;2014-01-01",$A:$A,"&lt;2014-12-31")</f>
        <v>20</v>
      </c>
      <c r="M13">
        <f>COUNTIFS($E:$E,"=Delregion Södra Älvsborg",$D:$D,"=Socialtjänst",$A:$A,"&gt;2014-01-01",$A:$A,"&lt;2014-12-31")</f>
        <v>21</v>
      </c>
      <c r="N13">
        <f>SUM(I13:M13)</f>
        <v>143</v>
      </c>
      <c r="Q13" s="81" t="s">
        <v>199</v>
      </c>
      <c r="R13" s="80" t="s">
        <v>210</v>
      </c>
      <c r="T13" s="319" t="s">
        <v>65</v>
      </c>
      <c r="U13" s="320"/>
      <c r="V13" s="11"/>
      <c r="W13" s="319" t="s">
        <v>66</v>
      </c>
      <c r="X13" s="320"/>
    </row>
    <row r="14" spans="1:24" ht="14.45" customHeight="1">
      <c r="A14" s="64">
        <v>41646</v>
      </c>
      <c r="B14" s="65" t="s">
        <v>73</v>
      </c>
      <c r="C14" s="65" t="s">
        <v>129</v>
      </c>
      <c r="D14" s="65" t="s">
        <v>126</v>
      </c>
      <c r="E14" t="str">
        <f t="shared" si="0"/>
        <v>Delregion Göteborg</v>
      </c>
      <c r="G14">
        <v>2014</v>
      </c>
      <c r="H14" s="68" t="str">
        <f>"Ekonomiskt bistånd"</f>
        <v>Ekonomiskt bistånd</v>
      </c>
      <c r="I14">
        <f>COUNTIFS($E:$E,"=Delregion Fyrbodal",$C:$C,"=Ekonomiskt bistånd",$A:$A,"&gt;2014-01-01",$A:$A,"&lt;2014-12-31")</f>
        <v>3</v>
      </c>
      <c r="J14">
        <f>COUNTIFS($E:$E,"=Delregion Göteborg",$C:$C,"=Ekonomiskt bistånd",$A:$A,"&gt;2014-01-01",$A:$A,"&lt;2014-12-31")</f>
        <v>13</v>
      </c>
      <c r="K14">
        <f>COUNTIFS($E:$E,"=Delregion SIMBA",$C:$C,"=Ekonomiskt bistånd",$A:$A,"&gt;2014-01-01",$A:$A,"&lt;2014-12-31")</f>
        <v>2</v>
      </c>
      <c r="L14">
        <f>COUNTIFS($E:$E,"=Delregion Skaraborg",$C:$C,"=Ekonomiskt bistånd",$A:$A,"&gt;2014-01-01",$A:$A,"&lt;2014-12-31")</f>
        <v>1</v>
      </c>
      <c r="M14">
        <f>COUNTIFS($E:$E,"=Delregion Södra Älvsborg",$C:$C,"=Ekonomiskt bistånd",$A:$A,"&gt;2014-01-01",$A:$A,"&lt;2014-12-31")</f>
        <v>2</v>
      </c>
      <c r="N14">
        <f t="shared" ref="N14:N51" si="1">SUM(I14:M14)</f>
        <v>21</v>
      </c>
      <c r="Q14" s="68" t="s">
        <v>189</v>
      </c>
      <c r="R14" t="s">
        <v>153</v>
      </c>
      <c r="T14" s="56" t="s">
        <v>61</v>
      </c>
      <c r="U14" s="56" t="s">
        <v>62</v>
      </c>
      <c r="V14" s="11"/>
      <c r="W14" s="56" t="s">
        <v>61</v>
      </c>
      <c r="X14" s="56" t="s">
        <v>62</v>
      </c>
    </row>
    <row r="15" spans="1:24" ht="14.45" customHeight="1">
      <c r="A15" s="64">
        <v>41647</v>
      </c>
      <c r="B15" s="65" t="s">
        <v>73</v>
      </c>
      <c r="C15" s="65" t="s">
        <v>128</v>
      </c>
      <c r="D15" s="65" t="s">
        <v>126</v>
      </c>
      <c r="E15" t="str">
        <f t="shared" si="0"/>
        <v>Delregion Göteborg</v>
      </c>
      <c r="G15">
        <v>2014</v>
      </c>
      <c r="H15" s="68" t="s">
        <v>96</v>
      </c>
      <c r="I15">
        <f>COUNTIFS($E:$E,"=Delregion Fyrbodal",$C:$C,"=Funktionsnedsättning LSS",$A:$A,"&gt;2014-01-01",$A:$A,"&lt;2014-12-31")</f>
        <v>2</v>
      </c>
      <c r="J15">
        <f>COUNTIFS($E:$E,"=Delregion Göteborg",$C:$C,"=Funktionsnedsättning LSS",$A:$A,"&gt;2014-01-01",$A:$A,"&lt;2014-12-31")</f>
        <v>6</v>
      </c>
      <c r="K15">
        <f>COUNTIFS($E:$E,"=Delregion SIMBA",$C:$C,"=Funktionsnedsättning LSS",$A:$A,"&gt;2014-01-01",$A:$A,"&lt;2014-12-31")</f>
        <v>1</v>
      </c>
      <c r="L15">
        <f>COUNTIFS($E:$E,"=Delregion Skaraborg",$C:$C,"=Funktionsnedsättning LSS",$A:$A,"&gt;2014-01-01",$A:$A,"&lt;2014-12-31")</f>
        <v>1</v>
      </c>
      <c r="M15">
        <f>COUNTIFS($E:$E,"=Delregion Södra Älvsborg",$C:$C,"=Funktionsnedsättning LSS",$A:$A,"&gt;2014-01-01",$A:$A,"&lt;2014-12-31")</f>
        <v>1</v>
      </c>
      <c r="N15">
        <f t="shared" si="1"/>
        <v>11</v>
      </c>
      <c r="Q15" s="69" t="s">
        <v>141</v>
      </c>
      <c r="R15" t="s">
        <v>153</v>
      </c>
      <c r="T15" s="244" t="s">
        <v>392</v>
      </c>
      <c r="U15" s="244" t="s">
        <v>448</v>
      </c>
      <c r="V15" s="11"/>
      <c r="W15" s="244" t="s">
        <v>392</v>
      </c>
      <c r="X15" s="244" t="s">
        <v>448</v>
      </c>
    </row>
    <row r="16" spans="1:24" ht="14.45" customHeight="1">
      <c r="A16" s="64">
        <v>41652</v>
      </c>
      <c r="B16" s="65" t="s">
        <v>73</v>
      </c>
      <c r="C16" s="65" t="s">
        <v>131</v>
      </c>
      <c r="D16" s="65" t="s">
        <v>126</v>
      </c>
      <c r="E16" t="str">
        <f t="shared" si="0"/>
        <v>Delregion Göteborg</v>
      </c>
      <c r="G16">
        <v>2014</v>
      </c>
      <c r="H16" s="68" t="s">
        <v>118</v>
      </c>
      <c r="I16">
        <f>COUNTIFS($E:$E,"=Delregion Fyrbodal",$C:$C,"=Funktionsnedsättning SoL",$A:$A,"&gt;2014-01-01",$A:$A,"&lt;2014-12-31")</f>
        <v>1</v>
      </c>
      <c r="J16">
        <f>COUNTIFS($E:$E,"=Delregion Göteborg",$C:$C,"=Funktionsnedsättning SoL",$A:$A,"&gt;2014-01-01",$A:$A,"&lt;2014-12-31")</f>
        <v>3</v>
      </c>
      <c r="K16">
        <f>COUNTIFS($E:$E,"=Delregion SIMBA",$C:$C,"=Funktionsnedsättning SoL",$A:$A,"&gt;2014-01-01",$A:$A,"&lt;2014-12-31")</f>
        <v>0</v>
      </c>
      <c r="L16">
        <f>COUNTIFS($E:$E,"=Delregion Skaraborg",$C:$C,"=Funktionsnedsättning SoL",$A:$A,"&gt;2014-01-01",$A:$A,"&lt;2014-12-31")</f>
        <v>0</v>
      </c>
      <c r="M16">
        <f>COUNTIFS($E:$E,"=Delregion Södra Älvsborg",$C:$C,"=Funktionsnedsättning SoL",$A:$A,"&gt;2014-01-01",$A:$A,"&lt;2014-12-31")</f>
        <v>1</v>
      </c>
      <c r="N16">
        <f t="shared" si="1"/>
        <v>5</v>
      </c>
      <c r="Q16" s="69" t="s">
        <v>142</v>
      </c>
      <c r="R16" t="s">
        <v>153</v>
      </c>
      <c r="T16" s="244" t="s">
        <v>393</v>
      </c>
      <c r="U16" s="244" t="s">
        <v>449</v>
      </c>
      <c r="V16" s="11"/>
      <c r="W16" s="244" t="s">
        <v>393</v>
      </c>
      <c r="X16" s="244" t="s">
        <v>449</v>
      </c>
    </row>
    <row r="17" spans="1:25" ht="14.45" customHeight="1">
      <c r="A17" s="64">
        <v>41655</v>
      </c>
      <c r="B17" s="65" t="s">
        <v>78</v>
      </c>
      <c r="C17" s="65" t="s">
        <v>125</v>
      </c>
      <c r="D17" s="65" t="s">
        <v>126</v>
      </c>
      <c r="E17" t="str">
        <f t="shared" si="0"/>
        <v>Delregion SIMBA</v>
      </c>
      <c r="G17">
        <v>2014</v>
      </c>
      <c r="H17" s="68" t="s">
        <v>100</v>
      </c>
      <c r="I17">
        <f>COUNTIFS($E:$E,"=Delregion Fyrbodal",$C:$C,"=Missbruk",$A:$A,"&gt;2014-01-01",$A:$A,"&lt;2014-12-31")</f>
        <v>0</v>
      </c>
      <c r="J17">
        <f>COUNTIFS($E:$E,"=Delregion Göteborg",$C:$C,"=Missbruk",$A:$A,"&gt;2014-01-01",$A:$A,"&lt;2014-12-31")</f>
        <v>1</v>
      </c>
      <c r="K17">
        <f>COUNTIFS($E:$E,"=Delregion SIMBA",$C:$C,"=Missbruk",$A:$A,"&gt;2014-01-01",$A:$A,"&lt;2014-12-31")</f>
        <v>1</v>
      </c>
      <c r="L17">
        <f>COUNTIFS($E:$E,"=Delregion Skaraborg",$C:$C,"=Missbruk",$A:$A,"&gt;2014-01-01",$A:$A,"&lt;2014-12-31")</f>
        <v>1</v>
      </c>
      <c r="M17">
        <f>COUNTIFS($E:$E,"=Delregion Södra Älvsborg",$C:$C,"=Missbruk",$A:$A,"&gt;2014-01-01",$A:$A,"&lt;2014-12-31")</f>
        <v>2</v>
      </c>
      <c r="N17">
        <f t="shared" si="1"/>
        <v>5</v>
      </c>
      <c r="Q17" s="69" t="s">
        <v>143</v>
      </c>
      <c r="R17" t="s">
        <v>153</v>
      </c>
      <c r="T17" s="244" t="s">
        <v>394</v>
      </c>
      <c r="U17" s="244" t="s">
        <v>450</v>
      </c>
      <c r="V17" s="11"/>
      <c r="W17" s="244" t="s">
        <v>394</v>
      </c>
      <c r="X17" s="244" t="s">
        <v>450</v>
      </c>
    </row>
    <row r="18" spans="1:25" ht="14.45" customHeight="1">
      <c r="A18" s="64">
        <v>41659</v>
      </c>
      <c r="B18" s="65" t="s">
        <v>102</v>
      </c>
      <c r="C18" s="65" t="s">
        <v>85</v>
      </c>
      <c r="D18" s="65" t="s">
        <v>75</v>
      </c>
      <c r="E18" t="str">
        <f t="shared" si="0"/>
        <v>Delregion Södra Älvsborg</v>
      </c>
      <c r="G18">
        <v>2014</v>
      </c>
      <c r="H18" s="68" t="s">
        <v>201</v>
      </c>
      <c r="I18">
        <f>COUNTIFS($E:$E,"=Delregion Fyrbodal",$C:$C,"=Äldreomsorg",$A:$A,"&gt;2014-01-01",$A:$A,"&lt;2014-12-31")</f>
        <v>6</v>
      </c>
      <c r="J18">
        <f>COUNTIFS($E:$E,"=Delregion Göteborg",$C:$C,"=Äldreomsorg",$A:$A,"&gt;2014-01-01",$A:$A,"&lt;2014-12-31")</f>
        <v>13</v>
      </c>
      <c r="K18">
        <f>COUNTIFS($E:$E,"=Delregion SIMBA",$C:$C,"=Äldreomsorg",$A:$A,"&gt;2014-01-01",$A:$A,"&lt;2014-12-31")</f>
        <v>2</v>
      </c>
      <c r="L18">
        <f>COUNTIFS($E:$E,"=Delregion Skaraborg",$C:$C,"=Äldreomsorg",$A:$A,"&gt;2014-01-01",$A:$A,"&lt;2014-12-31")</f>
        <v>3</v>
      </c>
      <c r="M18">
        <f>COUNTIFS($E:$E,"=Delregion Södra Älvsborg",$C:$C,"=Äldreomsorg",$A:$A,"&gt;2014-01-01",$A:$A,"&lt;2014-12-31")</f>
        <v>2</v>
      </c>
      <c r="N18">
        <f t="shared" si="1"/>
        <v>26</v>
      </c>
      <c r="Q18" s="69" t="s">
        <v>144</v>
      </c>
      <c r="R18" t="s">
        <v>153</v>
      </c>
      <c r="T18" s="244" t="s">
        <v>434</v>
      </c>
      <c r="U18" s="244" t="s">
        <v>451</v>
      </c>
      <c r="V18" s="11"/>
      <c r="W18" s="244" t="s">
        <v>434</v>
      </c>
      <c r="X18" s="244" t="s">
        <v>451</v>
      </c>
    </row>
    <row r="19" spans="1:25" ht="14.45" customHeight="1">
      <c r="A19" s="64">
        <v>41661</v>
      </c>
      <c r="B19" s="65" t="s">
        <v>112</v>
      </c>
      <c r="C19" s="65" t="s">
        <v>85</v>
      </c>
      <c r="D19" s="65" t="s">
        <v>75</v>
      </c>
      <c r="E19" t="str">
        <f t="shared" si="0"/>
        <v>Delregion Göteborg</v>
      </c>
      <c r="G19">
        <v>2014</v>
      </c>
      <c r="H19" s="68" t="s">
        <v>79</v>
      </c>
      <c r="I19">
        <f>COUNTIFS($E:$E,"=Delregion Fyrbodal",$C:$C,"=Övrig socialtjänst",$A:$A,"&gt;2014-01-01",$A:$A,"&lt;2014-12-31")</f>
        <v>1</v>
      </c>
      <c r="J19">
        <f>COUNTIFS($E:$E,"=Delregion Göteborg",$C:$C,"=Övrig socialtjänst",$A:$A,"&gt;2014-01-01",$A:$A,"&lt;2014-12-31")</f>
        <v>1</v>
      </c>
      <c r="K19">
        <f>COUNTIFS($E:$E,"=Delregion SIMBA",$C:$C,"=Övrig socialtjänst",$A:$A,"&gt;2014-01-01",$A:$A,"&lt;2014-12-31")</f>
        <v>0</v>
      </c>
      <c r="L19">
        <f>COUNTIFS($E:$E,"=Delregion Skaraborg",$C:$C,"=Övrig socialtjänst",$A:$A,"&gt;2014-01-01",$A:$A,"&lt;2014-12-31")</f>
        <v>0</v>
      </c>
      <c r="M19">
        <f>COUNTIFS($E:$E,"=Delregion Södra Älvsborg",$C:$C,"=Övrig socialtjänst",$A:$A,"&gt;2014-01-01",$A:$A,"&lt;2014-12-31")</f>
        <v>0</v>
      </c>
      <c r="N19">
        <f t="shared" si="1"/>
        <v>2</v>
      </c>
      <c r="Q19" s="68" t="s">
        <v>190</v>
      </c>
      <c r="R19" t="s">
        <v>153</v>
      </c>
      <c r="T19" s="244" t="s">
        <v>435</v>
      </c>
      <c r="U19" s="244" t="s">
        <v>452</v>
      </c>
      <c r="W19" s="244" t="s">
        <v>435</v>
      </c>
      <c r="X19" s="244" t="s">
        <v>452</v>
      </c>
    </row>
    <row r="20" spans="1:25" ht="14.45" customHeight="1">
      <c r="A20" s="64">
        <v>41661</v>
      </c>
      <c r="B20" s="65" t="s">
        <v>86</v>
      </c>
      <c r="C20" s="65" t="s">
        <v>79</v>
      </c>
      <c r="D20" s="65" t="s">
        <v>75</v>
      </c>
      <c r="E20" t="str">
        <f t="shared" si="0"/>
        <v>Delregion Fyrbodal</v>
      </c>
      <c r="G20">
        <v>2014</v>
      </c>
      <c r="H20" s="68" t="s">
        <v>126</v>
      </c>
      <c r="I20">
        <f>COUNTIFS($E:$E,"=Delregion Fyrbodal",$D:$D,"=Hälso- och sjukvård",$A:$A,"&gt;2014-01-01",$A:$A,"&lt;2014-12-31")</f>
        <v>19</v>
      </c>
      <c r="J20">
        <f>COUNTIFS($E:$E,"=Delregion Göteborg",$D:$D,"=Hälso- och sjukvård",$A:$A,"&gt;2014-01-01",$A:$A,"&lt;2014-12-31")</f>
        <v>51</v>
      </c>
      <c r="K20">
        <f>COUNTIFS($E:$E,"=Delregion SIMBA",$D:$D,"=Hälso- och sjukvård",$A:$A,"&gt;2014-01-01",$A:$A,"&lt;2014-12-31")</f>
        <v>6</v>
      </c>
      <c r="L20">
        <f>COUNTIFS($E:$E,"=Delregion Skaraborg",$D:$D,"=Hälso- och sjukvård",$A:$A,"&gt;2014-01-01",$A:$A,"&lt;2014-12-31")</f>
        <v>8</v>
      </c>
      <c r="M20">
        <f>COUNTIFS($E:$E,"=Delregion Södra Älvsborg",$D:$D,"=Hälso- och sjukvård",$A:$A,"&gt;2014-01-01",$A:$A,"&lt;2014-12-31")</f>
        <v>19</v>
      </c>
      <c r="N20">
        <f t="shared" si="1"/>
        <v>103</v>
      </c>
      <c r="Q20" s="69" t="s">
        <v>145</v>
      </c>
      <c r="R20" t="s">
        <v>153</v>
      </c>
      <c r="T20" s="244" t="s">
        <v>436</v>
      </c>
      <c r="U20" s="244" t="s">
        <v>453</v>
      </c>
      <c r="W20" s="244" t="s">
        <v>436</v>
      </c>
      <c r="X20" s="244" t="s">
        <v>453</v>
      </c>
    </row>
    <row r="21" spans="1:25" ht="14.45" customHeight="1">
      <c r="A21" s="64">
        <v>41661</v>
      </c>
      <c r="B21" s="65" t="s">
        <v>73</v>
      </c>
      <c r="C21" s="65" t="s">
        <v>127</v>
      </c>
      <c r="D21" s="65" t="s">
        <v>126</v>
      </c>
      <c r="E21" t="str">
        <f t="shared" si="0"/>
        <v>Delregion Göteborg</v>
      </c>
      <c r="G21">
        <v>2014</v>
      </c>
      <c r="H21" s="68" t="s">
        <v>200</v>
      </c>
      <c r="I21">
        <f>COUNTIFS($E:$E,"=Delregion Fyrbodal",$C:$C,"=Hemsjukvård i ordinärt boende",$A:$A,"&gt;2014-01-01",$A:$A,"&lt;2014-12-31")</f>
        <v>0</v>
      </c>
      <c r="J21">
        <f>COUNTIFS($E:$E,"=Delregion Göteborg",$C:$C,"=Hemsjukvård i ordinärt boende",$A:$A,"&gt;2014-01-01",$A:$A,"&lt;2014-12-31")</f>
        <v>0</v>
      </c>
      <c r="K21">
        <f>COUNTIFS($E:$E,"=Delregion SIMBA",$C:$C,"=Hemsjukvård i ordinärt boende",$A:$A,"&gt;2014-01-01",$A:$A,"&lt;2014-12-31")</f>
        <v>0</v>
      </c>
      <c r="L21">
        <f>COUNTIFS($E:$E,"=Delregion Skaraborg",$C:$C,"=Hemsjukvård i ordinärt boende",$A:$A,"&gt;2014-01-01",$A:$A,"&lt;2014-12-31")</f>
        <v>0</v>
      </c>
      <c r="M21">
        <f>COUNTIFS($E:$E,"=Delregion Södra Älvsborg",$C:$C,"=Hemsjukvård i ordinärt boende",$A:$A,"&gt;2014-01-01",$A:$A,"&lt;2014-12-31")</f>
        <v>0</v>
      </c>
      <c r="N21">
        <f t="shared" si="1"/>
        <v>0</v>
      </c>
      <c r="Q21" s="69" t="s">
        <v>146</v>
      </c>
      <c r="R21" t="s">
        <v>153</v>
      </c>
      <c r="T21" s="244" t="s">
        <v>437</v>
      </c>
      <c r="U21" s="245" t="s">
        <v>454</v>
      </c>
      <c r="W21" s="244" t="s">
        <v>437</v>
      </c>
      <c r="X21" s="245" t="s">
        <v>454</v>
      </c>
    </row>
    <row r="22" spans="1:25" ht="14.45" customHeight="1">
      <c r="A22" s="64">
        <v>41666</v>
      </c>
      <c r="B22" s="65" t="s">
        <v>73</v>
      </c>
      <c r="C22" s="65" t="s">
        <v>130</v>
      </c>
      <c r="D22" s="65" t="s">
        <v>126</v>
      </c>
      <c r="E22" t="str">
        <f t="shared" si="0"/>
        <v>Delregion Göteborg</v>
      </c>
      <c r="G22">
        <v>2014</v>
      </c>
      <c r="H22" s="68" t="s">
        <v>128</v>
      </c>
      <c r="I22">
        <f>COUNTIFS($E:$E,"=Delregion Fyrbodal",$C:$C,"=Prehospital vård",$A:$A,"&gt;2014-01-01",$A:$A,"&lt;2014-12-31")</f>
        <v>0</v>
      </c>
      <c r="J22">
        <f>COUNTIFS($E:$E,"=Delregion Göteborg",$C:$C,"=Prehospital vård",$A:$A,"&gt;2014-01-01",$A:$A,"&lt;2014-12-31")</f>
        <v>2</v>
      </c>
      <c r="K22">
        <f>COUNTIFS($E:$E,"=Delregion SIMBA",$C:$C,"=Prehospital vård",$A:$A,"&gt;2014-01-01",$A:$A,"&lt;2014-12-31")</f>
        <v>0</v>
      </c>
      <c r="L22">
        <f>COUNTIFS($E:$E,"=Delregion Skaraborg",$C:$C,"=Prehospital vård",$A:$A,"&gt;2014-01-01",$A:$A,"&lt;2014-12-31")</f>
        <v>0</v>
      </c>
      <c r="M22">
        <f>COUNTIFS($E:$E,"=Delregion Södra Älvsborg",$C:$C,"=Prehospital vård",$A:$A,"&gt;2014-01-01",$A:$A,"&lt;2014-12-31")</f>
        <v>0</v>
      </c>
      <c r="N22">
        <f t="shared" si="1"/>
        <v>2</v>
      </c>
      <c r="Q22" s="69" t="s">
        <v>147</v>
      </c>
      <c r="R22" t="s">
        <v>153</v>
      </c>
      <c r="T22" s="244" t="s">
        <v>438</v>
      </c>
      <c r="U22" s="244" t="s">
        <v>455</v>
      </c>
      <c r="W22" s="244" t="s">
        <v>438</v>
      </c>
      <c r="X22" s="244" t="s">
        <v>455</v>
      </c>
    </row>
    <row r="23" spans="1:25" ht="14.45" customHeight="1">
      <c r="A23" s="64">
        <v>41668</v>
      </c>
      <c r="B23" s="65" t="s">
        <v>102</v>
      </c>
      <c r="C23" s="65" t="s">
        <v>100</v>
      </c>
      <c r="D23" s="65" t="s">
        <v>75</v>
      </c>
      <c r="E23" t="str">
        <f t="shared" si="0"/>
        <v>Delregion Södra Älvsborg</v>
      </c>
      <c r="G23">
        <v>2014</v>
      </c>
      <c r="H23" s="68" t="s">
        <v>127</v>
      </c>
      <c r="I23">
        <f>COUNTIFS($E:$E,"=Delregion Fyrbodal",$C:$C,"=Primärvård, utom hemsjukvård",$A:$A,"&gt;2014-01-01",$A:$A,"&lt;2014-12-31")</f>
        <v>8</v>
      </c>
      <c r="J23">
        <f>COUNTIFS($E:$E,"=Delregion Göteborg",$C:$C,"=Primärvård, utom hemsjukvård",$A:$A,"&gt;2014-01-01",$A:$A,"&lt;2014-12-31")</f>
        <v>8</v>
      </c>
      <c r="K23">
        <f>COUNTIFS($E:$E,"=Delregion SIMBA",$C:$C,"=Primärvård, utom hemsjukvård",$A:$A,"&gt;2014-01-01",$A:$A,"&lt;2014-12-31")</f>
        <v>1</v>
      </c>
      <c r="L23">
        <f>COUNTIFS($E:$E,"=Delregion Skaraborg",$C:$C,"=Primärvård, utom hemsjukvård",$A:$A,"&gt;2014-01-01",$A:$A,"&lt;2014-12-31")</f>
        <v>1</v>
      </c>
      <c r="M23">
        <f>COUNTIFS($E:$E,"=Delregion Södra Älvsborg",$C:$C,"=Primärvård, utom hemsjukvård",$A:$A,"&gt;2014-01-01",$A:$A,"&lt;2014-12-31")</f>
        <v>6</v>
      </c>
      <c r="N23">
        <f t="shared" si="1"/>
        <v>24</v>
      </c>
      <c r="Q23" s="69" t="s">
        <v>148</v>
      </c>
      <c r="R23" t="s">
        <v>153</v>
      </c>
      <c r="T23" s="245" t="s">
        <v>439</v>
      </c>
      <c r="U23" s="244" t="s">
        <v>456</v>
      </c>
      <c r="W23" s="244" t="s">
        <v>439</v>
      </c>
      <c r="X23" s="244" t="s">
        <v>456</v>
      </c>
    </row>
    <row r="24" spans="1:25" ht="14.45" customHeight="1">
      <c r="A24" s="64">
        <v>41668</v>
      </c>
      <c r="B24" s="65" t="s">
        <v>73</v>
      </c>
      <c r="C24" s="65" t="s">
        <v>134</v>
      </c>
      <c r="D24" s="65" t="s">
        <v>126</v>
      </c>
      <c r="E24" t="str">
        <f t="shared" si="0"/>
        <v>Delregion Göteborg</v>
      </c>
      <c r="G24">
        <v>2014</v>
      </c>
      <c r="H24" s="68" t="s">
        <v>129</v>
      </c>
      <c r="I24">
        <f>COUNTIFS($E:$E,"=Delregion Fyrbodal",$C:$C,"=Psykiatrisk specialistsjukvård",$A:$A,"&gt;2014-01-01",$A:$A,"&lt;2014-12-31")</f>
        <v>2</v>
      </c>
      <c r="J24">
        <f>COUNTIFS($E:$E,"=Delregion Göteborg",$C:$C,"=Psykiatrisk specialistsjukvård",$A:$A,"&gt;2014-01-01",$A:$A,"&lt;2014-12-31")</f>
        <v>6</v>
      </c>
      <c r="K24">
        <f>COUNTIFS($E:$E,"=Delregion SIMBA",$C:$C,"=Psykiatrisk specialistsjukvård",$A:$A,"&gt;2014-01-01",$A:$A,"&lt;2014-12-31")</f>
        <v>0</v>
      </c>
      <c r="L24">
        <f>COUNTIFS($E:$E,"=Delregion Skaraborg",$C:$C,"=Psykiatrisk specialistsjukvård",$A:$A,"&gt;2014-01-01",$A:$A,"&lt;2014-12-31")</f>
        <v>1</v>
      </c>
      <c r="M24">
        <f>COUNTIFS($E:$E,"=Delregion Södra Älvsborg",$C:$C,"=Psykiatrisk specialistsjukvård",$A:$A,"&gt;2014-01-01",$A:$A,"&lt;2014-12-31")</f>
        <v>4</v>
      </c>
      <c r="N24">
        <f t="shared" si="1"/>
        <v>13</v>
      </c>
      <c r="Q24" s="69" t="s">
        <v>149</v>
      </c>
      <c r="R24" t="s">
        <v>153</v>
      </c>
      <c r="T24" s="244" t="s">
        <v>440</v>
      </c>
      <c r="U24" s="244" t="s">
        <v>457</v>
      </c>
      <c r="W24" s="244" t="s">
        <v>440</v>
      </c>
      <c r="X24" s="244" t="s">
        <v>457</v>
      </c>
    </row>
    <row r="25" spans="1:25" ht="14.45" customHeight="1">
      <c r="A25" s="64">
        <v>41668</v>
      </c>
      <c r="B25" s="65" t="s">
        <v>73</v>
      </c>
      <c r="C25" s="65" t="s">
        <v>131</v>
      </c>
      <c r="D25" s="65" t="s">
        <v>126</v>
      </c>
      <c r="E25" t="str">
        <f t="shared" si="0"/>
        <v>Delregion Göteborg</v>
      </c>
      <c r="G25">
        <v>2014</v>
      </c>
      <c r="H25" s="68" t="s">
        <v>198</v>
      </c>
      <c r="I25">
        <f>SUM(I13:I20)</f>
        <v>62</v>
      </c>
      <c r="J25">
        <f>SUM(J13:J20)</f>
        <v>149</v>
      </c>
      <c r="K25">
        <f>SUM(K13:K20)</f>
        <v>23</v>
      </c>
      <c r="L25">
        <f>SUM(L13:L20)</f>
        <v>34</v>
      </c>
      <c r="M25">
        <f>SUM(M13:M20)</f>
        <v>48</v>
      </c>
      <c r="N25">
        <f t="shared" si="1"/>
        <v>316</v>
      </c>
      <c r="Q25" s="69" t="s">
        <v>150</v>
      </c>
      <c r="R25" t="s">
        <v>153</v>
      </c>
      <c r="T25" s="244" t="s">
        <v>441</v>
      </c>
      <c r="U25" s="244" t="s">
        <v>458</v>
      </c>
      <c r="W25" s="244" t="s">
        <v>441</v>
      </c>
      <c r="X25" s="244" t="s">
        <v>458</v>
      </c>
    </row>
    <row r="26" spans="1:25" ht="14.45" customHeight="1">
      <c r="A26" s="64">
        <v>41669</v>
      </c>
      <c r="B26" s="65" t="s">
        <v>95</v>
      </c>
      <c r="C26" s="65" t="s">
        <v>85</v>
      </c>
      <c r="D26" s="65" t="s">
        <v>75</v>
      </c>
      <c r="E26" t="str">
        <f t="shared" si="0"/>
        <v>Delregion Södra Älvsborg</v>
      </c>
      <c r="G26">
        <v>2015</v>
      </c>
      <c r="H26" s="68" t="s">
        <v>75</v>
      </c>
      <c r="I26">
        <f>COUNTIFS($E:$E,"=Delregion Fyrbodal",$D:$D,"=Socialtjänst",$A:$A,"&gt;2015-01-01",$A:$A,"&lt;2015-12-31")</f>
        <v>22</v>
      </c>
      <c r="J26">
        <f>COUNTIFS($E:$E,"=Delregion Göteborg",$D:$D,"=Socialtjänst",$A:$A,"&gt;2015-01-01",$A:$A,"&lt;2015-12-31")</f>
        <v>61</v>
      </c>
      <c r="K26">
        <f>COUNTIFS($E:$E,"=Delregion SIMBA",$D:$D,"=Socialtjänst",$A:$A,"&gt;2015-01-01",$A:$A,"&lt;2015-12-31")</f>
        <v>9</v>
      </c>
      <c r="L26">
        <f>COUNTIFS($E:$E,"=Delregion Skaraborg",$D:$D,"=Socialtjänst",$A:$A,"&gt;2015-01-01",$A:$A,"&lt;2015-12-31")</f>
        <v>23</v>
      </c>
      <c r="M26">
        <f>COUNTIFS($E:$E,"=Delregion Södra Älvsborg",$D:$D,"=Socialtjänst",$A:$A,"&gt;2015-01-01",$A:$A,"&lt;2015-12-31")</f>
        <v>19</v>
      </c>
      <c r="N26">
        <f t="shared" si="1"/>
        <v>134</v>
      </c>
      <c r="Q26" s="69" t="s">
        <v>151</v>
      </c>
      <c r="R26" t="s">
        <v>153</v>
      </c>
      <c r="T26" s="244" t="s">
        <v>442</v>
      </c>
      <c r="U26" s="244" t="s">
        <v>459</v>
      </c>
      <c r="W26" s="244" t="s">
        <v>442</v>
      </c>
      <c r="X26" s="244" t="s">
        <v>459</v>
      </c>
    </row>
    <row r="27" spans="1:25" ht="14.45" customHeight="1">
      <c r="A27" s="64">
        <v>41675</v>
      </c>
      <c r="B27" s="65" t="s">
        <v>73</v>
      </c>
      <c r="C27" s="65" t="s">
        <v>134</v>
      </c>
      <c r="D27" s="65" t="s">
        <v>126</v>
      </c>
      <c r="E27" t="str">
        <f t="shared" si="0"/>
        <v>Delregion Göteborg</v>
      </c>
      <c r="G27">
        <v>2015</v>
      </c>
      <c r="H27" s="68" t="str">
        <f>"Ekonomiskt bistånd"</f>
        <v>Ekonomiskt bistånd</v>
      </c>
      <c r="I27">
        <f>COUNTIFS($E:$E,"=Delregion Fyrbodal",$C:$C,"=Ekonomiskt bistånd",$A:$A,"&gt;2015-01-01",$A:$A,"&lt;2015-12-31")</f>
        <v>3</v>
      </c>
      <c r="J27">
        <f>COUNTIFS($E:$E,"=Delregion Göteborg",$C:$C,"=Ekonomiskt bistånd",$A:$A,"&gt;2015-01-01",$A:$A,"&lt;2015-12-31")</f>
        <v>8</v>
      </c>
      <c r="K27">
        <f>COUNTIFS($E:$E,"=Delregion SIMBA",$C:$C,"=Ekonomiskt bistånd",$A:$A,"&gt;2015-01-01",$A:$A,"&lt;2015-12-31")</f>
        <v>1</v>
      </c>
      <c r="L27">
        <f>COUNTIFS($E:$E,"=Delregion Skaraborg",$C:$C,"=Ekonomiskt bistånd",$A:$A,"&gt;2015-01-01",$A:$A,"&lt;2015-12-31")</f>
        <v>4</v>
      </c>
      <c r="M27">
        <f>COUNTIFS($E:$E,"=Delregion Södra Älvsborg",$C:$C,"=Ekonomiskt bistånd",$A:$A,"&gt;2015-01-01",$A:$A,"&lt;2015-12-31")</f>
        <v>6</v>
      </c>
      <c r="N27">
        <f t="shared" si="1"/>
        <v>22</v>
      </c>
      <c r="Q27" s="68" t="s">
        <v>191</v>
      </c>
      <c r="R27" t="s">
        <v>153</v>
      </c>
      <c r="T27" s="244" t="s">
        <v>443</v>
      </c>
      <c r="U27" s="244" t="s">
        <v>460</v>
      </c>
      <c r="V27" s="6"/>
      <c r="W27" s="244" t="s">
        <v>443</v>
      </c>
      <c r="X27" s="244" t="s">
        <v>460</v>
      </c>
      <c r="Y27" s="6"/>
    </row>
    <row r="28" spans="1:25" ht="14.45" customHeight="1">
      <c r="A28" s="64">
        <v>41676</v>
      </c>
      <c r="B28" s="65" t="s">
        <v>80</v>
      </c>
      <c r="C28" s="65" t="s">
        <v>127</v>
      </c>
      <c r="D28" s="65" t="s">
        <v>126</v>
      </c>
      <c r="E28" t="str">
        <f t="shared" si="0"/>
        <v>Delregion Södra Älvsborg</v>
      </c>
      <c r="G28">
        <v>2015</v>
      </c>
      <c r="H28" s="68" t="s">
        <v>96</v>
      </c>
      <c r="I28">
        <f>COUNTIFS($E:$E,"=Delregion Fyrbodal",$C:$C,"=Funktionsnedsättning LSS",$A:$A,"&gt;2015-01-01",$A:$A,"&lt;2015-12-31")</f>
        <v>0</v>
      </c>
      <c r="J28">
        <f>COUNTIFS($E:$E,"=Delregion Göteborg",$C:$C,"=Funktionsnedsättning LSS",$A:$A,"&gt;2015-01-01",$A:$A,"&lt;2015-12-31")</f>
        <v>3</v>
      </c>
      <c r="K28">
        <f>COUNTIFS($E:$E,"=Delregion SIMBA",$C:$C,"=Funktionsnedsättning LSS",$A:$A,"&gt;2015-01-01",$A:$A,"&lt;2015-12-31")</f>
        <v>0</v>
      </c>
      <c r="L28">
        <f>COUNTIFS($E:$E,"=Delregion Skaraborg",$C:$C,"=Funktionsnedsättning LSS",$A:$A,"&gt;2015-01-01",$A:$A,"&lt;2015-12-31")</f>
        <v>1</v>
      </c>
      <c r="M28">
        <f>COUNTIFS($E:$E,"=Delregion Södra Älvsborg",$C:$C,"=Funktionsnedsättning LSS",$A:$A,"&gt;2015-01-01",$A:$A,"&lt;2015-12-31")</f>
        <v>4</v>
      </c>
      <c r="N28">
        <f t="shared" si="1"/>
        <v>8</v>
      </c>
      <c r="Q28" s="69" t="s">
        <v>152</v>
      </c>
      <c r="R28" t="s">
        <v>153</v>
      </c>
      <c r="T28" s="244" t="s">
        <v>444</v>
      </c>
      <c r="U28" s="245" t="s">
        <v>461</v>
      </c>
      <c r="V28" s="6"/>
      <c r="W28" s="244" t="s">
        <v>444</v>
      </c>
      <c r="X28" s="245" t="s">
        <v>461</v>
      </c>
      <c r="Y28" s="6"/>
    </row>
    <row r="29" spans="1:25" ht="14.45" customHeight="1">
      <c r="A29" s="64">
        <v>41680</v>
      </c>
      <c r="B29" s="65" t="s">
        <v>104</v>
      </c>
      <c r="C29" s="65" t="s">
        <v>85</v>
      </c>
      <c r="D29" s="65" t="s">
        <v>75</v>
      </c>
      <c r="E29" t="str">
        <f t="shared" si="0"/>
        <v>Delregion SIMBA</v>
      </c>
      <c r="G29">
        <v>2015</v>
      </c>
      <c r="H29" s="68" t="s">
        <v>118</v>
      </c>
      <c r="I29">
        <f>COUNTIFS($E:$E,"=Delregion Fyrbodal",$C:$C,"=Funktionsnedsättning SoL",$A:$A,"&gt;2015-01-01",$A:$A,"&lt;2015-12-31")</f>
        <v>2</v>
      </c>
      <c r="J29">
        <f>COUNTIFS($E:$E,"=Delregion Göteborg",$C:$C,"=Funktionsnedsättning SoL",$A:$A,"&gt;2015-01-01",$A:$A,"&lt;2015-12-31")</f>
        <v>1</v>
      </c>
      <c r="K29">
        <f>COUNTIFS($E:$E,"=Delregion SIMBA",$C:$C,"=Funktionsnedsättning SoL",$A:$A,"&gt;2015-01-01",$A:$A,"&lt;2015-12-31")</f>
        <v>0</v>
      </c>
      <c r="L29">
        <f>COUNTIFS($E:$E,"=Delregion Skaraborg",$C:$C,"=Funktionsnedsättning SoL",$A:$A,"&gt;2015-01-01",$A:$A,"&lt;2015-12-31")</f>
        <v>0</v>
      </c>
      <c r="M29">
        <f>COUNTIFS($E:$E,"=Delregion Södra Älvsborg",$C:$C,"=Funktionsnedsättning SoL",$A:$A,"&gt;2015-01-01",$A:$A,"&lt;2015-12-31")</f>
        <v>2</v>
      </c>
      <c r="N29">
        <f t="shared" si="1"/>
        <v>5</v>
      </c>
      <c r="Q29" s="69" t="s">
        <v>154</v>
      </c>
      <c r="R29" s="71" t="s">
        <v>158</v>
      </c>
      <c r="T29" s="244" t="s">
        <v>445</v>
      </c>
      <c r="U29" s="244" t="s">
        <v>462</v>
      </c>
      <c r="V29" s="6"/>
      <c r="W29" s="244" t="s">
        <v>445</v>
      </c>
      <c r="X29" s="244" t="s">
        <v>462</v>
      </c>
      <c r="Y29" s="6"/>
    </row>
    <row r="30" spans="1:25" ht="14.45" customHeight="1">
      <c r="A30" s="64">
        <v>41680</v>
      </c>
      <c r="B30" s="65" t="s">
        <v>120</v>
      </c>
      <c r="C30" s="65" t="s">
        <v>88</v>
      </c>
      <c r="D30" s="65" t="s">
        <v>75</v>
      </c>
      <c r="E30" t="str">
        <f t="shared" si="0"/>
        <v>Delregion Södra Älvsborg</v>
      </c>
      <c r="G30">
        <v>2015</v>
      </c>
      <c r="H30" s="68" t="s">
        <v>100</v>
      </c>
      <c r="I30">
        <f>COUNTIFS($E:$E,"=Delregion Fyrbodal",$C:$C,"=Missbruk",$A:$A,"&gt;2015-01-01",$A:$A,"&lt;2015-12-31")</f>
        <v>1</v>
      </c>
      <c r="J30">
        <f>COUNTIFS($E:$E,"=Delregion Göteborg",$C:$C,"=Missbruk",$A:$A,"&gt;2015-01-01",$A:$A,"&lt;2015-12-31")</f>
        <v>2</v>
      </c>
      <c r="K30">
        <f>COUNTIFS($E:$E,"=Delregion SIMBA",$C:$C,"=Missbruk",$A:$A,"&gt;2015-01-01",$A:$A,"&lt;2015-12-31")</f>
        <v>0</v>
      </c>
      <c r="L30">
        <f>COUNTIFS($E:$E,"=Delregion Skaraborg",$C:$C,"=Missbruk",$A:$A,"&gt;2015-01-01",$A:$A,"&lt;2015-12-31")</f>
        <v>0</v>
      </c>
      <c r="M30">
        <f>COUNTIFS($E:$E,"=Delregion Södra Älvsborg",$C:$C,"=Missbruk",$A:$A,"&gt;2015-01-01",$A:$A,"&lt;2015-12-31")</f>
        <v>0</v>
      </c>
      <c r="N30">
        <f t="shared" si="1"/>
        <v>3</v>
      </c>
      <c r="Q30" s="69" t="s">
        <v>155</v>
      </c>
      <c r="R30" s="71" t="s">
        <v>158</v>
      </c>
      <c r="T30" s="246" t="s">
        <v>446</v>
      </c>
      <c r="U30" s="244" t="s">
        <v>463</v>
      </c>
      <c r="V30" s="6"/>
      <c r="W30" s="246" t="s">
        <v>446</v>
      </c>
      <c r="X30" s="244" t="s">
        <v>463</v>
      </c>
      <c r="Y30" s="6"/>
    </row>
    <row r="31" spans="1:25" ht="14.45" customHeight="1">
      <c r="A31" s="64">
        <v>41680</v>
      </c>
      <c r="B31" s="65" t="s">
        <v>73</v>
      </c>
      <c r="C31" s="65" t="s">
        <v>91</v>
      </c>
      <c r="D31" s="65" t="s">
        <v>75</v>
      </c>
      <c r="E31" t="str">
        <f t="shared" si="0"/>
        <v>Delregion Göteborg</v>
      </c>
      <c r="G31">
        <v>2015</v>
      </c>
      <c r="H31" s="68" t="s">
        <v>201</v>
      </c>
      <c r="I31">
        <f>COUNTIFS($E:$E,"=Delregion Fyrbodal",$C:$C,"=Äldreomsorg",$A:$A,"&gt;2015-01-01",$A:$A,"&lt;2015-12-31")</f>
        <v>1</v>
      </c>
      <c r="J31">
        <f>COUNTIFS($E:$E,"=Delregion Göteborg",$C:$C,"=Äldreomsorg",$A:$A,"&gt;2015-01-01",$A:$A,"&lt;2015-12-31")</f>
        <v>0</v>
      </c>
      <c r="K31">
        <f>COUNTIFS($E:$E,"=Delregion SIMBA",$C:$C,"=Äldreomsorg",$A:$A,"&gt;2015-01-01",$A:$A,"&lt;2015-12-31")</f>
        <v>0</v>
      </c>
      <c r="L31">
        <f>COUNTIFS($E:$E,"=Delregion Skaraborg",$C:$C,"=Äldreomsorg",$A:$A,"&gt;2015-01-01",$A:$A,"&lt;2015-12-31")</f>
        <v>1</v>
      </c>
      <c r="M31">
        <f>COUNTIFS($E:$E,"=Delregion Södra Älvsborg",$C:$C,"=Äldreomsorg",$A:$A,"&gt;2015-01-01",$A:$A,"&lt;2015-12-31")</f>
        <v>2</v>
      </c>
      <c r="N31">
        <f t="shared" si="1"/>
        <v>4</v>
      </c>
      <c r="Q31" s="69" t="s">
        <v>156</v>
      </c>
      <c r="R31" s="71" t="s">
        <v>158</v>
      </c>
      <c r="T31" s="247" t="s">
        <v>447</v>
      </c>
      <c r="U31" s="244" t="s">
        <v>464</v>
      </c>
      <c r="V31" s="6"/>
      <c r="W31" s="247" t="s">
        <v>447</v>
      </c>
      <c r="X31" s="244" t="s">
        <v>464</v>
      </c>
      <c r="Y31" s="6"/>
    </row>
    <row r="32" spans="1:25" ht="14.45" customHeight="1">
      <c r="A32" s="64">
        <v>41681</v>
      </c>
      <c r="B32" s="65" t="s">
        <v>73</v>
      </c>
      <c r="C32" s="65" t="s">
        <v>83</v>
      </c>
      <c r="D32" s="65" t="s">
        <v>75</v>
      </c>
      <c r="E32" t="str">
        <f t="shared" si="0"/>
        <v>Delregion Göteborg</v>
      </c>
      <c r="G32">
        <v>2015</v>
      </c>
      <c r="H32" s="68" t="s">
        <v>79</v>
      </c>
      <c r="I32">
        <f>COUNTIFS($E:$E,"=Delregion Fyrbodal",$C:$C,"=Övrig socialtjänst",$A:$A,"&gt;2015-01-01",$A:$A,"&lt;2015-12-31")</f>
        <v>0</v>
      </c>
      <c r="J32">
        <f>COUNTIFS($E:$E,"=Delregion Göteborg",$C:$C,"=Övrig socialtjänst",$A:$A,"&gt;2015-01-01",$A:$A,"&lt;2015-12-31")</f>
        <v>2</v>
      </c>
      <c r="K32">
        <f>COUNTIFS($E:$E,"=Delregion SIMBA",$C:$C,"=Övrig socialtjänst",$A:$A,"&gt;2015-01-01",$A:$A,"&lt;2015-12-31")</f>
        <v>0</v>
      </c>
      <c r="L32">
        <f>COUNTIFS($E:$E,"=Delregion Skaraborg",$C:$C,"=Övrig socialtjänst",$A:$A,"&gt;2015-01-01",$A:$A,"&lt;2015-12-31")</f>
        <v>0</v>
      </c>
      <c r="M32">
        <f>COUNTIFS($E:$E,"=Delregion Södra Älvsborg",$C:$C,"=Övrig socialtjänst",$A:$A,"&gt;2015-01-01",$A:$A,"&lt;2015-12-31")</f>
        <v>0</v>
      </c>
      <c r="N32">
        <f t="shared" si="1"/>
        <v>2</v>
      </c>
      <c r="Q32" s="69" t="s">
        <v>157</v>
      </c>
      <c r="R32" s="71" t="s">
        <v>158</v>
      </c>
      <c r="T32" s="295"/>
      <c r="U32" s="244" t="s">
        <v>465</v>
      </c>
      <c r="V32" s="6"/>
      <c r="W32" s="284"/>
      <c r="X32" s="244" t="s">
        <v>465</v>
      </c>
      <c r="Y32" s="6"/>
    </row>
    <row r="33" spans="1:25" ht="14.45" customHeight="1">
      <c r="A33" s="64">
        <v>41681</v>
      </c>
      <c r="B33" s="65" t="s">
        <v>95</v>
      </c>
      <c r="C33" s="65" t="s">
        <v>134</v>
      </c>
      <c r="D33" s="65" t="s">
        <v>126</v>
      </c>
      <c r="E33" t="str">
        <f t="shared" si="0"/>
        <v>Delregion Södra Älvsborg</v>
      </c>
      <c r="G33">
        <v>2015</v>
      </c>
      <c r="H33" s="68" t="s">
        <v>126</v>
      </c>
      <c r="I33">
        <f>COUNTIFS($E:$E,"=Delregion Fyrbodal",$D:$D,"=Hälso- och sjukvård",$A:$A,"&gt;2015-01-01",$A:$A,"&lt;2015-12-31")</f>
        <v>14</v>
      </c>
      <c r="J33">
        <f>COUNTIFS($E:$E,"=Delregion Göteborg",$D:$D,"=Hälso- och sjukvård",$A:$A,"&gt;2015-01-01",$A:$A,"&lt;2015-12-31")</f>
        <v>65</v>
      </c>
      <c r="K33">
        <f>COUNTIFS($E:$E,"=Delregion SIMBA",$D:$D,"=Hälso- och sjukvård",$A:$A,"&gt;2015-01-01",$A:$A,"&lt;2015-12-31")</f>
        <v>3</v>
      </c>
      <c r="L33">
        <f>COUNTIFS($E:$E,"=Delregion Skaraborg",$D:$D,"=Hälso- och sjukvård",$A:$A,"&gt;2015-01-01",$A:$A,"&lt;2015-12-31")</f>
        <v>9</v>
      </c>
      <c r="M33">
        <f>COUNTIFS($E:$E,"=Delregion Södra Älvsborg",$D:$D,"=Hälso- och sjukvård",$A:$A,"&gt;2015-01-01",$A:$A,"&lt;2015-12-31")</f>
        <v>12</v>
      </c>
      <c r="N33">
        <f t="shared" si="1"/>
        <v>103</v>
      </c>
      <c r="Q33" s="68" t="s">
        <v>192</v>
      </c>
      <c r="R33" s="71" t="s">
        <v>158</v>
      </c>
      <c r="T33" s="204"/>
      <c r="U33" s="248" t="s">
        <v>466</v>
      </c>
      <c r="V33" s="6"/>
      <c r="W33" s="257"/>
      <c r="X33" s="258" t="s">
        <v>466</v>
      </c>
      <c r="Y33" s="6"/>
    </row>
    <row r="34" spans="1:25" ht="14.45" customHeight="1">
      <c r="A34" s="64">
        <v>41681</v>
      </c>
      <c r="B34" s="65" t="s">
        <v>97</v>
      </c>
      <c r="C34" s="65" t="s">
        <v>127</v>
      </c>
      <c r="D34" s="65" t="s">
        <v>126</v>
      </c>
      <c r="E34" t="str">
        <f t="shared" si="0"/>
        <v>Delregion Fyrbodal</v>
      </c>
      <c r="G34">
        <v>2015</v>
      </c>
      <c r="H34" s="68" t="s">
        <v>200</v>
      </c>
      <c r="I34">
        <f>COUNTIFS($E:$E,"=Delregion Fyrbodal",$C:$C,"=Hemsjukvård i ordinärt boende",$A:$A,"&gt;2015-01-01",$A:$A,"&lt;2015-12-31")</f>
        <v>0</v>
      </c>
      <c r="J34">
        <f>COUNTIFS($E:$E,"=Delregion Göteborg",$C:$C,"=Hemsjukvård i ordinärt boende",$A:$A,"&gt;2015-01-01",$A:$A,"&lt;2015-12-31")</f>
        <v>1</v>
      </c>
      <c r="K34">
        <f>COUNTIFS($E:$E,"=Delregion SIMBA",$C:$C,"=Hemsjukvård i ordinärt boende",$A:$A,"&gt;2015-01-01",$A:$A,"&lt;2015-12-31")</f>
        <v>0</v>
      </c>
      <c r="L34">
        <f>COUNTIFS($E:$E,"=Delregion Skaraborg",$C:$C,"=Hemsjukvård i ordinärt boende",$A:$A,"&gt;2015-01-01",$A:$A,"&lt;2015-12-31")</f>
        <v>0</v>
      </c>
      <c r="M34">
        <f>COUNTIFS($E:$E,"=Delregion Södra Älvsborg",$C:$C,"=Hemsjukvård i ordinärt boende",$A:$A,"&gt;2015-01-01",$A:$A,"&lt;2015-12-31")</f>
        <v>0</v>
      </c>
      <c r="N34">
        <f t="shared" si="1"/>
        <v>1</v>
      </c>
      <c r="Q34" s="69" t="s">
        <v>159</v>
      </c>
      <c r="R34" s="71" t="s">
        <v>162</v>
      </c>
      <c r="T34" s="250"/>
      <c r="U34" s="251"/>
      <c r="V34" s="6"/>
      <c r="W34" s="250"/>
      <c r="X34" s="251"/>
      <c r="Y34" s="6"/>
    </row>
    <row r="35" spans="1:25" ht="14.45" customHeight="1">
      <c r="A35" s="64">
        <v>41682</v>
      </c>
      <c r="B35" s="65" t="s">
        <v>73</v>
      </c>
      <c r="C35" s="65" t="s">
        <v>85</v>
      </c>
      <c r="D35" s="65" t="s">
        <v>75</v>
      </c>
      <c r="E35" t="str">
        <f t="shared" si="0"/>
        <v>Delregion Göteborg</v>
      </c>
      <c r="G35">
        <v>2015</v>
      </c>
      <c r="H35" s="68" t="s">
        <v>128</v>
      </c>
      <c r="I35">
        <f>COUNTIFS($E:$E,"=Delregion Fyrbodal",$C:$C,"=Prehospital vård",$A:$A,"&gt;2015-01-01",$A:$A,"&lt;2015-12-31")</f>
        <v>1</v>
      </c>
      <c r="J35">
        <f>COUNTIFS($E:$E,"=Delregion Göteborg",$C:$C,"=Prehospital vård",$A:$A,"&gt;2015-01-01",$A:$A,"&lt;2015-12-31")</f>
        <v>1</v>
      </c>
      <c r="K35">
        <f>COUNTIFS($E:$E,"=Delregion SIMBA",$C:$C,"=Prehospital vård",$A:$A,"&gt;2015-01-01",$A:$A,"&lt;2015-12-31")</f>
        <v>1</v>
      </c>
      <c r="L35">
        <f>COUNTIFS($E:$E,"=Delregion Skaraborg",$C:$C,"=Prehospital vård",$A:$A,"&gt;2015-01-01",$A:$A,"&lt;2015-12-31")</f>
        <v>0</v>
      </c>
      <c r="M35">
        <f>COUNTIFS($E:$E,"=Delregion Södra Älvsborg",$C:$C,"=Prehospital vård",$A:$A,"&gt;2015-01-01",$A:$A,"&lt;2015-12-31")</f>
        <v>1</v>
      </c>
      <c r="N35">
        <f t="shared" si="1"/>
        <v>4</v>
      </c>
      <c r="Q35" s="69" t="s">
        <v>160</v>
      </c>
      <c r="R35" s="71" t="s">
        <v>162</v>
      </c>
      <c r="T35" s="249"/>
      <c r="U35" s="251"/>
      <c r="V35" s="6"/>
      <c r="W35" s="249"/>
      <c r="X35" s="251"/>
      <c r="Y35" s="6"/>
    </row>
    <row r="36" spans="1:25" ht="14.45" customHeight="1">
      <c r="A36" s="64">
        <v>41684</v>
      </c>
      <c r="B36" s="65" t="s">
        <v>73</v>
      </c>
      <c r="C36" s="65" t="s">
        <v>131</v>
      </c>
      <c r="D36" s="65" t="s">
        <v>126</v>
      </c>
      <c r="E36" t="str">
        <f t="shared" si="0"/>
        <v>Delregion Göteborg</v>
      </c>
      <c r="G36">
        <v>2015</v>
      </c>
      <c r="H36" s="68" t="s">
        <v>127</v>
      </c>
      <c r="I36">
        <f>COUNTIFS($E:$E,"=Delregion Fyrbodal",$C:$C,"=Primärvård, utom hemsjukvård",$A:$A,"&gt;2015-01-01",$A:$A,"&lt;2015-12-31")</f>
        <v>3</v>
      </c>
      <c r="J36">
        <f>COUNTIFS($E:$E,"=Delregion Göteborg",$C:$C,"=Primärvård, utom hemsjukvård",$A:$A,"&gt;2015-01-01",$A:$A,"&lt;2015-12-31")</f>
        <v>11</v>
      </c>
      <c r="K36">
        <f>COUNTIFS($E:$E,"=Delregion SIMBA",$C:$C,"=Primärvård, utom hemsjukvård",$A:$A,"&gt;2015-01-01",$A:$A,"&lt;2015-12-31")</f>
        <v>0</v>
      </c>
      <c r="L36">
        <f>COUNTIFS($E:$E,"=Delregion Skaraborg",$C:$C,"=Primärvård, utom hemsjukvård",$A:$A,"&gt;2015-01-01",$A:$A,"&lt;2015-12-31")</f>
        <v>0</v>
      </c>
      <c r="M36">
        <f>COUNTIFS($E:$E,"=Delregion Södra Älvsborg",$C:$C,"=Primärvård, utom hemsjukvård",$A:$A,"&gt;2015-01-01",$A:$A,"&lt;2015-12-31")</f>
        <v>3</v>
      </c>
      <c r="N36">
        <f t="shared" si="1"/>
        <v>17</v>
      </c>
      <c r="Q36" s="68" t="s">
        <v>193</v>
      </c>
      <c r="R36" s="71" t="s">
        <v>162</v>
      </c>
      <c r="T36" s="6"/>
      <c r="U36" s="6"/>
      <c r="V36" s="6"/>
      <c r="W36" s="6"/>
      <c r="X36" s="6"/>
      <c r="Y36" s="6"/>
    </row>
    <row r="37" spans="1:25" ht="14.45" customHeight="1">
      <c r="A37" s="64">
        <v>41688</v>
      </c>
      <c r="B37" s="65" t="s">
        <v>115</v>
      </c>
      <c r="C37" s="65" t="s">
        <v>127</v>
      </c>
      <c r="D37" s="65" t="s">
        <v>126</v>
      </c>
      <c r="E37" t="str">
        <f t="shared" si="0"/>
        <v>Delregion Göteborg</v>
      </c>
      <c r="G37">
        <v>2015</v>
      </c>
      <c r="H37" s="68" t="s">
        <v>129</v>
      </c>
      <c r="I37">
        <f>COUNTIFS($E:$E,"=Delregion Fyrbodal",$C:$C,"=Psykiatrisk specialistsjukvård",$A:$A,"&gt;2015-01-01",$A:$A,"&lt;2015-12-31")</f>
        <v>1</v>
      </c>
      <c r="J37">
        <f>COUNTIFS($E:$E,"=Delregion Göteborg",$C:$C,"=Psykiatrisk specialistsjukvård",$A:$A,"&gt;2015-01-01",$A:$A,"&lt;2015-12-31")</f>
        <v>9</v>
      </c>
      <c r="K37">
        <f>COUNTIFS($E:$E,"=Delregion SIMBA",$C:$C,"=Psykiatrisk specialistsjukvård",$A:$A,"&gt;2015-01-01",$A:$A,"&lt;2015-12-31")</f>
        <v>0</v>
      </c>
      <c r="L37">
        <f>COUNTIFS($E:$E,"=Delregion Skaraborg",$C:$C,"=Psykiatrisk specialistsjukvård",$A:$A,"&gt;2015-01-01",$A:$A,"&lt;2015-12-31")</f>
        <v>3</v>
      </c>
      <c r="M37">
        <f>COUNTIFS($E:$E,"=Delregion Södra Älvsborg",$C:$C,"=Psykiatrisk specialistsjukvård",$A:$A,"&gt;2015-01-01",$A:$A,"&lt;2015-12-31")</f>
        <v>0</v>
      </c>
      <c r="N37">
        <f t="shared" si="1"/>
        <v>13</v>
      </c>
      <c r="Q37" s="69" t="s">
        <v>161</v>
      </c>
      <c r="R37" s="71" t="s">
        <v>162</v>
      </c>
      <c r="T37" s="6"/>
      <c r="U37" s="6"/>
      <c r="V37" s="6"/>
      <c r="W37" s="6"/>
      <c r="X37" s="6"/>
      <c r="Y37" s="6"/>
    </row>
    <row r="38" spans="1:25" ht="14.45" customHeight="1">
      <c r="A38" s="64">
        <v>41691</v>
      </c>
      <c r="B38" s="65" t="s">
        <v>73</v>
      </c>
      <c r="C38" s="65" t="s">
        <v>83</v>
      </c>
      <c r="D38" s="65" t="s">
        <v>75</v>
      </c>
      <c r="E38" t="str">
        <f t="shared" si="0"/>
        <v>Delregion Göteborg</v>
      </c>
      <c r="G38">
        <v>2015</v>
      </c>
      <c r="H38" s="68" t="s">
        <v>198</v>
      </c>
      <c r="I38">
        <f>SUM(I26:I33)</f>
        <v>43</v>
      </c>
      <c r="J38">
        <f>SUM(J26:J33)</f>
        <v>142</v>
      </c>
      <c r="K38">
        <f>SUM(K26:K33)</f>
        <v>13</v>
      </c>
      <c r="L38">
        <f>SUM(L26:L33)</f>
        <v>38</v>
      </c>
      <c r="M38">
        <f>SUM(M26:M33)</f>
        <v>45</v>
      </c>
      <c r="N38">
        <f t="shared" si="1"/>
        <v>281</v>
      </c>
      <c r="Q38" s="69" t="s">
        <v>163</v>
      </c>
      <c r="R38" s="71" t="s">
        <v>178</v>
      </c>
    </row>
    <row r="39" spans="1:25" ht="14.45" customHeight="1">
      <c r="A39" s="64">
        <v>41694</v>
      </c>
      <c r="B39" s="65" t="s">
        <v>73</v>
      </c>
      <c r="C39" s="65" t="s">
        <v>85</v>
      </c>
      <c r="D39" s="65" t="s">
        <v>75</v>
      </c>
      <c r="E39" t="str">
        <f t="shared" si="0"/>
        <v>Delregion Göteborg</v>
      </c>
      <c r="G39">
        <v>2016</v>
      </c>
      <c r="H39" s="68" t="s">
        <v>75</v>
      </c>
      <c r="I39">
        <f>COUNTIFS($E:$E,"=Delregion Fyrbodal",$D:$D,"=Socialtjänst",$A:$A,"&gt;2016-01-01",$A:$A,"&lt;2016-12-31")</f>
        <v>52</v>
      </c>
      <c r="J39">
        <f>COUNTIFS($E:$E,"=Delregion Göteborg",$D:$D,"=Socialtjänst",$A:$A,"&gt;2016-01-01",$A:$A,"&lt;2016-12-31")</f>
        <v>92</v>
      </c>
      <c r="K39">
        <f>COUNTIFS($E:$E,"=Delregion SIMBA",$D:$D,"=Socialtjänst",$A:$A,"&gt;2016-01-01",$A:$A,"&lt;2016-12-31")</f>
        <v>27</v>
      </c>
      <c r="L39">
        <f>COUNTIFS($E:$E,"=Delregion Skaraborg",$D:$D,"=Socialtjänst",$A:$A,"&gt;2016-01-01",$A:$A,"&lt;2016-12-31")</f>
        <v>36</v>
      </c>
      <c r="M39">
        <f>COUNTIFS($E:$E,"=Delregion Södra Älvsborg",$D:$D,"=Socialtjänst",$A:$A,"&gt;2016-01-01",$A:$A,"&lt;2016-12-31")</f>
        <v>38</v>
      </c>
      <c r="N39">
        <f t="shared" si="1"/>
        <v>245</v>
      </c>
      <c r="Q39" s="69" t="s">
        <v>164</v>
      </c>
      <c r="R39" s="71" t="s">
        <v>178</v>
      </c>
    </row>
    <row r="40" spans="1:25" ht="14.45" customHeight="1">
      <c r="A40" s="64">
        <v>41694</v>
      </c>
      <c r="B40" s="65" t="s">
        <v>95</v>
      </c>
      <c r="C40" s="65" t="s">
        <v>127</v>
      </c>
      <c r="D40" s="65" t="s">
        <v>126</v>
      </c>
      <c r="E40" t="str">
        <f t="shared" si="0"/>
        <v>Delregion Södra Älvsborg</v>
      </c>
      <c r="G40">
        <v>2016</v>
      </c>
      <c r="H40" s="68" t="str">
        <f>"Ekonomiskt bistånd"</f>
        <v>Ekonomiskt bistånd</v>
      </c>
      <c r="I40">
        <f>COUNTIFS($E:$E,"=Delregion Fyrbodal",$C:$C,"=Ekonomiskt bistånd",$A:$A,"&gt;2016-01-01",$A:$A,"&lt;2016-12-31")</f>
        <v>6</v>
      </c>
      <c r="J40">
        <f>COUNTIFS($E:$E,"=Delregion Göteborg",$C:$C,"=Ekonomiskt bistånd",$A:$A,"&gt;2016-01-01",$A:$A,"&lt;2016-12-31")</f>
        <v>20</v>
      </c>
      <c r="K40">
        <f>COUNTIFS($E:$E,"=Delregion SIMBA",$C:$C,"=Ekonomiskt bistånd",$A:$A,"&gt;2016-01-01",$A:$A,"&lt;2016-12-31")</f>
        <v>1</v>
      </c>
      <c r="L40">
        <f>COUNTIFS($E:$E,"=Delregion Skaraborg",$C:$C,"=Ekonomiskt bistånd",$A:$A,"&gt;2016-01-01",$A:$A,"&lt;2016-12-31")</f>
        <v>5</v>
      </c>
      <c r="M40">
        <f>COUNTIFS($E:$E,"=Delregion Södra Älvsborg",$C:$C,"=Ekonomiskt bistånd",$A:$A,"&gt;2016-01-01",$A:$A,"&lt;2016-12-31")</f>
        <v>4</v>
      </c>
      <c r="N40">
        <f t="shared" si="1"/>
        <v>36</v>
      </c>
      <c r="Q40" s="69" t="s">
        <v>165</v>
      </c>
      <c r="R40" s="71" t="s">
        <v>178</v>
      </c>
    </row>
    <row r="41" spans="1:25" ht="14.45" customHeight="1">
      <c r="A41" s="64">
        <v>41695</v>
      </c>
      <c r="B41" s="65" t="s">
        <v>73</v>
      </c>
      <c r="C41" s="65" t="s">
        <v>125</v>
      </c>
      <c r="D41" s="65" t="s">
        <v>126</v>
      </c>
      <c r="E41" t="str">
        <f t="shared" si="0"/>
        <v>Delregion Göteborg</v>
      </c>
      <c r="G41">
        <v>2016</v>
      </c>
      <c r="H41" s="68" t="s">
        <v>96</v>
      </c>
      <c r="I41">
        <f>COUNTIFS($E:$E,"=Delregion Fyrbodal",$C:$C,"=Funktionsnedsättning LSS",$A:$A,"&gt;2016-01-01",$A:$A,"&lt;2016-12-31")</f>
        <v>1</v>
      </c>
      <c r="J41">
        <f>COUNTIFS($E:$E,"=Delregion Göteborg",$C:$C,"=Funktionsnedsättning LSS",$A:$A,"&gt;2016-01-01",$A:$A,"&lt;2016-12-31")</f>
        <v>5</v>
      </c>
      <c r="K41">
        <f>COUNTIFS($E:$E,"=Delregion SIMBA",$C:$C,"=Funktionsnedsättning LSS",$A:$A,"&gt;2016-01-01",$A:$A,"&lt;2016-12-31")</f>
        <v>0</v>
      </c>
      <c r="L41">
        <f>COUNTIFS($E:$E,"=Delregion Skaraborg",$C:$C,"=Funktionsnedsättning LSS",$A:$A,"&gt;2016-01-01",$A:$A,"&lt;2016-12-31")</f>
        <v>2</v>
      </c>
      <c r="M41">
        <f>COUNTIFS($E:$E,"=Delregion Södra Älvsborg",$C:$C,"=Funktionsnedsättning LSS",$A:$A,"&gt;2016-01-01",$A:$A,"&lt;2016-12-31")</f>
        <v>3</v>
      </c>
      <c r="N41">
        <f t="shared" si="1"/>
        <v>11</v>
      </c>
      <c r="Q41" s="69" t="s">
        <v>166</v>
      </c>
      <c r="R41" s="71" t="s">
        <v>178</v>
      </c>
    </row>
    <row r="42" spans="1:25" ht="14.45" customHeight="1">
      <c r="A42" s="64">
        <v>41696</v>
      </c>
      <c r="B42" s="65" t="s">
        <v>73</v>
      </c>
      <c r="C42" s="65" t="s">
        <v>91</v>
      </c>
      <c r="D42" s="65" t="s">
        <v>75</v>
      </c>
      <c r="E42" t="str">
        <f t="shared" si="0"/>
        <v>Delregion Göteborg</v>
      </c>
      <c r="G42">
        <v>2016</v>
      </c>
      <c r="H42" s="68" t="s">
        <v>118</v>
      </c>
      <c r="I42">
        <f>COUNTIFS($E:$E,"=Delregion Fyrbodal",$C:$C,"=Funktionsnedsättning SoL",$A:$A,"&gt;2016-01-01",$A:$A,"&lt;2016-12-31")</f>
        <v>1</v>
      </c>
      <c r="J42">
        <f>COUNTIFS($E:$E,"=Delregion Göteborg",$C:$C,"=Funktionsnedsättning SoL",$A:$A,"&gt;2016-01-01",$A:$A,"&lt;2016-12-31")</f>
        <v>4</v>
      </c>
      <c r="K42">
        <f>COUNTIFS($E:$E,"=Delregion SIMBA",$C:$C,"=Funktionsnedsättning SoL",$A:$A,"&gt;2016-01-01",$A:$A,"&lt;2016-12-31")</f>
        <v>1</v>
      </c>
      <c r="L42">
        <f>COUNTIFS($E:$E,"=Delregion Skaraborg",$C:$C,"=Funktionsnedsättning SoL",$A:$A,"&gt;2016-01-01",$A:$A,"&lt;2016-12-31")</f>
        <v>1</v>
      </c>
      <c r="M42">
        <f>COUNTIFS($E:$E,"=Delregion Södra Älvsborg",$C:$C,"=Funktionsnedsättning SoL",$A:$A,"&gt;2016-01-01",$A:$A,"&lt;2016-12-31")</f>
        <v>0</v>
      </c>
      <c r="N42">
        <f t="shared" si="1"/>
        <v>7</v>
      </c>
      <c r="Q42" s="69" t="s">
        <v>167</v>
      </c>
      <c r="R42" s="71" t="s">
        <v>178</v>
      </c>
    </row>
    <row r="43" spans="1:25" ht="14.45" customHeight="1">
      <c r="A43" s="64">
        <v>41703</v>
      </c>
      <c r="B43" s="65" t="s">
        <v>80</v>
      </c>
      <c r="C43" s="65" t="s">
        <v>91</v>
      </c>
      <c r="D43" s="65" t="s">
        <v>75</v>
      </c>
      <c r="E43" t="str">
        <f t="shared" si="0"/>
        <v>Delregion Södra Älvsborg</v>
      </c>
      <c r="G43">
        <v>2016</v>
      </c>
      <c r="H43" s="68" t="s">
        <v>100</v>
      </c>
      <c r="I43">
        <f>COUNTIFS($E:$E,"=Delregion Fyrbodal",$C:$C,"=Missbruk",$A:$A,"&gt;2016-01-01",$A:$A,"&lt;2016-12-31")</f>
        <v>0</v>
      </c>
      <c r="J43">
        <f>COUNTIFS($E:$E,"=Delregion Göteborg",$C:$C,"=Missbruk",$A:$A,"&gt;2016-01-01",$A:$A,"&lt;2016-12-31")</f>
        <v>2</v>
      </c>
      <c r="K43">
        <f>COUNTIFS($E:$E,"=Delregion SIMBA",$C:$C,"=Missbruk",$A:$A,"&gt;2016-01-01",$A:$A,"&lt;2016-12-31")</f>
        <v>2</v>
      </c>
      <c r="L43">
        <f>COUNTIFS($E:$E,"=Delregion Skaraborg",$C:$C,"=Missbruk",$A:$A,"&gt;2016-01-01",$A:$A,"&lt;2016-12-31")</f>
        <v>2</v>
      </c>
      <c r="M43">
        <f>COUNTIFS($E:$E,"=Delregion Södra Älvsborg",$C:$C,"=Missbruk",$A:$A,"&gt;2016-01-01",$A:$A,"&lt;2016-12-31")</f>
        <v>1</v>
      </c>
      <c r="N43">
        <f t="shared" si="1"/>
        <v>7</v>
      </c>
      <c r="Q43" s="69" t="s">
        <v>168</v>
      </c>
      <c r="R43" s="71" t="s">
        <v>178</v>
      </c>
    </row>
    <row r="44" spans="1:25" ht="14.45" customHeight="1">
      <c r="A44" s="64">
        <v>41703</v>
      </c>
      <c r="B44" s="65" t="s">
        <v>73</v>
      </c>
      <c r="C44" s="65" t="s">
        <v>128</v>
      </c>
      <c r="D44" s="65" t="s">
        <v>126</v>
      </c>
      <c r="E44" t="str">
        <f t="shared" si="0"/>
        <v>Delregion Göteborg</v>
      </c>
      <c r="G44">
        <v>2016</v>
      </c>
      <c r="H44" s="68" t="s">
        <v>201</v>
      </c>
      <c r="I44">
        <f>COUNTIFS($E:$E,"=Delregion Fyrbodal",$C:$C,"=Äldreomsorg",$A:$A,"&gt;2016-01-01",$A:$A,"&lt;2016-12-31")</f>
        <v>4</v>
      </c>
      <c r="J44">
        <f>COUNTIFS($E:$E,"=Delregion Göteborg",$C:$C,"=Äldreomsorg",$A:$A,"&gt;2016-01-01",$A:$A,"&lt;2016-12-31")</f>
        <v>8</v>
      </c>
      <c r="K44">
        <f>COUNTIFS($E:$E,"=Delregion SIMBA",$C:$C,"=Äldreomsorg",$A:$A,"&gt;2016-01-01",$A:$A,"&lt;2016-12-31")</f>
        <v>1</v>
      </c>
      <c r="L44">
        <f>COUNTIFS($E:$E,"=Delregion Skaraborg",$C:$C,"=Äldreomsorg",$A:$A,"&gt;2016-01-01",$A:$A,"&lt;2016-12-31")</f>
        <v>2</v>
      </c>
      <c r="M44">
        <f>COUNTIFS($E:$E,"=Delregion Södra Älvsborg",$C:$C,"=Äldreomsorg",$A:$A,"&gt;2016-01-01",$A:$A,"&lt;2016-12-31")</f>
        <v>4</v>
      </c>
      <c r="N44">
        <f t="shared" si="1"/>
        <v>19</v>
      </c>
      <c r="Q44" s="69" t="s">
        <v>169</v>
      </c>
      <c r="R44" s="71" t="s">
        <v>178</v>
      </c>
    </row>
    <row r="45" spans="1:25" ht="14.45" customHeight="1">
      <c r="A45" s="64">
        <v>41703</v>
      </c>
      <c r="B45" s="65" t="s">
        <v>99</v>
      </c>
      <c r="C45" s="65" t="s">
        <v>91</v>
      </c>
      <c r="D45" s="65" t="s">
        <v>126</v>
      </c>
      <c r="E45" t="str">
        <f t="shared" si="0"/>
        <v>Delregion Skaraborg</v>
      </c>
      <c r="G45">
        <v>2016</v>
      </c>
      <c r="H45" s="68" t="s">
        <v>79</v>
      </c>
      <c r="I45">
        <f>COUNTIFS($E:$E,"=Delregion Fyrbodal",$C:$C,"=Övrig socialtjänst",$A:$A,"&gt;2016-01-01",$A:$A,"&lt;2016-12-31")</f>
        <v>2</v>
      </c>
      <c r="J45">
        <f>COUNTIFS($E:$E,"=Delregion Göteborg",$C:$C,"=Övrig socialtjänst",$A:$A,"&gt;2016-01-01",$A:$A,"&lt;2016-12-31")</f>
        <v>3</v>
      </c>
      <c r="K45">
        <f>COUNTIFS($E:$E,"=Delregion SIMBA",$C:$C,"=Övrig socialtjänst",$A:$A,"&gt;2016-01-01",$A:$A,"&lt;2016-12-31")</f>
        <v>2</v>
      </c>
      <c r="L45">
        <f>COUNTIFS($E:$E,"=Delregion Skaraborg",$C:$C,"=Övrig socialtjänst",$A:$A,"&gt;2016-01-01",$A:$A,"&lt;2016-12-31")</f>
        <v>0</v>
      </c>
      <c r="M45">
        <f>COUNTIFS($E:$E,"=Delregion Södra Älvsborg",$C:$C,"=Övrig socialtjänst",$A:$A,"&gt;2016-01-01",$A:$A,"&lt;2016-12-31")</f>
        <v>1</v>
      </c>
      <c r="N45">
        <f t="shared" si="1"/>
        <v>8</v>
      </c>
      <c r="Q45" s="69" t="s">
        <v>170</v>
      </c>
      <c r="R45" s="71" t="s">
        <v>178</v>
      </c>
    </row>
    <row r="46" spans="1:25" ht="14.45" customHeight="1">
      <c r="A46" s="64">
        <v>41704</v>
      </c>
      <c r="B46" s="65" t="s">
        <v>102</v>
      </c>
      <c r="C46" s="65" t="s">
        <v>85</v>
      </c>
      <c r="D46" s="65" t="s">
        <v>75</v>
      </c>
      <c r="E46" t="str">
        <f t="shared" si="0"/>
        <v>Delregion Södra Älvsborg</v>
      </c>
      <c r="G46">
        <v>2016</v>
      </c>
      <c r="H46" s="68" t="s">
        <v>126</v>
      </c>
      <c r="I46">
        <f>IF(COUNTIFS($E:$E,"=Delregion Fyrbodal",$D:$D,"=Hälso- och sjukvård",$A:$A,"&gt;2016-01-01",$A:$A,"&lt;2016-12-31")=0," ",COUNTIFS($E:$E,"=Delregion Fyrbodal",$D:$D,"=Hälso- och sjukvård",$A:$A,"&gt;2016-01-01",$A:$A,"&lt;2016-12-31"))</f>
        <v>28</v>
      </c>
      <c r="J46">
        <f>COUNTIFS($E:$E,"=Delregion Göteborg",$D:$D,"=Hälso- och sjukvård",$A:$A,"&gt;2016-01-01",$A:$A,"&lt;2016-12-31")</f>
        <v>106</v>
      </c>
      <c r="K46">
        <f>COUNTIFS($E:$E,"=Delregion SIMBA",$D:$D,"=Hälso- och sjukvård",$A:$A,"&gt;2016-01-01",$A:$A,"&lt;2016-12-31")</f>
        <v>12</v>
      </c>
      <c r="L46">
        <f>COUNTIFS($E:$E,"=Delregion Skaraborg",$D:$D,"=Hälso- och sjukvård",$A:$A,"&gt;2016-01-01",$A:$A,"&lt;2016-12-31")</f>
        <v>34</v>
      </c>
      <c r="M46">
        <f>COUNTIFS($E:$E,"=Delregion Södra Älvsborg",$D:$D,"=Hälso- och sjukvård",$A:$A,"&gt;2016-01-01",$A:$A,"&lt;2016-12-31")</f>
        <v>32</v>
      </c>
      <c r="N46">
        <f t="shared" si="1"/>
        <v>212</v>
      </c>
      <c r="Q46" s="69" t="s">
        <v>171</v>
      </c>
      <c r="R46" s="71" t="s">
        <v>178</v>
      </c>
    </row>
    <row r="47" spans="1:25" ht="14.45" customHeight="1">
      <c r="A47" s="64">
        <v>41708</v>
      </c>
      <c r="B47" s="65" t="s">
        <v>90</v>
      </c>
      <c r="C47" s="65" t="s">
        <v>85</v>
      </c>
      <c r="D47" s="65" t="s">
        <v>75</v>
      </c>
      <c r="E47" t="str">
        <f t="shared" si="0"/>
        <v>Delregion Skaraborg</v>
      </c>
      <c r="G47">
        <v>2016</v>
      </c>
      <c r="H47" s="68" t="s">
        <v>200</v>
      </c>
      <c r="I47">
        <f>COUNTIFS($E:$E,"=Delregion Fyrbodal",$C:$C,"=Hemsjukvård i ordinärt boende",$A:$A,"&gt;2016-01-01",$A:$A,"&lt;2016-12-31")</f>
        <v>0</v>
      </c>
      <c r="J47">
        <f>COUNTIFS($E:$E,"=Delregion Göteborg",$C:$C,"=Hemsjukvård i ordinärt boende",$A:$A,"&gt;2016-01-01",$A:$A,"&lt;2016-12-31")</f>
        <v>0</v>
      </c>
      <c r="K47">
        <f>COUNTIFS($E:$E,"=Delregion SIMBA",$C:$C,"=Hemsjukvård i ordinärt boende",$A:$A,"&gt;2016-01-01",$A:$A,"&lt;2016-12-31")</f>
        <v>0</v>
      </c>
      <c r="L47">
        <f>COUNTIFS($E:$E,"=Delregion Skaraborg",$C:$C,"=Hemsjukvård i ordinärt boende",$A:$A,"&gt;2016-01-01",$A:$A,"&lt;2016-12-31")</f>
        <v>1</v>
      </c>
      <c r="M47">
        <f>COUNTIFS($E:$E,"=Delregion Södra Älvsborg",$C:$C,"=Hemsjukvård i ordinärt boende",$A:$A,"&gt;2016-01-01",$A:$A,"&lt;2016-12-31")</f>
        <v>0</v>
      </c>
      <c r="N47">
        <f t="shared" si="1"/>
        <v>1</v>
      </c>
      <c r="Q47" s="69" t="s">
        <v>172</v>
      </c>
      <c r="R47" s="71" t="s">
        <v>178</v>
      </c>
    </row>
    <row r="48" spans="1:25" ht="14.45" customHeight="1">
      <c r="A48" s="64">
        <v>41708</v>
      </c>
      <c r="B48" s="65" t="s">
        <v>120</v>
      </c>
      <c r="C48" s="65" t="s">
        <v>88</v>
      </c>
      <c r="D48" s="65" t="s">
        <v>75</v>
      </c>
      <c r="E48" t="str">
        <f t="shared" si="0"/>
        <v>Delregion Södra Älvsborg</v>
      </c>
      <c r="G48">
        <v>2016</v>
      </c>
      <c r="H48" s="68" t="s">
        <v>128</v>
      </c>
      <c r="I48" t="str">
        <f>IF(COUNTIFS($E:$E,"=Delregion Fyrbodal",$C:$C,"=Prehospital vård",$A:$A,"&gt;2016-01-01",$A:$A,"&lt;2016-12-31")=0," ",COUNTIFS($E:$E,"=Delregion Fyrbodal",$C:$C,"=Prehospital vård",$A:$A,"&gt;2016-01-01",$A:$A,"&lt;2016-12-31"))</f>
        <v xml:space="preserve"> </v>
      </c>
      <c r="J48">
        <f>COUNTIFS($E:$E,"=Delregion Göteborg",$C:$C,"=Prehospital vård",$A:$A,"&gt;2016-01-01",$A:$A,"&lt;2016-12-31")</f>
        <v>2</v>
      </c>
      <c r="K48">
        <f>COUNTIFS($E:$E,"=Delregion SIMBA",$C:$C,"=Prehospital vård",$A:$A,"&gt;2016-01-01",$A:$A,"&lt;2016-12-31")</f>
        <v>1</v>
      </c>
      <c r="L48">
        <f>COUNTIFS($E:$E,"=Delregion Skaraborg",$C:$C,"=Prehospital vård",$A:$A,"&gt;2016-01-01",$A:$A,"&lt;2016-12-31")</f>
        <v>0</v>
      </c>
      <c r="M48">
        <f>COUNTIFS($E:$E,"=Delregion Södra Älvsborg",$C:$C,"=Prehospital vård",$A:$A,"&gt;2016-01-01",$A:$A,"&lt;2016-12-31")</f>
        <v>0</v>
      </c>
      <c r="N48">
        <f t="shared" si="1"/>
        <v>3</v>
      </c>
      <c r="Q48" s="69" t="s">
        <v>173</v>
      </c>
      <c r="R48" s="71" t="s">
        <v>178</v>
      </c>
    </row>
    <row r="49" spans="1:18" ht="14.45" customHeight="1">
      <c r="A49" s="64">
        <v>41709</v>
      </c>
      <c r="B49" s="65" t="s">
        <v>73</v>
      </c>
      <c r="C49" s="65" t="s">
        <v>85</v>
      </c>
      <c r="D49" s="65" t="s">
        <v>75</v>
      </c>
      <c r="E49" t="str">
        <f t="shared" si="0"/>
        <v>Delregion Göteborg</v>
      </c>
      <c r="G49">
        <v>2016</v>
      </c>
      <c r="H49" s="68" t="s">
        <v>127</v>
      </c>
      <c r="I49">
        <f>IF(COUNTIFS($E:$E,"=Delregion Fyrbodal",$C:$C,"=Primärvård, utom hemsjukvård",$A:$A,"&gt;2016-01-01",$A:$A,"&lt;2016-12-31")=0," ",COUNTIFS($E:$E,"=Delregion Fyrbodal",$C:$C,"=Primärvård, utom hemsjukvård",$A:$A,"&gt;2016-01-01",$A:$A,"&lt;2016-12-31"))</f>
        <v>8</v>
      </c>
      <c r="J49">
        <f>COUNTIFS($E:$E,"=Delregion Göteborg",$C:$C,"=Primärvård, utom hemsjukvård",$A:$A,"&gt;2016-01-01",$A:$A,"&lt;2016-12-31")</f>
        <v>28</v>
      </c>
      <c r="K49">
        <f>COUNTIFS($E:$E,"=Delregion SIMBA",$C:$C,"=Primärvård, utom hemsjukvård",$A:$A,"&gt;2016-01-01",$A:$A,"&lt;2016-12-31")</f>
        <v>3</v>
      </c>
      <c r="L49">
        <f>COUNTIFS($E:$E,"=Delregion Skaraborg",$C:$C,"=Primärvård, utom hemsjukvård",$A:$A,"&gt;2016-01-01",$A:$A,"&lt;2016-12-31")</f>
        <v>13</v>
      </c>
      <c r="M49">
        <f>COUNTIFS($E:$E,"=Delregion Södra Älvsborg",$C:$C,"=Primärvård, utom hemsjukvård",$A:$A,"&gt;2016-01-01",$A:$A,"&lt;2016-12-31")</f>
        <v>12</v>
      </c>
      <c r="N49">
        <f t="shared" si="1"/>
        <v>64</v>
      </c>
      <c r="Q49" s="69" t="s">
        <v>174</v>
      </c>
      <c r="R49" s="71" t="s">
        <v>178</v>
      </c>
    </row>
    <row r="50" spans="1:18" ht="14.45" customHeight="1">
      <c r="A50" s="64">
        <v>41710</v>
      </c>
      <c r="B50" s="65" t="s">
        <v>78</v>
      </c>
      <c r="C50" s="65" t="s">
        <v>83</v>
      </c>
      <c r="D50" s="65" t="s">
        <v>75</v>
      </c>
      <c r="E50" t="str">
        <f t="shared" si="0"/>
        <v>Delregion SIMBA</v>
      </c>
      <c r="G50">
        <v>2016</v>
      </c>
      <c r="H50" s="68" t="s">
        <v>129</v>
      </c>
      <c r="I50">
        <f>IF(COUNTIFS($E:$E,"=Delregion Fyrbodal",$C:$C,"=Psykiatrisk specialistsjukvård",$A:$A,"&gt;2016-01-01",$A:$A,"&lt;2016-12-31")=0," ",COUNTIFS($E:$E,"=Delregion Fyrbodal",$C:$C,"=Psykiatrisk specialistsjukvård",$A:$A,"&gt;2016-01-01",$A:$A,"&lt;2016-12-31"))</f>
        <v>7</v>
      </c>
      <c r="J50">
        <f>COUNTIFS($E:$E,"=Delregion Göteborg",$C:$C,"=Psykiatrisk specialistsjukvård",$A:$A,"&gt;2016-01-01",$A:$A,"&lt;2016-12-31")</f>
        <v>17</v>
      </c>
      <c r="K50">
        <f>COUNTIFS($E:$E,"=Delregion SIMBA",$C:$C,"=Psykiatrisk specialistsjukvård",$A:$A,"&gt;2016-01-01",$A:$A,"&lt;2016-12-31")</f>
        <v>5</v>
      </c>
      <c r="L50">
        <f>COUNTIFS($E:$E,"=Delregion Skaraborg",$C:$C,"=Psykiatrisk specialistsjukvård",$A:$A,"&gt;2016-01-01",$A:$A,"&lt;2016-12-31")</f>
        <v>9</v>
      </c>
      <c r="M50">
        <f>COUNTIFS($E:$E,"=Delregion Södra Älvsborg",$C:$C,"=Psykiatrisk specialistsjukvård",$A:$A,"&gt;2016-01-01",$A:$A,"&lt;2016-12-31")</f>
        <v>10</v>
      </c>
      <c r="N50">
        <f t="shared" si="1"/>
        <v>48</v>
      </c>
      <c r="Q50" s="69" t="s">
        <v>175</v>
      </c>
      <c r="R50" s="71" t="s">
        <v>178</v>
      </c>
    </row>
    <row r="51" spans="1:18" ht="14.45" customHeight="1">
      <c r="A51" s="64">
        <v>41710</v>
      </c>
      <c r="B51" s="65" t="s">
        <v>73</v>
      </c>
      <c r="C51" s="65" t="s">
        <v>96</v>
      </c>
      <c r="D51" s="65" t="s">
        <v>75</v>
      </c>
      <c r="E51" t="str">
        <f t="shared" si="0"/>
        <v>Delregion Göteborg</v>
      </c>
      <c r="G51">
        <v>2016</v>
      </c>
      <c r="H51" s="68" t="s">
        <v>198</v>
      </c>
      <c r="I51">
        <f>SUM(I39:I46)</f>
        <v>94</v>
      </c>
      <c r="J51">
        <f>SUM(J39:J46)</f>
        <v>240</v>
      </c>
      <c r="K51">
        <f>SUM(K39:K46)</f>
        <v>46</v>
      </c>
      <c r="L51">
        <f>SUM(L39:L46)</f>
        <v>82</v>
      </c>
      <c r="M51">
        <f>SUM(M39:M46)</f>
        <v>83</v>
      </c>
      <c r="N51">
        <f t="shared" si="1"/>
        <v>545</v>
      </c>
      <c r="Q51" s="69" t="s">
        <v>176</v>
      </c>
      <c r="R51" s="71" t="s">
        <v>178</v>
      </c>
    </row>
    <row r="52" spans="1:18" ht="14.45" customHeight="1">
      <c r="A52" s="64">
        <v>41710</v>
      </c>
      <c r="B52" s="65" t="s">
        <v>73</v>
      </c>
      <c r="C52" s="65" t="s">
        <v>131</v>
      </c>
      <c r="D52" s="65" t="s">
        <v>126</v>
      </c>
      <c r="E52" t="str">
        <f t="shared" si="0"/>
        <v>Delregion Göteborg</v>
      </c>
      <c r="G52">
        <v>2017</v>
      </c>
      <c r="H52" s="68" t="s">
        <v>75</v>
      </c>
      <c r="I52" t="e">
        <f>IF(COUNTIFS($E:$E,"=Delregion Fyrbodal",$D:$D,"=Socialtjänst",$A:$A,"&gt;2017-01-01",$A:$A,"&lt;2017-12-31")=0,FIND(" ",O21,1),COUNTIFS($E:$E,"=Delregion Fyrbodal",$D:$D,"=Socialtjänst",$A:$A,"&gt;2017-01-01",$A:$A,"&lt;2017-12-31"))</f>
        <v>#VALUE!</v>
      </c>
      <c r="J52" t="e">
        <f>IF(COUNTIFS($E:$E,"=Delregion Göteborg",$D:$D,"=Socialtjänst",$A:$A,"&gt;2017-01-01",$A:$A,"&lt;2017-12-31")=0,FIND(" ",O21,1),COUNTIFS($E:$E,"=Delregion Göteborg",$D:$D,"=Socialtjänst",$A:$A,"&gt;2017-01-01",$A:$A,"&lt;2017-12-31"))</f>
        <v>#VALUE!</v>
      </c>
      <c r="K52" t="e">
        <f>IF(COUNTIFS($E:$E,"=Delregion SIMBA",$D:$D,"=Socialtjänst",$A:$A,"&gt;2017-01-01",$A:$A,"&lt;2017-12-31")=0,FIND(" ",O21,1),COUNTIFS($E:$E,"=Delregion SIMBA",$D:$D,"=Socialtjänst",$A:$A,"&gt;2017-01-01",$A:$A,"&lt;2017-12-31"))</f>
        <v>#VALUE!</v>
      </c>
      <c r="L52" t="e">
        <f>IF(COUNTIFS($E:$E,"=Delregion Skaraborg",$D:$D,"=Socialtjänst",$A:$A,"&gt;2017-01-01",$A:$A,"&lt;2017-12-31")=0,FIND(" ",O21,1),COUNTIFS($E:$E,"=Delregion Skaraborg",$D:$D,"=Socialtjänst",$A:$A,"&gt;2017-01-01",$A:$A,"&lt;2017-12-31"))</f>
        <v>#VALUE!</v>
      </c>
      <c r="M52" t="e">
        <f>IF(COUNTIFS($E:$E,"=Delregion Södra Älvsborg",$D:$D,"=Socialtjänst",$A:$A,"&gt;2017-01-01",$A:$A,"&lt;2017-12-31")=0,FIND(" ",O21,1),COUNTIFS($E:$E,"=Delregion Södra Älvsborg",$D:$D,"=Socialtjänst",$A:$A,"&gt;2017-01-01",$A:$A,"&lt;2017-12-31"))</f>
        <v>#VALUE!</v>
      </c>
      <c r="N52" t="e">
        <f t="shared" ref="N52:N77" si="2">IF(SUM(I52:M52)=0,FIND(" ",O65,1),SUM(I52:M52))</f>
        <v>#VALUE!</v>
      </c>
      <c r="Q52" s="69" t="s">
        <v>177</v>
      </c>
      <c r="R52" s="71" t="s">
        <v>178</v>
      </c>
    </row>
    <row r="53" spans="1:18" ht="14.45" customHeight="1">
      <c r="A53" s="64">
        <v>41711</v>
      </c>
      <c r="B53" s="65" t="s">
        <v>103</v>
      </c>
      <c r="C53" s="65" t="s">
        <v>83</v>
      </c>
      <c r="D53" s="65" t="s">
        <v>75</v>
      </c>
      <c r="E53" t="str">
        <f t="shared" si="0"/>
        <v>Delregion Göteborg</v>
      </c>
      <c r="G53">
        <v>2017</v>
      </c>
      <c r="H53" s="68" t="str">
        <f>"Ekonomiskt bistånd"</f>
        <v>Ekonomiskt bistånd</v>
      </c>
      <c r="I53" t="e">
        <f>IF(COUNTIFS($E:$E,"=Delregion Fyrbodal",$C:$C,"=Ekonomiskt bistånd",$A:$A,"&gt;2017-01-01",$A:$A,"&lt;2017-12-31")=0,FIND(" ",O22,1),COUNTIFS($E:$E,"=Delregion Fyrbodal",$C:$C,"=Ekonomiskt bistånd",$A:$A,"&gt;2017-01-01",$A:$A,"&lt;2017-12-31"))</f>
        <v>#VALUE!</v>
      </c>
      <c r="J53" t="e">
        <f>IF(COUNTIFS($E:$E,"=Delregion Göteborg",$C:$C,"=Ekonomiskt bistånd",$A:$A,"&gt;2017-01-01",$A:$A,"&lt;2017-12-31")=0,FIND(" ",O22,1),COUNTIFS($E:$E,"=Delregion Göteborg",$C:$C,"=Ekonomiskt bistånd",$A:$A,"&gt;2017-01-01",$A:$A,"&lt;2017-12-31"))</f>
        <v>#VALUE!</v>
      </c>
      <c r="K53" t="e">
        <f>IF(COUNTIFS($E:$E,"=Delregion SIMBA",$C:$C,"=Ekonomiskt bistånd",$A:$A,"&gt;2017-01-01",$A:$A,"&lt;2017-12-31")=0,FIND(" ",O22,1),COUNTIFS($E:$E,"=Delregion SIMBA",$C:$C,"=Ekonomiskt bistånd",$A:$A,"&gt;2017-01-01",$A:$A,"&lt;2017-12-31"))</f>
        <v>#VALUE!</v>
      </c>
      <c r="L53" t="e">
        <f>IF(COUNTIFS($E:$E,"=Delregion Skaraborg",$C:$C,"=Ekonomiskt bistånd",$A:$A,"&gt;2017-01-01",$A:$A,"&lt;2017-12-31")=0,FIND(" ",O22,1),COUNTIFS($E:$E,"=Delregion Skaraborg",$C:$C,"=Ekonomiskt bistånd",$A:$A,"&gt;2017-01-01",$A:$A,"&lt;2017-12-31"))</f>
        <v>#VALUE!</v>
      </c>
      <c r="M53" t="e">
        <f>IF(COUNTIFS($E:$E,"=Delregion Södra Älvsborg",$C:$C,"=Ekonomiskt bistånd",$A:$A,"&gt;2017-01-01",$A:$A,"&lt;2017-12-31")=0,FIND(" ",O22,1),COUNTIFS($E:$E,"=Delregion Södra Älvsborg",$C:$C,"=Ekonomiskt bistånd",$A:$A,"&gt;2017-01-01",$A:$A,"&lt;2017-12-31"))</f>
        <v>#VALUE!</v>
      </c>
      <c r="N53" t="e">
        <f t="shared" si="2"/>
        <v>#VALUE!</v>
      </c>
      <c r="Q53" s="68" t="s">
        <v>194</v>
      </c>
      <c r="R53" s="71" t="s">
        <v>188</v>
      </c>
    </row>
    <row r="54" spans="1:18" ht="14.45" customHeight="1">
      <c r="A54" s="64">
        <v>41711</v>
      </c>
      <c r="B54" s="65" t="s">
        <v>86</v>
      </c>
      <c r="C54" s="65" t="s">
        <v>130</v>
      </c>
      <c r="D54" s="65" t="s">
        <v>126</v>
      </c>
      <c r="E54" t="str">
        <f t="shared" si="0"/>
        <v>Delregion Fyrbodal</v>
      </c>
      <c r="G54">
        <v>2017</v>
      </c>
      <c r="H54" s="68" t="s">
        <v>96</v>
      </c>
      <c r="I54" t="e">
        <f>IF(COUNTIFS($E:$E,"=Delregion Fyrbodal",$C:$C,"=Funktionsnedsättning LSS",$A:$A,"&gt;2017-01-01",$A:$A,"&lt;2017-12-31")=0,FIND(" ",O23,1),COUNTIFS($E:$E,"=Delregion Fyrbodal",$C:$C,"=Funktionsnedsättning LSS",$A:$A,"&gt;2017-01-01",$A:$A,"&lt;2017-12-31"))</f>
        <v>#VALUE!</v>
      </c>
      <c r="J54" t="e">
        <f>IF(COUNTIFS($E:$E,"=Delregion Göteborg",$C:$C,"=Funktionsnedsättning LSS",$A:$A,"&gt;2017-01-01",$A:$A,"&lt;2017-12-31")=0,FIND(" ",O23,1),COUNTIFS($E:$E,"=Delregion Göteborg",$C:$C,"=Funktionsnedsättning LSS",$A:$A,"&gt;2017-01-01",$A:$A,"&lt;2017-12-31"))</f>
        <v>#VALUE!</v>
      </c>
      <c r="K54" t="e">
        <f>IF(COUNTIFS($E:$E,"=Delregion SIMBA",$C:$C,"=Funktionsnedsättning LSS",$A:$A,"&gt;2017-01-01",$A:$A,"&lt;2017-12-31")=0,FIND(" ",O23,1),COUNTIFS($E:$E,"=Delregion SIMBA",$C:$C,"=Funktionsnedsättning LSS",$A:$A,"&gt;2017-01-01",$A:$A,"&lt;2017-12-31"))</f>
        <v>#VALUE!</v>
      </c>
      <c r="L54" t="e">
        <f>IF(COUNTIFS($E:$E,"=Delregion Skaraborg",$C:$C,"=Funktionsnedsättning LSS",$A:$A,"&gt;2017-01-01",$A:$A,"&lt;2017-12-31")=0,FIND(" ",O23,1),COUNTIFS($E:$E,"=Delregion Skaraborg",$C:$C,"=Funktionsnedsättning LSS",$A:$A,"&gt;2017-01-01",$A:$A,"&lt;2017-12-31"))</f>
        <v>#VALUE!</v>
      </c>
      <c r="M54" t="e">
        <f>IF(COUNTIFS($E:$E,"=Delregion Södra Älvsborg",$C:$C,"=Funktionsnedsättning LSS",$A:$A,"&gt;2017-01-01",$A:$A,"&lt;2017-12-31")=0,FIND(" ",O23,1),COUNTIFS($E:$E,"=Delregion Södra Älvsborg",$C:$C,"=Funktionsnedsättning LSS",$A:$A,"&gt;2017-01-01",$A:$A,"&lt;2017-12-31"))</f>
        <v>#VALUE!</v>
      </c>
      <c r="N54" t="e">
        <f t="shared" si="2"/>
        <v>#VALUE!</v>
      </c>
      <c r="Q54" s="69" t="s">
        <v>179</v>
      </c>
      <c r="R54" s="71" t="s">
        <v>188</v>
      </c>
    </row>
    <row r="55" spans="1:18" ht="14.45" customHeight="1">
      <c r="A55" s="64">
        <v>41716</v>
      </c>
      <c r="B55" s="65" t="s">
        <v>94</v>
      </c>
      <c r="C55" s="65" t="s">
        <v>85</v>
      </c>
      <c r="D55" s="65" t="s">
        <v>75</v>
      </c>
      <c r="E55" t="str">
        <f t="shared" si="0"/>
        <v>Delregion Fyrbodal</v>
      </c>
      <c r="G55">
        <v>2017</v>
      </c>
      <c r="H55" s="68" t="s">
        <v>118</v>
      </c>
      <c r="I55" t="e">
        <f>IF(COUNTIFS($E:$E,"=Delregion Fyrbodal",$C:$C,"=Funktionsnedsättning SoL",$A:$A,"&gt;2017-01-01",$A:$A,"&lt;2017-12-31")=0,FIND(" ",O24,1),COUNTIFS($E:$E,"=Delregion Fyrbodal",$C:$C,"=Funktionsnedsättning SoL",$A:$A,"&gt;2017-01-01",$A:$A,"&lt;2017-12-31"))</f>
        <v>#VALUE!</v>
      </c>
      <c r="J55" t="e">
        <f>IF(COUNTIFS($E:$E,"=Delregion Göteborg",$C:$C,"=Funktionsnedsättning SoL",$A:$A,"&gt;2017-01-01",$A:$A,"&lt;2017-12-31")=0,FIND(" ",O24,1),COUNTIFS($E:$E,"=Delregion Göteborg",$C:$C,"=Funktionsnedsättning SoL",$A:$A,"&gt;2017-01-01",$A:$A,"&lt;2017-12-31"))</f>
        <v>#VALUE!</v>
      </c>
      <c r="K55" t="e">
        <f>IF(COUNTIFS($E:$E,"=Delregion SIMBA",$C:$C,"=Funktionsnedsättning SoL",$A:$A,"&gt;2017-01-01",$A:$A,"&lt;2017-12-31")=0,FIND(" ",O24,1),COUNTIFS($E:$E,"=Delregion SIMBA",$C:$C,"=Funktionsnedsättning SoL",$A:$A,"&gt;2017-01-01",$A:$A,"&lt;2017-12-31"))</f>
        <v>#VALUE!</v>
      </c>
      <c r="L55" t="e">
        <f>IF(COUNTIFS($E:$E,"=Delregion Skaraborg",$C:$C,"=Funktionsnedsättning SoL",$A:$A,"&gt;2017-01-01",$A:$A,"&lt;2017-12-31")=0,FIND(" ",O24,1),COUNTIFS($E:$E,"=Delregion Skaraborg",$C:$C,"=Funktionsnedsättning SoL",$A:$A,"&gt;2017-01-01",$A:$A,"&lt;2017-12-31"))</f>
        <v>#VALUE!</v>
      </c>
      <c r="M55" t="e">
        <f>IF(COUNTIFS($E:$E,"=Delregion Södra Älvsborg",$C:$C,"=Funktionsnedsättning SoL",$A:$A,"&gt;2017-01-01",$A:$A,"&lt;2017-12-31")=0,FIND(" ",O24,1),COUNTIFS($E:$E,"=Delregion Södra Älvsborg",$C:$C,"=Funktionsnedsättning SoL",$A:$A,"&gt;2017-01-01",$A:$A,"&lt;2017-12-31"))</f>
        <v>#VALUE!</v>
      </c>
      <c r="N55" t="e">
        <f t="shared" si="2"/>
        <v>#VALUE!</v>
      </c>
      <c r="Q55" s="69" t="s">
        <v>180</v>
      </c>
      <c r="R55" s="71" t="s">
        <v>188</v>
      </c>
    </row>
    <row r="56" spans="1:18" ht="14.45" customHeight="1">
      <c r="A56" s="64">
        <v>41717</v>
      </c>
      <c r="B56" s="65" t="s">
        <v>114</v>
      </c>
      <c r="C56" s="65" t="s">
        <v>85</v>
      </c>
      <c r="D56" s="65" t="s">
        <v>75</v>
      </c>
      <c r="E56" t="str">
        <f t="shared" si="0"/>
        <v>Delregion Fyrbodal</v>
      </c>
      <c r="G56">
        <v>2017</v>
      </c>
      <c r="H56" s="68" t="s">
        <v>100</v>
      </c>
      <c r="I56" t="e">
        <f>IF(COUNTIFS($E:$E,"=Delregion Fyrbodal",$C:$C,"=Missbruk",$A:$A,"&gt;2017-01-01",$A:$A,"&lt;2017-12-31")=0,FIND(" ",O25,1),COUNTIFS($E:$E,"=Delregion Fyrbodal",$C:$C,"=Missbruk",$A:$A,"&gt;2017-01-01",$A:$A,"&lt;2017-12-31"))</f>
        <v>#VALUE!</v>
      </c>
      <c r="J56" t="e">
        <f>IF(COUNTIFS($E:$E,"=Delregion Göteborg",$C:$C,"=Missbruk",$A:$A,"&gt;2017-01-01",$A:$A,"&lt;2017-12-31")=0,FIND(" ",O25,1),COUNTIFS($E:$E,"=Delregion Göteborg",$C:$C,"=Missbruk",$A:$A,"&gt;2017-01-01",$A:$A,"&lt;2017-12-31"))</f>
        <v>#VALUE!</v>
      </c>
      <c r="K56" t="e">
        <f>IF(COUNTIFS($E:$E,"=Delregion SIMBA",$C:$C,"=Missbruk",$A:$A,"&gt;2017-01-01",$A:$A,"&lt;2017-12-31")=0,FIND(" ",O25,1),COUNTIFS($E:$E,"=Delregion SIMBA",$C:$C,"=Missbruk",$A:$A,"&gt;2017-01-01",$A:$A,"&lt;2017-12-31"))</f>
        <v>#VALUE!</v>
      </c>
      <c r="L56" t="e">
        <f>IF(COUNTIFS($E:$E,"=Delregion Skaraborg",$C:$C,"=Missbruk",$A:$A,"&gt;2017-01-01",$A:$A,"&lt;2017-12-31")=0,FIND(" ",O25,1),COUNTIFS($E:$E,"=Delregion Skaraborg",$C:$C,"=Missbruk",$A:$A,"&gt;2017-01-01",$A:$A,"&lt;2017-12-31"))</f>
        <v>#VALUE!</v>
      </c>
      <c r="M56" t="e">
        <f>IF(COUNTIFS($E:$E,"=Delregion Södra Älvsborg",$C:$C,"=Missbruk",$A:$A,"&gt;2017-01-01",$A:$A,"&lt;2017-12-31")=0,FIND(" ",O25,1),COUNTIFS($E:$E,"=Delregion Södra Älvsborg",$C:$C,"=Missbruk",$A:$A,"&gt;2017-01-01",$A:$A,"&lt;2017-12-31"))</f>
        <v>#VALUE!</v>
      </c>
      <c r="N56" t="e">
        <f t="shared" si="2"/>
        <v>#VALUE!</v>
      </c>
      <c r="Q56" s="69" t="s">
        <v>181</v>
      </c>
      <c r="R56" s="71" t="s">
        <v>188</v>
      </c>
    </row>
    <row r="57" spans="1:18" ht="14.45" customHeight="1">
      <c r="A57" s="64">
        <v>41717</v>
      </c>
      <c r="B57" s="65" t="s">
        <v>114</v>
      </c>
      <c r="C57" s="65" t="s">
        <v>85</v>
      </c>
      <c r="D57" s="65" t="s">
        <v>75</v>
      </c>
      <c r="E57" t="str">
        <f t="shared" si="0"/>
        <v>Delregion Fyrbodal</v>
      </c>
      <c r="G57">
        <v>2017</v>
      </c>
      <c r="H57" s="68" t="s">
        <v>201</v>
      </c>
      <c r="I57" t="e">
        <f>IF(COUNTIFS($E:$E,"=Delregion Fyrbodal",$C:$C,"=Äldreomsorg",$A:$A,"&gt;2017-01-01",$A:$A,"&lt;2017-12-31")=0,FIND(" ",O26,1),COUNTIFS($E:$E,"=Delregion Fyrbodal",$C:$C,"=Äldreomsorg",$A:$A,"&gt;2017-01-01",$A:$A,"&lt;2017-12-31"))</f>
        <v>#VALUE!</v>
      </c>
      <c r="J57" t="e">
        <f>IF(COUNTIFS($E:$E,"=Delregion Göteborg",$C:$C,"=Äldreomsorg",$A:$A,"&gt;2017-01-01",$A:$A,"&lt;2017-12-31")=0,FIND(" ",O26,1),COUNTIFS($E:$E,"=Delregion Göteborg",$C:$C,"=Äldreomsorg",$A:$A,"&gt;2017-01-01",$A:$A,"&lt;2017-12-31"))</f>
        <v>#VALUE!</v>
      </c>
      <c r="K57" t="e">
        <f>IF(COUNTIFS($E:$E,"=Delregion SIMBA",$C:$C,"=Äldreomsorg",$A:$A,"&gt;2017-01-01",$A:$A,"&lt;2017-12-31")=0,FIND(" ",O26,1),COUNTIFS($E:$E,"=Delregion SIMBA",$C:$C,"=Äldreomsorg",$A:$A,"&gt;2017-01-01",$A:$A,"&lt;2017-12-31"))</f>
        <v>#VALUE!</v>
      </c>
      <c r="L57" t="e">
        <f>IF(COUNTIFS($E:$E,"=Delregion Skaraborg",$C:$C,"=Äldreomsorg",$A:$A,"&gt;2017-01-01",$A:$A,"&lt;2017-12-31")=0,FIND(" ",O26,1),COUNTIFS($E:$E,"=Delregion Skaraborg",$C:$C,"=Äldreomsorg",$A:$A,"&gt;2017-01-01",$A:$A,"&lt;2017-12-31"))</f>
        <v>#VALUE!</v>
      </c>
      <c r="M57" t="e">
        <f>IF(COUNTIFS($E:$E,"=Delregion Södra Älvsborg",$C:$C,"=Äldreomsorg",$A:$A,"&gt;2017-01-01",$A:$A,"&lt;2017-12-31")=0,FIND(" ",O26,1),COUNTIFS($E:$E,"=Delregion Södra Älvsborg",$C:$C,"=Äldreomsorg",$A:$A,"&gt;2017-01-01",$A:$A,"&lt;2017-12-31"))</f>
        <v>#VALUE!</v>
      </c>
      <c r="N57" t="e">
        <f t="shared" si="2"/>
        <v>#VALUE!</v>
      </c>
      <c r="Q57" s="69" t="s">
        <v>182</v>
      </c>
      <c r="R57" s="71" t="s">
        <v>188</v>
      </c>
    </row>
    <row r="58" spans="1:18" ht="14.45" customHeight="1">
      <c r="A58" s="64">
        <v>41717</v>
      </c>
      <c r="B58" s="65" t="s">
        <v>114</v>
      </c>
      <c r="C58" s="65" t="s">
        <v>85</v>
      </c>
      <c r="D58" s="65" t="s">
        <v>75</v>
      </c>
      <c r="E58" t="str">
        <f t="shared" si="0"/>
        <v>Delregion Fyrbodal</v>
      </c>
      <c r="G58">
        <v>2017</v>
      </c>
      <c r="H58" s="68" t="s">
        <v>79</v>
      </c>
      <c r="I58" t="e">
        <f>IF(COUNTIFS($E:$E,"=Delregion Fyrbodal",$C:$C,"=Övrig socialtjänst",$A:$A,"&gt;2017-01-01",$A:$A,"&lt;2017-12-31")=0,FIND(" ",O27,1),COUNTIFS($E:$E,"=Delregion Fyrbodal",$C:$C,"=Övrig socialtjänst",$A:$A,"&gt;2017-01-01",$A:$A,"&lt;2017-12-31"))</f>
        <v>#VALUE!</v>
      </c>
      <c r="J58" t="e">
        <f>IF(COUNTIFS($E:$E,"=Delregion Göteborg",$C:$C,"=Övrig socialtjänst",$A:$A,"&gt;2017-01-01",$A:$A,"&lt;2017-12-31")=0,FIND(" ",O27,1),COUNTIFS($E:$E,"=Delregion Göteborg",$C:$C,"=Övrig socialtjänst",$A:$A,"&gt;2017-01-01",$A:$A,"&lt;2017-12-31"))</f>
        <v>#VALUE!</v>
      </c>
      <c r="K58" t="e">
        <f>IF(COUNTIFS($E:$E,"=Delregion SIMBA",$C:$C,"=Övrig socialtjänst",$A:$A,"&gt;2017-01-01",$A:$A,"&lt;2017-12-31")=0,FIND(" ",O27,1),COUNTIFS($E:$E,"=Delregion SIMBA",$C:$C,"=Övrig socialtjänst",$A:$A,"&gt;2017-01-01",$A:$A,"&lt;2017-12-31"))</f>
        <v>#VALUE!</v>
      </c>
      <c r="L58" t="e">
        <f>IF(COUNTIFS($E:$E,"=Delregion Skaraborg",$C:$C,"=Övrig socialtjänst",$A:$A,"&gt;2017-01-01",$A:$A,"&lt;2017-12-31")=0,FIND(" ",O27,1),COUNTIFS($E:$E,"=Delregion Skaraborg",$C:$C,"=Övrig socialtjänst",$A:$A,"&gt;2017-01-01",$A:$A,"&lt;2017-12-31"))</f>
        <v>#VALUE!</v>
      </c>
      <c r="M58" t="e">
        <f>IF(COUNTIFS($E:$E,"=Delregion Södra Älvsborg",$C:$C,"=Övrig socialtjänst",$A:$A,"&gt;2017-01-01",$A:$A,"&lt;2017-12-31")=0,FIND(" ",O27,1),COUNTIFS($E:$E,"=Delregion Södra Älvsborg",$C:$C,"=Övrig socialtjänst",$A:$A,"&gt;2017-01-01",$A:$A,"&lt;2017-12-31"))</f>
        <v>#VALUE!</v>
      </c>
      <c r="N58" t="e">
        <f t="shared" si="2"/>
        <v>#VALUE!</v>
      </c>
      <c r="Q58" s="69" t="s">
        <v>183</v>
      </c>
      <c r="R58" s="71" t="s">
        <v>188</v>
      </c>
    </row>
    <row r="59" spans="1:18" ht="14.45" customHeight="1">
      <c r="A59" s="64">
        <v>41717</v>
      </c>
      <c r="B59" s="65" t="s">
        <v>114</v>
      </c>
      <c r="C59" s="65" t="s">
        <v>85</v>
      </c>
      <c r="D59" s="65" t="s">
        <v>75</v>
      </c>
      <c r="E59" t="str">
        <f t="shared" si="0"/>
        <v>Delregion Fyrbodal</v>
      </c>
      <c r="G59">
        <v>2017</v>
      </c>
      <c r="H59" s="68" t="s">
        <v>126</v>
      </c>
      <c r="I59" t="e">
        <f>IF(COUNTIFS($E:$E,"=Delregion Fyrbodal",$D:$D,"=Hälso- och sjukvård",$A:$A,"&gt;2017-01-01",$A:$A,"&lt;2017-12-31")=0,FIND(" ",O21,1),COUNTIFS($E:$E,"=Delregion Fyrbodal",$D:$D,"=Hälso- och sjukvård",$A:$A,"&gt;2017-01-01",$A:$A,"&lt;2017-12-31"))</f>
        <v>#VALUE!</v>
      </c>
      <c r="J59" t="e">
        <f>IF(COUNTIFS($E:$E,"=Delregion Göteborg",$D:$D,"=Hälso- och sjukvård",$A:$A,"&gt;2017-01-01",$A:$A,"&lt;2017-12-31")=0,FIND(" ",O21,1),COUNTIFS($E:$E,"=Delregion Göteborg",$D:$D,"=Hälso- och sjukvård",$A:$A,"&gt;2017-01-01",$A:$A,"&lt;2017-12-31"))</f>
        <v>#VALUE!</v>
      </c>
      <c r="K59" t="e">
        <f>IF(COUNTIFS($E:$E,"=Delregion SIMBA",$D:$D,"=Hälso- och sjukvård",$A:$A,"&gt;2017-01-01",$A:$A,"&lt;2017-12-31")=0,FIND(" ",O21,1),COUNTIFS($E:$E,"=Delregion SIMBA",$D:$D,"=Hälso- och sjukvård",$A:$A,"&gt;2017-01-01",$A:$A,"&lt;2017-12-31"))</f>
        <v>#VALUE!</v>
      </c>
      <c r="L59" t="e">
        <f>IF(COUNTIFS($E:$E,"=Delregion Skaraborg",$D:$D,"=Hälso- och sjukvård",$A:$A,"&gt;2017-01-01",$A:$A,"&lt;2017-12-31")=0,FIND(" ",O21,1),COUNTIFS($E:$E,"=Delregion Skaraborg",$D:$D,"=Hälso- och sjukvård",$A:$A,"&gt;2017-01-01",$A:$A,"&lt;2017-12-31"))</f>
        <v>#VALUE!</v>
      </c>
      <c r="M59" t="e">
        <f>IF(COUNTIFS($E:$E,"=Delregion Södra Älvsborg",$D:$D,"=Hälso- och sjukvård",$A:$A,"&gt;2017-01-01",$A:$A,"&lt;2017-12-31")=0,FIND(" ",O21,1),COUNTIFS($E:$E,"=Delregion Södra Älvsborg",$D:$D,"=Hälso- och sjukvård",$A:$A,"&gt;2017-01-01",$A:$A,"&lt;2017-12-31"))</f>
        <v>#VALUE!</v>
      </c>
      <c r="N59" t="e">
        <f t="shared" si="2"/>
        <v>#VALUE!</v>
      </c>
      <c r="Q59" s="69" t="s">
        <v>184</v>
      </c>
      <c r="R59" s="71" t="s">
        <v>188</v>
      </c>
    </row>
    <row r="60" spans="1:18" ht="14.45" customHeight="1">
      <c r="A60" s="64">
        <v>41717</v>
      </c>
      <c r="B60" s="65" t="s">
        <v>114</v>
      </c>
      <c r="C60" s="65" t="s">
        <v>85</v>
      </c>
      <c r="D60" s="65" t="s">
        <v>75</v>
      </c>
      <c r="E60" t="str">
        <f t="shared" si="0"/>
        <v>Delregion Fyrbodal</v>
      </c>
      <c r="G60">
        <v>2017</v>
      </c>
      <c r="H60" s="68" t="s">
        <v>200</v>
      </c>
      <c r="I60" t="e">
        <f>IF(COUNTIFS($E:$E,"=Delregion Fyrbodal",$C:$C,"=Hemsjukvård i ordinärt boende",$A:$A,"&gt;2017-01-01",$A:$A,"&lt;2017-12-31")=0,FIND(" ",O22,1),COUNTIFS($E:$E,"=Delregion Fyrbodal",$C:$C,"=Hemsjukvård i ordinärt boende",$A:$A,"&gt;2017-01-01",$A:$A,"&lt;2017-12-31"))</f>
        <v>#VALUE!</v>
      </c>
      <c r="J60" t="e">
        <f>IF(COUNTIFS($E:$E,"=Delregion Göteborg",$C:$C,"=Hemsjukvård i ordinärt boende",$A:$A,"&gt;2017-01-01",$A:$A,"&lt;2017-12-31")=0,FIND(" ",O22,1),COUNTIFS($E:$E,"=Delregion Göteborg",$C:$C,"=Hemsjukvård i ordinärt boende",$A:$A,"&gt;2017-01-01",$A:$A,"&lt;2017-12-31"))</f>
        <v>#VALUE!</v>
      </c>
      <c r="K60" t="e">
        <f>IF(COUNTIFS($E:$E,"=Delregion SIMBA",$C:$C,"=Hemsjukvård i ordinärt boende",$A:$A,"&gt;2017-01-01",$A:$A,"&lt;2017-12-31")=0,FIND(" ",O22,1),COUNTIFS($E:$E,"=Delregion SIMBA",$C:$C,"=Hemsjukvård i ordinärt boende",$A:$A,"&gt;2017-01-01",$A:$A,"&lt;2017-12-31"))</f>
        <v>#VALUE!</v>
      </c>
      <c r="L60" t="e">
        <f>IF(COUNTIFS($E:$E,"=Delregion Skaraborg",$C:$C,"=Hemsjukvård i ordinärt boende",$A:$A,"&gt;2017-01-01",$A:$A,"&lt;2017-12-31")=0,FIND(" ",O22,1),COUNTIFS($E:$E,"=Delregion Skaraborg",$C:$C,"=Hemsjukvård i ordinärt boende",$A:$A,"&gt;2017-01-01",$A:$A,"&lt;2017-12-31"))</f>
        <v>#VALUE!</v>
      </c>
      <c r="M60" t="e">
        <f>IF(COUNTIFS($E:$E,"=Delregion Södra Älvsborg",$C:$C,"=Hemsjukvård i ordinärt boende",$A:$A,"&gt;2017-01-01",$A:$A,"&lt;2017-12-31")=0,FIND(" ",O22,1),COUNTIFS($E:$E,"=Delregion Södra Älvsborg",$C:$C,"=Hemsjukvård i ordinärt boende",$A:$A,"&gt;2017-01-01",$A:$A,"&lt;2017-12-31"))</f>
        <v>#VALUE!</v>
      </c>
      <c r="N60" t="e">
        <f t="shared" si="2"/>
        <v>#VALUE!</v>
      </c>
      <c r="Q60" s="69" t="s">
        <v>185</v>
      </c>
      <c r="R60" s="71" t="s">
        <v>188</v>
      </c>
    </row>
    <row r="61" spans="1:18" ht="14.45" customHeight="1">
      <c r="A61" s="64">
        <v>41717</v>
      </c>
      <c r="B61" s="65" t="s">
        <v>114</v>
      </c>
      <c r="C61" s="65" t="s">
        <v>85</v>
      </c>
      <c r="D61" s="65" t="s">
        <v>75</v>
      </c>
      <c r="E61" t="str">
        <f t="shared" si="0"/>
        <v>Delregion Fyrbodal</v>
      </c>
      <c r="G61">
        <v>2017</v>
      </c>
      <c r="H61" s="68" t="s">
        <v>128</v>
      </c>
      <c r="I61" t="e">
        <f>IF(COUNTIFS($E:$E,"=Delregion Fyrbodal",$C:$C,"=Prehospital vård",$A:$A,"&gt;2017-01-01",$A:$A,"&lt;2017-12-31")=0,FIND(" ",O24,1),COUNTIFS($E:$E,"=Delregion Fyrbodal",$C:$C,"=Prehospital vård",$A:$A,"&gt;2017-01-01",$A:$A,"&lt;2017-12-31"))</f>
        <v>#VALUE!</v>
      </c>
      <c r="J61" t="e">
        <f>IF(COUNTIFS($E:$E,"=Delregion Göteborg",$C:$C,"=Prehospital vård",$A:$A,"&gt;2017-01-01",$A:$A,"&lt;2017-12-31")=0,FIND(" ",O24,1),COUNTIFS($E:$E,"=Delregion Göteborg",$C:$C,"=Prehospital vård",$A:$A,"&gt;2017-01-01",$A:$A,"&lt;2017-12-31"))</f>
        <v>#VALUE!</v>
      </c>
      <c r="K61" t="e">
        <f>IF(COUNTIFS($E:$E,"=Delregion SIMBA",$C:$C,"=Prehospital vård",$A:$A,"&gt;2017-01-01",$A:$A,"&lt;2017-12-31")=0,FIND(" ",O24,1),COUNTIFS($E:$E,"=Delregion SIMBA",$C:$C,"=Prehospital vård",$A:$A,"&gt;2017-01-01",$A:$A,"&lt;2017-12-31"))</f>
        <v>#VALUE!</v>
      </c>
      <c r="L61" t="e">
        <f>IF(COUNTIFS($E:$E,"=Delregion Skaraborg",$C:$C,"=Prehospital vård",$A:$A,"&gt;2017-01-01",$A:$A,"&lt;2017-12-31")=0,FIND(" ",O24,1),COUNTIFS($E:$E,"=Delregion Skaraborg",$C:$C,"=Prehospital vård",$A:$A,"&gt;2017-01-01",$A:$A,"&lt;2017-12-31"))</f>
        <v>#VALUE!</v>
      </c>
      <c r="M61" t="e">
        <f>IF(COUNTIFS($E:$E,"=Delregion Södra Älvsborg",$C:$C,"=Prehospital vård",$A:$A,"&gt;2017-01-01",$A:$A,"&lt;2017-12-31")=0,FIND(" ",O24,1),COUNTIFS($E:$E,"=Delregion Södra Älvsborg",$C:$C,"=Prehospital vård",$A:$A,"&gt;2017-01-01",$A:$A,"&lt;2017-12-31"))</f>
        <v>#VALUE!</v>
      </c>
      <c r="N61" t="e">
        <f t="shared" si="2"/>
        <v>#VALUE!</v>
      </c>
      <c r="Q61" s="69" t="s">
        <v>186</v>
      </c>
      <c r="R61" s="71" t="s">
        <v>188</v>
      </c>
    </row>
    <row r="62" spans="1:18" ht="14.45" customHeight="1">
      <c r="A62" s="64">
        <v>41718</v>
      </c>
      <c r="B62" s="65" t="s">
        <v>112</v>
      </c>
      <c r="C62" s="65" t="s">
        <v>85</v>
      </c>
      <c r="D62" s="65" t="s">
        <v>75</v>
      </c>
      <c r="E62" t="str">
        <f t="shared" si="0"/>
        <v>Delregion Göteborg</v>
      </c>
      <c r="G62">
        <v>2017</v>
      </c>
      <c r="H62" s="68" t="s">
        <v>127</v>
      </c>
      <c r="I62" t="e">
        <f>IF(COUNTIFS($E:$E,"=Delregion Fyrbodal",$C:$C,"=Primärvård, utom hemsjukvård",$A:$A,"&gt;2017-01-01",$A:$A,"&lt;2017-12-31")=0,FIND(" ",O25,1),COUNTIFS($E:$E,"=Delregion Fyrbodal",$C:$C,"=Primärvård, utom hemsjukvård",$A:$A,"&gt;2017-01-01",$A:$A,"&lt;2017-12-31"))</f>
        <v>#VALUE!</v>
      </c>
      <c r="J62" t="e">
        <f>IF(COUNTIFS($E:$E,"=Delregion Göteborg",$C:$C,"=Primärvård, utom hemsjukvård",$A:$A,"&gt;2017-01-01",$A:$A,"&lt;2017-12-31")=0,FIND(" ",O25,1),COUNTIFS($E:$E,"=Delregion Göteborg",$C:$C,"=Primärvård, utom hemsjukvård",$A:$A,"&gt;2017-01-01",$A:$A,"&lt;2017-12-31"))</f>
        <v>#VALUE!</v>
      </c>
      <c r="K62" t="e">
        <f>IF(COUNTIFS($E:$E,"=Delregion SIMBA",$C:$C,"=Primärvård, utom hemsjukvård",$A:$A,"&gt;2017-01-01",$A:$A,"&lt;2017-12-31")=0,FIND(" ",O25,1),COUNTIFS($E:$E,"=Delregion SIMBA",$C:$C,"=Primärvård, utom hemsjukvård",$A:$A,"&gt;2017-01-01",$A:$A,"&lt;2017-12-31"))</f>
        <v>#VALUE!</v>
      </c>
      <c r="L62" t="e">
        <f>IF(COUNTIFS($E:$E,"=Delregion Skaraborg",$C:$C,"=Primärvård, utom hemsjukvård",$A:$A,"&gt;2017-01-01",$A:$A,"&lt;2017-12-31")=0,FIND(" ",O25,1),COUNTIFS($E:$E,"=Delregion Skaraborg",$C:$C,"=Primärvård, utom hemsjukvård",$A:$A,"&gt;2017-01-01",$A:$A,"&lt;2017-12-31"))</f>
        <v>#VALUE!</v>
      </c>
      <c r="M62" t="e">
        <f>IF(COUNTIFS($E:$E,"=Delregion Södra Älvsborg",$C:$C,"=Primärvård, utom hemsjukvård",$A:$A,"&gt;2017-01-01",$A:$A,"&lt;2017-12-31")=0,FIND(" ",O25,1),COUNTIFS($E:$E,"=Delregion Södra Älvsborg",$C:$C,"=Primärvård, utom hemsjukvård",$A:$A,"&gt;2017-01-01",$A:$A,"&lt;2017-12-31"))</f>
        <v>#VALUE!</v>
      </c>
      <c r="N62" t="e">
        <f t="shared" si="2"/>
        <v>#VALUE!</v>
      </c>
      <c r="Q62" s="70" t="s">
        <v>187</v>
      </c>
      <c r="R62" s="71" t="s">
        <v>188</v>
      </c>
    </row>
    <row r="63" spans="1:18" ht="14.45" customHeight="1">
      <c r="A63" s="64">
        <v>41719</v>
      </c>
      <c r="B63" s="65" t="s">
        <v>78</v>
      </c>
      <c r="C63" s="65" t="s">
        <v>131</v>
      </c>
      <c r="D63" s="65" t="s">
        <v>126</v>
      </c>
      <c r="E63" t="str">
        <f t="shared" si="0"/>
        <v>Delregion SIMBA</v>
      </c>
      <c r="G63">
        <v>2017</v>
      </c>
      <c r="H63" s="68" t="s">
        <v>129</v>
      </c>
      <c r="I63" t="e">
        <f>IF(COUNTIFS($E:$E,"=Delregion Fyrbodal",$C:$C,"=Psykiatrisk specialistsjukvård",$A:$A,"&gt;2017-01-01",$A:$A,"&lt;2017-12-31")=0,FIND(" ",O26,1),COUNTIFS($E:$E,"=Delregion Fyrbodal",$C:$C,"=Psykiatrisk specialistsjukvård",$A:$A,"&gt;2017-01-01",$A:$A,"&lt;2017-12-31"))</f>
        <v>#VALUE!</v>
      </c>
      <c r="J63" t="e">
        <f>IF(COUNTIFS($E:$E,"=Delregion Göteborg",$C:$C,"=Psykiatrisk specialistsjukvård",$A:$A,"&gt;2017-01-01",$A:$A,"&lt;2017-12-31")=0,FIND(" ",O26,1),COUNTIFS($E:$E,"=Delregion Göteborg",$C:$C,"=Psykiatrisk specialistsjukvård",$A:$A,"&gt;2017-01-01",$A:$A,"&lt;2017-12-31"))</f>
        <v>#VALUE!</v>
      </c>
      <c r="K63" t="e">
        <f>IF(COUNTIFS($E:$E,"=Delregion SIMBA",$C:$C,"=Psykiatrisk specialistsjukvård",$A:$A,"&gt;2017-01-01",$A:$A,"&lt;2017-12-31")=0,FIND(" ",O26,1),COUNTIFS($E:$E,"=Delregion SIMBA",$C:$C,"=Psykiatrisk specialistsjukvård",$A:$A,"&gt;2017-01-01",$A:$A,"&lt;2017-12-31"))</f>
        <v>#VALUE!</v>
      </c>
      <c r="L63" t="e">
        <f>IF(COUNTIFS($E:$E,"=Delregion Skaraborg",$C:$C,"=Psykiatrisk specialistsjukvård",$A:$A,"&gt;2017-01-01",$A:$A,"&lt;2017-12-31")=0,FIND(" ",O26,1),COUNTIFS($E:$E,"=Delregion Skaraborg",$C:$C,"=Psykiatrisk specialistsjukvård",$A:$A,"&gt;2017-01-01",$A:$A,"&lt;2017-12-31"))</f>
        <v>#VALUE!</v>
      </c>
      <c r="M63" t="e">
        <f>IF(COUNTIFS($E:$E,"=Delregion Södra Älvsborg",$C:$C,"=Psykiatrisk specialistsjukvård",$A:$A,"&gt;2017-01-01",$A:$A,"&lt;2017-12-31")=0,FIND(" ",O26,1),COUNTIFS($E:$E,"=Delregion Södra Älvsborg",$C:$C,"=Psykiatrisk specialistsjukvård",$A:$A,"&gt;2017-01-01",$A:$A,"&lt;2017-12-31"))</f>
        <v>#VALUE!</v>
      </c>
      <c r="N63" t="e">
        <f t="shared" si="2"/>
        <v>#VALUE!</v>
      </c>
    </row>
    <row r="64" spans="1:18" ht="14.45" customHeight="1">
      <c r="A64" s="64">
        <v>41724</v>
      </c>
      <c r="B64" s="65" t="s">
        <v>101</v>
      </c>
      <c r="C64" s="65" t="s">
        <v>91</v>
      </c>
      <c r="D64" s="65" t="s">
        <v>75</v>
      </c>
      <c r="E64" t="str">
        <f t="shared" si="0"/>
        <v>Delregion SIMBA</v>
      </c>
      <c r="G64">
        <v>2017</v>
      </c>
      <c r="H64" s="68" t="s">
        <v>198</v>
      </c>
      <c r="I64" t="e">
        <f>IF(SUM(I52:I59)=0,FIND(" ",O21,1),SUM(I52:I59))</f>
        <v>#VALUE!</v>
      </c>
      <c r="J64" t="e">
        <f>IF(SUM(J52:J59)=0,FIND(" ",O21,1),SUM(J52:J59))</f>
        <v>#VALUE!</v>
      </c>
      <c r="K64" t="e">
        <f>IF(SUM(K52:K59)=0,FIND(" ",O21,1),SUM(K52:K59))</f>
        <v>#VALUE!</v>
      </c>
      <c r="L64" t="e">
        <f>IF(SUM(L52:L59)=0,FIND(" ",O21,1),SUM(L52:L59))</f>
        <v>#VALUE!</v>
      </c>
      <c r="M64" t="e">
        <f>IF(SUM(M52:M59)=0,FIND(" ",O21,1),SUM(M52:M59))</f>
        <v>#VALUE!</v>
      </c>
      <c r="N64" t="e">
        <f t="shared" si="2"/>
        <v>#VALUE!</v>
      </c>
    </row>
    <row r="65" spans="1:14" ht="14.45" customHeight="1">
      <c r="A65" s="64">
        <v>41725</v>
      </c>
      <c r="B65" s="65" t="s">
        <v>81</v>
      </c>
      <c r="C65" s="65" t="s">
        <v>83</v>
      </c>
      <c r="D65" s="65" t="s">
        <v>75</v>
      </c>
      <c r="E65" t="str">
        <f t="shared" si="0"/>
        <v>Delregion Fyrbodal</v>
      </c>
      <c r="G65">
        <v>2018</v>
      </c>
      <c r="H65" s="68" t="s">
        <v>75</v>
      </c>
      <c r="I65" t="e">
        <f>IF(COUNTIFS($E:$E,"=Delregion Fyrbodal",$D:$D,"=Socialtjänst",$A:$A,"&gt;2018-01-01",$A:$A,"&lt;2018-12-31")=0,FIND(" ",O21,1),COUNTIFS($E:$E,"=Delregion Fyrbodal",$D:$D,"=Socialtjänst",$A:$A,"&gt;2018-01-01",$A:$A,"&lt;2018-12-31"))</f>
        <v>#VALUE!</v>
      </c>
      <c r="J65" t="e">
        <f>IF(COUNTIFS($E:$E,"=Delregion Göteborg",$D:$D,"=Socialtjänst",$A:$A,"&gt;2018-01-01",$A:$A,"&lt;2018-12-31")=0,FIND(" ",O21,1),COUNTIFS($E:$E,"=Delregion Göteborg",$D:$D,"=Socialtjänst",$A:$A,"&gt;2018-01-01",$A:$A,"&lt;2018-12-31"))</f>
        <v>#VALUE!</v>
      </c>
      <c r="K65" t="e">
        <f>IF(COUNTIFS($E:$E,"=Delregion SIMBA",$D:$D,"=Socialtjänst",$A:$A,"&gt;2018-01-01",$A:$A,"&lt;2018-12-31")=0,FIND(" ",O21,1),COUNTIFS($E:$E,"=Delregion SIMBA",$D:$D,"=Socialtjänst",$A:$A,"&gt;2018-01-01",$A:$A,"&lt;2018-12-31"))</f>
        <v>#VALUE!</v>
      </c>
      <c r="L65" t="e">
        <f>IF(COUNTIFS($E:$E,"=Delregion Skaraborg",$D:$D,"=Socialtjänst",$A:$A,"&gt;2018-01-01",$A:$A,"&lt;2018-12-31")=0,FIND(" ",O21,1),COUNTIFS($E:$E,"=Delregion Skaraborg",$D:$D,"=Socialtjänst",$A:$A,"&gt;2018-01-01",$A:$A,"&lt;2018-12-31"))</f>
        <v>#VALUE!</v>
      </c>
      <c r="M65" t="e">
        <f>IF(COUNTIFS($E:$E,"=Delregion Södra Älvsborg",$D:$D,"=Socialtjänst",$A:$A,"&gt;2018-01-01",$A:$A,"&lt;2018-12-31")=0,FIND(" ",O21,1),COUNTIFS($E:$E,"=Delregion Södra Älvsborg",$D:$D,"=Socialtjänst",$A:$A,"&gt;2018-01-01",$A:$A,"&lt;2018-12-31"))</f>
        <v>#VALUE!</v>
      </c>
      <c r="N65" t="e">
        <f t="shared" si="2"/>
        <v>#VALUE!</v>
      </c>
    </row>
    <row r="66" spans="1:14" ht="14.45" customHeight="1">
      <c r="A66" s="64">
        <v>41730</v>
      </c>
      <c r="B66" s="65" t="s">
        <v>73</v>
      </c>
      <c r="C66" s="65" t="s">
        <v>127</v>
      </c>
      <c r="D66" s="65" t="s">
        <v>126</v>
      </c>
      <c r="E66" t="str">
        <f t="shared" si="0"/>
        <v>Delregion Göteborg</v>
      </c>
      <c r="G66">
        <v>2018</v>
      </c>
      <c r="H66" s="68" t="str">
        <f>"Ekonomiskt bistånd"</f>
        <v>Ekonomiskt bistånd</v>
      </c>
      <c r="I66" t="e">
        <f>IF(COUNTIFS($E:$E,"=Delregion Fyrbodal",$C:$C,"=Ekonomiskt bistånd",$A:$A,"&gt;2018-01-01",$A:$A,"&lt;2018-12-31")=0,FIND(" ",O22,1),COUNTIFS($E:$E,"=Delregion Fyrbodal",$C:$C,"=Ekonomiskt bistånd",$A:$A,"&gt;2018-01-01",$A:$A,"&lt;2018-12-31"))</f>
        <v>#VALUE!</v>
      </c>
      <c r="J66" t="e">
        <f>IF(COUNTIFS($E:$E,"=Delregion Göteborg",$C:$C,"=Ekonomiskt bistånd",$A:$A,"&gt;2018-01-01",$A:$A,"&lt;2018-12-31")=0,FIND(" ",O22,1),COUNTIFS($E:$E,"=Delregion Göteborg",$C:$C,"=Ekonomiskt bistånd",$A:$A,"&gt;2018-01-01",$A:$A,"&lt;2018-12-31"))</f>
        <v>#VALUE!</v>
      </c>
      <c r="K66" t="e">
        <f>IF(COUNTIFS($E:$E,"=Delregion SIMBA",$C:$C,"=Ekonomiskt bistånd",$A:$A,"&gt;2018-01-01",$A:$A,"&lt;2018-12-31")=0,FIND(" ",O22,1),COUNTIFS($E:$E,"=Delregion SIMBA",$C:$C,"=Ekonomiskt bistånd",$A:$A,"&gt;2018-01-01",$A:$A,"&lt;2018-12-31"))</f>
        <v>#VALUE!</v>
      </c>
      <c r="L66" t="e">
        <f>IF(COUNTIFS($E:$E,"=Delregion Skaraborg",$C:$C,"=Ekonomiskt bistånd",$A:$A,"&gt;2018-01-01",$A:$A,"&lt;2018-12-31")=0,FIND(" ",O22,1),COUNTIFS($E:$E,"=Delregion Skaraborg",$C:$C,"=Ekonomiskt bistånd",$A:$A,"&gt;2018-01-01",$A:$A,"&lt;2018-12-31"))</f>
        <v>#VALUE!</v>
      </c>
      <c r="M66" t="e">
        <f>IF(COUNTIFS($E:$E,"=Delregion Södra Älvsborg",$C:$C,"=Ekonomiskt bistånd",$A:$A,"&gt;2018-01-01",$A:$A,"&lt;2018-12-31")=0,FIND(" ",O22,1),COUNTIFS($E:$E,"=Delregion Södra Älvsborg",$C:$C,"=Ekonomiskt bistånd",$A:$A,"&gt;2018-01-01",$A:$A,"&lt;2018-12-31"))</f>
        <v>#VALUE!</v>
      </c>
      <c r="N66" t="e">
        <f t="shared" si="2"/>
        <v>#VALUE!</v>
      </c>
    </row>
    <row r="67" spans="1:14" ht="14.45" customHeight="1">
      <c r="A67" s="64">
        <v>41731</v>
      </c>
      <c r="B67" s="65" t="s">
        <v>86</v>
      </c>
      <c r="C67" s="65" t="s">
        <v>129</v>
      </c>
      <c r="D67" s="65" t="s">
        <v>126</v>
      </c>
      <c r="E67" t="str">
        <f t="shared" si="0"/>
        <v>Delregion Fyrbodal</v>
      </c>
      <c r="G67">
        <v>2018</v>
      </c>
      <c r="H67" s="68" t="s">
        <v>96</v>
      </c>
      <c r="I67" t="e">
        <f>IF(COUNTIFS($E:$E,"=Delregion Fyrbodal",$C:$C,"=Funktionsnedsättning LSS",$A:$A,"&gt;2018-01-01",$A:$A,"&lt;2018-12-31")=0,FIND(" ",O23,1),COUNTIFS($E:$E,"=Delregion Fyrbodal",$C:$C,"=Funktionsnedsättning LSS",$A:$A,"&gt;2018-01-01",$A:$A,"&lt;2018-12-31"))</f>
        <v>#VALUE!</v>
      </c>
      <c r="J67" t="e">
        <f>IF(COUNTIFS($E:$E,"=Delregion Göteborg",$C:$C,"=Funktionsnedsättning LSS",$A:$A,"&gt;2018-01-01",$A:$A,"&lt;2018-12-31")=0,FIND(" ",O23,1),COUNTIFS($E:$E,"=Delregion Göteborg",$C:$C,"=Funktionsnedsättning LSS",$A:$A,"&gt;2018-01-01",$A:$A,"&lt;2018-12-31"))</f>
        <v>#VALUE!</v>
      </c>
      <c r="K67" t="e">
        <f>IF(COUNTIFS($E:$E,"=Delregion SIMBA",$C:$C,"=Funktionsnedsättning LSS",$A:$A,"&gt;2018-01-01",$A:$A,"&lt;2018-12-31")=0,FIND(" ",O23,1),COUNTIFS($E:$E,"=Delregion SIMBA",$C:$C,"=Funktionsnedsättning LSS",$A:$A,"&gt;2018-01-01",$A:$A,"&lt;2018-12-31"))</f>
        <v>#VALUE!</v>
      </c>
      <c r="L67" t="e">
        <f>IF(COUNTIFS($E:$E,"=Delregion Skaraborg",$C:$C,"=Funktionsnedsättning LSS",$A:$A,"&gt;2018-01-01",$A:$A,"&lt;2018-12-31")=0,FIND(" ",O23,1),COUNTIFS($E:$E,"=Delregion Skaraborg",$C:$C,"=Funktionsnedsättning LSS",$A:$A,"&gt;2018-01-01",$A:$A,"&lt;2018-12-31"))</f>
        <v>#VALUE!</v>
      </c>
      <c r="M67" t="e">
        <f>IF(COUNTIFS($E:$E,"=Delregion Södra Älvsborg",$C:$C,"=Funktionsnedsättning LSS",$A:$A,"&gt;2018-01-01",$A:$A,"&lt;2018-12-31")=0,FIND(" ",O23,1),COUNTIFS($E:$E,"=Delregion Södra Älvsborg",$C:$C,"=Funktionsnedsättning LSS",$A:$A,"&gt;2018-01-01",$A:$A,"&lt;2018-12-31"))</f>
        <v>#VALUE!</v>
      </c>
      <c r="N67" t="e">
        <f t="shared" si="2"/>
        <v>#VALUE!</v>
      </c>
    </row>
    <row r="68" spans="1:14" ht="14.45" customHeight="1">
      <c r="A68" s="64">
        <v>41731</v>
      </c>
      <c r="B68" s="65" t="s">
        <v>73</v>
      </c>
      <c r="C68" s="65" t="s">
        <v>129</v>
      </c>
      <c r="D68" s="65" t="s">
        <v>126</v>
      </c>
      <c r="E68" t="str">
        <f t="shared" si="0"/>
        <v>Delregion Göteborg</v>
      </c>
      <c r="G68">
        <v>2018</v>
      </c>
      <c r="H68" s="68" t="s">
        <v>118</v>
      </c>
      <c r="I68" t="e">
        <f>IF(COUNTIFS($E:$E,"=Delregion Fyrbodal",$C:$C,"=Funktionsnedsättning SoL",$A:$A,"&gt;2018-01-01",$A:$A,"&lt;2018-12-31")=0,FIND(" ",O24,1),COUNTIFS($E:$E,"=Delregion Fyrbodal",$C:$C,"=Funktionsnedsättning SoL",$A:$A,"&gt;2018-01-01",$A:$A,"&lt;2018-12-31"))</f>
        <v>#VALUE!</v>
      </c>
      <c r="J68" t="e">
        <f>IF(COUNTIFS($E:$E,"=Delregion Göteborg",$C:$C,"=Funktionsnedsättning SoL",$A:$A,"&gt;2018-01-01",$A:$A,"&lt;2018-12-31")=0,FIND(" ",O24,1),COUNTIFS($E:$E,"=Delregion Göteborg",$C:$C,"=Funktionsnedsättning SoL",$A:$A,"&gt;2018-01-01",$A:$A,"&lt;2018-12-31"))</f>
        <v>#VALUE!</v>
      </c>
      <c r="K68" t="e">
        <f>IF(COUNTIFS($E:$E,"=Delregion SIMBA",$C:$C,"=Funktionsnedsättning SoL",$A:$A,"&gt;2018-01-01",$A:$A,"&lt;2018-12-31")=0,FIND(" ",O24,1),COUNTIFS($E:$E,"=Delregion SIMBA",$C:$C,"=Funktionsnedsättning SoL",$A:$A,"&gt;2018-01-01",$A:$A,"&lt;2018-12-31"))</f>
        <v>#VALUE!</v>
      </c>
      <c r="L68" t="e">
        <f>IF(COUNTIFS($E:$E,"=Delregion Skaraborg",$C:$C,"=Funktionsnedsättning SoL",$A:$A,"&gt;2018-01-01",$A:$A,"&lt;2018-12-31")=0,FIND(" ",O24,1),COUNTIFS($E:$E,"=Delregion Skaraborg",$C:$C,"=Funktionsnedsättning SoL",$A:$A,"&gt;2018-01-01",$A:$A,"&lt;2018-12-31"))</f>
        <v>#VALUE!</v>
      </c>
      <c r="M68" t="e">
        <f>IF(COUNTIFS($E:$E,"=Delregion Södra Älvsborg",$C:$C,"=Funktionsnedsättning SoL",$A:$A,"&gt;2018-01-01",$A:$A,"&lt;2018-12-31")=0,FIND(" ",O24,1),COUNTIFS($E:$E,"=Delregion Södra Älvsborg",$C:$C,"=Funktionsnedsättning SoL",$A:$A,"&gt;2018-01-01",$A:$A,"&lt;2018-12-31"))</f>
        <v>#VALUE!</v>
      </c>
      <c r="N68" t="e">
        <f t="shared" si="2"/>
        <v>#VALUE!</v>
      </c>
    </row>
    <row r="69" spans="1:14" ht="14.45" customHeight="1">
      <c r="A69" s="64">
        <v>41733</v>
      </c>
      <c r="B69" s="65" t="s">
        <v>102</v>
      </c>
      <c r="C69" s="65" t="s">
        <v>85</v>
      </c>
      <c r="D69" s="65" t="s">
        <v>75</v>
      </c>
      <c r="E69" t="str">
        <f t="shared" si="0"/>
        <v>Delregion Södra Älvsborg</v>
      </c>
      <c r="G69">
        <v>2018</v>
      </c>
      <c r="H69" s="68" t="s">
        <v>100</v>
      </c>
      <c r="I69" t="e">
        <f>IF(COUNTIFS($E:$E,"=Delregion Fyrbodal",$C:$C,"=Missbruk",$A:$A,"&gt;2018-01-01",$A:$A,"&lt;2018-12-31")=0,FIND(" ",O25,1),COUNTIFS($E:$E,"=Delregion Fyrbodal",$C:$C,"=Missbruk",$A:$A,"&gt;2018-01-01",$A:$A,"&lt;2018-12-31"))</f>
        <v>#VALUE!</v>
      </c>
      <c r="J69" t="e">
        <f>IF(COUNTIFS($E:$E,"=Delregion Göteborg",$C:$C,"=Missbruk",$A:$A,"&gt;2018-01-01",$A:$A,"&lt;2018-12-31")=0,FIND(" ",O25,1),COUNTIFS($E:$E,"=Delregion Göteborg",$C:$C,"=Missbruk",$A:$A,"&gt;2018-01-01",$A:$A,"&lt;2018-12-31"))</f>
        <v>#VALUE!</v>
      </c>
      <c r="K69" t="e">
        <f>IF(COUNTIFS($E:$E,"=Delregion SIMBA",$C:$C,"=Missbruk",$A:$A,"&gt;2018-01-01",$A:$A,"&lt;2018-12-31")=0,FIND(" ",O25,1),COUNTIFS($E:$E,"=Delregion SIMBA",$C:$C,"=Missbruk",$A:$A,"&gt;2018-01-01",$A:$A,"&lt;2018-12-31"))</f>
        <v>#VALUE!</v>
      </c>
      <c r="L69" t="e">
        <f>IF(COUNTIFS($E:$E,"=Delregion Skaraborg",$C:$C,"=Missbruk",$A:$A,"&gt;2018-01-01",$A:$A,"&lt;2018-12-31")=0,FIND(" ",O25,1),COUNTIFS($E:$E,"=Delregion Skaraborg",$C:$C,"=Missbruk",$A:$A,"&gt;2018-01-01",$A:$A,"&lt;2018-12-31"))</f>
        <v>#VALUE!</v>
      </c>
      <c r="M69" t="e">
        <f>IF(COUNTIFS($E:$E,"=Delregion Södra Älvsborg",$C:$C,"=Missbruk",$A:$A,"&gt;2018-01-01",$A:$A,"&lt;2018-12-31")=0,FIND(" ",O25,1),COUNTIFS($E:$E,"=Delregion Södra Älvsborg",$C:$C,"=Missbruk",$A:$A,"&gt;2018-01-01",$A:$A,"&lt;2018-12-31"))</f>
        <v>#VALUE!</v>
      </c>
      <c r="N69" t="e">
        <f t="shared" si="2"/>
        <v>#VALUE!</v>
      </c>
    </row>
    <row r="70" spans="1:14" ht="14.45" customHeight="1">
      <c r="A70" s="64">
        <v>41736</v>
      </c>
      <c r="B70" s="65" t="s">
        <v>73</v>
      </c>
      <c r="C70" s="65" t="s">
        <v>118</v>
      </c>
      <c r="D70" s="65" t="s">
        <v>75</v>
      </c>
      <c r="E70" t="str">
        <f t="shared" si="0"/>
        <v>Delregion Göteborg</v>
      </c>
      <c r="G70">
        <v>2018</v>
      </c>
      <c r="H70" s="68" t="s">
        <v>201</v>
      </c>
      <c r="I70" t="e">
        <f>IF(COUNTIFS($E:$E,"=Delregion Fyrbodal",$C:$C,"=Äldreomsorg",$A:$A,"&gt;2018-01-01",$A:$A,"&lt;2018-12-31")=0,FIND(" ",O26,1),COUNTIFS($E:$E,"=Delregion Fyrbodal",$C:$C,"=Äldreomsorg",$A:$A,"&gt;2018-01-01",$A:$A,"&lt;2018-12-31"))</f>
        <v>#VALUE!</v>
      </c>
      <c r="J70" t="e">
        <f>IF(COUNTIFS($E:$E,"=Delregion Göteborg",$C:$C,"=Äldreomsorg",$A:$A,"&gt;2018-01-01",$A:$A,"&lt;2018-12-31")=0,FIND(" ",O26,1),COUNTIFS($E:$E,"=Delregion Göteborg",$C:$C,"=Äldreomsorg",$A:$A,"&gt;2018-01-01",$A:$A,"&lt;2018-12-31"))</f>
        <v>#VALUE!</v>
      </c>
      <c r="K70" t="e">
        <f>IF(COUNTIFS($E:$E,"=Delregion SIMBA",$C:$C,"=Äldreomsorg",$A:$A,"&gt;2018-01-01",$A:$A,"&lt;2018-12-31")=0,FIND(" ",O26,1),COUNTIFS($E:$E,"=Delregion SIMBA",$C:$C,"=Äldreomsorg",$A:$A,"&gt;2018-01-01",$A:$A,"&lt;2018-12-31"))</f>
        <v>#VALUE!</v>
      </c>
      <c r="L70" t="e">
        <f>IF(COUNTIFS($E:$E,"=Delregion Skaraborg",$C:$C,"=Äldreomsorg",$A:$A,"&gt;2018-01-01",$A:$A,"&lt;2018-12-31")=0,FIND(" ",O26,1),COUNTIFS($E:$E,"=Delregion Skaraborg",$C:$C,"=Äldreomsorg",$A:$A,"&gt;2018-01-01",$A:$A,"&lt;2018-12-31"))</f>
        <v>#VALUE!</v>
      </c>
      <c r="M70" t="e">
        <f>IF(COUNTIFS($E:$E,"=Delregion Södra Älvsborg",$C:$C,"=Äldreomsorg",$A:$A,"&gt;2018-01-01",$A:$A,"&lt;2018-12-31")=0,FIND(" ",O26,1),COUNTIFS($E:$E,"=Delregion Södra Älvsborg",$C:$C,"=Äldreomsorg",$A:$A,"&gt;2018-01-01",$A:$A,"&lt;2018-12-31"))</f>
        <v>#VALUE!</v>
      </c>
      <c r="N70" t="e">
        <f t="shared" si="2"/>
        <v>#VALUE!</v>
      </c>
    </row>
    <row r="71" spans="1:14" ht="14.45" customHeight="1">
      <c r="A71" s="64">
        <v>41738</v>
      </c>
      <c r="B71" s="65" t="s">
        <v>73</v>
      </c>
      <c r="C71" s="65" t="s">
        <v>131</v>
      </c>
      <c r="D71" s="65" t="s">
        <v>126</v>
      </c>
      <c r="E71" t="str">
        <f t="shared" si="0"/>
        <v>Delregion Göteborg</v>
      </c>
      <c r="G71">
        <v>2018</v>
      </c>
      <c r="H71" s="68" t="s">
        <v>79</v>
      </c>
      <c r="I71" t="e">
        <f>IF(COUNTIFS($E:$E,"=Delregion Fyrbodal",$C:$C,"=Övrig socialtjänst",$A:$A,"&gt;2018-01-01",$A:$A,"&lt;2018-12-31")=0,FIND(" ",O27,1),COUNTIFS($E:$E,"=Delregion Fyrbodal",$C:$C,"=Övrig socialtjänst",$A:$A,"&gt;2018-01-01",$A:$A,"&lt;2018-12-31"))</f>
        <v>#VALUE!</v>
      </c>
      <c r="J71" t="e">
        <f>IF(COUNTIFS($E:$E,"=Delregion Göteborg",$C:$C,"=Övrig socialtjänst",$A:$A,"&gt;2018-01-01",$A:$A,"&lt;2018-12-31")=0,FIND(" ",O27,1),COUNTIFS($E:$E,"=Delregion Göteborg",$C:$C,"=Övrig socialtjänst",$A:$A,"&gt;2018-01-01",$A:$A,"&lt;2018-12-31"))</f>
        <v>#VALUE!</v>
      </c>
      <c r="K71" t="e">
        <f>IF(COUNTIFS($E:$E,"=Delregion SIMBA",$C:$C,"=Övrig socialtjänst",$A:$A,"&gt;2018-01-01",$A:$A,"&lt;2018-12-31")=0,FIND(" ",O27,1),COUNTIFS($E:$E,"=Delregion SIMBA",$C:$C,"=Övrig socialtjänst",$A:$A,"&gt;2018-01-01",$A:$A,"&lt;2018-12-31"))</f>
        <v>#VALUE!</v>
      </c>
      <c r="L71" t="e">
        <f>IF(COUNTIFS($E:$E,"=Delregion Skaraborg",$C:$C,"=Övrig socialtjänst",$A:$A,"&gt;2018-01-01",$A:$A,"&lt;2018-12-31")=0,FIND(" ",O27,1),COUNTIFS($E:$E,"=Delregion Skaraborg",$C:$C,"=Övrig socialtjänst",$A:$A,"&gt;2018-01-01",$A:$A,"&lt;2018-12-31"))</f>
        <v>#VALUE!</v>
      </c>
      <c r="M71" t="e">
        <f>IF(COUNTIFS($E:$E,"=Delregion Södra Älvsborg",$C:$C,"=Övrig socialtjänst",$A:$A,"&gt;2018-01-01",$A:$A,"&lt;2018-12-31")=0,FIND(" ",O27,1),COUNTIFS($E:$E,"=Delregion Södra Älvsborg",$C:$C,"=Övrig socialtjänst",$A:$A,"&gt;2018-01-01",$A:$A,"&lt;2018-12-31"))</f>
        <v>#VALUE!</v>
      </c>
      <c r="N71" t="e">
        <f t="shared" si="2"/>
        <v>#VALUE!</v>
      </c>
    </row>
    <row r="72" spans="1:14" ht="14.45" customHeight="1">
      <c r="A72" s="64">
        <v>41739</v>
      </c>
      <c r="B72" s="65" t="s">
        <v>95</v>
      </c>
      <c r="C72" s="65" t="s">
        <v>129</v>
      </c>
      <c r="D72" s="65" t="s">
        <v>126</v>
      </c>
      <c r="E72" t="str">
        <f t="shared" si="0"/>
        <v>Delregion Södra Älvsborg</v>
      </c>
      <c r="G72">
        <v>2018</v>
      </c>
      <c r="H72" s="68" t="s">
        <v>126</v>
      </c>
      <c r="I72" t="e">
        <f>IF(COUNTIFS($E:$E,"=Delregion Fyrbodal",$D:$D,"=Hälso- och sjukvård",$A:$A,"&gt;2018-01-01",$A:$A,"&lt;2018-12-31")=0,FIND(" ",O21,1),COUNTIFS($E:$E,"=Delregion Fyrbodal",$D:$D,"=Hälso- och sjukvård",$A:$A,"&gt;2018-01-01",$A:$A,"&lt;2018-12-31"))</f>
        <v>#VALUE!</v>
      </c>
      <c r="J72" t="e">
        <f>IF(COUNTIFS($E:$E,"=Delregion Göteborg",$D:$D,"=Hälso- och sjukvård",$A:$A,"&gt;2018-01-01",$A:$A,"&lt;2018-12-31")=0,FIND(" ",O21,1),COUNTIFS($E:$E,"=Delregion Göteborg",$D:$D,"=Hälso- och sjukvård",$A:$A,"&gt;2018-01-01",$A:$A,"&lt;2018-12-31"))</f>
        <v>#VALUE!</v>
      </c>
      <c r="K72" t="e">
        <f>IF(COUNTIFS($E:$E,"=Delregion SIMBA",$D:$D,"=Hälso- och sjukvård",$A:$A,"&gt;2018-01-01",$A:$A,"&lt;2018-12-31")=0,FIND(" ",O21,1),COUNTIFS($E:$E,"=Delregion SIMBA",$D:$D,"=Hälso- och sjukvård",$A:$A,"&gt;2018-01-01",$A:$A,"&lt;2018-12-31"))</f>
        <v>#VALUE!</v>
      </c>
      <c r="L72" t="e">
        <f>IF(COUNTIFS($E:$E,"=Delregion Skaraborg",$D:$D,"=Hälso- och sjukvård",$A:$A,"&gt;2018-01-01",$A:$A,"&lt;2018-12-31")=0,FIND(" ",O21,1),COUNTIFS($E:$E,"=Delregion Skaraborg",$D:$D,"=Hälso- och sjukvård",$A:$A,"&gt;2018-01-01",$A:$A,"&lt;2018-12-31"))</f>
        <v>#VALUE!</v>
      </c>
      <c r="M72" t="e">
        <f>IF(COUNTIFS($E:$E,"=Delregion Södra Älvsborg",$D:$D,"=Hälso- och sjukvård",$A:$A,"&gt;2018-01-01",$A:$A,"&lt;2018-12-31")=0,FIND(" ",O21,1),COUNTIFS($E:$E,"=Delregion Södra Älvsborg",$D:$D,"=Hälso- och sjukvård",$A:$A,"&gt;2018-01-01",$A:$A,"&lt;2018-12-31"))</f>
        <v>#VALUE!</v>
      </c>
      <c r="N72" t="e">
        <f t="shared" si="2"/>
        <v>#VALUE!</v>
      </c>
    </row>
    <row r="73" spans="1:14" ht="14.45" customHeight="1">
      <c r="A73" s="64">
        <v>41743</v>
      </c>
      <c r="B73" s="65" t="s">
        <v>116</v>
      </c>
      <c r="C73" s="65" t="s">
        <v>127</v>
      </c>
      <c r="D73" s="65" t="s">
        <v>126</v>
      </c>
      <c r="E73" t="str">
        <f t="shared" si="0"/>
        <v>Delregion Södra Älvsborg</v>
      </c>
      <c r="G73">
        <v>2018</v>
      </c>
      <c r="H73" s="68" t="s">
        <v>200</v>
      </c>
      <c r="I73" t="e">
        <f>IF(COUNTIFS($E:$E,"=Delregion Fyrbodal",$C:$C,"=Hemsjukvård i ordinärt boende",$A:$A,"&gt;2018-01-01",$A:$A,"&lt;2018-12-31")=0,FIND(" ",O22,1),COUNTIFS($E:$E,"=Delregion Fyrbodal",$C:$C,"=Hemsjukvård i ordinärt boende",$A:$A,"&gt;2018-01-01",$A:$A,"&lt;2018-12-31"))</f>
        <v>#VALUE!</v>
      </c>
      <c r="J73" t="e">
        <f>IF(COUNTIFS($E:$E,"=Delregion Göteborg",$C:$C,"=Hemsjukvård i ordinärt boende",$A:$A,"&gt;2018-01-01",$A:$A,"&lt;2018-12-31")=0,FIND(" ",O22,1),COUNTIFS($E:$E,"=Delregion Göteborg",$C:$C,"=Hemsjukvård i ordinärt boende",$A:$A,"&gt;2018-01-01",$A:$A,"&lt;2018-12-31"))</f>
        <v>#VALUE!</v>
      </c>
      <c r="K73" t="e">
        <f>IF(COUNTIFS($E:$E,"=Delregion SIMBA",$C:$C,"=Hemsjukvård i ordinärt boende",$A:$A,"&gt;2018-01-01",$A:$A,"&lt;2018-12-31")=0,FIND(" ",O22,1),COUNTIFS($E:$E,"=Delregion SIMBA",$C:$C,"=Hemsjukvård i ordinärt boende",$A:$A,"&gt;2018-01-01",$A:$A,"&lt;2018-12-31"))</f>
        <v>#VALUE!</v>
      </c>
      <c r="L73" t="e">
        <f>IF(COUNTIFS($E:$E,"=Delregion Skaraborg",$C:$C,"=Hemsjukvård i ordinärt boende",$A:$A,"&gt;2018-01-01",$A:$A,"&lt;2018-12-31")=0,FIND(" ",O22,1),COUNTIFS($E:$E,"=Delregion Skaraborg",$C:$C,"=Hemsjukvård i ordinärt boende",$A:$A,"&gt;2018-01-01",$A:$A,"&lt;2018-12-31"))</f>
        <v>#VALUE!</v>
      </c>
      <c r="M73" t="e">
        <f>IF(COUNTIFS($E:$E,"=Delregion Södra Älvsborg",$C:$C,"=Hemsjukvård i ordinärt boende",$A:$A,"&gt;2018-01-01",$A:$A,"&lt;2018-12-31")=0,FIND(" ",O22,1),COUNTIFS($E:$E,"=Delregion Södra Älvsborg",$C:$C,"=Hemsjukvård i ordinärt boende",$A:$A,"&gt;2018-01-01",$A:$A,"&lt;2018-12-31"))</f>
        <v>#VALUE!</v>
      </c>
      <c r="N73" t="e">
        <f t="shared" si="2"/>
        <v>#VALUE!</v>
      </c>
    </row>
    <row r="74" spans="1:14" ht="14.45" customHeight="1">
      <c r="A74" s="64">
        <v>41751</v>
      </c>
      <c r="B74" s="65" t="s">
        <v>73</v>
      </c>
      <c r="C74" s="65" t="s">
        <v>85</v>
      </c>
      <c r="D74" s="65" t="s">
        <v>75</v>
      </c>
      <c r="E74" t="str">
        <f t="shared" si="0"/>
        <v>Delregion Göteborg</v>
      </c>
      <c r="G74">
        <v>2018</v>
      </c>
      <c r="H74" s="68" t="s">
        <v>128</v>
      </c>
      <c r="I74" t="e">
        <f>IF(COUNTIFS($E:$E,"=Delregion Fyrbodal",$C:$C,"=Prehospital vård",$A:$A,"&gt;2018-01-01",$A:$A,"&lt;2018-12-31")=0,FIND(" ",O24,1),COUNTIFS($E:$E,"=Delregion Fyrbodal",$C:$C,"=Prehospital vård",$A:$A,"&gt;2018-01-01",$A:$A,"&lt;2018-12-31"))</f>
        <v>#VALUE!</v>
      </c>
      <c r="J74" t="e">
        <f>IF(COUNTIFS($E:$E,"=Delregion Göteborg",$C:$C,"=Prehospital vård",$A:$A,"&gt;2018-01-01",$A:$A,"&lt;2018-12-31")=0,FIND(" ",O24,1),COUNTIFS($E:$E,"=Delregion Göteborg",$C:$C,"=Prehospital vård",$A:$A,"&gt;2018-01-01",$A:$A,"&lt;2018-12-31"))</f>
        <v>#VALUE!</v>
      </c>
      <c r="K74" t="e">
        <f>IF(COUNTIFS($E:$E,"=Delregion SIMBA",$C:$C,"=Prehospital vård",$A:$A,"&gt;2018-01-01",$A:$A,"&lt;2018-12-31")=0,FIND(" ",O24,1),COUNTIFS($E:$E,"=Delregion SIMBA",$C:$C,"=Prehospital vård",$A:$A,"&gt;2018-01-01",$A:$A,"&lt;2018-12-31"))</f>
        <v>#VALUE!</v>
      </c>
      <c r="L74" t="e">
        <f>IF(COUNTIFS($E:$E,"=Delregion Skaraborg",$C:$C,"=Prehospital vård",$A:$A,"&gt;2018-01-01",$A:$A,"&lt;2018-12-31")=0,FIND(" ",O24,1),COUNTIFS($E:$E,"=Delregion Skaraborg",$C:$C,"=Prehospital vård",$A:$A,"&gt;2018-01-01",$A:$A,"&lt;2018-12-31"))</f>
        <v>#VALUE!</v>
      </c>
      <c r="M74" t="e">
        <f>IF(COUNTIFS($E:$E,"=Delregion Södra Älvsborg",$C:$C,"=Prehospital vård",$A:$A,"&gt;2018-01-01",$A:$A,"&lt;2018-12-31")=0,FIND(" ",O24,1),COUNTIFS($E:$E,"=Delregion Södra Älvsborg",$C:$C,"=Prehospital vård",$A:$A,"&gt;2018-01-01",$A:$A,"&lt;2018-12-31"))</f>
        <v>#VALUE!</v>
      </c>
      <c r="N74" t="e">
        <f t="shared" si="2"/>
        <v>#VALUE!</v>
      </c>
    </row>
    <row r="75" spans="1:14" ht="14.45" customHeight="1">
      <c r="A75" s="64">
        <v>41752</v>
      </c>
      <c r="B75" s="65" t="s">
        <v>73</v>
      </c>
      <c r="C75" s="65" t="s">
        <v>85</v>
      </c>
      <c r="D75" s="65" t="s">
        <v>75</v>
      </c>
      <c r="E75" t="str">
        <f t="shared" si="0"/>
        <v>Delregion Göteborg</v>
      </c>
      <c r="G75">
        <v>2018</v>
      </c>
      <c r="H75" s="68" t="s">
        <v>127</v>
      </c>
      <c r="I75" t="e">
        <f>IF(COUNTIFS($E:$E,"=Delregion Fyrbodal",$C:$C,"=Primärvård, utom hemsjukvård",$A:$A,"&gt;2018-01-01",$A:$A,"&lt;2018-12-31")=0,FIND(" ",O25,1),COUNTIFS($E:$E,"=Delregion Fyrbodal",$C:$C,"=Primärvård, utom hemsjukvård",$A:$A,"&gt;2018-01-01",$A:$A,"&lt;2018-12-31"))</f>
        <v>#VALUE!</v>
      </c>
      <c r="J75" t="e">
        <f>IF(COUNTIFS($E:$E,"=Delregion Göteborg",$C:$C,"=Primärvård, utom hemsjukvård",$A:$A,"&gt;2018-01-01",$A:$A,"&lt;2018-12-31")=0,FIND(" ",O25,1),COUNTIFS($E:$E,"=Delregion Göteborg",$C:$C,"=Primärvård, utom hemsjukvård",$A:$A,"&gt;2018-01-01",$A:$A,"&lt;2018-12-31"))</f>
        <v>#VALUE!</v>
      </c>
      <c r="K75" t="e">
        <f>IF(COUNTIFS($E:$E,"=Delregion SIMBA",$C:$C,"=Primärvård, utom hemsjukvård",$A:$A,"&gt;2018-01-01",$A:$A,"&lt;2018-12-31")=0,FIND(" ",O25,1),COUNTIFS($E:$E,"=Delregion SIMBA",$C:$C,"=Primärvård, utom hemsjukvård",$A:$A,"&gt;2018-01-01",$A:$A,"&lt;2018-12-31"))</f>
        <v>#VALUE!</v>
      </c>
      <c r="L75" t="e">
        <f>IF(COUNTIFS($E:$E,"=Delregion Skaraborg",$C:$C,"=Primärvård, utom hemsjukvård",$A:$A,"&gt;2018-01-01",$A:$A,"&lt;2018-12-31")=0,FIND(" ",O25,1),COUNTIFS($E:$E,"=Delregion Skaraborg",$C:$C,"=Primärvård, utom hemsjukvård",$A:$A,"&gt;2018-01-01",$A:$A,"&lt;2018-12-31"))</f>
        <v>#VALUE!</v>
      </c>
      <c r="M75" t="e">
        <f>IF(COUNTIFS($E:$E,"=Delregion Södra Älvsborg",$C:$C,"=Primärvård, utom hemsjukvård",$A:$A,"&gt;2018-01-01",$A:$A,"&lt;2018-12-31")=0,FIND(" ",O25,1),COUNTIFS($E:$E,"=Delregion Södra Älvsborg",$C:$C,"=Primärvård, utom hemsjukvård",$A:$A,"&gt;2018-01-01",$A:$A,"&lt;2018-12-31"))</f>
        <v>#VALUE!</v>
      </c>
      <c r="N75" t="e">
        <f t="shared" si="2"/>
        <v>#VALUE!</v>
      </c>
    </row>
    <row r="76" spans="1:14" ht="14.45" customHeight="1">
      <c r="A76" s="64">
        <v>41752</v>
      </c>
      <c r="B76" s="65" t="s">
        <v>73</v>
      </c>
      <c r="C76" s="65" t="s">
        <v>85</v>
      </c>
      <c r="D76" s="65" t="s">
        <v>75</v>
      </c>
      <c r="E76" t="str">
        <f t="shared" si="0"/>
        <v>Delregion Göteborg</v>
      </c>
      <c r="G76">
        <v>2018</v>
      </c>
      <c r="H76" s="68" t="s">
        <v>129</v>
      </c>
      <c r="I76" t="e">
        <f>IF(COUNTIFS($E:$E,"=Delregion Fyrbodal",$C:$C,"=Psykiatrisk specialistsjukvård",$A:$A,"&gt;2018-01-01",$A:$A,"&lt;2018-12-31")=0,FIND(" ",O26,1),COUNTIFS($E:$E,"=Delregion Fyrbodal",$C:$C,"=Psykiatrisk specialistsjukvård",$A:$A,"&gt;2018-01-01",$A:$A,"&lt;2018-12-31"))</f>
        <v>#VALUE!</v>
      </c>
      <c r="J76" t="e">
        <f>IF(COUNTIFS($E:$E,"=Delregion Göteborg",$C:$C,"=Psykiatrisk specialistsjukvård",$A:$A,"&gt;2018-01-01",$A:$A,"&lt;2018-12-31")=0,FIND(" ",O26,1),COUNTIFS($E:$E,"=Delregion Göteborg",$C:$C,"=Psykiatrisk specialistsjukvård",$A:$A,"&gt;2018-01-01",$A:$A,"&lt;2018-12-31"))</f>
        <v>#VALUE!</v>
      </c>
      <c r="K76" t="e">
        <f>IF(COUNTIFS($E:$E,"=Delregion SIMBA",$C:$C,"=Psykiatrisk specialistsjukvård",$A:$A,"&gt;2018-01-01",$A:$A,"&lt;2018-12-31")=0,FIND(" ",O26,1),COUNTIFS($E:$E,"=Delregion SIMBA",$C:$C,"=Psykiatrisk specialistsjukvård",$A:$A,"&gt;2018-01-01",$A:$A,"&lt;2018-12-31"))</f>
        <v>#VALUE!</v>
      </c>
      <c r="L76" t="e">
        <f>IF(COUNTIFS($E:$E,"=Delregion Skaraborg",$C:$C,"=Psykiatrisk specialistsjukvård",$A:$A,"&gt;2018-01-01",$A:$A,"&lt;2018-12-31")=0,FIND(" ",O26,1),COUNTIFS($E:$E,"=Delregion Skaraborg",$C:$C,"=Psykiatrisk specialistsjukvård",$A:$A,"&gt;2018-01-01",$A:$A,"&lt;2018-12-31"))</f>
        <v>#VALUE!</v>
      </c>
      <c r="M76" t="e">
        <f>IF(COUNTIFS($E:$E,"=Delregion Södra Älvsborg",$C:$C,"=Psykiatrisk specialistsjukvård",$A:$A,"&gt;2018-01-01",$A:$A,"&lt;2018-12-31")=0,FIND(" ",O26,1),COUNTIFS($E:$E,"=Delregion Södra Älvsborg",$C:$C,"=Psykiatrisk specialistsjukvård",$A:$A,"&gt;2018-01-01",$A:$A,"&lt;2018-12-31"))</f>
        <v>#VALUE!</v>
      </c>
      <c r="N76" t="e">
        <f t="shared" si="2"/>
        <v>#VALUE!</v>
      </c>
    </row>
    <row r="77" spans="1:14" ht="14.45" customHeight="1">
      <c r="A77" s="64">
        <v>41753</v>
      </c>
      <c r="B77" s="65" t="s">
        <v>73</v>
      </c>
      <c r="C77" s="65" t="s">
        <v>85</v>
      </c>
      <c r="D77" s="65" t="s">
        <v>75</v>
      </c>
      <c r="E77" t="str">
        <f t="shared" ref="E77:E140" si="3">VLOOKUP(B77,$Q$14:$R$62,2,FALSE)</f>
        <v>Delregion Göteborg</v>
      </c>
      <c r="G77">
        <v>2018</v>
      </c>
      <c r="H77" s="68" t="s">
        <v>198</v>
      </c>
      <c r="I77" t="e">
        <f>IF(SUM(I65:I72)=0,FIND(" ",O21,1),SUM(I65:I72))</f>
        <v>#VALUE!</v>
      </c>
      <c r="J77" t="e">
        <f>IF(SUM(J65:J72)=0,FIND(" ",O21,1),SUM(J65:J72))</f>
        <v>#VALUE!</v>
      </c>
      <c r="K77" t="e">
        <f>IF(SUM(K65:K72)=0,FIND(" ",O21,1),SUM(K65:K72))</f>
        <v>#VALUE!</v>
      </c>
      <c r="L77" t="e">
        <f>IF(SUM(L65:L72)=0,FIND(" ",O21,1),SUM(L65:L72))</f>
        <v>#VALUE!</v>
      </c>
      <c r="M77" t="e">
        <f>IF(SUM(M65:M72)=0,FIND(" ",O21,1),SUM(M65:M72))</f>
        <v>#VALUE!</v>
      </c>
      <c r="N77" t="e">
        <f t="shared" si="2"/>
        <v>#VALUE!</v>
      </c>
    </row>
    <row r="78" spans="1:14" ht="14.45" customHeight="1">
      <c r="A78" s="64">
        <v>41753</v>
      </c>
      <c r="B78" s="65" t="s">
        <v>86</v>
      </c>
      <c r="C78" s="65" t="s">
        <v>85</v>
      </c>
      <c r="D78" s="65" t="s">
        <v>75</v>
      </c>
      <c r="E78" t="str">
        <f t="shared" si="3"/>
        <v>Delregion Fyrbodal</v>
      </c>
      <c r="G78">
        <v>2019</v>
      </c>
      <c r="H78" s="68" t="s">
        <v>75</v>
      </c>
      <c r="I78" t="e">
        <f>IF(COUNTIFS($E:$E,"=Delregion Fyrbodal",$D:$D,"=Socialtjänst",$A:$A,"&gt;2019-01-01",$A:$A,"&lt;2019-12-31")=0,FIND(" ",O21,1),COUNTIFS($E:$E,"=Delregion Fyrbodal",$D:$D,"=Socialtjänst",$A:$A,"&gt;2019-01-01",$A:$A,"&lt;2019-12-31"))</f>
        <v>#VALUE!</v>
      </c>
      <c r="J78" t="e">
        <f>IF(COUNTIFS($E:$E,"=Delregion Göteborg",$D:$D,"=Socialtjänst",$A:$A,"&gt;2019-01-01",$A:$A,"&lt;2019-12-31")=0,FIND(" ",O21,1),COUNTIFS($E:$E,"=Delregion Göteborg",$D:$D,"=Socialtjänst",$A:$A,"&gt;2019-01-01",$A:$A,"&lt;2019-12-31"))</f>
        <v>#VALUE!</v>
      </c>
      <c r="K78" t="e">
        <f>IF(COUNTIFS($E:$E,"=Delregion SIMBA",$D:$D,"=Socialtjänst",$A:$A,"&gt;2019-01-01",$A:$A,"&lt;2019-12-31")=0,FIND(" ",O21,1),COUNTIFS($E:$E,"=Delregion SIMBA",$D:$D,"=Socialtjänst",$A:$A,"&gt;2019-01-01",$A:$A,"&lt;2019-12-31"))</f>
        <v>#VALUE!</v>
      </c>
      <c r="L78" t="e">
        <f>IF(COUNTIFS($E:$E,"=Delregion Skaraborg",$D:$D,"=Socialtjänst",$A:$A,"&gt;2019-01-01",$A:$A,"&lt;2019-12-31")=0,FIND(" ",O21,1),COUNTIFS($E:$E,"=Delregion Skaraborg",$D:$D,"=Socialtjänst",$A:$A,"&gt;2019-01-01",$A:$A,"&lt;2019-12-31"))</f>
        <v>#VALUE!</v>
      </c>
      <c r="M78" t="e">
        <f>IF(COUNTIFS($E:$E,"=Delregion Södra Älvsborg",$D:$D,"=Socialtjänst",$A:$A,"&gt;2019-01-01",$A:$A,"&lt;2019-12-31")=0,FIND(" ",O21,1),COUNTIFS($E:$E,"=Delregion Södra Älvsborg",$D:$D,"=Socialtjänst",$A:$A,"&gt;2019-01-01",$A:$A,"&lt;2019-12-31"))</f>
        <v>#VALUE!</v>
      </c>
      <c r="N78" t="e">
        <f t="shared" ref="N78:N141" si="4">IF(SUM(I78:M78)=0,FIND(" ",O91,1),SUM(I78:M78))</f>
        <v>#VALUE!</v>
      </c>
    </row>
    <row r="79" spans="1:14" ht="14.45" customHeight="1">
      <c r="A79" s="64">
        <v>41754</v>
      </c>
      <c r="B79" s="65" t="s">
        <v>99</v>
      </c>
      <c r="C79" s="65" t="s">
        <v>85</v>
      </c>
      <c r="D79" s="65" t="s">
        <v>75</v>
      </c>
      <c r="E79" t="str">
        <f t="shared" si="3"/>
        <v>Delregion Skaraborg</v>
      </c>
      <c r="G79">
        <v>2019</v>
      </c>
      <c r="H79" s="68" t="str">
        <f>"Ekonomiskt bistånd"</f>
        <v>Ekonomiskt bistånd</v>
      </c>
      <c r="I79" t="e">
        <f>IF(COUNTIFS($E:$E,"=Delregion Fyrbodal",$C:$C,"=Ekonomiskt bistånd",$A:$A,"&gt;2019-01-01",$A:$A,"&lt;2019-12-31")=0,FIND(" ",O22,1),COUNTIFS($E:$E,"=Delregion Fyrbodal",$C:$C,"=Ekonomiskt bistånd",$A:$A,"&gt;2019-01-01",$A:$A,"&lt;2019-12-31"))</f>
        <v>#VALUE!</v>
      </c>
      <c r="J79" t="e">
        <f>IF(COUNTIFS($E:$E,"=Delregion Göteborg",$C:$C,"=Ekonomiskt bistånd",$A:$A,"&gt;2019-01-01",$A:$A,"&lt;2019-12-31")=0,FIND(" ",O22,1),COUNTIFS($E:$E,"=Delregion Göteborg",$C:$C,"=Ekonomiskt bistånd",$A:$A,"&gt;2019-01-01",$A:$A,"&lt;2019-12-31"))</f>
        <v>#VALUE!</v>
      </c>
      <c r="K79" t="e">
        <f>IF(COUNTIFS($E:$E,"=Delregion SIMBA",$C:$C,"=Ekonomiskt bistånd",$A:$A,"&gt;2019-01-01",$A:$A,"&lt;2019-12-31")=0,FIND(" ",O22,1),COUNTIFS($E:$E,"=Delregion SIMBA",$C:$C,"=Ekonomiskt bistånd",$A:$A,"&gt;2019-01-01",$A:$A,"&lt;2019-12-31"))</f>
        <v>#VALUE!</v>
      </c>
      <c r="L79" t="e">
        <f>IF(COUNTIFS($E:$E,"=Delregion Skaraborg",$C:$C,"=Ekonomiskt bistånd",$A:$A,"&gt;2019-01-01",$A:$A,"&lt;2019-12-31")=0,FIND(" ",O22,1),COUNTIFS($E:$E,"=Delregion Skaraborg",$C:$C,"=Ekonomiskt bistånd",$A:$A,"&gt;2019-01-01",$A:$A,"&lt;2019-12-31"))</f>
        <v>#VALUE!</v>
      </c>
      <c r="M79" t="e">
        <f>IF(COUNTIFS($E:$E,"=Delregion Södra Älvsborg",$C:$C,"=Ekonomiskt bistånd",$A:$A,"&gt;2019-01-01",$A:$A,"&lt;2019-12-31")=0,FIND(" ",O22,1),COUNTIFS($E:$E,"=Delregion Södra Älvsborg",$C:$C,"=Ekonomiskt bistånd",$A:$A,"&gt;2019-01-01",$A:$A,"&lt;2019-12-31"))</f>
        <v>#VALUE!</v>
      </c>
      <c r="N79" t="e">
        <f t="shared" si="4"/>
        <v>#VALUE!</v>
      </c>
    </row>
    <row r="80" spans="1:14" ht="14.45" customHeight="1">
      <c r="A80" s="64">
        <v>41754</v>
      </c>
      <c r="B80" s="65" t="s">
        <v>73</v>
      </c>
      <c r="C80" s="65" t="s">
        <v>196</v>
      </c>
      <c r="D80" s="65" t="s">
        <v>126</v>
      </c>
      <c r="E80" t="str">
        <f t="shared" si="3"/>
        <v>Delregion Göteborg</v>
      </c>
      <c r="G80">
        <v>2019</v>
      </c>
      <c r="H80" s="68" t="s">
        <v>96</v>
      </c>
      <c r="I80" t="e">
        <f>IF(COUNTIFS($E:$E,"=Delregion Fyrbodal",$C:$C,"=Funktionsnedsättning LSS",$A:$A,"&gt;2019-01-01",$A:$A,"&lt;2019-12-31")=0,FIND(" ",O23,1),COUNTIFS($E:$E,"=Delregion Fyrbodal",$C:$C,"=Funktionsnedsättning LSS",$A:$A,"&gt;2019-01-01",$A:$A,"&lt;2019-12-31"))</f>
        <v>#VALUE!</v>
      </c>
      <c r="J80" t="e">
        <f>IF(COUNTIFS($E:$E,"=Delregion Göteborg",$C:$C,"=Funktionsnedsättning LSS",$A:$A,"&gt;2019-01-01",$A:$A,"&lt;2019-12-31")=0,FIND(" ",O23,1),COUNTIFS($E:$E,"=Delregion Göteborg",$C:$C,"=Funktionsnedsättning LSS",$A:$A,"&gt;2019-01-01",$A:$A,"&lt;2019-12-31"))</f>
        <v>#VALUE!</v>
      </c>
      <c r="K80" t="e">
        <f>IF(COUNTIFS($E:$E,"=Delregion SIMBA",$C:$C,"=Funktionsnedsättning LSS",$A:$A,"&gt;2019-01-01",$A:$A,"&lt;2019-12-31")=0,FIND(" ",O23,1),COUNTIFS($E:$E,"=Delregion SIMBA",$C:$C,"=Funktionsnedsättning LSS",$A:$A,"&gt;2019-01-01",$A:$A,"&lt;2019-12-31"))</f>
        <v>#VALUE!</v>
      </c>
      <c r="L80" t="e">
        <f>IF(COUNTIFS($E:$E,"=Delregion Skaraborg",$C:$C,"=Funktionsnedsättning LSS",$A:$A,"&gt;2019-01-01",$A:$A,"&lt;2019-12-31")=0,FIND(" ",O23,1),COUNTIFS($E:$E,"=Delregion Skaraborg",$C:$C,"=Funktionsnedsättning LSS",$A:$A,"&gt;2019-01-01",$A:$A,"&lt;2019-12-31"))</f>
        <v>#VALUE!</v>
      </c>
      <c r="M80" t="e">
        <f>IF(COUNTIFS($E:$E,"=Delregion Södra Älvsborg",$C:$C,"=Funktionsnedsättning LSS",$A:$A,"&gt;2019-01-01",$A:$A,"&lt;2019-12-31")=0,FIND(" ",O23,1),COUNTIFS($E:$E,"=Delregion Södra Älvsborg",$C:$C,"=Funktionsnedsättning LSS",$A:$A,"&gt;2019-01-01",$A:$A,"&lt;2019-12-31"))</f>
        <v>#VALUE!</v>
      </c>
      <c r="N80" t="e">
        <f t="shared" si="4"/>
        <v>#VALUE!</v>
      </c>
    </row>
    <row r="81" spans="1:14" ht="14.45" customHeight="1">
      <c r="A81" s="64">
        <v>41754</v>
      </c>
      <c r="B81" s="65" t="s">
        <v>97</v>
      </c>
      <c r="C81" s="65" t="s">
        <v>131</v>
      </c>
      <c r="D81" s="65" t="s">
        <v>126</v>
      </c>
      <c r="E81" t="str">
        <f t="shared" si="3"/>
        <v>Delregion Fyrbodal</v>
      </c>
      <c r="G81">
        <v>2019</v>
      </c>
      <c r="H81" s="68" t="s">
        <v>118</v>
      </c>
      <c r="I81" t="e">
        <f>IF(COUNTIFS($E:$E,"=Delregion Fyrbodal",$C:$C,"=Funktionsnedsättning SoL",$A:$A,"&gt;2019-01-01",$A:$A,"&lt;2019-12-31")=0,FIND(" ",O24,1),COUNTIFS($E:$E,"=Delregion Fyrbodal",$C:$C,"=Funktionsnedsättning SoL",$A:$A,"&gt;2019-01-01",$A:$A,"&lt;2019-12-31"))</f>
        <v>#VALUE!</v>
      </c>
      <c r="J81" t="e">
        <f>IF(COUNTIFS($E:$E,"=Delregion Göteborg",$C:$C,"=Funktionsnedsättning SoL",$A:$A,"&gt;2019-01-01",$A:$A,"&lt;2019-12-31")=0,FIND(" ",O24,1),COUNTIFS($E:$E,"=Delregion Göteborg",$C:$C,"=Funktionsnedsättning SoL",$A:$A,"&gt;2019-01-01",$A:$A,"&lt;2019-12-31"))</f>
        <v>#VALUE!</v>
      </c>
      <c r="K81" t="e">
        <f>IF(COUNTIFS($E:$E,"=Delregion SIMBA",$C:$C,"=Funktionsnedsättning SoL",$A:$A,"&gt;2019-01-01",$A:$A,"&lt;2019-12-31")=0,FIND(" ",O24,1),COUNTIFS($E:$E,"=Delregion SIMBA",$C:$C,"=Funktionsnedsättning SoL",$A:$A,"&gt;2019-01-01",$A:$A,"&lt;2019-12-31"))</f>
        <v>#VALUE!</v>
      </c>
      <c r="L81" t="e">
        <f>IF(COUNTIFS($E:$E,"=Delregion Skaraborg",$C:$C,"=Funktionsnedsättning SoL",$A:$A,"&gt;2019-01-01",$A:$A,"&lt;2019-12-31")=0,FIND(" ",O24,1),COUNTIFS($E:$E,"=Delregion Skaraborg",$C:$C,"=Funktionsnedsättning SoL",$A:$A,"&gt;2019-01-01",$A:$A,"&lt;2019-12-31"))</f>
        <v>#VALUE!</v>
      </c>
      <c r="M81" t="e">
        <f>IF(COUNTIFS($E:$E,"=Delregion Södra Älvsborg",$C:$C,"=Funktionsnedsättning SoL",$A:$A,"&gt;2019-01-01",$A:$A,"&lt;2019-12-31")=0,FIND(" ",O24,1),COUNTIFS($E:$E,"=Delregion Södra Älvsborg",$C:$C,"=Funktionsnedsättning SoL",$A:$A,"&gt;2019-01-01",$A:$A,"&lt;2019-12-31"))</f>
        <v>#VALUE!</v>
      </c>
      <c r="N81" t="e">
        <f t="shared" si="4"/>
        <v>#VALUE!</v>
      </c>
    </row>
    <row r="82" spans="1:14" ht="14.45" customHeight="1">
      <c r="A82" s="64">
        <v>41757</v>
      </c>
      <c r="B82" s="65" t="s">
        <v>76</v>
      </c>
      <c r="C82" s="65" t="s">
        <v>85</v>
      </c>
      <c r="D82" s="65" t="s">
        <v>75</v>
      </c>
      <c r="E82" t="str">
        <f t="shared" si="3"/>
        <v>Delregion Skaraborg</v>
      </c>
      <c r="G82">
        <v>2019</v>
      </c>
      <c r="H82" s="68" t="s">
        <v>100</v>
      </c>
      <c r="I82" t="e">
        <f>IF(COUNTIFS($E:$E,"=Delregion Fyrbodal",$C:$C,"=Missbruk",$A:$A,"&gt;2019-01-01",$A:$A,"&lt;2019-12-31")=0,FIND(" ",O25,1),COUNTIFS($E:$E,"=Delregion Fyrbodal",$C:$C,"=Missbruk",$A:$A,"&gt;2019-01-01",$A:$A,"&lt;2019-12-31"))</f>
        <v>#VALUE!</v>
      </c>
      <c r="J82" t="e">
        <f>IF(COUNTIFS($E:$E,"=Delregion Göteborg",$C:$C,"=Missbruk",$A:$A,"&gt;2019-01-01",$A:$A,"&lt;2019-12-31")=0,FIND(" ",O25,1),COUNTIFS($E:$E,"=Delregion Göteborg",$C:$C,"=Missbruk",$A:$A,"&gt;2019-01-01",$A:$A,"&lt;2019-12-31"))</f>
        <v>#VALUE!</v>
      </c>
      <c r="K82" t="e">
        <f>IF(COUNTIFS($E:$E,"=Delregion SIMBA",$C:$C,"=Missbruk",$A:$A,"&gt;2019-01-01",$A:$A,"&lt;2019-12-31")=0,FIND(" ",O25,1),COUNTIFS($E:$E,"=Delregion SIMBA",$C:$C,"=Missbruk",$A:$A,"&gt;2019-01-01",$A:$A,"&lt;2019-12-31"))</f>
        <v>#VALUE!</v>
      </c>
      <c r="L82" t="e">
        <f>IF(COUNTIFS($E:$E,"=Delregion Skaraborg",$C:$C,"=Missbruk",$A:$A,"&gt;2019-01-01",$A:$A,"&lt;2019-12-31")=0,FIND(" ",O25,1),COUNTIFS($E:$E,"=Delregion Skaraborg",$C:$C,"=Missbruk",$A:$A,"&gt;2019-01-01",$A:$A,"&lt;2019-12-31"))</f>
        <v>#VALUE!</v>
      </c>
      <c r="M82" t="e">
        <f>IF(COUNTIFS($E:$E,"=Delregion Södra Älvsborg",$C:$C,"=Missbruk",$A:$A,"&gt;2019-01-01",$A:$A,"&lt;2019-12-31")=0,FIND(" ",O25,1),COUNTIFS($E:$E,"=Delregion Södra Älvsborg",$C:$C,"=Missbruk",$A:$A,"&gt;2019-01-01",$A:$A,"&lt;2019-12-31"))</f>
        <v>#VALUE!</v>
      </c>
      <c r="N82" t="e">
        <f t="shared" si="4"/>
        <v>#VALUE!</v>
      </c>
    </row>
    <row r="83" spans="1:14" ht="14.45" customHeight="1">
      <c r="A83" s="64">
        <v>41758</v>
      </c>
      <c r="B83" s="65" t="s">
        <v>73</v>
      </c>
      <c r="C83" s="65" t="s">
        <v>91</v>
      </c>
      <c r="D83" s="65" t="s">
        <v>75</v>
      </c>
      <c r="E83" t="str">
        <f t="shared" si="3"/>
        <v>Delregion Göteborg</v>
      </c>
      <c r="G83">
        <v>2019</v>
      </c>
      <c r="H83" s="68" t="s">
        <v>201</v>
      </c>
      <c r="I83" t="e">
        <f>IF(COUNTIFS($E:$E,"=Delregion Fyrbodal",$C:$C,"=Äldreomsorg",$A:$A,"&gt;2019-01-01",$A:$A,"&lt;2019-12-31")=0,FIND(" ",O26,1),COUNTIFS($E:$E,"=Delregion Fyrbodal",$C:$C,"=Äldreomsorg",$A:$A,"&gt;2019-01-01",$A:$A,"&lt;2019-12-31"))</f>
        <v>#VALUE!</v>
      </c>
      <c r="J83" t="e">
        <f>IF(COUNTIFS($E:$E,"=Delregion Göteborg",$C:$C,"=Äldreomsorg",$A:$A,"&gt;2019-01-01",$A:$A,"&lt;2019-12-31")=0,FIND(" ",O26,1),COUNTIFS($E:$E,"=Delregion Göteborg",$C:$C,"=Äldreomsorg",$A:$A,"&gt;2019-01-01",$A:$A,"&lt;2019-12-31"))</f>
        <v>#VALUE!</v>
      </c>
      <c r="K83" t="e">
        <f>IF(COUNTIFS($E:$E,"=Delregion SIMBA",$C:$C,"=Äldreomsorg",$A:$A,"&gt;2019-01-01",$A:$A,"&lt;2019-12-31")=0,FIND(" ",O26,1),COUNTIFS($E:$E,"=Delregion SIMBA",$C:$C,"=Äldreomsorg",$A:$A,"&gt;2019-01-01",$A:$A,"&lt;2019-12-31"))</f>
        <v>#VALUE!</v>
      </c>
      <c r="L83" t="e">
        <f>IF(COUNTIFS($E:$E,"=Delregion Skaraborg",$C:$C,"=Äldreomsorg",$A:$A,"&gt;2019-01-01",$A:$A,"&lt;2019-12-31")=0,FIND(" ",O26,1),COUNTIFS($E:$E,"=Delregion Skaraborg",$C:$C,"=Äldreomsorg",$A:$A,"&gt;2019-01-01",$A:$A,"&lt;2019-12-31"))</f>
        <v>#VALUE!</v>
      </c>
      <c r="M83" t="e">
        <f>IF(COUNTIFS($E:$E,"=Delregion Södra Älvsborg",$C:$C,"=Äldreomsorg",$A:$A,"&gt;2019-01-01",$A:$A,"&lt;2019-12-31")=0,FIND(" ",O26,1),COUNTIFS($E:$E,"=Delregion Södra Älvsborg",$C:$C,"=Äldreomsorg",$A:$A,"&gt;2019-01-01",$A:$A,"&lt;2019-12-31"))</f>
        <v>#VALUE!</v>
      </c>
      <c r="N83" t="e">
        <f t="shared" si="4"/>
        <v>#VALUE!</v>
      </c>
    </row>
    <row r="84" spans="1:14" ht="14.45" customHeight="1">
      <c r="A84" s="64">
        <v>41758</v>
      </c>
      <c r="B84" s="65" t="s">
        <v>73</v>
      </c>
      <c r="C84" s="65" t="s">
        <v>127</v>
      </c>
      <c r="D84" s="65" t="s">
        <v>126</v>
      </c>
      <c r="E84" t="str">
        <f t="shared" si="3"/>
        <v>Delregion Göteborg</v>
      </c>
      <c r="G84">
        <v>2019</v>
      </c>
      <c r="H84" s="68" t="s">
        <v>79</v>
      </c>
      <c r="I84" t="e">
        <f>IF(COUNTIFS($E:$E,"=Delregion Fyrbodal",$D:$D,"=Socialtjänst",$A:$A,"&gt;2019-01-01",$A:$A,"&lt;2019-12-31")=0,FIND(" ",O27,1),COUNTIFS($E:$E,"=Delregion Fyrbodal",$D:$D,"=Socialtjänst",$A:$A,"&gt;2019-01-01",$A:$A,"&lt;2019-12-31"))</f>
        <v>#VALUE!</v>
      </c>
      <c r="J84" t="e">
        <f>IF(COUNTIFS($E:$E,"=Delregion Göteborg",$D:$D,"=Socialtjänst",$A:$A,"&gt;2019-01-01",$A:$A,"&lt;2019-12-31")=0,FIND(" ",O27,1),COUNTIFS($E:$E,"=Delregion Göteborg",$D:$D,"=Socialtjänst",$A:$A,"&gt;2019-01-01",$A:$A,"&lt;2019-12-31"))</f>
        <v>#VALUE!</v>
      </c>
      <c r="K84" t="e">
        <f>IF(COUNTIFS($E:$E,"=Delregion SIMBA",$D:$D,"=Socialtjänst",$A:$A,"&gt;2019-01-01",$A:$A,"&lt;2019-12-31")=0,FIND(" ",O27,1),COUNTIFS($E:$E,"=Delregion SIMBA",$D:$D,"=Socialtjänst",$A:$A,"&gt;2019-01-01",$A:$A,"&lt;2019-12-31"))</f>
        <v>#VALUE!</v>
      </c>
      <c r="L84" t="e">
        <f>IF(COUNTIFS($E:$E,"=Delregion Skaraborg",$D:$D,"=Socialtjänst",$A:$A,"&gt;2019-01-01",$A:$A,"&lt;2019-12-31")=0,FIND(" ",O27,1),COUNTIFS($E:$E,"=Delregion Skaraborg",$D:$D,"=Socialtjänst",$A:$A,"&gt;2019-01-01",$A:$A,"&lt;2019-12-31"))</f>
        <v>#VALUE!</v>
      </c>
      <c r="M84" t="e">
        <f>IF(COUNTIFS($E:$E,"=Delregion Södra Älvsborg",$D:$D,"=Socialtjänst",$A:$A,"&gt;2019-01-01",$A:$A,"&lt;2019-12-31")=0,FIND(" ",O27,1),COUNTIFS($E:$E,"=Delregion Södra Älvsborg",$D:$D,"=Socialtjänst",$A:$A,"&gt;2019-01-01",$A:$A,"&lt;2019-12-31"))</f>
        <v>#VALUE!</v>
      </c>
      <c r="N84" t="e">
        <f t="shared" si="4"/>
        <v>#VALUE!</v>
      </c>
    </row>
    <row r="85" spans="1:14" ht="14.45" customHeight="1">
      <c r="A85" s="64">
        <v>41765</v>
      </c>
      <c r="B85" s="65" t="s">
        <v>110</v>
      </c>
      <c r="C85" s="65" t="s">
        <v>83</v>
      </c>
      <c r="D85" s="65" t="s">
        <v>75</v>
      </c>
      <c r="E85" t="str">
        <f t="shared" si="3"/>
        <v>Delregion Fyrbodal</v>
      </c>
      <c r="G85">
        <v>2019</v>
      </c>
      <c r="H85" s="68" t="s">
        <v>126</v>
      </c>
      <c r="I85" t="e">
        <f>IF(COUNTIFS($E:$E,"=Delregion Fyrbodal",$D:$D,"=Hälso- och sjukvård",$A:$A,"&gt;2019-01-01",$A:$A,"&lt;2019-12-31")=0,FIND(" ",O21,1),COUNTIFS($E:$E,"=Delregion Fyrbodal",$D:$D,"=Hälso- och sjukvård",$A:$A,"&gt;2019-01-01",$A:$A,"&lt;2019-12-31"))</f>
        <v>#VALUE!</v>
      </c>
      <c r="J85" t="e">
        <f>IF(COUNTIFS($E:$E,"=Delregion Göteborg",$D:$D,"=Hälso- och sjukvård",$A:$A,"&gt;2019-01-01",$A:$A,"&lt;2019-12-31")=0,FIND(" ",O21,1),COUNTIFS($E:$E,"=Delregion Göteborg",$D:$D,"=Hälso- och sjukvård",$A:$A,"&gt;2019-01-01",$A:$A,"&lt;2019-12-31"))</f>
        <v>#VALUE!</v>
      </c>
      <c r="K85" t="e">
        <f>IF(COUNTIFS($E:$E,"=Delregion SIMBA",$D:$D,"=Hälso- och sjukvård",$A:$A,"&gt;2019-01-01",$A:$A,"&lt;2019-12-31")=0,FIND(" ",O21,1),COUNTIFS($E:$E,"=Delregion SIMBA",$D:$D,"=Hälso- och sjukvård",$A:$A,"&gt;2019-01-01",$A:$A,"&lt;2019-12-31"))</f>
        <v>#VALUE!</v>
      </c>
      <c r="L85" t="e">
        <f>IF(COUNTIFS($E:$E,"=Delregion Skaraborg",$D:$D,"=Hälso- och sjukvård",$A:$A,"&gt;2019-01-01",$A:$A,"&lt;2019-12-31")=0,FIND(" ",O21,1),COUNTIFS($E:$E,"=Delregion Skaraborg",$D:$D,"=Hälso- och sjukvård",$A:$A,"&gt;2019-01-01",$A:$A,"&lt;2019-12-31"))</f>
        <v>#VALUE!</v>
      </c>
      <c r="M85" t="e">
        <f>IF(COUNTIFS($E:$E,"=Delregion Södra Älvsborg",$D:$D,"=Hälso- och sjukvård",$A:$A,"&gt;2019-01-01",$A:$A,"&lt;2019-12-31")=0,FIND(" ",O21,1),COUNTIFS($E:$E,"=Delregion Södra Älvsborg",$D:$D,"=Hälso- och sjukvård",$A:$A,"&gt;2019-01-01",$A:$A,"&lt;2019-12-31"))</f>
        <v>#VALUE!</v>
      </c>
      <c r="N85" t="e">
        <f t="shared" si="4"/>
        <v>#VALUE!</v>
      </c>
    </row>
    <row r="86" spans="1:14" ht="14.45" customHeight="1">
      <c r="A86" s="64">
        <v>41767</v>
      </c>
      <c r="B86" s="65" t="s">
        <v>109</v>
      </c>
      <c r="C86" s="65" t="s">
        <v>134</v>
      </c>
      <c r="D86" s="65" t="s">
        <v>126</v>
      </c>
      <c r="E86" t="str">
        <f t="shared" si="3"/>
        <v>Delregion Fyrbodal</v>
      </c>
      <c r="G86">
        <v>2019</v>
      </c>
      <c r="H86" s="68" t="s">
        <v>200</v>
      </c>
      <c r="I86" t="e">
        <f>IF(COUNTIFS($E:$E,"=Delregion Fyrbodal",$C:$C,"=Hemsjukvård i ordinärt boende",$A:$A,"&gt;2019-01-01",$A:$A,"&lt;2019-12-31")=0,FIND(" ",O22,1),COUNTIFS($E:$E,"=Delregion Fyrbodal",$C:$C,"=Hemsjukvård i ordinärt boende",$A:$A,"&gt;2019-01-01",$A:$A,"&lt;2019-12-31"))</f>
        <v>#VALUE!</v>
      </c>
      <c r="J86" t="e">
        <f>IF(COUNTIFS($E:$E,"=Delregion Göteborg",$C:$C,"=Hemsjukvård i ordinärt boende",$A:$A,"&gt;2019-01-01",$A:$A,"&lt;2019-12-31")=0,FIND(" ",O22,1),COUNTIFS($E:$E,"=Delregion Göteborg",$C:$C,"=Hemsjukvård i ordinärt boende",$A:$A,"&gt;2019-01-01",$A:$A,"&lt;2019-12-31"))</f>
        <v>#VALUE!</v>
      </c>
      <c r="K86" t="e">
        <f>IF(COUNTIFS($E:$E,"=Delregion SIMBA",$C:$C,"=Hemsjukvård i ordinärt boende",$A:$A,"&gt;2019-01-01",$A:$A,"&lt;2019-12-31")=0,FIND(" ",O22,1),COUNTIFS($E:$E,"=Delregion SIMBA",$C:$C,"=Hemsjukvård i ordinärt boende",$A:$A,"&gt;2019-01-01",$A:$A,"&lt;2019-12-31"))</f>
        <v>#VALUE!</v>
      </c>
      <c r="L86" t="e">
        <f>IF(COUNTIFS($E:$E,"=Delregion Skaraborg",$C:$C,"=Hemsjukvård i ordinärt boende",$A:$A,"&gt;2019-01-01",$A:$A,"&lt;2019-12-31")=0,FIND(" ",O22,1),COUNTIFS($E:$E,"=Delregion Skaraborg",$C:$C,"=Hemsjukvård i ordinärt boende",$A:$A,"&gt;2019-01-01",$A:$A,"&lt;2019-12-31"))</f>
        <v>#VALUE!</v>
      </c>
      <c r="M86" t="e">
        <f>IF(COUNTIFS($E:$E,"=Delregion Södra Älvsborg",$C:$C,"=Hemsjukvård i ordinärt boende",$A:$A,"&gt;2019-01-01",$A:$A,"&lt;2019-12-31")=0,FIND(" ",O22,1),COUNTIFS($E:$E,"=Delregion Södra Älvsborg",$C:$C,"=Hemsjukvård i ordinärt boende",$A:$A,"&gt;2019-01-01",$A:$A,"&lt;2019-12-31"))</f>
        <v>#VALUE!</v>
      </c>
      <c r="N86" t="e">
        <f t="shared" si="4"/>
        <v>#VALUE!</v>
      </c>
    </row>
    <row r="87" spans="1:14" ht="14.45" customHeight="1">
      <c r="A87" s="64">
        <v>41772</v>
      </c>
      <c r="B87" s="65" t="s">
        <v>73</v>
      </c>
      <c r="C87" s="65" t="s">
        <v>91</v>
      </c>
      <c r="D87" s="65" t="s">
        <v>75</v>
      </c>
      <c r="E87" t="str">
        <f t="shared" si="3"/>
        <v>Delregion Göteborg</v>
      </c>
      <c r="G87">
        <v>2019</v>
      </c>
      <c r="H87" s="68" t="s">
        <v>128</v>
      </c>
      <c r="I87" t="e">
        <f>IF(COUNTIFS($E:$E,"=Delregion Fyrbodal",$C:$C,"=Prehospital vård",$A:$A,"&gt;2019-01-01",$A:$A,"&lt;2019-12-31")=0,FIND(" ",O24,1),COUNTIFS($E:$E,"=Delregion Fyrbodal",$C:$C,"=Prehospital vård",$A:$A,"&gt;2019-01-01",$A:$A,"&lt;2019-12-31"))</f>
        <v>#VALUE!</v>
      </c>
      <c r="J87" t="e">
        <f>IF(COUNTIFS($E:$E,"=Delregion Göteborg",$C:$C,"=Prehospital vård",$A:$A,"&gt;2019-01-01",$A:$A,"&lt;2019-12-31")=0,FIND(" ",O24,1),COUNTIFS($E:$E,"=Delregion Göteborg",$C:$C,"=Prehospital vård",$A:$A,"&gt;2019-01-01",$A:$A,"&lt;2019-12-31"))</f>
        <v>#VALUE!</v>
      </c>
      <c r="K87" t="e">
        <f>IF(COUNTIFS($E:$E,"=Delregion SIMBA",$C:$C,"=Prehospital vård",$A:$A,"&gt;2019-01-01",$A:$A,"&lt;2019-12-31")=0,FIND(" ",O24,1),COUNTIFS($E:$E,"=Delregion SIMBA",$C:$C,"=Prehospital vård",$A:$A,"&gt;2019-01-01",$A:$A,"&lt;2019-12-31"))</f>
        <v>#VALUE!</v>
      </c>
      <c r="L87" t="e">
        <f>IF(COUNTIFS($E:$E,"=Delregion Skaraborg",$C:$C,"=Prehospital vård",$A:$A,"&gt;2019-01-01",$A:$A,"&lt;2019-12-31")=0,FIND(" ",O24,1),COUNTIFS($E:$E,"=Delregion Skaraborg",$C:$C,"=Prehospital vård",$A:$A,"&gt;2019-01-01",$A:$A,"&lt;2019-12-31"))</f>
        <v>#VALUE!</v>
      </c>
      <c r="M87" t="e">
        <f>IF(COUNTIFS($E:$E,"=Delregion Södra Älvsborg",$C:$C,"=Prehospital vård",$A:$A,"&gt;2019-01-01",$A:$A,"&lt;2019-12-31")=0,FIND(" ",O24,1),COUNTIFS($E:$E,"=Delregion Södra Älvsborg",$C:$C,"=Prehospital vård",$A:$A,"&gt;2019-01-01",$A:$A,"&lt;2019-12-31"))</f>
        <v>#VALUE!</v>
      </c>
      <c r="N87" t="e">
        <f t="shared" si="4"/>
        <v>#VALUE!</v>
      </c>
    </row>
    <row r="88" spans="1:14" ht="14.45" customHeight="1">
      <c r="A88" s="64">
        <v>41772</v>
      </c>
      <c r="B88" s="65" t="s">
        <v>73</v>
      </c>
      <c r="C88" s="65" t="s">
        <v>91</v>
      </c>
      <c r="D88" s="65" t="s">
        <v>75</v>
      </c>
      <c r="E88" t="str">
        <f t="shared" si="3"/>
        <v>Delregion Göteborg</v>
      </c>
      <c r="G88">
        <v>2019</v>
      </c>
      <c r="H88" s="68" t="s">
        <v>127</v>
      </c>
      <c r="I88" t="e">
        <f>IF(COUNTIFS($E:$E,"=Delregion Fyrbodal",$C:$C,"=Primärvård, utom hemsjukvård",$A:$A,"&gt;2019-01-01",$A:$A,"&lt;2019-12-31")=0,FIND(" ",O25,1),COUNTIFS($E:$E,"=Delregion Fyrbodal",$C:$C,"=Primärvård, utom hemsjukvård",$A:$A,"&gt;2019-01-01",$A:$A,"&lt;2019-12-31"))</f>
        <v>#VALUE!</v>
      </c>
      <c r="J88" t="e">
        <f>IF(COUNTIFS($E:$E,"=Delregion Göteborg",$C:$C,"=Primärvård, utom hemsjukvård",$A:$A,"&gt;2019-01-01",$A:$A,"&lt;2019-12-31")=0,FIND(" ",O25,1),COUNTIFS($E:$E,"=Delregion Göteborg",$C:$C,"=Primärvård, utom hemsjukvård",$A:$A,"&gt;2019-01-01",$A:$A,"&lt;2019-12-31"))</f>
        <v>#VALUE!</v>
      </c>
      <c r="K88" t="e">
        <f>IF(COUNTIFS($E:$E,"=Delregion SIMBA",$C:$C,"=Primärvård, utom hemsjukvård",$A:$A,"&gt;2019-01-01",$A:$A,"&lt;2019-12-31")=0,FIND(" ",O25,1),COUNTIFS($E:$E,"=Delregion SIMBA",$C:$C,"=Primärvård, utom hemsjukvård",$A:$A,"&gt;2019-01-01",$A:$A,"&lt;2019-12-31"))</f>
        <v>#VALUE!</v>
      </c>
      <c r="L88" t="e">
        <f>IF(COUNTIFS($E:$E,"=Delregion Skaraborg",$C:$C,"=Primärvård, utom hemsjukvård",$A:$A,"&gt;2019-01-01",$A:$A,"&lt;2019-12-31")=0,FIND(" ",O25,1),COUNTIFS($E:$E,"=Delregion Skaraborg",$C:$C,"=Primärvård, utom hemsjukvård",$A:$A,"&gt;2019-01-01",$A:$A,"&lt;2019-12-31"))</f>
        <v>#VALUE!</v>
      </c>
      <c r="M88" t="e">
        <f>IF(COUNTIFS($E:$E,"=Delregion Södra Älvsborg",$C:$C,"=Primärvård, utom hemsjukvård",$A:$A,"&gt;2019-01-01",$A:$A,"&lt;2019-12-31")=0,FIND(" ",O25,1),COUNTIFS($E:$E,"=Delregion Södra Älvsborg",$C:$C,"=Primärvård, utom hemsjukvård",$A:$A,"&gt;2019-01-01",$A:$A,"&lt;2019-12-31"))</f>
        <v>#VALUE!</v>
      </c>
      <c r="N88" t="e">
        <f t="shared" si="4"/>
        <v>#VALUE!</v>
      </c>
    </row>
    <row r="89" spans="1:14" ht="14.45" customHeight="1">
      <c r="A89" s="64">
        <v>41774</v>
      </c>
      <c r="B89" s="65" t="s">
        <v>76</v>
      </c>
      <c r="C89" s="65" t="s">
        <v>129</v>
      </c>
      <c r="D89" s="65" t="s">
        <v>126</v>
      </c>
      <c r="E89" t="str">
        <f t="shared" si="3"/>
        <v>Delregion Skaraborg</v>
      </c>
      <c r="G89">
        <v>2019</v>
      </c>
      <c r="H89" s="68" t="s">
        <v>129</v>
      </c>
      <c r="I89" t="e">
        <f>IF(COUNTIFS($E:$E,"=Delregion Fyrbodal",$C:$C,"=Psykiatrisk specialistsjukvård",$A:$A,"&gt;2019-01-01",$A:$A,"&lt;2019-12-31")=0,FIND(" ",O26,1),COUNTIFS($E:$E,"=Delregion Fyrbodal",$C:$C,"=Psykiatrisk specialistsjukvård",$A:$A,"&gt;2019-01-01",$A:$A,"&lt;2019-12-31"))</f>
        <v>#VALUE!</v>
      </c>
      <c r="J89" t="e">
        <f>IF(COUNTIFS($E:$E,"=Delregion Göteborg",$C:$C,"=Psykiatrisk specialistsjukvård",$A:$A,"&gt;2019-01-01",$A:$A,"&lt;2019-12-31")=0,FIND(" ",O26,1),COUNTIFS($E:$E,"=Delregion Göteborg",$C:$C,"=Psykiatrisk specialistsjukvård",$A:$A,"&gt;2019-01-01",$A:$A,"&lt;2019-12-31"))</f>
        <v>#VALUE!</v>
      </c>
      <c r="K89" t="e">
        <f>IF(COUNTIFS($E:$E,"=Delregion SIMBA",$C:$C,"=Psykiatrisk specialistsjukvård",$A:$A,"&gt;2019-01-01",$A:$A,"&lt;2019-12-31")=0,FIND(" ",O26,1),COUNTIFS($E:$E,"=Delregion SIMBA",$C:$C,"=Psykiatrisk specialistsjukvård",$A:$A,"&gt;2019-01-01",$A:$A,"&lt;2019-12-31"))</f>
        <v>#VALUE!</v>
      </c>
      <c r="L89" t="e">
        <f>IF(COUNTIFS($E:$E,"=Delregion Skaraborg",$C:$C,"=Psykiatrisk specialistsjukvård",$A:$A,"&gt;2019-01-01",$A:$A,"&lt;2019-12-31")=0,FIND(" ",O26,1),COUNTIFS($E:$E,"=Delregion Skaraborg",$C:$C,"=Psykiatrisk specialistsjukvård",$A:$A,"&gt;2019-01-01",$A:$A,"&lt;2019-12-31"))</f>
        <v>#VALUE!</v>
      </c>
      <c r="M89" t="e">
        <f>IF(COUNTIFS($E:$E,"=Delregion Södra Älvsborg",$C:$C,"=Psykiatrisk specialistsjukvård",$A:$A,"&gt;2019-01-01",$A:$A,"&lt;2019-12-31")=0,FIND(" ",O26,1),COUNTIFS($E:$E,"=Delregion Södra Älvsborg",$C:$C,"=Psykiatrisk specialistsjukvård",$A:$A,"&gt;2019-01-01",$A:$A,"&lt;2019-12-31"))</f>
        <v>#VALUE!</v>
      </c>
      <c r="N89" t="e">
        <f t="shared" si="4"/>
        <v>#VALUE!</v>
      </c>
    </row>
    <row r="90" spans="1:14" ht="14.45" customHeight="1">
      <c r="A90" s="64">
        <v>41774</v>
      </c>
      <c r="B90" s="65" t="s">
        <v>95</v>
      </c>
      <c r="C90" s="65" t="s">
        <v>132</v>
      </c>
      <c r="D90" s="65" t="s">
        <v>126</v>
      </c>
      <c r="E90" t="str">
        <f t="shared" si="3"/>
        <v>Delregion Södra Älvsborg</v>
      </c>
      <c r="G90">
        <v>2019</v>
      </c>
      <c r="H90" s="68" t="s">
        <v>198</v>
      </c>
      <c r="I90" t="e">
        <f>IF(SUM(I78:I85)=0,FIND(" ",O21,1),SUM(I78:I85))</f>
        <v>#VALUE!</v>
      </c>
      <c r="J90" t="e">
        <f>IF(SUM(J78:J85)=0,FIND(" ",O21,1),SUM(J78:J85))</f>
        <v>#VALUE!</v>
      </c>
      <c r="K90" t="e">
        <f>IF(SUM(K78:K85)=0,FIND(" ",O21,1),SUM(K78:K85))</f>
        <v>#VALUE!</v>
      </c>
      <c r="L90" t="e">
        <f>IF(SUM(L78:L85)=0,FIND(" ",O21,1),SUM(L78:L85))</f>
        <v>#VALUE!</v>
      </c>
      <c r="M90" t="e">
        <f>IF(SUM(M78:M85)=0,FIND(" ",O21,1),SUM(M78:M85))</f>
        <v>#VALUE!</v>
      </c>
      <c r="N90" t="e">
        <f t="shared" si="4"/>
        <v>#VALUE!</v>
      </c>
    </row>
    <row r="91" spans="1:14" ht="14.45" customHeight="1">
      <c r="A91" s="64">
        <v>41775</v>
      </c>
      <c r="B91" s="65" t="s">
        <v>95</v>
      </c>
      <c r="C91" s="65" t="s">
        <v>91</v>
      </c>
      <c r="D91" s="65" t="s">
        <v>75</v>
      </c>
      <c r="E91" t="str">
        <f t="shared" si="3"/>
        <v>Delregion Södra Älvsborg</v>
      </c>
      <c r="G91">
        <v>2020</v>
      </c>
      <c r="H91" s="68" t="s">
        <v>75</v>
      </c>
      <c r="I91" t="e">
        <f>IF(COUNTIFS($E:$E,"=Delregion Fyrbodal",$D:$D,"=Socialtjänst",$A:$A,"&gt;2020-01-01",$A:$A,"&lt;2020-12-31")=0,FIND(" ",O21,1),(COUNTIFS($E:$E,"=Delregion Fyrbodal",$D:$D,"=Socialtjänst",$A:$A,"&gt;2020-01-01",$A:$A,"&lt;2020-12-31")))</f>
        <v>#VALUE!</v>
      </c>
      <c r="J91" t="e">
        <f>IF(COUNTIFS($E:$E,"=Delregion Göteborg",$D:$D,"=Socialtjänst",$A:$A,"&gt;2020-01-01",$A:$A,"&lt;2020-12-31")=0,FIND(" ",O21,1),COUNTIFS($E:$E,"=Delregion Göteborg",$D:$D,"=Socialtjänst",$A:$A,"&gt;2020-01-01",$A:$A,"&lt;2020-12-31"))</f>
        <v>#VALUE!</v>
      </c>
      <c r="K91" t="e">
        <f>IF(COUNTIFS($E:$E,"=Delregion SIMBA",$D:$D,"=Socialtjänst",$A:$A,"&gt;2020-01-01",$A:$A,"&lt;2020-12-31")=0,FIND(" ",O21,1),COUNTIFS($E:$E,"=Delregion SIMBA",$D:$D,"=Socialtjänst",$A:$A,"&gt;2020-01-01",$A:$A,"&lt;2020-12-31"))</f>
        <v>#VALUE!</v>
      </c>
      <c r="L91" t="e">
        <f>IF(COUNTIFS($E:$E,"=Delregion Skaraborg",$D:$D,"=Socialtjänst",$A:$A,"&gt;2020-01-01",$A:$A,"&lt;2020-12-31")=0,FIND(" ",O21,1),COUNTIFS($E:$E,"=Delregion SIMBA",$D:$D,"=Socialtjänst",$A:$A,"&gt;2020-01-01",$A:$A,"&lt;2020-12-31"))</f>
        <v>#VALUE!</v>
      </c>
      <c r="M91" t="e">
        <f>IF(COUNTIFS($E:$E,"=Delregion Södra Älvsborg",$D:$D,"=Socialtjänst",$A:$A,"&gt;2020-01-01",$A:$A,"&lt;2020-12-31")=0,FIND(" ",O21,1),COUNTIFS($E:$E,"=Delregion Södra Älvsborg",$D:$D,"=Socialtjänst",$A:$A,"&gt;2020-01-01",$A:$A,"&lt;2020-12-31"))</f>
        <v>#VALUE!</v>
      </c>
      <c r="N91" t="e">
        <f t="shared" si="4"/>
        <v>#VALUE!</v>
      </c>
    </row>
    <row r="92" spans="1:14" ht="14.45" customHeight="1">
      <c r="A92" s="64">
        <v>41778</v>
      </c>
      <c r="B92" s="65" t="s">
        <v>73</v>
      </c>
      <c r="C92" s="65" t="s">
        <v>125</v>
      </c>
      <c r="D92" s="65" t="s">
        <v>126</v>
      </c>
      <c r="E92" t="str">
        <f t="shared" si="3"/>
        <v>Delregion Göteborg</v>
      </c>
      <c r="G92">
        <v>2020</v>
      </c>
      <c r="H92" s="68" t="str">
        <f>"Ekonomiskt bistånd"</f>
        <v>Ekonomiskt bistånd</v>
      </c>
      <c r="I92" t="e">
        <f>IF(COUNTIFS($E:$E,"=Delregion Fyrbodal",$C:$C,"=Ekonomiskt bistånd",$A:$A,"&gt;2020-01-01",$A:$A,"&lt;2020-12-31")=0,FIND(" ",O22,1),(COUNTIFS($E:$E,"=Delregion Fyrbodal",$C:$C,"=Ekonomiskt bistånd",$A:$A,"&gt;2020-01-01",$A:$A,"&lt;2020-12-31")))</f>
        <v>#VALUE!</v>
      </c>
      <c r="J92" t="e">
        <f>IF(COUNTIFS($E:$E,"=Delregion Göteborg",$C:$C,"=Ekonomiskt bistånd",$A:$A,"&gt;2020-01-01",$A:$A,"&lt;2020-12-31")=0,FIND(" ",O22,1),COUNTIFS($E:$E,"=Delregion Göteborg",$C:$C,"=Ekonomiskt bistånd",$A:$A,"&gt;2020-01-01",$A:$A,"&lt;2020-12-31"))</f>
        <v>#VALUE!</v>
      </c>
      <c r="K92" t="e">
        <f>IF(COUNTIFS($E:$E,"=Delregion SIMBA",$C:$C,"=Ekonomiskt bistånd",$A:$A,"&gt;2020-01-01",$A:$A,"&lt;2020-12-31")=0,FIND(" ",O22,1),COUNTIFS($E:$E,"=Delregion SIMBA",$C:$C,"=Ekonomiskt bistånd",$A:$A,"&gt;2020-01-01",$A:$A,"&lt;2020-12-31"))</f>
        <v>#VALUE!</v>
      </c>
      <c r="L92" t="e">
        <f>IF(COUNTIFS($E:$E,"=Delregion Skaraborg",$C:$C,"=Ekonomiskt bistånd",$A:$A,"&gt;2020-01-01",$A:$A,"&lt;2020-12-31")=0,FIND(" ",O22,1),COUNTIFS($E:$E,"=Delregion SIMBA",$C:$C,"=Ekonomiskt bistånd",$A:$A,"&gt;2020-01-01",$A:$A,"&lt;2020-12-31"))</f>
        <v>#VALUE!</v>
      </c>
      <c r="M92" t="e">
        <f>IF(COUNTIFS($E:$E,"=Delregion Södra Älvsborg",$C:$C,"=Ekonomiskt bistånd",$A:$A,"&gt;2020-01-01",$A:$A,"&lt;2020-12-31")=0,FIND(" ",O22,1),COUNTIFS($E:$E,"=Delregion Södra Älvsborg",$C:$C,"=Ekonomiskt bistånd",$A:$A,"&gt;2020-01-01",$A:$A,"&lt;2020-12-31"))</f>
        <v>#VALUE!</v>
      </c>
      <c r="N92" t="e">
        <f t="shared" si="4"/>
        <v>#VALUE!</v>
      </c>
    </row>
    <row r="93" spans="1:14" ht="14.45" customHeight="1">
      <c r="A93" s="64">
        <v>41779</v>
      </c>
      <c r="B93" s="65" t="s">
        <v>73</v>
      </c>
      <c r="C93" s="65" t="s">
        <v>125</v>
      </c>
      <c r="D93" s="65" t="s">
        <v>126</v>
      </c>
      <c r="E93" t="str">
        <f t="shared" si="3"/>
        <v>Delregion Göteborg</v>
      </c>
      <c r="G93">
        <v>2020</v>
      </c>
      <c r="H93" s="68" t="s">
        <v>96</v>
      </c>
      <c r="I93" t="e">
        <f>IF(COUNTIFS($E:$E,"=Delregion Fyrbodal",$C:$C,"=Funktionsnedsättning LSS",$A:$A,"&gt;2020-01-01",$A:$A,"&lt;2020-12-31")=0,FIND(" ",O23,1),(COUNTIFS($E:$E,"=Delregion Fyrbodal",$C:$C,"=Funktionsnedsättning LSS",$A:$A,"&gt;2020-01-01",$A:$A,"&lt;2020-12-31")))</f>
        <v>#VALUE!</v>
      </c>
      <c r="J93" t="e">
        <f>IF(COUNTIFS($E:$E,"=Delregion Göteborg",$C:$C,"=Funktionsnedsättning LSS",$A:$A,"&gt;2020-01-01",$A:$A,"&lt;2020-12-31")=0,FIND(" ",O23,1),COUNTIFS($E:$E,"=Delregion Göteborg",$C:$C,"=Funktionsnedsättning LSS",$A:$A,"&gt;2020-01-01",$A:$A,"&lt;2020-12-31"))</f>
        <v>#VALUE!</v>
      </c>
      <c r="K93" t="e">
        <f>IF(COUNTIFS($E:$E,"=Delregion SIMBA",$C:$C,"=Funktionsnedsättning LSS",$A:$A,"&gt;2020-01-01",$A:$A,"&lt;2020-12-31")=0,FIND(" ",O23,1),COUNTIFS($E:$E,"=Delregion SIMBA",$C:$C,"=Funktionsnedsättning LSS",$A:$A,"&gt;2020-01-01",$A:$A,"&lt;2020-12-31"))</f>
        <v>#VALUE!</v>
      </c>
      <c r="L93" t="e">
        <f>IF(COUNTIFS($E:$E,"=Delregion Skaraborg",$C:$C,"=Funktionsnedsättning LSS",$A:$A,"&gt;2020-01-01",$A:$A,"&lt;2020-12-31")=0,FIND(" ",O23,1),COUNTIFS($E:$E,"=Delregion SIMBA",$C:$C,"=Funktionsnedsättning LSS",$A:$A,"&gt;2020-01-01",$A:$A,"&lt;2020-12-31"))</f>
        <v>#VALUE!</v>
      </c>
      <c r="M93" t="e">
        <f>IF(COUNTIFS($E:$E,"=Delregion Södra Älvsborg",$C:$C,"=Funktionsnedsättning LSS",$A:$A,"&gt;2020-01-01",$A:$A,"&lt;2020-12-31")=0,FIND(" ",O23,1),COUNTIFS($E:$E,"=Delregion Södra Älvsborg",$C:$C,"=Funktionsnedsättning LSS",$A:$A,"&gt;2020-01-01",$A:$A,"&lt;2020-12-31"))</f>
        <v>#VALUE!</v>
      </c>
      <c r="N93" t="e">
        <f t="shared" si="4"/>
        <v>#VALUE!</v>
      </c>
    </row>
    <row r="94" spans="1:14" ht="14.45" customHeight="1">
      <c r="A94" s="64">
        <v>41787</v>
      </c>
      <c r="B94" s="65" t="s">
        <v>102</v>
      </c>
      <c r="C94" s="65" t="s">
        <v>85</v>
      </c>
      <c r="D94" s="65" t="s">
        <v>75</v>
      </c>
      <c r="E94" t="str">
        <f t="shared" si="3"/>
        <v>Delregion Södra Älvsborg</v>
      </c>
      <c r="G94">
        <v>2020</v>
      </c>
      <c r="H94" s="68" t="s">
        <v>118</v>
      </c>
      <c r="I94" t="e">
        <f>IF(COUNTIFS($E:$E,"=Delregion Fyrbodal",$C:$C,"=Funktionsnedsättning SoL",$A:$A,"&gt;2020-01-01",$A:$A,"&lt;2020-12-31")=0,FIND(" ",O24,1),(COUNTIFS($E:$E,"=Delregion Fyrbodal",$C:$C,"=Funktionsnedsättning SoL",$A:$A,"&gt;2020-01-01",$A:$A,"&lt;2020-12-31")))</f>
        <v>#VALUE!</v>
      </c>
      <c r="J94" t="e">
        <f>IF(COUNTIFS($E:$E,"=Delregion Göteborg",$C:$C,"=Funktionsnedsättning SoL",$A:$A,"&gt;2020-01-01",$A:$A,"&lt;2020-12-31")=0,FIND(" ",O24,1),COUNTIFS($E:$E,"=Delregion Göteborg",$C:$C,"=Funktionsnedsättning SoL",$A:$A,"&gt;2020-01-01",$A:$A,"&lt;2020-12-31"))</f>
        <v>#VALUE!</v>
      </c>
      <c r="K94" t="e">
        <f>IF(COUNTIFS($E:$E,"=Delregion SIMBA",$C:$C,"=Funktionsnedsättning SoL",$A:$A,"&gt;2020-01-01",$A:$A,"&lt;2020-12-31")=0,FIND(" ",O24,1),COUNTIFS($E:$E,"=Delregion SIMBA",$C:$C,"=Funktionsnedsättning SoL",$A:$A,"&gt;2020-01-01",$A:$A,"&lt;2020-12-31"))</f>
        <v>#VALUE!</v>
      </c>
      <c r="L94" t="e">
        <f>IF(COUNTIFS($E:$E,"=Delregion Skaraborg",$C:$C,"=Funktionsnedsättning SoL",$A:$A,"&gt;2020-01-01",$A:$A,"&lt;2020-12-31")=0,FIND(" ",O24,1),COUNTIFS($E:$E,"=Delregion SIMBA",$C:$C,"=Funktionsnedsättning SoL",$A:$A,"&gt;2020-01-01",$A:$A,"&lt;2020-12-31"))</f>
        <v>#VALUE!</v>
      </c>
      <c r="M94" t="e">
        <f>IF(COUNTIFS($E:$E,"=Delregion Södra Älvsborg",$C:$C,"=Funktionsnedsättning SoL",$A:$A,"&gt;2020-01-01",$A:$A,"&lt;2020-12-31")=0,FIND(" ",O24,1),COUNTIFS($E:$E,"=Delregion Södra Älvsborg",$C:$C,"=Funktionsnedsättning SoL",$A:$A,"&gt;2020-01-01",$A:$A,"&lt;2020-12-31"))</f>
        <v>#VALUE!</v>
      </c>
      <c r="N94" t="e">
        <f t="shared" si="4"/>
        <v>#VALUE!</v>
      </c>
    </row>
    <row r="95" spans="1:14" ht="14.45" customHeight="1">
      <c r="A95" s="64">
        <v>41787</v>
      </c>
      <c r="B95" s="65" t="s">
        <v>78</v>
      </c>
      <c r="C95" s="65" t="s">
        <v>134</v>
      </c>
      <c r="D95" s="65" t="s">
        <v>126</v>
      </c>
      <c r="E95" t="str">
        <f t="shared" si="3"/>
        <v>Delregion SIMBA</v>
      </c>
      <c r="G95">
        <v>2020</v>
      </c>
      <c r="H95" s="68" t="s">
        <v>100</v>
      </c>
      <c r="I95" t="e">
        <f>IF(COUNTIFS($E:$E,"=Delregion Fyrbodal",$C:$C,"=Missbruk",$A:$A,"&gt;2020-01-01",$A:$A,"&lt;2020-12-31")=0,FIND(" ",O25,1),(COUNTIFS($E:$E,"=Delregion Fyrbodal",$C:$C,"=Missbruk",$A:$A,"&gt;2020-01-01",$A:$A,"&lt;2020-12-31")))</f>
        <v>#VALUE!</v>
      </c>
      <c r="J95" t="e">
        <f>IF(COUNTIFS($E:$E,"=Delregion Göteborg",$C:$C,"=Missbruk",$A:$A,"&gt;2020-01-01",$A:$A,"&lt;2020-12-31")=0,FIND(" ",O25,1),COUNTIFS($E:$E,"=Delregion Göteborg",$C:$C,"=Missbruk",$A:$A,"&gt;2020-01-01",$A:$A,"&lt;2020-12-31"))</f>
        <v>#VALUE!</v>
      </c>
      <c r="K95" t="e">
        <f>IF(COUNTIFS($E:$E,"=Delregion SIMBA",$C:$C,"=Missbruk",$A:$A,"&gt;2020-01-01",$A:$A,"&lt;2020-12-31")=0,FIND(" ",O25,1),COUNTIFS($E:$E,"=Delregion SIMBA",$C:$C,"=Missbruk",$A:$A,"&gt;2020-01-01",$A:$A,"&lt;2020-12-31"))</f>
        <v>#VALUE!</v>
      </c>
      <c r="L95" t="e">
        <f>IF(COUNTIFS($E:$E,"=Delregion Skaraborg",$C:$C,"=Missbruk",$A:$A,"&gt;2020-01-01",$A:$A,"&lt;2020-12-31")=0,FIND(" ",O25,1),COUNTIFS($E:$E,"=Delregion SIMBA",$C:$C,"=Missbruk",$A:$A,"&gt;2020-01-01",$A:$A,"&lt;2020-12-31"))</f>
        <v>#VALUE!</v>
      </c>
      <c r="M95" t="e">
        <f>IF(COUNTIFS($E:$E,"=Delregion Södra Älvsborg",$C:$C,"=Missbruk",$A:$A,"&gt;2020-01-01",$A:$A,"&lt;2020-12-31")=0,FIND(" ",O25,1),COUNTIFS($E:$E,"=Delregion Södra Älvsborg",$C:$C,"=Missbruk",$A:$A,"&gt;2020-01-01",$A:$A,"&lt;2020-12-31"))</f>
        <v>#VALUE!</v>
      </c>
      <c r="N95" t="e">
        <f t="shared" si="4"/>
        <v>#VALUE!</v>
      </c>
    </row>
    <row r="96" spans="1:14" ht="14.45" customHeight="1">
      <c r="A96" s="64">
        <v>41793</v>
      </c>
      <c r="B96" s="65" t="s">
        <v>73</v>
      </c>
      <c r="C96" s="65" t="s">
        <v>85</v>
      </c>
      <c r="D96" s="65" t="s">
        <v>75</v>
      </c>
      <c r="E96" t="str">
        <f t="shared" si="3"/>
        <v>Delregion Göteborg</v>
      </c>
      <c r="G96">
        <v>2020</v>
      </c>
      <c r="H96" s="68" t="s">
        <v>201</v>
      </c>
      <c r="I96" t="e">
        <f>IF(COUNTIFS($E:$E,"=Delregion Fyrbodal",$C:$C,"=Äldreomsorg",$A:$A,"&gt;2020-01-01",$A:$A,"&lt;2020-12-31")=0,FIND(" ",O26,1),(COUNTIFS($E:$E,"=Delregion Fyrbodal",$C:$C,"=Äldreomsorg",$A:$A,"&gt;2020-01-01",$A:$A,"&lt;2020-12-31")))</f>
        <v>#VALUE!</v>
      </c>
      <c r="J96" t="e">
        <f>IF(COUNTIFS($E:$E,"=Delregion Göteborg",$C:$C,"=Äldreomsorg",$A:$A,"&gt;2020-01-01",$A:$A,"&lt;2020-12-31")=0,FIND(" ",O26,1),COUNTIFS($E:$E,"=Delregion Göteborg",$C:$C,"=Äldreomsorg",$A:$A,"&gt;2020-01-01",$A:$A,"&lt;2020-12-31"))</f>
        <v>#VALUE!</v>
      </c>
      <c r="K96" t="e">
        <f>IF(COUNTIFS($E:$E,"=Delregion SIMBA",$C:$C,"=Äldreomsorg",$A:$A,"&gt;2020-01-01",$A:$A,"&lt;2020-12-31")=0,FIND(" ",O26,1),COUNTIFS($E:$E,"=Delregion SIMBA",$C:$C,"=Äldreomsorg",$A:$A,"&gt;2020-01-01",$A:$A,"&lt;2020-12-31"))</f>
        <v>#VALUE!</v>
      </c>
      <c r="L96" t="e">
        <f>IF(COUNTIFS($E:$E,"=Delregion Skaraborg",$C:$C,"=Äldreomsorg",$A:$A,"&gt;2020-01-01",$A:$A,"&lt;2020-12-31")=0,FIND(" ",O26,1),COUNTIFS($E:$E,"=Delregion SIMBA",$C:$C,"=Äldreomsorg",$A:$A,"&gt;2020-01-01",$A:$A,"&lt;2020-12-31"))</f>
        <v>#VALUE!</v>
      </c>
      <c r="M96" t="e">
        <f>IF(COUNTIFS($E:$E,"=Delregion Södra Älvsborg",$C:$C,"=Äldreomsorg",$A:$A,"&gt;2020-01-01",$A:$A,"&lt;2020-12-31")=0,FIND(" ",O26,1),COUNTIFS($E:$E,"=Delregion Södra Älvsborg",$C:$C,"=Äldreomsorg",$A:$A,"&gt;2020-01-01",$A:$A,"&lt;2020-12-31"))</f>
        <v>#VALUE!</v>
      </c>
      <c r="N96" t="e">
        <f t="shared" si="4"/>
        <v>#VALUE!</v>
      </c>
    </row>
    <row r="97" spans="1:14" ht="14.45" customHeight="1">
      <c r="A97" s="64">
        <v>41794</v>
      </c>
      <c r="B97" s="65" t="s">
        <v>84</v>
      </c>
      <c r="C97" s="65" t="s">
        <v>83</v>
      </c>
      <c r="D97" s="65" t="s">
        <v>75</v>
      </c>
      <c r="E97" t="str">
        <f t="shared" si="3"/>
        <v>Delregion Skaraborg</v>
      </c>
      <c r="G97">
        <v>2020</v>
      </c>
      <c r="H97" s="68" t="s">
        <v>79</v>
      </c>
      <c r="I97" t="e">
        <f>IF(COUNTIFS($E:$E,"=Delregion Fyrbodal",$C:$C,"=Övrig socialtjänst",$A:$A,"&gt;2020-01-01",$A:$A,"&lt;2020-12-31")=0,FIND(" ",O27,1),(COUNTIFS($E:$E,"=Delregion Fyrbodal",$C:$C,"=Övrig socialtjänst",$A:$A,"&gt;2020-01-01",$A:$A,"&lt;2020-12-31")))</f>
        <v>#VALUE!</v>
      </c>
      <c r="J97" t="e">
        <f>IF(COUNTIFS($E:$E,"=Delregion Göteborg",$C:$C,"=Övrig socialtjänst",$A:$A,"&gt;2020-01-01",$A:$A,"&lt;2020-12-31")=0,FIND(" ",O27,1),COUNTIFS($E:$E,"=Delregion Göteborg",$C:$C,"=Övrig socialtjänst",$A:$A,"&gt;2020-01-01",$A:$A,"&lt;2020-12-31"))</f>
        <v>#VALUE!</v>
      </c>
      <c r="K97" t="e">
        <f>IF(COUNTIFS($E:$E,"=Delregion SIMBA",$C:$C,"=Övrig socialtjänst",$A:$A,"&gt;2020-01-01",$A:$A,"&lt;2020-12-31")=0,FIND(" ",O27,1),COUNTIFS($E:$E,"=Delregion SIMBA",$C:$C,"=Övrig socialtjänst",$A:$A,"&gt;2020-01-01",$A:$A,"&lt;2020-12-31"))</f>
        <v>#VALUE!</v>
      </c>
      <c r="L97" t="e">
        <f>IF(COUNTIFS($E:$E,"=Delregion Skaraborg",$C:$C,"=Övrig socialtjänst",$A:$A,"&gt;2020-01-01",$A:$A,"&lt;2020-12-31")=0,FIND(" ",O27,1),COUNTIFS($E:$E,"=Delregion SIMBA",$C:$C,"=Övrig socialtjänst",$A:$A,"&gt;2020-01-01",$A:$A,"&lt;2020-12-31"))</f>
        <v>#VALUE!</v>
      </c>
      <c r="M97" t="e">
        <f>IF(COUNTIFS($E:$E,"=Delregion Södra Älvsborg",$C:$C,"=Övrig socialtjänst",$A:$A,"&gt;2020-01-01",$A:$A,"&lt;2020-12-31")=0,FIND(" ",O27,1),COUNTIFS($E:$E,"=Delregion Södra Älvsborg",$C:$C,"=Övrig socialtjänst",$A:$A,"&gt;2020-01-01",$A:$A,"&lt;2020-12-31"))</f>
        <v>#VALUE!</v>
      </c>
      <c r="N97" t="e">
        <f t="shared" si="4"/>
        <v>#VALUE!</v>
      </c>
    </row>
    <row r="98" spans="1:14" ht="14.45" customHeight="1">
      <c r="A98" s="64">
        <v>41795</v>
      </c>
      <c r="B98" s="65" t="s">
        <v>89</v>
      </c>
      <c r="C98" s="65" t="s">
        <v>96</v>
      </c>
      <c r="D98" s="65" t="s">
        <v>75</v>
      </c>
      <c r="E98" t="str">
        <f t="shared" si="3"/>
        <v>Delregion Skaraborg</v>
      </c>
      <c r="G98">
        <v>2020</v>
      </c>
      <c r="H98" s="68" t="s">
        <v>126</v>
      </c>
      <c r="I98" t="e">
        <f>IF(COUNTIFS($E:$E,"=Delregion Fyrbodal",$D:$D,"=Hälso- och sjukvård",$A:$A,"&gt;2020-01-01",$A:$A,"&lt;2014-20-31")=0,FIND(" ",O21,1),COUNTIFS($E:$E,"=Delregion Fyrbodal",$D:$D,"=Hälso- och sjukvård",$A:$A,"&gt;2020-01-01",$A:$A,"&lt;2014-20-31"))</f>
        <v>#VALUE!</v>
      </c>
      <c r="J98" t="e">
        <f>IF(COUNTIFS($E:$E,"=Delregion Göteborg",$D:$D,"=Hälso- och sjukvård",$A:$A,"&gt;2020-01-01",$A:$A,"&lt;2014-20-31")=0,FIND(" ",O21,1),COUNTIFS($E:$E,"=Delregion Göteborg",$D:$D,"=Hälso- och sjukvård",$A:$A,"&gt;2020-01-01",$A:$A,"&lt;2014-20-31"))</f>
        <v>#VALUE!</v>
      </c>
      <c r="K98" t="e">
        <f>IF(COUNTIFS($E:$E,"=Delregion SIMBA",$D:$D,"=Hälso- och sjukvård",$A:$A,"&gt;2020-01-01",$A:$A,"&lt;2014-20-31")=0,FIND(" ",O21,1),COUNTIFS($E:$E,"=Delregion SIMBA",$D:$D,"=Hälso- och sjukvård",$A:$A,"&gt;2020-01-01",$A:$A,"&lt;2014-20-31"))</f>
        <v>#VALUE!</v>
      </c>
      <c r="L98" t="e">
        <f>IF(COUNTIFS($E:$E,"=Delregion Skaraborg",$D:$D,"=Hälso- och sjukvård",$A:$A,"&gt;2020-01-01",$A:$A,"&lt;2014-20-31")=0,FIND(" ",O21,1),COUNTIFS($E:$E,"=Delregion Skaraborg",$D:$D,"=Hälso- och sjukvård",$A:$A,"&gt;2020-01-01",$A:$A,"&lt;2014-20-31"))</f>
        <v>#VALUE!</v>
      </c>
      <c r="M98" t="e">
        <f>IF(COUNTIFS($E:$E,"=Delregion Södra Älvsborg",$D:$D,"=Hälso- och sjukvård",$A:$A,"&gt;2020-01-01",$A:$A,"&lt;2014-20-31")=0,FIND(" ",O21,1),COUNTIFS($E:$E,"=Delregion Södra Älvsborg",$D:$D,"=Hälso- och sjukvård",$A:$A,"&gt;2020-01-01",$A:$A,"&lt;2014-20-31"))</f>
        <v>#VALUE!</v>
      </c>
      <c r="N98" t="e">
        <f t="shared" si="4"/>
        <v>#VALUE!</v>
      </c>
    </row>
    <row r="99" spans="1:14" ht="14.45" customHeight="1">
      <c r="A99" s="64">
        <v>41795</v>
      </c>
      <c r="B99" s="65" t="s">
        <v>73</v>
      </c>
      <c r="C99" s="65" t="s">
        <v>129</v>
      </c>
      <c r="D99" s="65" t="s">
        <v>126</v>
      </c>
      <c r="E99" t="str">
        <f t="shared" si="3"/>
        <v>Delregion Göteborg</v>
      </c>
      <c r="G99">
        <v>2020</v>
      </c>
      <c r="H99" s="68" t="s">
        <v>200</v>
      </c>
      <c r="I99" t="e">
        <f>IF(COUNTIFS($E:$E,"=Delregion Fyrbodal",$C:$C,"=Hemsjukvård i ordinärt boende",$A:$A,"&gt;2020-01-01",$A:$A,"&lt;2014-20-31")=0,FIND(" ",O22,1),COUNTIFS($E:$E,"=Delregion Fyrbodal",$C:$C,"=Hemsjukvård i ordinärt boende",$A:$A,"&gt;2020-01-01",$A:$A,"&lt;2014-20-31"))</f>
        <v>#VALUE!</v>
      </c>
      <c r="J99" t="e">
        <f>IF(COUNTIFS($E:$E,"=Delregion Göteborg",$C:$C,"=Hemsjukvård i ordinärt boende",$A:$A,"&gt;2020-01-01",$A:$A,"&lt;2014-20-31")=0,FIND(" ",O22,1),COUNTIFS($E:$E,"=Delregion Göteborg",$C:$C,"=Hemsjukvård i ordinärt boende",$A:$A,"&gt;2020-01-01",$A:$A,"&lt;2014-20-31"))</f>
        <v>#VALUE!</v>
      </c>
      <c r="K99" t="e">
        <f>IF(COUNTIFS($E:$E,"=Delregion SIMBA",$C:$C,"=Hemsjukvård i ordinärt boende",$A:$A,"&gt;2020-01-01",$A:$A,"&lt;2014-20-31")=0,FIND(" ",O22,1),COUNTIFS($E:$E,"=Delregion SIMBA",$C:$C,"=Hemsjukvård i ordinärt boende",$A:$A,"&gt;2020-01-01",$A:$A,"&lt;2014-20-31"))</f>
        <v>#VALUE!</v>
      </c>
      <c r="L99" t="e">
        <f>IF(COUNTIFS($E:$E,"=Delregion Skaraborg",$C:$C,"=Hemsjukvård i ordinärt boende",$A:$A,"&gt;2020-01-01",$A:$A,"&lt;2014-20-31")=0,FIND(" ",O22,1),COUNTIFS($E:$E,"=Delregion Skaraborg",$C:$C,"=Hemsjukvård i ordinärt boende",$A:$A,"&gt;2020-01-01",$A:$A,"&lt;2014-20-31"))</f>
        <v>#VALUE!</v>
      </c>
      <c r="M99" t="e">
        <f>IF(COUNTIFS($E:$E,"=Delregion Södra Älvsborg",$C:$C,"=Hemsjukvård i ordinärt boende",$A:$A,"&gt;2020-01-01",$A:$A,"&lt;2014-20-31")=0,FIND(" ",O22,1),COUNTIFS($E:$E,"=Delregion Södra Älvsborg",$C:$C,"=Hemsjukvård i ordinärt boende",$A:$A,"&gt;2020-01-01",$A:$A,"&lt;2014-20-31"))</f>
        <v>#VALUE!</v>
      </c>
      <c r="N99" t="e">
        <f t="shared" si="4"/>
        <v>#VALUE!</v>
      </c>
    </row>
    <row r="100" spans="1:14" ht="14.45" customHeight="1">
      <c r="A100" s="64">
        <v>41795</v>
      </c>
      <c r="B100" s="65" t="s">
        <v>73</v>
      </c>
      <c r="C100" s="65" t="s">
        <v>129</v>
      </c>
      <c r="D100" s="65" t="s">
        <v>126</v>
      </c>
      <c r="E100" t="str">
        <f t="shared" si="3"/>
        <v>Delregion Göteborg</v>
      </c>
      <c r="G100">
        <v>2020</v>
      </c>
      <c r="H100" s="68" t="s">
        <v>128</v>
      </c>
      <c r="I100" t="e">
        <f>IF(COUNTIFS($E:$E,"=Delregion Fyrbodal",$C:$C,"=Prehospital vård",$A:$A,"&gt;2020-01-01",$A:$A,"&lt;2014-20-31")=0,FIND(" ",O23,1),COUNTIFS($E:$E,"=Delregion Fyrbodal",$C:$C,"=Prehospital vård",$A:$A,"&gt;2020-01-01",$A:$A,"&lt;2014-20-31"))</f>
        <v>#VALUE!</v>
      </c>
      <c r="J100" t="e">
        <f>IF(COUNTIFS($E:$E,"=Delregion Göteborg",$C:$C,"=Prehospital vård",$A:$A,"&gt;2020-01-01",$A:$A,"&lt;2014-20-31")=0,FIND(" ",O23,1),COUNTIFS($E:$E,"=Delregion Göteborg",$C:$C,"=Prehospital vård",$A:$A,"&gt;2020-01-01",$A:$A,"&lt;2014-20-31"))</f>
        <v>#VALUE!</v>
      </c>
      <c r="K100" t="e">
        <f>IF(COUNTIFS($E:$E,"=Delregion SIMBA",$C:$C,"=Prehospital vård",$A:$A,"&gt;2020-01-01",$A:$A,"&lt;2014-20-31")=0,FIND(" ",O23,1),COUNTIFS($E:$E,"=Delregion SIMBA",$C:$C,"=Prehospital vård",$A:$A,"&gt;2020-01-01",$A:$A,"&lt;2014-20-31"))</f>
        <v>#VALUE!</v>
      </c>
      <c r="L100" t="e">
        <f>IF(COUNTIFS($E:$E,"=Delregion Skaraborg",$C:$C,"=Prehospital vård",$A:$A,"&gt;2020-01-01",$A:$A,"&lt;2014-20-31")=0,FIND(" ",O23,1),COUNTIFS($E:$E,"=Delregion Skaraborg",$C:$C,"=Prehospital vård",$A:$A,"&gt;2020-01-01",$A:$A,"&lt;2014-20-31"))</f>
        <v>#VALUE!</v>
      </c>
      <c r="M100" t="e">
        <f>IF(COUNTIFS($E:$E,"=Delregion Södra Älvsborg",$C:$C,"=Prehospital vård",$A:$A,"&gt;2020-01-01",$A:$A,"&lt;2014-20-31")=0,FIND(" ",O23,1),COUNTIFS($E:$E,"=Delregion Södra Älvsborg",$C:$C,"=Prehospital vård",$A:$A,"&gt;2020-01-01",$A:$A,"&lt;2014-20-31"))</f>
        <v>#VALUE!</v>
      </c>
      <c r="N100" t="e">
        <f t="shared" si="4"/>
        <v>#VALUE!</v>
      </c>
    </row>
    <row r="101" spans="1:14" ht="14.45" customHeight="1">
      <c r="A101" s="64">
        <v>41799</v>
      </c>
      <c r="B101" s="65" t="s">
        <v>73</v>
      </c>
      <c r="C101" s="65" t="s">
        <v>85</v>
      </c>
      <c r="D101" s="65" t="s">
        <v>75</v>
      </c>
      <c r="E101" t="str">
        <f t="shared" si="3"/>
        <v>Delregion Göteborg</v>
      </c>
      <c r="G101">
        <v>2020</v>
      </c>
      <c r="H101" s="68" t="s">
        <v>127</v>
      </c>
      <c r="I101" t="e">
        <f>IF(COUNTIFS($E:$E,"=Delregion Fyrbodal",$C:$C,"=Primärvård, utom hemsjukvård",$A:$A,"&gt;2020-01-01",$A:$A,"&lt;2014-20-31")=0,FIND(" ",O25,1),COUNTIFS($E:$E,"=Delregion Fyrbodal",$C:$C,"=Primärvård, utom hemsjukvård",$A:$A,"&gt;2020-01-01",$A:$A,"&lt;2014-20-31"))</f>
        <v>#VALUE!</v>
      </c>
      <c r="J101" t="e">
        <f>IF(COUNTIFS($E:$E,"=Delregion Göteborg",$C:$C,"=Primärvård, utom hemsjukvård",$A:$A,"&gt;2020-01-01",$A:$A,"&lt;2014-20-31")=0,FIND(" ",O25,1),COUNTIFS($E:$E,"=Delregion Göteborg",$C:$C,"=Primärvård, utom hemsjukvård",$A:$A,"&gt;2020-01-01",$A:$A,"&lt;2014-20-31"))</f>
        <v>#VALUE!</v>
      </c>
      <c r="K101" t="e">
        <f>IF(COUNTIFS($E:$E,"=Delregion SIMBA",$C:$C,"=Primärvård, utom hemsjukvård",$A:$A,"&gt;2020-01-01",$A:$A,"&lt;2014-20-31")=0,FIND(" ",O25,1),COUNTIFS($E:$E,"=Delregion SIMBA",$C:$C,"=Primärvård, utom hemsjukvård",$A:$A,"&gt;2020-01-01",$A:$A,"&lt;2014-20-31"))</f>
        <v>#VALUE!</v>
      </c>
      <c r="L101" t="e">
        <f>IF(COUNTIFS($E:$E,"=Delregion Skaraborg",$C:$C,"=Primärvård, utom hemsjukvård",$A:$A,"&gt;2020-01-01",$A:$A,"&lt;2014-20-31")=0,FIND(" ",O25,1),COUNTIFS($E:$E,"=Delregion Skaraborg",$C:$C,"=Primärvård, utom hemsjukvård",$A:$A,"&gt;2020-01-01",$A:$A,"&lt;2014-20-31"))</f>
        <v>#VALUE!</v>
      </c>
      <c r="M101" t="e">
        <f>IF(COUNTIFS($E:$E,"=Delregion Södra Älvsborg",$C:$C,"=Primärvård, utom hemsjukvård",$A:$A,"&gt;2020-01-01",$A:$A,"&lt;2014-20-31")=0,FIND(" ",O25,1),COUNTIFS($E:$E,"=Delregion Södra Älvsborg",$C:$C,"=Primärvård, utom hemsjukvård",$A:$A,"&gt;2020-01-01",$A:$A,"&lt;2014-20-31"))</f>
        <v>#VALUE!</v>
      </c>
      <c r="N101" t="e">
        <f t="shared" si="4"/>
        <v>#VALUE!</v>
      </c>
    </row>
    <row r="102" spans="1:14" ht="14.45" customHeight="1">
      <c r="A102" s="64">
        <v>41799</v>
      </c>
      <c r="B102" s="65" t="s">
        <v>89</v>
      </c>
      <c r="C102" s="65" t="s">
        <v>85</v>
      </c>
      <c r="D102" s="65" t="s">
        <v>75</v>
      </c>
      <c r="E102" t="str">
        <f t="shared" si="3"/>
        <v>Delregion Skaraborg</v>
      </c>
      <c r="G102">
        <v>2020</v>
      </c>
      <c r="H102" s="68" t="s">
        <v>129</v>
      </c>
      <c r="I102" t="e">
        <f>IF(COUNTIFS($E:$E,"=Delregion Fyrbodal",$C:$C,"=Psykiatrisk specialistsjukvård",$A:$A,"&gt;2020-01-01",$A:$A,"&lt;2014-20-31")=0,FIND(" ",O26,1),COUNTIFS($E:$E,"=Delregion Fyrbodal",$C:$C,"=Psykiatrisk specialistsjukvård",$A:$A,"&gt;2020-01-01",$A:$A,"&lt;2014-20-31"))</f>
        <v>#VALUE!</v>
      </c>
      <c r="J102" t="e">
        <f>IF(COUNTIFS($E:$E,"=Delregion Göteborg",$C:$C,"=Psykiatrisk specialistsjukvård",$A:$A,"&gt;2020-01-01",$A:$A,"&lt;2014-20-31")=0,FIND(" ",O26,1),COUNTIFS($E:$E,"=Delregion Göteborg",$C:$C,"=Psykiatrisk specialistsjukvård",$A:$A,"&gt;2020-01-01",$A:$A,"&lt;2014-20-31"))</f>
        <v>#VALUE!</v>
      </c>
      <c r="K102" t="e">
        <f>IF(COUNTIFS($E:$E,"=Delregion SIMBA",$C:$C,"=Psykiatrisk specialistsjukvård",$A:$A,"&gt;2020-01-01",$A:$A,"&lt;2014-20-31")=0,FIND(" ",O26,1),COUNTIFS($E:$E,"=Delregion SIMBA",$C:$C,"=Psykiatrisk specialistsjukvård",$A:$A,"&gt;2020-01-01",$A:$A,"&lt;2014-20-31"))</f>
        <v>#VALUE!</v>
      </c>
      <c r="L102" t="e">
        <f>IF(COUNTIFS($E:$E,"=Delregion Skaraborg",$C:$C,"=Psykiatrisk specialistsjukvård",$A:$A,"&gt;2020-01-01",$A:$A,"&lt;2014-20-31")=0,FIND(" ",O26,1),COUNTIFS($E:$E,"=Delregion Skaraborg",$C:$C,"=Psykiatrisk specialistsjukvård",$A:$A,"&gt;2020-01-01",$A:$A,"&lt;2014-20-31"))</f>
        <v>#VALUE!</v>
      </c>
      <c r="M102" t="e">
        <f>IF(COUNTIFS($E:$E,"=Delregion Södra Älvsborg",$C:$C,"=Psykiatrisk specialistsjukvård",$A:$A,"&gt;2020-01-01",$A:$A,"&lt;2014-20-31")=0,FIND(" ",O26,1),COUNTIFS($E:$E,"=Delregion Södra Älvsborg",$C:$C,"=Psykiatrisk specialistsjukvård",$A:$A,"&gt;2020-01-01",$A:$A,"&lt;2014-20-31"))</f>
        <v>#VALUE!</v>
      </c>
      <c r="N102" t="e">
        <f t="shared" si="4"/>
        <v>#VALUE!</v>
      </c>
    </row>
    <row r="103" spans="1:14" ht="14.45" customHeight="1">
      <c r="A103" s="64">
        <v>41800</v>
      </c>
      <c r="B103" s="65" t="s">
        <v>73</v>
      </c>
      <c r="C103" s="65" t="s">
        <v>85</v>
      </c>
      <c r="D103" s="65" t="s">
        <v>75</v>
      </c>
      <c r="E103" t="str">
        <f t="shared" si="3"/>
        <v>Delregion Göteborg</v>
      </c>
      <c r="G103">
        <v>2020</v>
      </c>
      <c r="H103" s="68" t="s">
        <v>198</v>
      </c>
      <c r="I103" t="e">
        <f>IF(SUM(I91:I98)=0,FIND(" ",O21,1),SUM(I91:I98))</f>
        <v>#VALUE!</v>
      </c>
      <c r="J103" t="e">
        <f>IF(SUM(J91:J98)=0,FIND(" ",O21,1),SUM(J91:J98))</f>
        <v>#VALUE!</v>
      </c>
      <c r="K103" t="e">
        <f>IF(SUM(K91:K98)=0,FIND(" ",O21,1),SUM(K91:K98))</f>
        <v>#VALUE!</v>
      </c>
      <c r="L103" t="e">
        <f>IF(SUM(L91:L98)=0,FIND(" ",O21,1),SUM(L91:L98))</f>
        <v>#VALUE!</v>
      </c>
      <c r="M103" t="e">
        <f>IF(SUM(M91:M98)=0,FIND(" ",O21,1),SUM(M91:M98))</f>
        <v>#VALUE!</v>
      </c>
      <c r="N103" t="e">
        <f t="shared" si="4"/>
        <v>#VALUE!</v>
      </c>
    </row>
    <row r="104" spans="1:14" ht="14.45" customHeight="1">
      <c r="A104" s="64">
        <v>41800</v>
      </c>
      <c r="B104" s="65" t="s">
        <v>95</v>
      </c>
      <c r="C104" s="65" t="s">
        <v>127</v>
      </c>
      <c r="D104" s="65" t="s">
        <v>126</v>
      </c>
      <c r="E104" t="str">
        <f t="shared" si="3"/>
        <v>Delregion Södra Älvsborg</v>
      </c>
      <c r="G104">
        <v>2021</v>
      </c>
      <c r="H104" s="68" t="s">
        <v>75</v>
      </c>
      <c r="I104" t="e">
        <f>IF(COUNTIFS($E:$E,"=Delregion Fyrbodal",$D:$D,"=Socialtjänst",$A:$A,"&gt;2021-01-01",$A:$A,"&lt;2021-12-31")=0,FIND(" ",O21,1),COUNTIFS($E:$E,"=Delregion Fyrbodal",$D:$D,"=Socialtjänst",$A:$A,"&gt;2021-01-01",$A:$A,"&lt;2021-12-31"))</f>
        <v>#VALUE!</v>
      </c>
      <c r="J104" t="e">
        <f>IF(COUNTIFS($E:$E,"=DelregionGöteborg",$D:$D,"=Socialtjänst",$A:$A,"&gt;2021-01-01",$A:$A,"&lt;2021-12-31")=0,FIND(" ",O21,1),COUNTIFS($E:$E,"=DelregionGöteborg",$D:$D,"=Socialtjänst",$A:$A,"&gt;2021-01-01",$A:$A,"&lt;2021-12-31"))</f>
        <v>#VALUE!</v>
      </c>
      <c r="K104" t="e">
        <f>IF(COUNTIFS($E:$E,"=Delregion SIMBA",$D:$D,"=Socialtjänst",$A:$A,"&gt;2021-01-01",$A:$A,"&lt;2021-12-31")=0,FIND(" ",O21,1),COUNTIFS($E:$E,"=Delregion SIMBA",$D:$D,"=Socialtjänst",$A:$A,"&gt;2021-01-01",$A:$A,"&lt;2021-12-31"))</f>
        <v>#VALUE!</v>
      </c>
      <c r="L104" t="e">
        <f>IF(COUNTIFS($E:$E,"=Delregion Skaraborg",$D:$D,"=Socialtjänst",$A:$A,"&gt;2021-01-01",$A:$A,"&lt;2021-12-31")=0,FIND(" ",O21,1),COUNTIFS($E:$E,"=Delregion Skaraborg",$D:$D,"=Socialtjänst",$A:$A,"&gt;2021-01-01",$A:$A,"&lt;2021-12-31"))</f>
        <v>#VALUE!</v>
      </c>
      <c r="M104" t="e">
        <f>IF(COUNTIFS($E:$E,"=Delregion Södra Älvsborg",$D:$D,"=Socialtjänst",$A:$A,"&gt;2021-01-01",$A:$A,"&lt;2021-12-31")=0,FIND(" ",O21,1),COUNTIFS($E:$E,"=Delregion Södra Älvsborg",$D:$D,"=Socialtjänst",$A:$A,"&gt;2021-01-01",$A:$A,"&lt;2021-12-31"))</f>
        <v>#VALUE!</v>
      </c>
      <c r="N104" t="e">
        <f t="shared" si="4"/>
        <v>#VALUE!</v>
      </c>
    </row>
    <row r="105" spans="1:14" ht="14.45" customHeight="1">
      <c r="A105" s="64">
        <v>41800</v>
      </c>
      <c r="B105" s="65" t="s">
        <v>77</v>
      </c>
      <c r="C105" s="65" t="s">
        <v>127</v>
      </c>
      <c r="D105" s="65" t="s">
        <v>126</v>
      </c>
      <c r="E105" t="str">
        <f t="shared" si="3"/>
        <v>Delregion SIMBA</v>
      </c>
      <c r="G105">
        <v>2021</v>
      </c>
      <c r="H105" s="68" t="str">
        <f>"Ekonomiskt bistånd"</f>
        <v>Ekonomiskt bistånd</v>
      </c>
      <c r="I105" t="e">
        <f>IF(COUNTIFS($E:$E,"=Delregion Fyrbodal",$C:$C,"=Ekonomiskt bistånd",$A:$A,"&gt;2021-01-01",$A:$A,"&lt;2021-12-31")=0,FIND(" ",O22,1),COUNTIFS($E:$E,"=Delregion Fyrbodal",$C:$C,"=Ekonomiskt bistånd",$A:$A,"&gt;2021-01-01",$A:$A,"&lt;2021-12-31"))</f>
        <v>#VALUE!</v>
      </c>
      <c r="J105" t="e">
        <f>IF(COUNTIFS($E:$E,"=DelregionGöteborg",$C:$C,"=Ekonomiskt bistånd",$A:$A,"&gt;2021-01-01",$A:$A,"&lt;2021-12-31")=0,FIND(" ",O22,1),COUNTIFS($E:$E,"=DelregionGöteborg",$C:$C,"=Ekonomiskt bistånd",$A:$A,"&gt;2021-01-01",$A:$A,"&lt;2021-12-31"))</f>
        <v>#VALUE!</v>
      </c>
      <c r="K105" t="e">
        <f>IF(COUNTIFS($E:$E,"=Delregion SIMBA",$C:$C,"=Ekonomiskt bistånd",$A:$A,"&gt;2021-01-01",$A:$A,"&lt;2021-12-31")=0,FIND(" ",O22,1),COUNTIFS($E:$E,"=Delregion SIMBA",$C:$C,"=Ekonomiskt bistånd",$A:$A,"&gt;2021-01-01",$A:$A,"&lt;2021-12-31"))</f>
        <v>#VALUE!</v>
      </c>
      <c r="L105" t="e">
        <f>IF(COUNTIFS($E:$E,"=Delregion Skaraborg",$C:$C,"=Ekonomiskt bistånd",$A:$A,"&gt;2021-01-01",$A:$A,"&lt;2021-12-31")=0,FIND(" ",O22,1),COUNTIFS($E:$E,"=Delregion Skaraborg",$C:$C,"=Ekonomiskt bistånd",$A:$A,"&gt;2021-01-01",$A:$A,"&lt;2021-12-31"))</f>
        <v>#VALUE!</v>
      </c>
      <c r="M105" t="e">
        <f>IF(COUNTIFS($E:$E,"=Delregion Södra Älvsborg",$C:$C,"=Ekonomiskt bistånd",$A:$A,"&gt;2021-01-01",$A:$A,"&lt;2021-12-31")=0,FIND(" ",O22,1),COUNTIFS($E:$E,"=Delregion Södra Älvsborg",$C:$C,"=Ekonomiskt bistånd",$A:$A,"&gt;2021-01-01",$A:$A,"&lt;2021-12-31"))</f>
        <v>#VALUE!</v>
      </c>
      <c r="N105" t="e">
        <f t="shared" si="4"/>
        <v>#VALUE!</v>
      </c>
    </row>
    <row r="106" spans="1:14" ht="14.45" customHeight="1">
      <c r="A106" s="64">
        <v>41800</v>
      </c>
      <c r="B106" s="65" t="s">
        <v>73</v>
      </c>
      <c r="C106" s="65" t="s">
        <v>139</v>
      </c>
      <c r="D106" s="65" t="s">
        <v>126</v>
      </c>
      <c r="E106" t="str">
        <f t="shared" si="3"/>
        <v>Delregion Göteborg</v>
      </c>
      <c r="G106">
        <v>2021</v>
      </c>
      <c r="H106" s="68" t="s">
        <v>96</v>
      </c>
      <c r="I106" t="e">
        <f>IF(COUNTIFS($E:$E,"=Delregion Fyrbodal",$C:$C,"=Funktionsnedsättning LSS",$A:$A,"&gt;2021-01-01",$A:$A,"&lt;2021-12-31")=0,FIND(" ",O23,1),COUNTIFS($E:$E,"=Delregion Fyrbodal",$C:$C,"=Funktionsnedsättning LSS",$A:$A,"&gt;2021-01-01",$A:$A,"&lt;2021-12-31"))</f>
        <v>#VALUE!</v>
      </c>
      <c r="J106" t="e">
        <f>IF(COUNTIFS($E:$E,"=DelregionGöteborg",$C:$C,"=Funktionsnedsättning LSS",$A:$A,"&gt;2021-01-01",$A:$A,"&lt;2021-12-31")=0,FIND(" ",O23,1),COUNTIFS($E:$E,"=DelregionGöteborg",$C:$C,"=Funktionsnedsättning LSS",$A:$A,"&gt;2021-01-01",$A:$A,"&lt;2021-12-31"))</f>
        <v>#VALUE!</v>
      </c>
      <c r="K106" t="e">
        <f>IF(COUNTIFS($E:$E,"=Delregion SIMBA",$C:$C,"=Funktionsnedsättning LSS",$A:$A,"&gt;2021-01-01",$A:$A,"&lt;2021-12-31")=0,FIND(" ",O23,1),COUNTIFS($E:$E,"=Delregion SIMBA",$C:$C,"=Funktionsnedsättning LSS",$A:$A,"&gt;2021-01-01",$A:$A,"&lt;2021-12-31"))</f>
        <v>#VALUE!</v>
      </c>
      <c r="L106" t="e">
        <f>IF(COUNTIFS($E:$E,"=Delregion Skaraborg",$C:$C,"=Funktionsnedsättning LSS",$A:$A,"&gt;2021-01-01",$A:$A,"&lt;2021-12-31")=0,FIND(" ",O23,1),COUNTIFS($E:$E,"=Delregion Skaraborg",$C:$C,"=Funktionsnedsättning LSS",$A:$A,"&gt;2021-01-01",$A:$A,"&lt;2021-12-31"))</f>
        <v>#VALUE!</v>
      </c>
      <c r="M106" t="e">
        <f>IF(COUNTIFS($E:$E,"=Delregion Södra Älvsborg",$C:$C,"=Funktionsnedsättning LSS",$A:$A,"&gt;2021-01-01",$A:$A,"&lt;2021-12-31")=0,FIND(" ",O23,1),COUNTIFS($E:$E,"=Delregion Södra Älvsborg",$C:$C,"=Funktionsnedsättning LSS",$A:$A,"&gt;2021-01-01",$A:$A,"&lt;2021-12-31"))</f>
        <v>#VALUE!</v>
      </c>
      <c r="N106" t="e">
        <f t="shared" si="4"/>
        <v>#VALUE!</v>
      </c>
    </row>
    <row r="107" spans="1:14" ht="14.45" customHeight="1">
      <c r="A107" s="64">
        <v>41801</v>
      </c>
      <c r="B107" s="65" t="s">
        <v>73</v>
      </c>
      <c r="C107" s="65" t="s">
        <v>85</v>
      </c>
      <c r="D107" s="65" t="s">
        <v>75</v>
      </c>
      <c r="E107" t="str">
        <f t="shared" si="3"/>
        <v>Delregion Göteborg</v>
      </c>
      <c r="G107">
        <v>2021</v>
      </c>
      <c r="H107" s="68" t="s">
        <v>118</v>
      </c>
      <c r="I107" t="e">
        <f>IF(COUNTIFS($E:$E,"=Delregion Fyrbodal",$C:$C,"=Funktionsnedsättning SoL",$A:$A,"&gt;2021-01-01",$A:$A,"&lt;2021-12-31")=0,FIND(" ",O24,1),COUNTIFS($E:$E,"=Delregion Fyrbodal",$C:$C,"=Funktionsnedsättning SoL",$A:$A,"&gt;2021-01-01",$A:$A,"&lt;2021-12-31"))</f>
        <v>#VALUE!</v>
      </c>
      <c r="J107" t="e">
        <f>IF(COUNTIFS($E:$E,"=DelregionGöteborg",$C:$C,"=Funktionsnedsättning SoL",$A:$A,"&gt;2021-01-01",$A:$A,"&lt;2021-12-31")=0,FIND(" ",O24,1),COUNTIFS($E:$E,"=DelregionGöteborg",$C:$C,"=Funktionsnedsättning SoL",$A:$A,"&gt;2021-01-01",$A:$A,"&lt;2021-12-31"))</f>
        <v>#VALUE!</v>
      </c>
      <c r="K107" t="e">
        <f>IF(COUNTIFS($E:$E,"=Delregion SIMBA",$C:$C,"=Funktionsnedsättning SoL",$A:$A,"&gt;2021-01-01",$A:$A,"&lt;2021-12-31")=0,FIND(" ",O24,1),COUNTIFS($E:$E,"=Delregion SIMBA",$C:$C,"=Funktionsnedsättning SoL",$A:$A,"&gt;2021-01-01",$A:$A,"&lt;2021-12-31"))</f>
        <v>#VALUE!</v>
      </c>
      <c r="L107" t="e">
        <f>IF(COUNTIFS($E:$E,"=Delregion Skaraborg",$C:$C,"=Funktionsnedsättning SoL",$A:$A,"&gt;2021-01-01",$A:$A,"&lt;2021-12-31")=0,FIND(" ",O24,1),COUNTIFS($E:$E,"=Delregion Skaraborg",$C:$C,"=Funktionsnedsättning SoL",$A:$A,"&gt;2021-01-01",$A:$A,"&lt;2021-12-31"))</f>
        <v>#VALUE!</v>
      </c>
      <c r="M107" t="e">
        <f>IF(COUNTIFS($E:$E,"=Delregion Södra Älvsborg",$C:$C,"=Funktionsnedsättning SoL",$A:$A,"&gt;2021-01-01",$A:$A,"&lt;2021-12-31")=0,FIND(" ",O24,1),COUNTIFS($E:$E,"=Delregion Södra Älvsborg",$C:$C,"=Funktionsnedsättning SoL",$A:$A,"&gt;2021-01-01",$A:$A,"&lt;2021-12-31"))</f>
        <v>#VALUE!</v>
      </c>
      <c r="N107" t="e">
        <f t="shared" si="4"/>
        <v>#VALUE!</v>
      </c>
    </row>
    <row r="108" spans="1:14" ht="14.45" customHeight="1">
      <c r="A108" s="64">
        <v>41801</v>
      </c>
      <c r="B108" s="65" t="s">
        <v>73</v>
      </c>
      <c r="C108" s="65" t="s">
        <v>83</v>
      </c>
      <c r="D108" s="65" t="s">
        <v>75</v>
      </c>
      <c r="E108" t="str">
        <f t="shared" si="3"/>
        <v>Delregion Göteborg</v>
      </c>
      <c r="G108">
        <v>2021</v>
      </c>
      <c r="H108" s="68" t="s">
        <v>100</v>
      </c>
      <c r="I108" t="e">
        <f>IF(COUNTIFS($E:$E,"=Delregion Fyrbodal",$C:$C,"=Missbruk",$A:$A,"&gt;2021-01-01",$A:$A,"&lt;2021-12-31")=0,FIND(" ",O25,1),COUNTIFS($E:$E,"=Delregion Fyrbodal",$C:$C,"=Missbruk",$A:$A,"&gt;2021-01-01",$A:$A,"&lt;2021-12-31"))</f>
        <v>#VALUE!</v>
      </c>
      <c r="J108" t="e">
        <f>IF(COUNTIFS($E:$E,"=DelregionGöteborg",$C:$C,"=Missbruk",$A:$A,"&gt;2021-01-01",$A:$A,"&lt;2021-12-31")=0,FIND(" ",O25,1),COUNTIFS($E:$E,"=DelregionGöteborg",$C:$C,"=Missbruk",$A:$A,"&gt;2021-01-01",$A:$A,"&lt;2021-12-31"))</f>
        <v>#VALUE!</v>
      </c>
      <c r="K108" t="e">
        <f>IF(COUNTIFS($E:$E,"=Delregion SIMBA",$C:$C,"=Missbruk",$A:$A,"&gt;2021-01-01",$A:$A,"&lt;2021-12-31")=0,FIND(" ",O25,1),COUNTIFS($E:$E,"=Delregion SIMBA",$C:$C,"=Missbruk",$A:$A,"&gt;2021-01-01",$A:$A,"&lt;2021-12-31"))</f>
        <v>#VALUE!</v>
      </c>
      <c r="L108" t="e">
        <f>IF(COUNTIFS($E:$E,"=Delregion Skaraborg",$C:$C,"=Missbruk",$A:$A,"&gt;2021-01-01",$A:$A,"&lt;2021-12-31")=0,FIND(" ",O25,1),COUNTIFS($E:$E,"=Delregion Skaraborg",$C:$C,"=Missbruk",$A:$A,"&gt;2021-01-01",$A:$A,"&lt;2021-12-31"))</f>
        <v>#VALUE!</v>
      </c>
      <c r="M108" t="e">
        <f>IF(COUNTIFS($E:$E,"=Delregion Södra Älvsborg",$C:$C,"=Missbruk",$A:$A,"&gt;2021-01-01",$A:$A,"&lt;2021-12-31")=0,FIND(" ",O25,1),COUNTIFS($E:$E,"=Delregion Södra Älvsborg",$C:$C,"=Missbruk",$A:$A,"&gt;2021-01-01",$A:$A,"&lt;2021-12-31"))</f>
        <v>#VALUE!</v>
      </c>
      <c r="N108" t="e">
        <f t="shared" si="4"/>
        <v>#VALUE!</v>
      </c>
    </row>
    <row r="109" spans="1:14" ht="14.45" customHeight="1">
      <c r="A109" s="64">
        <v>41808</v>
      </c>
      <c r="B109" s="65" t="s">
        <v>78</v>
      </c>
      <c r="C109" s="65" t="s">
        <v>85</v>
      </c>
      <c r="D109" s="65" t="s">
        <v>75</v>
      </c>
      <c r="E109" t="str">
        <f t="shared" si="3"/>
        <v>Delregion SIMBA</v>
      </c>
      <c r="G109">
        <v>2021</v>
      </c>
      <c r="H109" s="68" t="s">
        <v>201</v>
      </c>
      <c r="I109" t="e">
        <f>IF(COUNTIFS($E:$E,"=Delregion Fyrbodal",$C:$C,"=Äldreomsorg",$A:$A,"&gt;2021-01-01",$A:$A,"&lt;2021-12-31")=0,FIND(" ",O26,1),COUNTIFS($E:$E,"=Delregion Fyrbodal",$C:$C,"=Äldreomsorg",$A:$A,"&gt;2021-01-01",$A:$A,"&lt;2021-12-31"))</f>
        <v>#VALUE!</v>
      </c>
      <c r="J109" t="e">
        <f>IF(COUNTIFS($E:$E,"=DelregionGöteborg",$C:$C,"=Äldreomsorg",$A:$A,"&gt;2021-01-01",$A:$A,"&lt;2021-12-31")=0,FIND(" ",O26,1),COUNTIFS($E:$E,"=DelregionGöteborg",$C:$C,"=Äldreomsorg",$A:$A,"&gt;2021-01-01",$A:$A,"&lt;2021-12-31"))</f>
        <v>#VALUE!</v>
      </c>
      <c r="K109" t="e">
        <f>IF(COUNTIFS($E:$E,"=Delregion SIMBA",$C:$C,"=Äldreomsorg",$A:$A,"&gt;2021-01-01",$A:$A,"&lt;2021-12-31")=0,FIND(" ",O26,1),COUNTIFS($E:$E,"=Delregion SIMBA",$C:$C,"=Äldreomsorg",$A:$A,"&gt;2021-01-01",$A:$A,"&lt;2021-12-31"))</f>
        <v>#VALUE!</v>
      </c>
      <c r="L109" t="e">
        <f>IF(COUNTIFS($E:$E,"=Delregion Skaraborg",$C:$C,"=Äldreomsorg",$A:$A,"&gt;2021-01-01",$A:$A,"&lt;2021-12-31")=0,FIND(" ",O26,1),COUNTIFS($E:$E,"=Delregion Skaraborg",$C:$C,"=Äldreomsorg",$A:$A,"&gt;2021-01-01",$A:$A,"&lt;2021-12-31"))</f>
        <v>#VALUE!</v>
      </c>
      <c r="M109" t="e">
        <f>IF(COUNTIFS($E:$E,"=Delregion Södra Älvsborg",$C:$C,"=Äldreomsorg",$A:$A,"&gt;2021-01-01",$A:$A,"&lt;2021-12-31")=0,FIND(" ",O26,1),COUNTIFS($E:$E,"=Delregion Södra Älvsborg",$C:$C,"=Äldreomsorg",$A:$A,"&gt;2021-01-01",$A:$A,"&lt;2021-12-31"))</f>
        <v>#VALUE!</v>
      </c>
      <c r="N109" t="e">
        <f t="shared" si="4"/>
        <v>#VALUE!</v>
      </c>
    </row>
    <row r="110" spans="1:14" ht="14.45" customHeight="1">
      <c r="A110" s="64">
        <v>41814</v>
      </c>
      <c r="B110" s="65" t="s">
        <v>106</v>
      </c>
      <c r="C110" s="65" t="s">
        <v>85</v>
      </c>
      <c r="D110" s="65" t="s">
        <v>75</v>
      </c>
      <c r="E110" t="str">
        <f t="shared" si="3"/>
        <v>Delregion Fyrbodal</v>
      </c>
      <c r="G110">
        <v>2021</v>
      </c>
      <c r="H110" s="68" t="s">
        <v>79</v>
      </c>
      <c r="I110" t="e">
        <f>IF(COUNTIFS($E:$E,"=Delregion Fyrbodal",$C:$C,"=Övrig socialtjänst",$A:$A,"&gt;2021-01-01",$A:$A,"&lt;2021-12-31")=0,FIND(" ",O27,1),COUNTIFS($E:$E,"=Delregion Fyrbodal",$C:$C,"=Övrig socialtjänst",$A:$A,"&gt;2021-01-01",$A:$A,"&lt;2021-12-31"))</f>
        <v>#VALUE!</v>
      </c>
      <c r="J110" t="e">
        <f>IF(COUNTIFS($E:$E,"=DelregionGöteborg",$C:$C,"=Övrig socialtjänst",$A:$A,"&gt;2021-01-01",$A:$A,"&lt;2021-12-31")=0,FIND(" ",O27,1),COUNTIFS($E:$E,"=DelregionGöteborg",$C:$C,"=Övrig socialtjänst",$A:$A,"&gt;2021-01-01",$A:$A,"&lt;2021-12-31"))</f>
        <v>#VALUE!</v>
      </c>
      <c r="K110" t="e">
        <f>IF(COUNTIFS($E:$E,"=Delregion SIMBA",$C:$C,"=Övrig socialtjänst",$A:$A,"&gt;2021-01-01",$A:$A,"&lt;2021-12-31")=0,FIND(" ",O27,1),COUNTIFS($E:$E,"=Delregion SIMBA",$C:$C,"=Övrig socialtjänst",$A:$A,"&gt;2021-01-01",$A:$A,"&lt;2021-12-31"))</f>
        <v>#VALUE!</v>
      </c>
      <c r="L110" t="e">
        <f>IF(COUNTIFS($E:$E,"=Delregion Skaraborg",$C:$C,"=Övrig socialtjänst",$A:$A,"&gt;2021-01-01",$A:$A,"&lt;2021-12-31")=0,FIND(" ",O27,1),COUNTIFS($E:$E,"=Delregion Skaraborg",$C:$C,"=Övrig socialtjänst",$A:$A,"&gt;2021-01-01",$A:$A,"&lt;2021-12-31"))</f>
        <v>#VALUE!</v>
      </c>
      <c r="M110" t="e">
        <f>IF(COUNTIFS($E:$E,"=Delregion Södra Älvsborg",$C:$C,"=Övrig socialtjänst",$A:$A,"&gt;2021-01-01",$A:$A,"&lt;2021-12-31")=0,FIND(" ",O27,1),COUNTIFS($E:$E,"=Delregion Södra Älvsborg",$C:$C,"=Övrig socialtjänst",$A:$A,"&gt;2021-01-01",$A:$A,"&lt;2021-12-31"))</f>
        <v>#VALUE!</v>
      </c>
      <c r="N110" t="e">
        <f t="shared" si="4"/>
        <v>#VALUE!</v>
      </c>
    </row>
    <row r="111" spans="1:14" ht="14.45" customHeight="1">
      <c r="A111" s="64">
        <v>41815</v>
      </c>
      <c r="B111" s="65" t="s">
        <v>87</v>
      </c>
      <c r="C111" s="65" t="s">
        <v>85</v>
      </c>
      <c r="D111" s="65" t="s">
        <v>75</v>
      </c>
      <c r="E111" t="str">
        <f t="shared" si="3"/>
        <v>Delregion Skaraborg</v>
      </c>
      <c r="G111">
        <v>2021</v>
      </c>
      <c r="H111" s="68" t="s">
        <v>126</v>
      </c>
      <c r="I111" t="e">
        <f>IF(COUNTIFS($E:$E,"=Delregion Fyrbodal",$D:$D,"=Hälso- och sjukvård",$A:$A,"&gt;2021-01-01",$A:$A,"&lt;2021-12-31")=0,FIND(" ",O21,1),COUNTIFS($E:$E,"=Delregion Fyrbodal",$D:$D,"=Hälso- och sjukvård",$A:$A,"&gt;2021-01-01",$A:$A,"&lt;2021-12-31"))</f>
        <v>#VALUE!</v>
      </c>
      <c r="J111" t="e">
        <f>IF(COUNTIFS($E:$E,"=Delregion Göteborg",$D:$D,"=Hälso- och sjukvård",$A:$A,"&gt;2021-01-01",$A:$A,"&lt;2021-12-31")=0,FIND(" ",O21,1),COUNTIFS($E:$E,"=Delregion Göteborg",$D:$D,"=Hälso- och sjukvård",$A:$A,"&gt;2021-01-01",$A:$A,"&lt;2021-12-31"))</f>
        <v>#VALUE!</v>
      </c>
      <c r="K111" t="e">
        <f>IF(COUNTIFS($E:$E,"=Delregion SIMBA",$D:$D,"=Hälso- och sjukvård",$A:$A,"&gt;2021-01-01",$A:$A,"&lt;2021-12-31")=0,FIND(" ",O21,1),COUNTIFS($E:$E,"=Delregion SIMBA",$D:$D,"=Hälso- och sjukvård",$A:$A,"&gt;2021-01-01",$A:$A,"&lt;2021-12-31"))</f>
        <v>#VALUE!</v>
      </c>
      <c r="L111" t="e">
        <f>IF(COUNTIFS($E:$E,"=Delregion Skaraborg",$D:$D,"=Hälso- och sjukvård",$A:$A,"&gt;2021-01-01",$A:$A,"&lt;2021-12-31")=0,FIND(" ",O21,1),COUNTIFS($E:$E,"=Delregion Skaraborg",$D:$D,"=Hälso- och sjukvård",$A:$A,"&gt;2021-01-01",$A:$A,"&lt;2021-12-31"))</f>
        <v>#VALUE!</v>
      </c>
      <c r="M111" t="e">
        <f>IF(COUNTIFS($E:$E,"=Delregion Södra Älvsborg",$D:$D,"=Hälso- och sjukvård",$A:$A,"&gt;2021-01-01",$A:$A,"&lt;2021-12-31")=0,FIND(" ",O21,1),COUNTIFS($E:$E,"=Delregion Södra Älvsborg",$D:$D,"=Hälso- och sjukvård",$A:$A,"&gt;2021-01-01",$A:$A,"&lt;2021-12-31"))</f>
        <v>#VALUE!</v>
      </c>
      <c r="N111" t="e">
        <f t="shared" si="4"/>
        <v>#VALUE!</v>
      </c>
    </row>
    <row r="112" spans="1:14" ht="14.45" customHeight="1">
      <c r="A112" s="64">
        <v>41815</v>
      </c>
      <c r="B112" s="65" t="s">
        <v>73</v>
      </c>
      <c r="C112" s="65" t="s">
        <v>83</v>
      </c>
      <c r="D112" s="65" t="s">
        <v>75</v>
      </c>
      <c r="E112" t="str">
        <f t="shared" si="3"/>
        <v>Delregion Göteborg</v>
      </c>
      <c r="G112">
        <v>2021</v>
      </c>
      <c r="H112" s="68" t="s">
        <v>200</v>
      </c>
      <c r="I112" t="e">
        <f>IF(COUNTIFS($E:$E,"=Delregion Fyrbodal",$C:$C,"=Hemsjukvård i ordinärt boende",$A:$A,"&gt;2021-01-01",$A:$A,"&lt;2021-12-31")=0,FIND(" ",O22,1),COUNTIFS($E:$E,"=Delregion Fyrbodal",$C:$C,"=Hemsjukvård i ordinärt boende",$A:$A,"&gt;2021-01-01",$A:$A,"&lt;2021-12-31"))</f>
        <v>#VALUE!</v>
      </c>
      <c r="J112" t="e">
        <f>IF(COUNTIFS($E:$E,"=Delregion Göteborg",$C:$C,"=Hemsjukvård i ordinärt boende",$A:$A,"&gt;2021-01-01",$A:$A,"&lt;2021-12-31")=0,FIND(" ",O22,1),COUNTIFS($E:$E,"=Delregion Göteborg",$C:$C,"=Hemsjukvård i ordinärt boende",$A:$A,"&gt;2021-01-01",$A:$A,"&lt;2021-12-31"))</f>
        <v>#VALUE!</v>
      </c>
      <c r="K112" t="e">
        <f>IF(COUNTIFS($E:$E,"=Delregion SIMBA",$C:$C,"=Hemsjukvård i ordinärt boende",$A:$A,"&gt;2021-01-01",$A:$A,"&lt;2021-12-31")=0,FIND(" ",O22,1),COUNTIFS($E:$E,"=Delregion SIMBA",$C:$C,"=Hemsjukvård i ordinärt boende",$A:$A,"&gt;2021-01-01",$A:$A,"&lt;2021-12-31"))</f>
        <v>#VALUE!</v>
      </c>
      <c r="L112" t="e">
        <f>IF(COUNTIFS($E:$E,"=Delregion Skaraborg",$C:$C,"=Hemsjukvård i ordinärt boende",$A:$A,"&gt;2021-01-01",$A:$A,"&lt;2021-12-31")=0,FIND(" ",O22,1),COUNTIFS($E:$E,"=Delregion Skaraborg",$C:$C,"=Hemsjukvård i ordinärt boende",$A:$A,"&gt;2021-01-01",$A:$A,"&lt;2021-12-31"))</f>
        <v>#VALUE!</v>
      </c>
      <c r="M112" t="e">
        <f>IF(COUNTIFS($E:$E,"=Delregion Södra Älvsborg",$C:$C,"=Hemsjukvård i ordinärt boende",$A:$A,"&gt;2021-01-01",$A:$A,"&lt;2021-12-31")=0,FIND(" ",O22,1),COUNTIFS($E:$E,"=Delregion Södra Älvsborg",$C:$C,"=Hemsjukvård i ordinärt boende",$A:$A,"&gt;2021-01-01",$A:$A,"&lt;2021-12-31"))</f>
        <v>#VALUE!</v>
      </c>
      <c r="N112" t="e">
        <f t="shared" si="4"/>
        <v>#VALUE!</v>
      </c>
    </row>
    <row r="113" spans="1:14" ht="14.45" customHeight="1">
      <c r="A113" s="64">
        <v>41815</v>
      </c>
      <c r="B113" s="65" t="s">
        <v>84</v>
      </c>
      <c r="C113" s="65" t="s">
        <v>88</v>
      </c>
      <c r="D113" s="65" t="s">
        <v>75</v>
      </c>
      <c r="E113" t="str">
        <f t="shared" si="3"/>
        <v>Delregion Skaraborg</v>
      </c>
      <c r="G113">
        <v>2021</v>
      </c>
      <c r="H113" s="68" t="s">
        <v>128</v>
      </c>
      <c r="I113" t="e">
        <f>IF(COUNTIFS($E:$E,"=Delregion Fyrbodal",$C:$C,"=Prehospital vård",$A:$A,"&gt;2021-01-01",$A:$A,"&lt;2021-12-31")=0,FIND(" ",O23,1),COUNTIFS($E:$E,"=Delregion Fyrbodal",$C:$C,"=Prehospital vård",$A:$A,"&gt;2021-01-01",$A:$A,"&lt;2021-12-31"))</f>
        <v>#VALUE!</v>
      </c>
      <c r="J113" t="e">
        <f>IF(COUNTIFS($E:$E,"=Delregion Göteborg",$C:$C,"=Prehospital vård",$A:$A,"&gt;2021-01-01",$A:$A,"&lt;2021-12-31")=0,FIND(" ",O23,1),COUNTIFS($E:$E,"=Delregion Göteborg",$C:$C,"=Prehospital vård",$A:$A,"&gt;2021-01-01",$A:$A,"&lt;2021-12-31"))</f>
        <v>#VALUE!</v>
      </c>
      <c r="K113" t="e">
        <f>IF(COUNTIFS($E:$E,"=Delregion SIMBA",$C:$C,"=Prehospital vård",$A:$A,"&gt;2021-01-01",$A:$A,"&lt;2021-12-31")=0,FIND(" ",O23,1),COUNTIFS($E:$E,"=Delregion SIMBA",$C:$C,"=Prehospital vård",$A:$A,"&gt;2021-01-01",$A:$A,"&lt;2021-12-31"))</f>
        <v>#VALUE!</v>
      </c>
      <c r="L113" t="e">
        <f>IF(COUNTIFS($E:$E,"=Delregion Skaraborg",$C:$C,"=Prehospital vård",$A:$A,"&gt;2021-01-01",$A:$A,"&lt;2021-12-31")=0,FIND(" ",O23,1),COUNTIFS($E:$E,"=Delregion Skaraborg",$C:$C,"=Prehospital vård",$A:$A,"&gt;2021-01-01",$A:$A,"&lt;2021-12-31"))</f>
        <v>#VALUE!</v>
      </c>
      <c r="M113" t="e">
        <f>IF(COUNTIFS($E:$E,"=Delregion Södra Älvsborg",$C:$C,"=Prehospital vård",$A:$A,"&gt;2021-01-01",$A:$A,"&lt;2021-12-31")=0,FIND(" ",O23,1),COUNTIFS($E:$E,"=Delregion Södra Älvsborg",$C:$C,"=Prehospital vård",$A:$A,"&gt;2021-01-01",$A:$A,"&lt;2021-12-31"))</f>
        <v>#VALUE!</v>
      </c>
      <c r="N113" t="e">
        <f t="shared" si="4"/>
        <v>#VALUE!</v>
      </c>
    </row>
    <row r="114" spans="1:14" ht="14.45" customHeight="1">
      <c r="A114" s="64">
        <v>41815</v>
      </c>
      <c r="B114" s="65" t="s">
        <v>86</v>
      </c>
      <c r="C114" s="65" t="s">
        <v>96</v>
      </c>
      <c r="D114" s="65" t="s">
        <v>75</v>
      </c>
      <c r="E114" t="str">
        <f t="shared" si="3"/>
        <v>Delregion Fyrbodal</v>
      </c>
      <c r="G114">
        <v>2021</v>
      </c>
      <c r="H114" s="68" t="s">
        <v>127</v>
      </c>
      <c r="I114" t="e">
        <f>IF(COUNTIFS($E:$E,"=Delregion Fyrbodal",$C:$C,"=Primärvård, utom hemsjukvård",$A:$A,"&gt;2021-01-01",$A:$A,"&lt;2021-12-31")=0,FIND(" ",O25,1),COUNTIFS($E:$E,"=Delregion Fyrbodal",$C:$C,"=Primärvård, utom hemsjukvård",$A:$A,"&gt;2021-01-01",$A:$A,"&lt;2021-12-31"))</f>
        <v>#VALUE!</v>
      </c>
      <c r="J114" t="e">
        <f>IF(COUNTIFS($E:$E,"=Delregion Göteborg",$C:$C,"=Primärvård, utom hemsjukvård",$A:$A,"&gt;2021-01-01",$A:$A,"&lt;2021-12-31")=0,FIND(" ",O25,1),COUNTIFS($E:$E,"=Delregion Göteborg",$C:$C,"=Primärvård, utom hemsjukvård",$A:$A,"&gt;2021-01-01",$A:$A,"&lt;2021-12-31"))</f>
        <v>#VALUE!</v>
      </c>
      <c r="K114" t="e">
        <f>IF(COUNTIFS($E:$E,"=Delregion SIMBA",$C:$C,"=Primärvård, utom hemsjukvård",$A:$A,"&gt;2021-01-01",$A:$A,"&lt;2021-12-31")=0,FIND(" ",O25,1),COUNTIFS($E:$E,"=Delregion SIMBA",$C:$C,"=Primärvård, utom hemsjukvård",$A:$A,"&gt;2021-01-01",$A:$A,"&lt;2021-12-31"))</f>
        <v>#VALUE!</v>
      </c>
      <c r="L114" t="e">
        <f>IF(COUNTIFS($E:$E,"=Delregion Skaraborg",$C:$C,"=Primärvård, utom hemsjukvård",$A:$A,"&gt;2021-01-01",$A:$A,"&lt;2021-12-31")=0,FIND(" ",O25,1),COUNTIFS($E:$E,"=Delregion Skaraborg",$C:$C,"=Primärvård, utom hemsjukvård",$A:$A,"&gt;2021-01-01",$A:$A,"&lt;2021-12-31"))</f>
        <v>#VALUE!</v>
      </c>
      <c r="M114" t="e">
        <f>IF(COUNTIFS($E:$E,"=Delregion Södra Älvsborg",$C:$C,"=Primärvård, utom hemsjukvård",$A:$A,"&gt;2021-01-01",$A:$A,"&lt;2021-12-31")=0,FIND(" ",O25,1),COUNTIFS($E:$E,"=Delregion Södra Älvsborg",$C:$C,"=Primärvård, utom hemsjukvård",$A:$A,"&gt;2021-01-01",$A:$A,"&lt;2021-12-31"))</f>
        <v>#VALUE!</v>
      </c>
      <c r="N114" t="e">
        <f t="shared" si="4"/>
        <v>#VALUE!</v>
      </c>
    </row>
    <row r="115" spans="1:14" ht="14.45" customHeight="1">
      <c r="A115" s="64">
        <v>41815</v>
      </c>
      <c r="B115" s="65" t="s">
        <v>73</v>
      </c>
      <c r="C115" s="65" t="s">
        <v>96</v>
      </c>
      <c r="D115" s="65" t="s">
        <v>75</v>
      </c>
      <c r="E115" t="str">
        <f t="shared" si="3"/>
        <v>Delregion Göteborg</v>
      </c>
      <c r="G115">
        <v>2021</v>
      </c>
      <c r="H115" s="68" t="s">
        <v>129</v>
      </c>
      <c r="I115" t="e">
        <f>IF(COUNTIFS($E:$E,"=Delregion Fyrbodal",$C:$C,"=Psykiatrisk specialistsjukvård",$A:$A,"&gt;2021-01-01",$A:$A,"&lt;2021-12-31")=0,FIND(" ",O26,1),COUNTIFS($E:$E,"=Delregion Fyrbodal",$C:$C,"=Psykiatrisk specialistsjukvård",$A:$A,"&gt;2021-01-01",$A:$A,"&lt;2021-12-31"))</f>
        <v>#VALUE!</v>
      </c>
      <c r="J115" t="e">
        <f>IF(COUNTIFS($E:$E,"=Delregion Göteborg",$C:$C,"=Psykiatrisk specialistsjukvård",$A:$A,"&gt;2021-01-01",$A:$A,"&lt;2021-12-31")=0,FIND(" ",O26,1),COUNTIFS($E:$E,"=Delregion Göteborg",$C:$C,"=Psykiatrisk specialistsjukvård",$A:$A,"&gt;2021-01-01",$A:$A,"&lt;2021-12-31"))</f>
        <v>#VALUE!</v>
      </c>
      <c r="K115" t="e">
        <f>IF(COUNTIFS($E:$E,"=Delregion SIMBA",$C:$C,"=Psykiatrisk specialistsjukvård",$A:$A,"&gt;2021-01-01",$A:$A,"&lt;2021-12-31")=0,FIND(" ",O26,1),COUNTIFS($E:$E,"=Delregion SIMBA",$C:$C,"=Psykiatrisk specialistsjukvård",$A:$A,"&gt;2021-01-01",$A:$A,"&lt;2021-12-31"))</f>
        <v>#VALUE!</v>
      </c>
      <c r="L115" t="e">
        <f>IF(COUNTIFS($E:$E,"=Delregion Skaraborg",$C:$C,"=Psykiatrisk specialistsjukvård",$A:$A,"&gt;2021-01-01",$A:$A,"&lt;2021-12-31")=0,FIND(" ",O26,1),COUNTIFS($E:$E,"=Delregion Skaraborg",$C:$C,"=Psykiatrisk specialistsjukvård",$A:$A,"&gt;2021-01-01",$A:$A,"&lt;2021-12-31"))</f>
        <v>#VALUE!</v>
      </c>
      <c r="M115" t="e">
        <f>IF(COUNTIFS($E:$E,"=Delregion Södra Älvsborg",$C:$C,"=Psykiatrisk specialistsjukvård",$A:$A,"&gt;2021-01-01",$A:$A,"&lt;2021-12-31")=0,FIND(" ",O26,1),COUNTIFS($E:$E,"=Delregion Södra Älvsborg",$C:$C,"=Psykiatrisk specialistsjukvård",$A:$A,"&gt;2021-01-01",$A:$A,"&lt;2021-12-31"))</f>
        <v>#VALUE!</v>
      </c>
      <c r="N115" t="e">
        <f t="shared" si="4"/>
        <v>#VALUE!</v>
      </c>
    </row>
    <row r="116" spans="1:14" ht="14.45" customHeight="1">
      <c r="A116" s="64">
        <v>41815</v>
      </c>
      <c r="B116" s="65" t="s">
        <v>97</v>
      </c>
      <c r="C116" s="65" t="s">
        <v>96</v>
      </c>
      <c r="D116" s="65" t="s">
        <v>75</v>
      </c>
      <c r="E116" t="str">
        <f t="shared" si="3"/>
        <v>Delregion Fyrbodal</v>
      </c>
      <c r="G116">
        <v>2021</v>
      </c>
      <c r="H116" s="68" t="s">
        <v>198</v>
      </c>
      <c r="I116" t="e">
        <f>IF(SUM(I104:I111)=0,FIND(" ",O21,1),SUM(I104:I111))</f>
        <v>#VALUE!</v>
      </c>
      <c r="J116" t="e">
        <f>IF(SUM(J104:J111)=0,FIND(" ",O21,1),SUM(J104:J111))</f>
        <v>#VALUE!</v>
      </c>
      <c r="K116" t="e">
        <f>IF(SUM(K104:K111)=0,FIND(" ",O21,1),SUM(K104:K111))</f>
        <v>#VALUE!</v>
      </c>
      <c r="L116" t="e">
        <f>IF(SUM(L104:L111)=0,FIND(" ",O21,1),SUM(L104:L111))</f>
        <v>#VALUE!</v>
      </c>
      <c r="M116" t="e">
        <f>IF(SUM(M104:M111)=0,FIND(" ",O21,1),SUM(M104:M111))</f>
        <v>#VALUE!</v>
      </c>
      <c r="N116" t="e">
        <f t="shared" si="4"/>
        <v>#VALUE!</v>
      </c>
    </row>
    <row r="117" spans="1:14" ht="14.45" customHeight="1">
      <c r="A117" s="64">
        <v>41816</v>
      </c>
      <c r="B117" s="65" t="s">
        <v>123</v>
      </c>
      <c r="C117" s="65" t="s">
        <v>100</v>
      </c>
      <c r="D117" s="65" t="s">
        <v>75</v>
      </c>
      <c r="E117" t="str">
        <f t="shared" si="3"/>
        <v>Delregion Södra Älvsborg</v>
      </c>
      <c r="G117">
        <v>2022</v>
      </c>
      <c r="H117" s="68" t="s">
        <v>75</v>
      </c>
      <c r="I117" t="e">
        <f>IF(COUNTIFS($E:$E,"=Delregion Fyrbodal",$D:$D,"=Socialtjänst",$A:$A,"&gt;2022-01-01",$A:$A,"&lt;2022-12-31")=0,FIND(" ",O21,1),COUNTIFS($E:$E,"=Delregion Fyrbodal",$D:$D,"=Socialtjänst",$A:$A,"&gt;2022-01-01",$A:$A,"&lt;2022-12-31"))</f>
        <v>#VALUE!</v>
      </c>
      <c r="J117" t="e">
        <f>IF(COUNTIFS($E:$E,"=Delregion Göteborg",$D:$D,"=Socialtjänst",$A:$A,"&gt;2022-01-01",$A:$A,"&lt;2022-12-31")=0,FIND(" ",O21,1),COUNTIFS($E:$E,"=Delregion Göteborg",$D:$D,"=Socialtjänst",$A:$A,"&gt;2022-01-01",$A:$A,"&lt;2022-12-31"))</f>
        <v>#VALUE!</v>
      </c>
      <c r="K117" t="e">
        <f>IF(COUNTIFS($E:$E,"=Delregion SIMBA",$D:$D,"=Socialtjänst",$A:$A,"&gt;2022-01-01",$A:$A,"&lt;2022-12-31")=0,FIND(" ",O21,1),COUNTIFS($E:$E,"=Delregion SIMBA",$D:$D,"=Socialtjänst",$A:$A,"&gt;2022-01-01",$A:$A,"&lt;2022-12-31"))</f>
        <v>#VALUE!</v>
      </c>
      <c r="L117" t="e">
        <f>IF(COUNTIFS($E:$E,"=Delregion Skaraborg",$D:$D,"=Socialtjänst",$A:$A,"&gt;2022-01-01",$A:$A,"&lt;2022-12-31")=0,FIND(" ",O21,1),COUNTIFS($E:$E,"=Delregion Skaraborg",$D:$D,"=Socialtjänst",$A:$A,"&gt;2022-01-01",$A:$A,"&lt;2022-12-31"))</f>
        <v>#VALUE!</v>
      </c>
      <c r="M117" t="e">
        <f>IF(COUNTIFS($E:$E,"=Delregion Södra Älvsborg",$D:$D,"=Socialtjänst",$A:$A,"&gt;2022-01-01",$A:$A,"&lt;2022-12-31")=0,FIND(" ",O21,1),COUNTIFS($E:$E,"=Delregion Södra Älvsborg",$D:$D,"=Socialtjänst",$A:$A,"&gt;2022-01-01",$A:$A,"&lt;2022-12-31"))</f>
        <v>#VALUE!</v>
      </c>
      <c r="N117" t="e">
        <f t="shared" si="4"/>
        <v>#VALUE!</v>
      </c>
    </row>
    <row r="118" spans="1:14" ht="14.45" customHeight="1">
      <c r="A118" s="64">
        <v>41817</v>
      </c>
      <c r="B118" s="65" t="s">
        <v>73</v>
      </c>
      <c r="C118" s="65" t="s">
        <v>96</v>
      </c>
      <c r="D118" s="65" t="s">
        <v>75</v>
      </c>
      <c r="E118" t="str">
        <f t="shared" si="3"/>
        <v>Delregion Göteborg</v>
      </c>
      <c r="G118">
        <v>2022</v>
      </c>
      <c r="H118" s="68" t="str">
        <f>"Ekonomiskt bistånd"</f>
        <v>Ekonomiskt bistånd</v>
      </c>
      <c r="I118" t="e">
        <f>IF(COUNTIFS($E:$E,"=Delregion Fyrbodal",$C:$C,"=Ekonomiskt bistånd",$A:$A,"&gt;2022-01-01",$A:$A,"&lt;2022-12-31")=0,FIND(" ",O22,1),COUNTIFS($E:$E,"=Delregion Fyrbodal",$C:$C,"=Ekonomiskt bistånd",$A:$A,"&gt;2022-01-01",$A:$A,"&lt;2022-12-31"))</f>
        <v>#VALUE!</v>
      </c>
      <c r="J118" t="e">
        <f>IF(COUNTIFS($E:$E,"=Delregion Göteborg",$C:$C,"=Ekonomiskt bistånd",$A:$A,"&gt;2022-01-01",$A:$A,"&lt;2022-12-31")=0,FIND(" ",O22,1),COUNTIFS($E:$E,"=Delregion Göteborg",$C:$C,"=Ekonomiskt bistånd",$A:$A,"&gt;2022-01-01",$A:$A,"&lt;2022-12-31"))</f>
        <v>#VALUE!</v>
      </c>
      <c r="K118" t="e">
        <f>IF(COUNTIFS($E:$E,"=Delregion SIMBA",$C:$C,"=Ekonomiskt bistånd",$A:$A,"&gt;2022-01-01",$A:$A,"&lt;2022-12-31")=0,FIND(" ",O22,1),COUNTIFS($E:$E,"=Delregion SIMBA",$C:$C,"=Ekonomiskt bistånd",$A:$A,"&gt;2022-01-01",$A:$A,"&lt;2022-12-31"))</f>
        <v>#VALUE!</v>
      </c>
      <c r="L118" t="e">
        <f>IF(COUNTIFS($E:$E,"=Delregion Skaraborg",$C:$C,"=Ekonomiskt bistånd",$A:$A,"&gt;2022-01-01",$A:$A,"&lt;2022-12-31")=0,FIND(" ",O22,1),COUNTIFS($E:$E,"=Delregion Skaraborg",$C:$C,"=Ekonomiskt bistånd",$A:$A,"&gt;2022-01-01",$A:$A,"&lt;2022-12-31"))</f>
        <v>#VALUE!</v>
      </c>
      <c r="M118" t="e">
        <f>IF(COUNTIFS($E:$E,"=Delregion Södra Älvsborg",$C:$C,"=Ekonomiskt bistånd",$A:$A,"&gt;2022-01-01",$A:$A,"&lt;2022-12-31")=0,FIND(" ",O22,1),COUNTIFS($E:$E,"=Delregion Södra Älvsborg",$C:$C,"=Ekonomiskt bistånd",$A:$A,"&gt;2022-01-01",$A:$A,"&lt;2022-12-31"))</f>
        <v>#VALUE!</v>
      </c>
      <c r="N118" t="e">
        <f t="shared" si="4"/>
        <v>#VALUE!</v>
      </c>
    </row>
    <row r="119" spans="1:14" ht="14.45" customHeight="1">
      <c r="A119" s="64">
        <v>41820</v>
      </c>
      <c r="B119" s="65" t="s">
        <v>73</v>
      </c>
      <c r="C119" s="65" t="s">
        <v>91</v>
      </c>
      <c r="D119" s="65" t="s">
        <v>75</v>
      </c>
      <c r="E119" t="str">
        <f t="shared" si="3"/>
        <v>Delregion Göteborg</v>
      </c>
      <c r="G119">
        <v>2022</v>
      </c>
      <c r="H119" s="68" t="s">
        <v>96</v>
      </c>
      <c r="I119" t="e">
        <f>IF(COUNTIFS($E:$E,"=Delregion Fyrbodal",$C:$C,"=Funktionsnedsättning LSS",$A:$A,"&gt;2022-01-01",$A:$A,"&lt;2022-12-31")=0,FIND(" ",O23,1),COUNTIFS($E:$E,"=Delregion Fyrbodal",$C:$C,"=Funktionsnedsättning LSS",$A:$A,"&gt;2022-01-01",$A:$A,"&lt;2022-12-31"))</f>
        <v>#VALUE!</v>
      </c>
      <c r="J119" t="e">
        <f>IF(COUNTIFS($E:$E,"=Delregion Göteborg",$C:$C,"=Funktionsnedsättning LSS",$A:$A,"&gt;2022-01-01",$A:$A,"&lt;2022-12-31")=0,FIND(" ",O23,1),COUNTIFS($E:$E,"=Delregion Göteborg",$C:$C,"=Funktionsnedsättning LSS",$A:$A,"&gt;2022-01-01",$A:$A,"&lt;2022-12-31"))</f>
        <v>#VALUE!</v>
      </c>
      <c r="K119" t="e">
        <f>IF(COUNTIFS($E:$E,"=Delregion SIMBA",$C:$C,"=Funktionsnedsättning LSS",$A:$A,"&gt;2022-01-01",$A:$A,"&lt;2022-12-31")=0,FIND(" ",O23,1),COUNTIFS($E:$E,"=Delregion SIMBA",$C:$C,"=Funktionsnedsättning LSS",$A:$A,"&gt;2022-01-01",$A:$A,"&lt;2022-12-31"))</f>
        <v>#VALUE!</v>
      </c>
      <c r="L119" t="e">
        <f>IF(COUNTIFS($E:$E,"=Delregion Skaraborg",$C:$C,"=Funktionsnedsättning LSS",$A:$A,"&gt;2022-01-01",$A:$A,"&lt;2022-12-31")=0,FIND(" ",O23,1),COUNTIFS($E:$E,"=Delregion Skaraborg",$C:$C,"=Funktionsnedsättning LSS",$A:$A,"&gt;2022-01-01",$A:$A,"&lt;2022-12-31"))</f>
        <v>#VALUE!</v>
      </c>
      <c r="M119" t="e">
        <f>IF(COUNTIFS($E:$E,"=Delregion Södra Älvsborg",$C:$C,"=Funktionsnedsättning LSS",$A:$A,"&gt;2022-01-01",$A:$A,"&lt;2022-12-31")=0,FIND(" ",O23,1),COUNTIFS($E:$E,"=Delregion Södra Älvsborg",$C:$C,"=Funktionsnedsättning LSS",$A:$A,"&gt;2022-01-01",$A:$A,"&lt;2022-12-31"))</f>
        <v>#VALUE!</v>
      </c>
      <c r="N119" t="e">
        <f t="shared" si="4"/>
        <v>#VALUE!</v>
      </c>
    </row>
    <row r="120" spans="1:14" ht="14.45" customHeight="1">
      <c r="A120" s="64">
        <v>41821</v>
      </c>
      <c r="B120" s="65" t="s">
        <v>86</v>
      </c>
      <c r="C120" s="65" t="s">
        <v>85</v>
      </c>
      <c r="D120" s="65" t="s">
        <v>75</v>
      </c>
      <c r="E120" t="str">
        <f t="shared" si="3"/>
        <v>Delregion Fyrbodal</v>
      </c>
      <c r="G120">
        <v>2022</v>
      </c>
      <c r="H120" s="68" t="s">
        <v>118</v>
      </c>
      <c r="I120" t="e">
        <f>IF(COUNTIFS($E:$E,"=Delregion Fyrbodal",$C:$C,"=Funktionsnedsättning SoL",$A:$A,"&gt;2022-01-01",$A:$A,"&lt;2022-12-31")=0,FIND(" ",O24,1),COUNTIFS($E:$E,"=Delregion Fyrbodal",$C:$C,"=Funktionsnedsättning SoL",$A:$A,"&gt;2022-01-01",$A:$A,"&lt;2022-12-31"))</f>
        <v>#VALUE!</v>
      </c>
      <c r="J120" t="e">
        <f>IF(COUNTIFS($E:$E,"=Delregion Göteborg",$C:$C,"=Funktionsnedsättning SoL",$A:$A,"&gt;2022-01-01",$A:$A,"&lt;2022-12-31")=0,FIND(" ",O24,1),COUNTIFS($E:$E,"=Delregion Göteborg",$C:$C,"=Funktionsnedsättning SoL",$A:$A,"&gt;2022-01-01",$A:$A,"&lt;2022-12-31"))</f>
        <v>#VALUE!</v>
      </c>
      <c r="K120" t="e">
        <f>IF(COUNTIFS($E:$E,"=Delregion SIMBA",$C:$C,"=Funktionsnedsättning SoL",$A:$A,"&gt;2022-01-01",$A:$A,"&lt;2022-12-31")=0,FIND(" ",O24,1),COUNTIFS($E:$E,"=Delregion SIMBA",$C:$C,"=Funktionsnedsättning SoL",$A:$A,"&gt;2022-01-01",$A:$A,"&lt;2022-12-31"))</f>
        <v>#VALUE!</v>
      </c>
      <c r="L120" t="e">
        <f>IF(COUNTIFS($E:$E,"=Delregion Skaraborg",$C:$C,"=Funktionsnedsättning SoL",$A:$A,"&gt;2022-01-01",$A:$A,"&lt;2022-12-31")=0,FIND(" ",O24,1),COUNTIFS($E:$E,"=Delregion Skaraborg",$C:$C,"=Funktionsnedsättning SoL",$A:$A,"&gt;2022-01-01",$A:$A,"&lt;2022-12-31"))</f>
        <v>#VALUE!</v>
      </c>
      <c r="M120" t="e">
        <f>IF(COUNTIFS($E:$E,"=Delregion Södra Älvsborg",$C:$C,"=Funktionsnedsättning SoL",$A:$A,"&gt;2022-01-01",$A:$A,"&lt;2022-12-31")=0,FIND(" ",O24,1),COUNTIFS($E:$E,"=Delregion Södra Älvsborg",$C:$C,"=Funktionsnedsättning SoL",$A:$A,"&gt;2022-01-01",$A:$A,"&lt;2022-12-31"))</f>
        <v>#VALUE!</v>
      </c>
      <c r="N120" t="e">
        <f t="shared" si="4"/>
        <v>#VALUE!</v>
      </c>
    </row>
    <row r="121" spans="1:14" ht="14.45" customHeight="1">
      <c r="A121" s="64">
        <v>41823</v>
      </c>
      <c r="B121" s="65" t="s">
        <v>86</v>
      </c>
      <c r="C121" s="65" t="s">
        <v>91</v>
      </c>
      <c r="D121" s="65" t="s">
        <v>75</v>
      </c>
      <c r="E121" t="str">
        <f t="shared" si="3"/>
        <v>Delregion Fyrbodal</v>
      </c>
      <c r="G121">
        <v>2022</v>
      </c>
      <c r="H121" s="68" t="s">
        <v>100</v>
      </c>
      <c r="I121" t="e">
        <f>IF(COUNTIFS($E:$E,"=Delregion Fyrbodal",$C:$C,"=Missbruk",$A:$A,"&gt;2022-01-01",$A:$A,"&lt;2022-12-31")=0,FIND(" ",O25,1),COUNTIFS($E:$E,"=Delregion Fyrbodal",$C:$C,"=Missbruk",$A:$A,"&gt;2022-01-01",$A:$A,"&lt;2022-12-31"))</f>
        <v>#VALUE!</v>
      </c>
      <c r="J121" t="e">
        <f>IF(COUNTIFS($E:$E,"=Delregion Göteborg",$C:$C,"=Missbruk",$A:$A,"&gt;2022-01-01",$A:$A,"&lt;2022-12-31")=0,FIND(" ",O25,1),COUNTIFS($E:$E,"=Delregion Göteborg",$C:$C,"=Missbruk",$A:$A,"&gt;2022-01-01",$A:$A,"&lt;2022-12-31"))</f>
        <v>#VALUE!</v>
      </c>
      <c r="K121" t="e">
        <f>IF(COUNTIFS($E:$E,"=Delregion SIMBA",$C:$C,"=Missbruk",$A:$A,"&gt;2022-01-01",$A:$A,"&lt;2022-12-31")=0,FIND(" ",O25,1),COUNTIFS($E:$E,"=Delregion SIMBA",$C:$C,"=Missbruk",$A:$A,"&gt;2022-01-01",$A:$A,"&lt;2022-12-31"))</f>
        <v>#VALUE!</v>
      </c>
      <c r="L121" t="e">
        <f>IF(COUNTIFS($E:$E,"=Delregion Skaraborg",$C:$C,"=Missbruk",$A:$A,"&gt;2022-01-01",$A:$A,"&lt;2022-12-31")=0,FIND(" ",O25,1),COUNTIFS($E:$E,"=Delregion Skaraborg",$C:$C,"=Missbruk",$A:$A,"&gt;2022-01-01",$A:$A,"&lt;2022-12-31"))</f>
        <v>#VALUE!</v>
      </c>
      <c r="M121" t="e">
        <f>IF(COUNTIFS($E:$E,"=Delregion Södra Älvsborg",$C:$C,"=Missbruk",$A:$A,"&gt;2022-01-01",$A:$A,"&lt;2022-12-31")=0,FIND(" ",O25,1),COUNTIFS($E:$E,"=Delregion Södra Älvsborg",$C:$C,"=Missbruk",$A:$A,"&gt;2022-01-01",$A:$A,"&lt;2022-12-31"))</f>
        <v>#VALUE!</v>
      </c>
      <c r="N121" t="e">
        <f t="shared" si="4"/>
        <v>#VALUE!</v>
      </c>
    </row>
    <row r="122" spans="1:14" ht="14.45" customHeight="1">
      <c r="A122" s="64">
        <v>41823</v>
      </c>
      <c r="B122" s="65" t="s">
        <v>73</v>
      </c>
      <c r="C122" s="65" t="s">
        <v>91</v>
      </c>
      <c r="D122" s="65" t="s">
        <v>75</v>
      </c>
      <c r="E122" t="str">
        <f t="shared" si="3"/>
        <v>Delregion Göteborg</v>
      </c>
      <c r="G122">
        <v>2022</v>
      </c>
      <c r="H122" s="68" t="s">
        <v>201</v>
      </c>
      <c r="I122" t="e">
        <f>IF(COUNTIFS($E:$E,"=Delregion Fyrbodal",$C:$C,"=Äldreomsorg",$A:$A,"&gt;2022-01-01",$A:$A,"&lt;2022-12-31")=0,FIND(" ",O26,1),COUNTIFS($E:$E,"=Delregion Fyrbodal",$C:$C,"=Äldreomsorg",$A:$A,"&gt;2022-01-01",$A:$A,"&lt;2022-12-31"))</f>
        <v>#VALUE!</v>
      </c>
      <c r="J122" t="e">
        <f>IF(COUNTIFS($E:$E,"=Delregion Göteborg",$C:$C,"=Äldreomsorg",$A:$A,"&gt;2022-01-01",$A:$A,"&lt;2022-12-31")=0,FIND(" ",O26,1),COUNTIFS($E:$E,"=Delregion Göteborg",$C:$C,"=Äldreomsorg",$A:$A,"&gt;2022-01-01",$A:$A,"&lt;2022-12-31"))</f>
        <v>#VALUE!</v>
      </c>
      <c r="K122" t="e">
        <f>IF(COUNTIFS($E:$E,"=Delregion SIMBA",$C:$C,"=Äldreomsorg",$A:$A,"&gt;2022-01-01",$A:$A,"&lt;2022-12-31")=0,FIND(" ",O26,1),COUNTIFS($E:$E,"=Delregion SIMBA",$C:$C,"=Äldreomsorg",$A:$A,"&gt;2022-01-01",$A:$A,"&lt;2022-12-31"))</f>
        <v>#VALUE!</v>
      </c>
      <c r="L122" t="e">
        <f>IF(COUNTIFS($E:$E,"=Delregion Skaraborg",$C:$C,"=Äldreomsorg",$A:$A,"&gt;2022-01-01",$A:$A,"&lt;2022-12-31")=0,FIND(" ",O26,1),COUNTIFS($E:$E,"=Delregion Skaraborg",$C:$C,"=Äldreomsorg",$A:$A,"&gt;2022-01-01",$A:$A,"&lt;2022-12-31"))</f>
        <v>#VALUE!</v>
      </c>
      <c r="M122" t="e">
        <f>IF(COUNTIFS($E:$E,"=Delregion Södra Älvsborg",$C:$C,"=Äldreomsorg",$A:$A,"&gt;2022-01-01",$A:$A,"&lt;2022-12-31")=0,FIND(" ",O26,1),COUNTIFS($E:$E,"=Delregion Södra Älvsborg",$C:$C,"=Äldreomsorg",$A:$A,"&gt;2022-01-01",$A:$A,"&lt;2022-12-31"))</f>
        <v>#VALUE!</v>
      </c>
      <c r="N122" t="e">
        <f t="shared" si="4"/>
        <v>#VALUE!</v>
      </c>
    </row>
    <row r="123" spans="1:14" ht="14.45" customHeight="1">
      <c r="A123" s="64">
        <v>41829</v>
      </c>
      <c r="B123" s="65" t="s">
        <v>73</v>
      </c>
      <c r="C123" s="65" t="s">
        <v>79</v>
      </c>
      <c r="D123" s="65" t="s">
        <v>75</v>
      </c>
      <c r="E123" t="str">
        <f t="shared" si="3"/>
        <v>Delregion Göteborg</v>
      </c>
      <c r="G123">
        <v>2022</v>
      </c>
      <c r="H123" s="68" t="s">
        <v>79</v>
      </c>
      <c r="I123" t="e">
        <f>IF(COUNTIFS($E:$E,"=Delregion Fyrbodal",$C:$C,"=Övrig socialtjänst",$A:$A,"&gt;2022-01-01",$A:$A,"&lt;2022-12-31")=0,FIND(" ",O27,1),COUNTIFS($E:$E,"=Delregion Fyrbodal",$C:$C,"=Övrig socialtjänst",$A:$A,"&gt;2022-01-01",$A:$A,"&lt;2022-12-31"))</f>
        <v>#VALUE!</v>
      </c>
      <c r="J123" t="e">
        <f>IF(COUNTIFS($E:$E,"=Delregion Göteborg",$C:$C,"=Övrig socialtjänst",$A:$A,"&gt;2022-01-01",$A:$A,"&lt;2022-12-31")=0,FIND(" ",O27,1),COUNTIFS($E:$E,"=Delregion Göteborg",$C:$C,"=Övrig socialtjänst",$A:$A,"&gt;2022-01-01",$A:$A,"&lt;2022-12-31"))</f>
        <v>#VALUE!</v>
      </c>
      <c r="K123" t="e">
        <f>IF(COUNTIFS($E:$E,"=Delregion SIMBA",$C:$C,"=Övrig socialtjänst",$A:$A,"&gt;2022-01-01",$A:$A,"&lt;2022-12-31")=0,FIND(" ",O27,1),COUNTIFS($E:$E,"=Delregion SIMBA",$C:$C,"=Övrig socialtjänst",$A:$A,"&gt;2022-01-01",$A:$A,"&lt;2022-12-31"))</f>
        <v>#VALUE!</v>
      </c>
      <c r="L123" t="e">
        <f>IF(COUNTIFS($E:$E,"=Delregion Skaraborg",$C:$C,"=Övrig socialtjänst",$A:$A,"&gt;2022-01-01",$A:$A,"&lt;2022-12-31")=0,FIND(" ",O27,1),COUNTIFS($E:$E,"=Delregion Skaraborg",$C:$C,"=Övrig socialtjänst",$A:$A,"&gt;2022-01-01",$A:$A,"&lt;2022-12-31"))</f>
        <v>#VALUE!</v>
      </c>
      <c r="M123" t="e">
        <f>IF(COUNTIFS($E:$E,"=Delregion Södra Älvsborg",$C:$C,"=Övrig socialtjänst",$A:$A,"&gt;2022-01-01",$A:$A,"&lt;2022-12-31")=0,FIND(" ",O27,1),COUNTIFS($E:$E,"=Delregion Södra Älvsborg",$C:$C,"=Övrig socialtjänst",$A:$A,"&gt;2022-01-01",$A:$A,"&lt;2022-12-31"))</f>
        <v>#VALUE!</v>
      </c>
      <c r="N123" t="e">
        <f t="shared" si="4"/>
        <v>#VALUE!</v>
      </c>
    </row>
    <row r="124" spans="1:14" ht="14.45" customHeight="1">
      <c r="A124" s="64">
        <v>41830</v>
      </c>
      <c r="B124" s="65" t="s">
        <v>95</v>
      </c>
      <c r="C124" s="65" t="s">
        <v>130</v>
      </c>
      <c r="D124" s="65" t="s">
        <v>126</v>
      </c>
      <c r="E124" t="str">
        <f t="shared" si="3"/>
        <v>Delregion Södra Älvsborg</v>
      </c>
      <c r="G124">
        <v>2022</v>
      </c>
      <c r="H124" s="68" t="s">
        <v>126</v>
      </c>
      <c r="I124" t="e">
        <f>IF(COUNTIFS($E:$E,"=Delregion Fyrbodal",$D:$D,"=Hälso- och sjukvård",$A:$A,"&gt;2022-01-01",$A:$A,"&lt;2022-12-31")=0,FIND(" ",O21,1),COUNTIFS($E:$E,"=Delregion Fyrbodal",$D:$D,"=Hälso- och sjukvård",$A:$A,"&gt;2022-01-01",$A:$A,"&lt;2022-12-31"))</f>
        <v>#VALUE!</v>
      </c>
      <c r="J124" t="e">
        <f>IF(COUNTIFS($E:$E,"=Delregion Göteborg",$D:$D,"=Hälso- och sjukvård",$A:$A,"&gt;2022-01-01",$A:$A,"&lt;2022-12-31")=0,FIND(" ",O21,1),COUNTIFS($E:$E,"=Delregion Göteborg",$D:$D,"=Hälso- och sjukvård",$A:$A,"&gt;2022-01-01",$A:$A,"&lt;2022-12-31"))</f>
        <v>#VALUE!</v>
      </c>
      <c r="K124" t="e">
        <f>IF(COUNTIFS($E:$E,"=Delregion SIMBA",$D:$D,"=Hälso- och sjukvård",$A:$A,"&gt;2022-01-01",$A:$A,"&lt;2022-12-31")=0,FIND(" ",O21,1),COUNTIFS($E:$E,"=Delregion SIMBA",$D:$D,"=Hälso- och sjukvård",$A:$A,"&gt;2022-01-01",$A:$A,"&lt;2022-12-31"))</f>
        <v>#VALUE!</v>
      </c>
      <c r="L124" t="e">
        <f>IF(COUNTIFS($E:$E,"=Delregion Skaraborg",$D:$D,"=Hälso- och sjukvård",$A:$A,"&gt;2022-01-01",$A:$A,"&lt;2022-12-31")=0,FIND(" ",O21,1),COUNTIFS($E:$E,"=Delregion Skaraborg",$D:$D,"=Hälso- och sjukvård",$A:$A,"&gt;2022-01-01",$A:$A,"&lt;2022-12-31"))</f>
        <v>#VALUE!</v>
      </c>
      <c r="M124" t="e">
        <f>IF(COUNTIFS($E:$E,"=Delregion Södra Älvsborg",$D:$D,"=Hälso- och sjukvård",$A:$A,"&gt;2022-01-01",$A:$A,"&lt;2022-12-31")=0,FIND(" ",O21,1),COUNTIFS($E:$E,"=Delregion Södra Älvsborg",$D:$D,"=Hälso- och sjukvård",$A:$A,"&gt;2022-01-01",$A:$A,"&lt;2022-12-31"))</f>
        <v>#VALUE!</v>
      </c>
      <c r="N124" t="e">
        <f t="shared" si="4"/>
        <v>#VALUE!</v>
      </c>
    </row>
    <row r="125" spans="1:14" ht="14.45" customHeight="1">
      <c r="A125" s="64">
        <v>41851</v>
      </c>
      <c r="B125" s="65" t="s">
        <v>73</v>
      </c>
      <c r="C125" s="65" t="s">
        <v>130</v>
      </c>
      <c r="D125" s="65" t="s">
        <v>126</v>
      </c>
      <c r="E125" t="str">
        <f t="shared" si="3"/>
        <v>Delregion Göteborg</v>
      </c>
      <c r="G125">
        <v>2022</v>
      </c>
      <c r="H125" s="68" t="s">
        <v>200</v>
      </c>
      <c r="I125" t="e">
        <f>IF(COUNTIFS($E:$E,"=Delregion Fyrbodal",$C:$C,"=Hemsjukvård i ordinärt boende",$A:$A,"&gt;2022-01-01",$A:$A,"&lt;2022-12-31")=0,FIND(" ",O22,1),COUNTIFS($E:$E,"=Delregion Fyrbodal",$C:$C,"=Hemsjukvård i ordinärt boende",$A:$A,"&gt;2022-01-01",$A:$A,"&lt;2022-12-31"))</f>
        <v>#VALUE!</v>
      </c>
      <c r="J125" t="e">
        <f>IF(COUNTIFS($E:$E,"=Delregion Göteborg",$C:$C,"=Hemsjukvård i ordinärt boende",$A:$A,"&gt;2022-01-01",$A:$A,"&lt;2022-12-31")=0,FIND(" ",O22,1),COUNTIFS($E:$E,"=Delregion Göteborg",$C:$C,"=Hemsjukvård i ordinärt boende",$A:$A,"&gt;2022-01-01",$A:$A,"&lt;2022-12-31"))</f>
        <v>#VALUE!</v>
      </c>
      <c r="K125" t="e">
        <f>IF(COUNTIFS($E:$E,"=Delregion SIMBA",$C:$C,"=Hemsjukvård i ordinärt boende",$A:$A,"&gt;2022-01-01",$A:$A,"&lt;2022-12-31")=0,FIND(" ",O22,1),COUNTIFS($E:$E,"=Delregion SIMBA",$C:$C,"=Hemsjukvård i ordinärt boende",$A:$A,"&gt;2022-01-01",$A:$A,"&lt;2022-12-31"))</f>
        <v>#VALUE!</v>
      </c>
      <c r="L125" t="e">
        <f>IF(COUNTIFS($E:$E,"=Delregion Skaraborg",$C:$C,"=Hemsjukvård i ordinärt boende",$A:$A,"&gt;2022-01-01",$A:$A,"&lt;2022-12-31")=0,FIND(" ",O22,1),COUNTIFS($E:$E,"=Delregion Skaraborg",$C:$C,"=Hemsjukvård i ordinärt boende",$A:$A,"&gt;2022-01-01",$A:$A,"&lt;2022-12-31"))</f>
        <v>#VALUE!</v>
      </c>
      <c r="M125" t="e">
        <f>IF(COUNTIFS($E:$E,"=Delregion Södra Älvsborg",$C:$C,"=Hemsjukvård i ordinärt boende",$A:$A,"&gt;2022-01-01",$A:$A,"&lt;2022-12-31")=0,FIND(" ",O22,1),COUNTIFS($E:$E,"=Delregion Södra Älvsborg",$C:$C,"=Hemsjukvård i ordinärt boende",$A:$A,"&gt;2022-01-01",$A:$A,"&lt;2022-12-31"))</f>
        <v>#VALUE!</v>
      </c>
      <c r="N125" t="e">
        <f t="shared" si="4"/>
        <v>#VALUE!</v>
      </c>
    </row>
    <row r="126" spans="1:14" ht="14.45" customHeight="1">
      <c r="A126" s="64">
        <v>41870</v>
      </c>
      <c r="B126" s="65" t="s">
        <v>116</v>
      </c>
      <c r="C126" s="65" t="s">
        <v>118</v>
      </c>
      <c r="D126" s="65" t="s">
        <v>75</v>
      </c>
      <c r="E126" t="str">
        <f t="shared" si="3"/>
        <v>Delregion Södra Älvsborg</v>
      </c>
      <c r="G126">
        <v>2022</v>
      </c>
      <c r="H126" s="68" t="s">
        <v>128</v>
      </c>
      <c r="I126" t="e">
        <f>IF(COUNTIFS($E:$E,"=Delregion Fyrbodal",$C:$C,"=Prehospital vård",$A:$A,"&gt;2022-01-01",$A:$A,"&lt;2022-12-31")=0,FIND(" ",O23,1),COUNTIFS($E:$E,"=Delregion Fyrbodal",$C:$C,"=Prehospital vård",$A:$A,"&gt;2022-01-01",$A:$A,"&lt;2022-12-31"))</f>
        <v>#VALUE!</v>
      </c>
      <c r="J126" t="e">
        <f>IF(COUNTIFS($E:$E,"=Delregion Göteborg",$C:$C,"=Prehospital vård",$A:$A,"&gt;2022-01-01",$A:$A,"&lt;2022-12-31")=0,FIND(" ",O23,1),COUNTIFS($E:$E,"=Delregion Göteborg",$C:$C,"=Prehospital vård",$A:$A,"&gt;2022-01-01",$A:$A,"&lt;2022-12-31"))</f>
        <v>#VALUE!</v>
      </c>
      <c r="K126" t="e">
        <f>IF(COUNTIFS($E:$E,"=Delregion SIMBA",$C:$C,"=Prehospital vård",$A:$A,"&gt;2022-01-01",$A:$A,"&lt;2022-12-31")=0,FIND(" ",O23,1),COUNTIFS($E:$E,"=Delregion SIMBA",$C:$C,"=Prehospital vård",$A:$A,"&gt;2022-01-01",$A:$A,"&lt;2022-12-31"))</f>
        <v>#VALUE!</v>
      </c>
      <c r="L126" t="e">
        <f>IF(COUNTIFS($E:$E,"=Delregion Skaraborg",$C:$C,"=Prehospital vård",$A:$A,"&gt;2022-01-01",$A:$A,"&lt;2022-12-31")=0,FIND(" ",O23,1),COUNTIFS($E:$E,"=Delregion Skaraborg",$C:$C,"=Prehospital vård",$A:$A,"&gt;2022-01-01",$A:$A,"&lt;2022-12-31"))</f>
        <v>#VALUE!</v>
      </c>
      <c r="M126" t="e">
        <f>IF(COUNTIFS($E:$E,"=Delregion Södra Älvsborg",$C:$C,"=Prehospital vård",$A:$A,"&gt;2022-01-01",$A:$A,"&lt;2022-12-31")=0,FIND(" ",O23,1),COUNTIFS($E:$E,"=Delregion Södra Älvsborg",$C:$C,"=Prehospital vård",$A:$A,"&gt;2022-01-01",$A:$A,"&lt;2022-12-31"))</f>
        <v>#VALUE!</v>
      </c>
      <c r="N126" t="e">
        <f t="shared" si="4"/>
        <v>#VALUE!</v>
      </c>
    </row>
    <row r="127" spans="1:14" ht="14.45" customHeight="1">
      <c r="A127" s="64">
        <v>41870</v>
      </c>
      <c r="B127" s="65" t="s">
        <v>73</v>
      </c>
      <c r="C127" s="65" t="s">
        <v>127</v>
      </c>
      <c r="D127" s="65" t="s">
        <v>126</v>
      </c>
      <c r="E127" t="str">
        <f t="shared" si="3"/>
        <v>Delregion Göteborg</v>
      </c>
      <c r="G127">
        <v>2022</v>
      </c>
      <c r="H127" s="68" t="s">
        <v>127</v>
      </c>
      <c r="I127" t="e">
        <f>IF(COUNTIFS($E:$E,"=Delregion Fyrbodal",$C:$C,"=Primärvård, utom hemsjukvård",$A:$A,"&gt;2022-01-01",$A:$A,"&lt;2022-12-31")=0,FIND(" ",O25,1),COUNTIFS($E:$E,"=Delregion Fyrbodal",$C:$C,"=Primärvård, utom hemsjukvård",$A:$A,"&gt;2022-01-01",$A:$A,"&lt;2022-12-31"))</f>
        <v>#VALUE!</v>
      </c>
      <c r="J127" t="e">
        <f>IF(COUNTIFS($E:$E,"=Delregion Göteborg",$C:$C,"=Primärvård, utom hemsjukvård",$A:$A,"&gt;2022-01-01",$A:$A,"&lt;2022-12-31")=0,FIND(" ",O25,1),COUNTIFS($E:$E,"=Delregion Göteborg",$C:$C,"=Primärvård, utom hemsjukvård",$A:$A,"&gt;2022-01-01",$A:$A,"&lt;2022-12-31"))</f>
        <v>#VALUE!</v>
      </c>
      <c r="K127" t="e">
        <f>IF(COUNTIFS($E:$E,"=Delregion SIMBA",$C:$C,"=Primärvård, utom hemsjukvård",$A:$A,"&gt;2022-01-01",$A:$A,"&lt;2022-12-31")=0,FIND(" ",O25,1),COUNTIFS($E:$E,"=Delregion SIMBA",$C:$C,"=Primärvård, utom hemsjukvård",$A:$A,"&gt;2022-01-01",$A:$A,"&lt;2022-12-31"))</f>
        <v>#VALUE!</v>
      </c>
      <c r="L127" t="e">
        <f>IF(COUNTIFS($E:$E,"=Delregion Skaraborg",$C:$C,"=Primärvård, utom hemsjukvård",$A:$A,"&gt;2022-01-01",$A:$A,"&lt;2022-12-31")=0,FIND(" ",O25,1),COUNTIFS($E:$E,"=Delregion Skaraborg",$C:$C,"=Primärvård, utom hemsjukvård",$A:$A,"&gt;2022-01-01",$A:$A,"&lt;2022-12-31"))</f>
        <v>#VALUE!</v>
      </c>
      <c r="M127" t="e">
        <f>IF(COUNTIFS($E:$E,"=Delregion Södra Älvsborg",$C:$C,"=Primärvård, utom hemsjukvård",$A:$A,"&gt;2022-01-01",$A:$A,"&lt;2022-12-31")=0,FIND(" ",O25,1),COUNTIFS($E:$E,"=Delregion Södra Älvsborg",$C:$C,"=Primärvård, utom hemsjukvård",$A:$A,"&gt;2022-01-01",$A:$A,"&lt;2022-12-31"))</f>
        <v>#VALUE!</v>
      </c>
      <c r="N127" t="e">
        <f t="shared" si="4"/>
        <v>#VALUE!</v>
      </c>
    </row>
    <row r="128" spans="1:14" ht="14.45" customHeight="1">
      <c r="A128" s="64">
        <v>41870</v>
      </c>
      <c r="B128" s="65" t="s">
        <v>119</v>
      </c>
      <c r="C128" s="65" t="s">
        <v>127</v>
      </c>
      <c r="D128" s="65" t="s">
        <v>126</v>
      </c>
      <c r="E128" t="str">
        <f t="shared" si="3"/>
        <v>Delregion Skaraborg</v>
      </c>
      <c r="G128">
        <v>2022</v>
      </c>
      <c r="H128" s="68" t="s">
        <v>129</v>
      </c>
      <c r="I128" t="e">
        <f>IF(COUNTIFS($E:$E,"=Delregion Fyrbodal",$C:$C,"=Psykiatrisk specialistsjukvård",$A:$A,"&gt;2022-01-01",$A:$A,"&lt;2022-12-31")=0,FIND(" ",O26,1),COUNTIFS($E:$E,"=Delregion Fyrbodal",$C:$C,"=Psykiatrisk specialistsjukvård",$A:$A,"&gt;2022-01-01",$A:$A,"&lt;2022-12-31"))</f>
        <v>#VALUE!</v>
      </c>
      <c r="J128" t="e">
        <f>IF(COUNTIFS($E:$E,"=Delregion Göteborg",$C:$C,"=Psykiatrisk specialistsjukvård",$A:$A,"&gt;2022-01-01",$A:$A,"&lt;2022-12-31")=0,FIND(" ",O26,1),COUNTIFS($E:$E,"=Delregion Göteborg",$C:$C,"=Psykiatrisk specialistsjukvård",$A:$A,"&gt;2022-01-01",$A:$A,"&lt;2022-12-31"))</f>
        <v>#VALUE!</v>
      </c>
      <c r="K128" t="e">
        <f>IF(COUNTIFS($E:$E,"=Delregion SIMBA",$C:$C,"=Psykiatrisk specialistsjukvård",$A:$A,"&gt;2022-01-01",$A:$A,"&lt;2022-12-31")=0,FIND(" ",O26,1),COUNTIFS($E:$E,"=Delregion SIMBA",$C:$C,"=Psykiatrisk specialistsjukvård",$A:$A,"&gt;2022-01-01",$A:$A,"&lt;2022-12-31"))</f>
        <v>#VALUE!</v>
      </c>
      <c r="L128" t="e">
        <f>IF(COUNTIFS($E:$E,"=Delregion Skaraborg",$C:$C,"=Psykiatrisk specialistsjukvård",$A:$A,"&gt;2022-01-01",$A:$A,"&lt;2022-12-31")=0,FIND(" ",O26,1),COUNTIFS($E:$E,"=Delregion Skaraborg",$C:$C,"=Psykiatrisk specialistsjukvård",$A:$A,"&gt;2022-01-01",$A:$A,"&lt;2022-12-31"))</f>
        <v>#VALUE!</v>
      </c>
      <c r="M128" t="e">
        <f>IF(COUNTIFS($E:$E,"=Delregion Södra Älvsborg",$C:$C,"=Psykiatrisk specialistsjukvård",$A:$A,"&gt;2022-01-01",$A:$A,"&lt;2022-12-31")=0,FIND(" ",O26,1),COUNTIFS($E:$E,"=Delregion Södra Älvsborg",$C:$C,"=Psykiatrisk specialistsjukvård",$A:$A,"&gt;2022-01-01",$A:$A,"&lt;2022-12-31"))</f>
        <v>#VALUE!</v>
      </c>
      <c r="N128" t="e">
        <f t="shared" si="4"/>
        <v>#VALUE!</v>
      </c>
    </row>
    <row r="129" spans="1:14" ht="14.45" customHeight="1">
      <c r="A129" s="64">
        <v>41872</v>
      </c>
      <c r="B129" s="65" t="s">
        <v>110</v>
      </c>
      <c r="C129" s="65" t="s">
        <v>127</v>
      </c>
      <c r="D129" s="65" t="s">
        <v>126</v>
      </c>
      <c r="E129" t="str">
        <f t="shared" si="3"/>
        <v>Delregion Fyrbodal</v>
      </c>
      <c r="G129">
        <v>2022</v>
      </c>
      <c r="H129" s="68" t="s">
        <v>198</v>
      </c>
      <c r="I129" t="e">
        <f>IF(SUM(I117:I124)=0,FIND(" ",O21,1),SUM(I117:I124))</f>
        <v>#VALUE!</v>
      </c>
      <c r="J129" t="e">
        <f>IF(SUM(J117:J124)=0,FIND(" ",O21,1),SUM(J117:J124))</f>
        <v>#VALUE!</v>
      </c>
      <c r="K129" t="e">
        <f>IF(SUM(K117:K124)=0,FIND(" ",O21,1),SUM(K117:K124))</f>
        <v>#VALUE!</v>
      </c>
      <c r="L129" t="e">
        <f>IF(SUM(L117:L124)=0,FIND(" ",O21,1),SUM(L117:L124))</f>
        <v>#VALUE!</v>
      </c>
      <c r="M129" t="e">
        <f>IF(SUM(M117:M124)=0,FIND(" ",O21,1),SUM(M117:M124))</f>
        <v>#VALUE!</v>
      </c>
      <c r="N129" t="e">
        <f t="shared" si="4"/>
        <v>#VALUE!</v>
      </c>
    </row>
    <row r="130" spans="1:14" ht="14.45" customHeight="1">
      <c r="A130" s="64">
        <v>41873</v>
      </c>
      <c r="B130" s="65" t="s">
        <v>73</v>
      </c>
      <c r="C130" s="65" t="s">
        <v>91</v>
      </c>
      <c r="D130" s="65" t="s">
        <v>126</v>
      </c>
      <c r="E130" t="str">
        <f t="shared" si="3"/>
        <v>Delregion Göteborg</v>
      </c>
      <c r="G130">
        <v>2023</v>
      </c>
      <c r="H130" s="68" t="s">
        <v>75</v>
      </c>
      <c r="I130" t="e">
        <f>IF(COUNTIFS($E:$E,"=Delregion Fyrbodal",$D:$D,"=Socialtjänst",$A:$A,"&gt;2023-01-01",$A:$A,"&lt;2023-12-31")=0,FIND(" ",O21,1),COUNTIFS($E:$E,"=Delregion Fyrbodal",$D:$D,"=Socialtjänst",$A:$A,"&gt;2023-01-01",$A:$A,"&lt;2023-12-31"))</f>
        <v>#VALUE!</v>
      </c>
      <c r="J130" t="e">
        <f>IF(COUNTIFS($E:$E,"=Delregion Göteborg",$D:$D,"=Socialtjänst",$A:$A,"&gt;2023-01-01",$A:$A,"&lt;2023-12-31")=0,FIND(" ",O21,1),COUNTIFS($E:$E,"=Delregion Göteborg",$D:$D,"=Socialtjänst",$A:$A,"&gt;2023-01-01",$A:$A,"&lt;2023-12-31"))</f>
        <v>#VALUE!</v>
      </c>
      <c r="K130" t="e">
        <f>IF(COUNTIFS($E:$E,"=Delregion SIMBA",$D:$D,"=Socialtjänst",$A:$A,"&gt;2023-01-01",$A:$A,"&lt;2023-12-31")=0,FIND(" ",O21,1),COUNTIFS($E:$E,"=Delregion SIMBA",$D:$D,"=Socialtjänst",$A:$A,"&gt;2023-01-01",$A:$A,"&lt;2023-12-31"))</f>
        <v>#VALUE!</v>
      </c>
      <c r="L130" t="e">
        <f>IF(COUNTIFS($E:$E,"=Delregion Skaraborg",$D:$D,"=Socialtjänst",$A:$A,"&gt;2023-01-01",$A:$A,"&lt;2023-12-31")=0,FIND(" ",O21,1),COUNTIFS($E:$E,"=Delregion Skaraborg",$D:$D,"=Socialtjänst",$A:$A,"&gt;2023-01-01",$A:$A,"&lt;2023-12-31"))</f>
        <v>#VALUE!</v>
      </c>
      <c r="M130" t="e">
        <f>IF(COUNTIFS($E:$E,"=Delregion Södra Älvsborg",$D:$D,"=Socialtjänst",$A:$A,"&gt;2023-01-01",$A:$A,"&lt;2023-12-31")=0,FIND(" ",O21,1),COUNTIFS($E:$E,"=Delregion Södra Älvsborg",$D:$D,"=Socialtjänst",$A:$A,"&gt;2023-01-01",$A:$A,"&lt;2023-12-31"))</f>
        <v>#VALUE!</v>
      </c>
      <c r="N130" t="e">
        <f t="shared" si="4"/>
        <v>#VALUE!</v>
      </c>
    </row>
    <row r="131" spans="1:14" ht="14.45" customHeight="1">
      <c r="A131" s="64">
        <v>41877</v>
      </c>
      <c r="B131" s="65" t="s">
        <v>84</v>
      </c>
      <c r="C131" s="65" t="s">
        <v>85</v>
      </c>
      <c r="D131" s="65" t="s">
        <v>75</v>
      </c>
      <c r="E131" t="str">
        <f t="shared" si="3"/>
        <v>Delregion Skaraborg</v>
      </c>
      <c r="G131">
        <v>2023</v>
      </c>
      <c r="H131" s="68" t="str">
        <f>"Ekonomiskt bistånd"</f>
        <v>Ekonomiskt bistånd</v>
      </c>
      <c r="I131" t="e">
        <f>IF(COUNTIFS($E:$E,"=Delregion Fyrbodal",$C:$C,"=Ekonomiskt bistånd",$A:$A,"&gt;2023-01-01",$A:$A,"&lt;2023-12-31")=0,FIND(" ",O22,1),COUNTIFS($E:$E,"=Delregion Fyrbodal",$C:$C,"=Ekonomiskt bistånd",$A:$A,"&gt;2023-01-01",$A:$A,"&lt;2023-12-31"))</f>
        <v>#VALUE!</v>
      </c>
      <c r="J131" t="e">
        <f>IF(COUNTIFS($E:$E,"=Delregion Göteborg",$C:$C,"=Ekonomiskt bistånd",$A:$A,"&gt;2023-01-01",$A:$A,"&lt;2023-12-31")=0,FIND(" ",O22,1),COUNTIFS($E:$E,"=Delregion Göteborg",$C:$C,"=Ekonomiskt bistånd",$A:$A,"&gt;2023-01-01",$A:$A,"&lt;2023-12-31"))</f>
        <v>#VALUE!</v>
      </c>
      <c r="K131" t="e">
        <f>IF(COUNTIFS($E:$E,"=Delregion SIMBA",$C:$C,"=Ekonomiskt bistånd",$A:$A,"&gt;2023-01-01",$A:$A,"&lt;2023-12-31")=0,FIND(" ",O22,1),COUNTIFS($E:$E,"=Delregion SIMBA",$C:$C,"=Ekonomiskt bistånd",$A:$A,"&gt;2023-01-01",$A:$A,"&lt;2023-12-31"))</f>
        <v>#VALUE!</v>
      </c>
      <c r="L131" t="e">
        <f>IF(COUNTIFS($E:$E,"=Delregion Skaraborg",$C:$C,"=Ekonomiskt bistånd",$A:$A,"&gt;2023-01-01",$A:$A,"&lt;2023-12-31")=0,FIND(" ",O22,1),COUNTIFS($E:$E,"=Delregion Skaraborg",$C:$C,"=Ekonomiskt bistånd",$A:$A,"&gt;2023-01-01",$A:$A,"&lt;2023-12-31"))</f>
        <v>#VALUE!</v>
      </c>
      <c r="M131" t="e">
        <f>IF(COUNTIFS($E:$E,"=Delregion Södra Älvsborg",$C:$C,"=Ekonomiskt bistånd",$A:$A,"&gt;2023-01-01",$A:$A,"&lt;2023-12-31")=0,FIND(" ",O22,1),COUNTIFS($E:$E,"=Delregion Södra Älvsborg",$C:$C,"=Ekonomiskt bistånd",$A:$A,"&gt;2023-01-01",$A:$A,"&lt;2023-12-31"))</f>
        <v>#VALUE!</v>
      </c>
      <c r="N131" t="e">
        <f t="shared" si="4"/>
        <v>#VALUE!</v>
      </c>
    </row>
    <row r="132" spans="1:14" ht="14.45" customHeight="1">
      <c r="A132" s="64">
        <v>41878</v>
      </c>
      <c r="B132" s="65" t="s">
        <v>116</v>
      </c>
      <c r="C132" s="65" t="s">
        <v>85</v>
      </c>
      <c r="D132" s="65" t="s">
        <v>75</v>
      </c>
      <c r="E132" t="str">
        <f t="shared" si="3"/>
        <v>Delregion Södra Älvsborg</v>
      </c>
      <c r="G132">
        <v>2023</v>
      </c>
      <c r="H132" s="68" t="s">
        <v>96</v>
      </c>
      <c r="I132" t="e">
        <f>IF(COUNTIFS($E:$E,"=Delregion Fyrbodal",$C:$C,"=Funktionsnedsättning LSS",$A:$A,"&gt;2023-01-01",$A:$A,"&lt;2023-12-31")=0,FIND(" ",O23,1),COUNTIFS($E:$E,"=Delregion Fyrbodal",$C:$C,"=Funktionsnedsättning LSS",$A:$A,"&gt;2023-01-01",$A:$A,"&lt;2023-12-31"))</f>
        <v>#VALUE!</v>
      </c>
      <c r="J132" t="e">
        <f>IF(COUNTIFS($E:$E,"=Delregion Göteborg",$C:$C,"=Funktionsnedsättning LSS",$A:$A,"&gt;2023-01-01",$A:$A,"&lt;2023-12-31")=0,FIND(" ",O23,1),COUNTIFS($E:$E,"=Delregion Göteborg",$C:$C,"=Funktionsnedsättning LSS",$A:$A,"&gt;2023-01-01",$A:$A,"&lt;2023-12-31"))</f>
        <v>#VALUE!</v>
      </c>
      <c r="K132" t="e">
        <f>IF(COUNTIFS($E:$E,"=Delregion SIMBA",$C:$C,"=Funktionsnedsättning LSS",$A:$A,"&gt;2023-01-01",$A:$A,"&lt;2023-12-31")=0,FIND(" ",O23,1),COUNTIFS($E:$E,"=Delregion SIMBA",$C:$C,"=Funktionsnedsättning LSS",$A:$A,"&gt;2023-01-01",$A:$A,"&lt;2023-12-31"))</f>
        <v>#VALUE!</v>
      </c>
      <c r="L132" t="e">
        <f>IF(COUNTIFS($E:$E,"=Delregion Skaraborg",$C:$C,"=Funktionsnedsättning LSS",$A:$A,"&gt;2023-01-01",$A:$A,"&lt;2023-12-31")=0,FIND(" ",O23,1),COUNTIFS($E:$E,"=Delregion Skaraborg",$C:$C,"=Funktionsnedsättning LSS",$A:$A,"&gt;2023-01-01",$A:$A,"&lt;2023-12-31"))</f>
        <v>#VALUE!</v>
      </c>
      <c r="M132" t="e">
        <f>IF(COUNTIFS($E:$E,"=Delregion Södra Älvsborg",$C:$C,"=Funktionsnedsättning LSS",$A:$A,"&gt;2023-01-01",$A:$A,"&lt;2023-12-31")=0,FIND(" ",O23,1),COUNTIFS($E:$E,"=Delregion Södra Älvsborg",$C:$C,"=Funktionsnedsättning LSS",$A:$A,"&gt;2023-01-01",$A:$A,"&lt;2023-12-31"))</f>
        <v>#VALUE!</v>
      </c>
      <c r="N132" t="e">
        <f t="shared" si="4"/>
        <v>#VALUE!</v>
      </c>
    </row>
    <row r="133" spans="1:14" ht="14.45" customHeight="1">
      <c r="A133" s="64">
        <v>41878</v>
      </c>
      <c r="B133" s="65" t="s">
        <v>73</v>
      </c>
      <c r="C133" s="65" t="s">
        <v>91</v>
      </c>
      <c r="D133" s="65" t="s">
        <v>75</v>
      </c>
      <c r="E133" t="str">
        <f t="shared" si="3"/>
        <v>Delregion Göteborg</v>
      </c>
      <c r="G133">
        <v>2023</v>
      </c>
      <c r="H133" s="68" t="s">
        <v>118</v>
      </c>
      <c r="I133" t="e">
        <f>IF(COUNTIFS($E:$E,"=Delregion Fyrbodal",$C:$C,"=Funktionsnedsättning SoL",$A:$A,"&gt;2023-01-01",$A:$A,"&lt;2023-12-31")=0,FIND(" ",O24,1),COUNTIFS($E:$E,"=Delregion Fyrbodal",$C:$C,"=Funktionsnedsättning SoL",$A:$A,"&gt;2023-01-01",$A:$A,"&lt;2023-12-31"))</f>
        <v>#VALUE!</v>
      </c>
      <c r="J133" t="e">
        <f>IF(COUNTIFS($E:$E,"=Delregion Göteborg",$C:$C,"=Funktionsnedsättning SoL",$A:$A,"&gt;2023-01-01",$A:$A,"&lt;2023-12-31")=0,FIND(" ",O24,1),COUNTIFS($E:$E,"=Delregion Göteborg",$C:$C,"=Funktionsnedsättning SoL",$A:$A,"&gt;2023-01-01",$A:$A,"&lt;2023-12-31"))</f>
        <v>#VALUE!</v>
      </c>
      <c r="K133" t="e">
        <f>IF(COUNTIFS($E:$E,"=Delregion SIMBA",$C:$C,"=Funktionsnedsättning SoL",$A:$A,"&gt;2023-01-01",$A:$A,"&lt;2023-12-31")=0,FIND(" ",O24,1),COUNTIFS($E:$E,"=Delregion SIMBA",$C:$C,"=Funktionsnedsättning SoL",$A:$A,"&gt;2023-01-01",$A:$A,"&lt;2023-12-31"))</f>
        <v>#VALUE!</v>
      </c>
      <c r="L133" t="e">
        <f>IF(COUNTIFS($E:$E,"=Delregion Skaraborg",$C:$C,"=Funktionsnedsättning SoL",$A:$A,"&gt;2023-01-01",$A:$A,"&lt;2023-12-31")=0,FIND(" ",O24,1),COUNTIFS($E:$E,"=Delregion Skaraborg",$C:$C,"=Funktionsnedsättning SoL",$A:$A,"&gt;2023-01-01",$A:$A,"&lt;2023-12-31"))</f>
        <v>#VALUE!</v>
      </c>
      <c r="M133" t="e">
        <f>IF(COUNTIFS($E:$E,"=Delregion Södra Älvsborg",$C:$C,"=Funktionsnedsättning SoL",$A:$A,"&gt;2023-01-01",$A:$A,"&lt;2023-12-31")=0,FIND(" ",O24,1),COUNTIFS($E:$E,"=Delregion Södra Älvsborg",$C:$C,"=Funktionsnedsättning SoL",$A:$A,"&gt;2023-01-01",$A:$A,"&lt;2023-12-31"))</f>
        <v>#VALUE!</v>
      </c>
      <c r="N133" t="e">
        <f t="shared" si="4"/>
        <v>#VALUE!</v>
      </c>
    </row>
    <row r="134" spans="1:14" ht="14.45" customHeight="1">
      <c r="A134" s="64">
        <v>41878</v>
      </c>
      <c r="B134" s="65" t="s">
        <v>115</v>
      </c>
      <c r="C134" s="65" t="s">
        <v>130</v>
      </c>
      <c r="D134" s="65" t="s">
        <v>126</v>
      </c>
      <c r="E134" t="str">
        <f t="shared" si="3"/>
        <v>Delregion Göteborg</v>
      </c>
      <c r="G134">
        <v>2023</v>
      </c>
      <c r="H134" s="68" t="s">
        <v>100</v>
      </c>
      <c r="I134" t="e">
        <f>IF(COUNTIFS($E:$E,"=Delregion Fyrbodal",$C:$C,"=Missbruk",$A:$A,"&gt;2023-01-01",$A:$A,"&lt;2023-12-31")=0,FIND(" ",O25,1),COUNTIFS($E:$E,"=Delregion Fyrbodal",$C:$C,"=Missbruk",$A:$A,"&gt;2023-01-01",$A:$A,"&lt;2023-12-31"))</f>
        <v>#VALUE!</v>
      </c>
      <c r="J134" t="e">
        <f>IF(COUNTIFS($E:$E,"=Delregion Göteborg",$C:$C,"=Missbruk",$A:$A,"&gt;2023-01-01",$A:$A,"&lt;2023-12-31")=0,FIND(" ",O25,1),COUNTIFS($E:$E,"=Delregion Göteborg",$C:$C,"=Missbruk",$A:$A,"&gt;2023-01-01",$A:$A,"&lt;2023-12-31"))</f>
        <v>#VALUE!</v>
      </c>
      <c r="K134" t="e">
        <f>IF(COUNTIFS($E:$E,"=Delregion SIMBA",$C:$C,"=Missbruk",$A:$A,"&gt;2023-01-01",$A:$A,"&lt;2023-12-31")=0,FIND(" ",O25,1),COUNTIFS($E:$E,"=Delregion SIMBA",$C:$C,"=Missbruk",$A:$A,"&gt;2023-01-01",$A:$A,"&lt;2023-12-31"))</f>
        <v>#VALUE!</v>
      </c>
      <c r="L134" t="e">
        <f>IF(COUNTIFS($E:$E,"=Delregion Skaraborg",$C:$C,"=Missbruk",$A:$A,"&gt;2023-01-01",$A:$A,"&lt;2023-12-31")=0,FIND(" ",O25,1),COUNTIFS($E:$E,"=Delregion Skaraborg",$C:$C,"=Missbruk",$A:$A,"&gt;2023-01-01",$A:$A,"&lt;2023-12-31"))</f>
        <v>#VALUE!</v>
      </c>
      <c r="M134" t="e">
        <f>IF(COUNTIFS($E:$E,"=Delregion Södra Älvsborg",$C:$C,"=Missbruk",$A:$A,"&gt;2023-01-01",$A:$A,"&lt;2023-12-31")=0,FIND(" ",O25,1),COUNTIFS($E:$E,"=Delregion Södra Älvsborg",$C:$C,"=Missbruk",$A:$A,"&gt;2023-01-01",$A:$A,"&lt;2023-12-31"))</f>
        <v>#VALUE!</v>
      </c>
      <c r="N134" t="e">
        <f t="shared" si="4"/>
        <v>#VALUE!</v>
      </c>
    </row>
    <row r="135" spans="1:14" ht="14.45" customHeight="1">
      <c r="A135" s="64">
        <v>41878</v>
      </c>
      <c r="B135" s="65" t="s">
        <v>102</v>
      </c>
      <c r="C135" s="65" t="s">
        <v>127</v>
      </c>
      <c r="D135" s="65" t="s">
        <v>126</v>
      </c>
      <c r="E135" t="str">
        <f t="shared" si="3"/>
        <v>Delregion Södra Älvsborg</v>
      </c>
      <c r="G135">
        <v>2023</v>
      </c>
      <c r="H135" s="68" t="s">
        <v>201</v>
      </c>
      <c r="I135" t="e">
        <f>IF(COUNTIFS($E:$E,"=Delregion Fyrbodal",$C:$C,"=Äldreomsorg",$A:$A,"&gt;2023-01-01",$A:$A,"&lt;2023-12-31")=0,FIND(" ",O26,1),COUNTIFS($E:$E,"=Delregion Fyrbodal",$C:$C,"=Äldreomsorg",$A:$A,"&gt;2023-01-01",$A:$A,"&lt;2023-12-31"))</f>
        <v>#VALUE!</v>
      </c>
      <c r="J135" t="e">
        <f>IF(COUNTIFS($E:$E,"=Delregion Göteborg",$C:$C,"=Äldreomsorg",$A:$A,"&gt;2023-01-01",$A:$A,"&lt;2023-12-31")=0,FIND(" ",O26,1),COUNTIFS($E:$E,"=Delregion Göteborg",$C:$C,"=Äldreomsorg",$A:$A,"&gt;2023-01-01",$A:$A,"&lt;2023-12-31"))</f>
        <v>#VALUE!</v>
      </c>
      <c r="K135" t="e">
        <f>IF(COUNTIFS($E:$E,"=Delregion SIMBA",$C:$C,"=Äldreomsorg",$A:$A,"&gt;2023-01-01",$A:$A,"&lt;2023-12-31")=0,FIND(" ",O26,1),COUNTIFS($E:$E,"=Delregion SIMBA",$C:$C,"=Äldreomsorg",$A:$A,"&gt;2023-01-01",$A:$A,"&lt;2023-12-31"))</f>
        <v>#VALUE!</v>
      </c>
      <c r="L135" t="e">
        <f>IF(COUNTIFS($E:$E,"=Delregion Skaraborg",$C:$C,"=Äldreomsorg",$A:$A,"&gt;2023-01-01",$A:$A,"&lt;2023-12-31")=0,FIND(" ",O26,1),COUNTIFS($E:$E,"=Delregion Skaraborg",$C:$C,"=Äldreomsorg",$A:$A,"&gt;2023-01-01",$A:$A,"&lt;2023-12-31"))</f>
        <v>#VALUE!</v>
      </c>
      <c r="M135" t="e">
        <f>IF(COUNTIFS($E:$E,"=Delregion Södra Älvsborg",$C:$C,"=Äldreomsorg",$A:$A,"&gt;2023-01-01",$A:$A,"&lt;2023-12-31")=0,FIND(" ",O26,1),COUNTIFS($E:$E,"=Delregion Södra Älvsborg",$C:$C,"=Äldreomsorg",$A:$A,"&gt;2023-01-01",$A:$A,"&lt;2023-12-31"))</f>
        <v>#VALUE!</v>
      </c>
      <c r="N135" t="e">
        <f t="shared" si="4"/>
        <v>#VALUE!</v>
      </c>
    </row>
    <row r="136" spans="1:14" ht="14.45" customHeight="1">
      <c r="A136" s="64">
        <v>41880</v>
      </c>
      <c r="B136" s="65" t="s">
        <v>115</v>
      </c>
      <c r="C136" s="65" t="s">
        <v>83</v>
      </c>
      <c r="D136" s="65" t="s">
        <v>75</v>
      </c>
      <c r="E136" t="str">
        <f t="shared" si="3"/>
        <v>Delregion Göteborg</v>
      </c>
      <c r="G136">
        <v>2023</v>
      </c>
      <c r="H136" s="68" t="s">
        <v>79</v>
      </c>
      <c r="I136" t="e">
        <f>IF(COUNTIFS($E:$E,"=Delregion Fyrbodal",$C:$C,"=Övrig socialtjänst",$A:$A,"&gt;2023-01-01",$A:$A,"&lt;2023-12-31")=0,FIND(" ",O27,1),COUNTIFS($E:$E,"=Delregion Fyrbodal",$C:$C,"=Övrig socialtjänst",$A:$A,"&gt;2023-01-01",$A:$A,"&lt;2023-12-31"))</f>
        <v>#VALUE!</v>
      </c>
      <c r="J136" t="e">
        <f>IF(COUNTIFS($E:$E,"=Delregion Göteborg",$C:$C,"=Övrig socialtjänst",$A:$A,"&gt;2023-01-01",$A:$A,"&lt;2023-12-31")=0,FIND(" ",O27,1),COUNTIFS($E:$E,"=Delregion Göteborg",$C:$C,"=Övrig socialtjänst",$A:$A,"&gt;2023-01-01",$A:$A,"&lt;2023-12-31"))</f>
        <v>#VALUE!</v>
      </c>
      <c r="K136" t="e">
        <f>IF(COUNTIFS($E:$E,"=Delregion SIMBA",$C:$C,"=Övrig socialtjänst",$A:$A,"&gt;2023-01-01",$A:$A,"&lt;2023-12-31")=0,FIND(" ",O27,1),COUNTIFS($E:$E,"=Delregion SIMBA",$C:$C,"=Övrig socialtjänst",$A:$A,"&gt;2023-01-01",$A:$A,"&lt;2023-12-31"))</f>
        <v>#VALUE!</v>
      </c>
      <c r="L136" t="e">
        <f>IF(COUNTIFS($E:$E,"=Delregion Skaraborg",$C:$C,"=Övrig socialtjänst",$A:$A,"&gt;2023-01-01",$A:$A,"&lt;2023-12-31")=0,FIND(" ",O27,1),COUNTIFS($E:$E,"=Delregion Skaraborg",$C:$C,"=Övrig socialtjänst",$A:$A,"&gt;2023-01-01",$A:$A,"&lt;2023-12-31"))</f>
        <v>#VALUE!</v>
      </c>
      <c r="M136" t="e">
        <f>IF(COUNTIFS($E:$E,"=Delregion Södra Älvsborg",$C:$C,"=Övrig socialtjänst",$A:$A,"&gt;2023-01-01",$A:$A,"&lt;2023-12-31")=0,FIND(" ",O27,1),COUNTIFS($E:$E,"=Delregion Södra Älvsborg",$C:$C,"=Övrig socialtjänst",$A:$A,"&gt;2023-01-01",$A:$A,"&lt;2023-12-31"))</f>
        <v>#VALUE!</v>
      </c>
      <c r="N136" t="e">
        <f t="shared" si="4"/>
        <v>#VALUE!</v>
      </c>
    </row>
    <row r="137" spans="1:14" ht="14.45" customHeight="1">
      <c r="A137" s="64">
        <v>41880</v>
      </c>
      <c r="B137" s="65" t="s">
        <v>115</v>
      </c>
      <c r="C137" s="65" t="s">
        <v>131</v>
      </c>
      <c r="D137" s="65" t="s">
        <v>126</v>
      </c>
      <c r="E137" t="str">
        <f t="shared" si="3"/>
        <v>Delregion Göteborg</v>
      </c>
      <c r="G137">
        <v>2023</v>
      </c>
      <c r="H137" s="68" t="s">
        <v>126</v>
      </c>
      <c r="I137" t="e">
        <f>IF(COUNTIFS($E:$E,"=Delregion Fyrbodal",$D:$D,"=Hälso- och sjukvård",$A:$A,"&gt;2023-01-01",$A:$A,"&lt;2023-12-31")=0,FIND(" ",O21,1),COUNTIFS($E:$E,"=Delregion Fyrbodal",$D:$D,"=Hälso- och sjukvård",$A:$A,"&gt;2023-01-01",$A:$A,"&lt;2023-12-31"))</f>
        <v>#VALUE!</v>
      </c>
      <c r="J137" t="e">
        <f>IF(COUNTIFS($E:$E,"=Delregion Göteborg",$D:$D,"=Hälso- och sjukvård",$A:$A,"&gt;2023-01-01",$A:$A,"&lt;2023-12-31")=0,FIND(" ",O21,1),COUNTIFS($E:$E,"=Delregion Göteborg",$D:$D,"=Hälso- och sjukvård",$A:$A,"&gt;2023-01-01",$A:$A,"&lt;2023-12-31"))</f>
        <v>#VALUE!</v>
      </c>
      <c r="K137" t="e">
        <f>IF(COUNTIFS($E:$E,"=Delregion SIMBA",$D:$D,"=Hälso- och sjukvård",$A:$A,"&gt;2023-01-01",$A:$A,"&lt;2023-12-31")=0,FIND(" ",O21,1),COUNTIFS($E:$E,"=Delregion SIMBA",$D:$D,"=Hälso- och sjukvård",$A:$A,"&gt;2023-01-01",$A:$A,"&lt;2023-12-31"))</f>
        <v>#VALUE!</v>
      </c>
      <c r="L137" t="e">
        <f>IF(COUNTIFS($E:$E,"=Delregion Skaraborg",$D:$D,"=Hälso- och sjukvård",$A:$A,"&gt;2023-01-01",$A:$A,"&lt;2023-12-31")=0,FIND(" ",O21,1),COUNTIFS($E:$E,"=Delregion Skaraborg",$D:$D,"=Hälso- och sjukvård",$A:$A,"&gt;2023-01-01",$A:$A,"&lt;2023-12-31"))</f>
        <v>#VALUE!</v>
      </c>
      <c r="M137" t="e">
        <f>IF(COUNTIFS($E:$E,"=Delregion Södra Älvsborg",$D:$D,"=Hälso- och sjukvård",$A:$A,"&gt;2023-01-01",$A:$A,"&lt;2023-12-31")=0,FIND(" ",O21,1),COUNTIFS($E:$E,"=Delregion Södra Älvsborg",$D:$D,"=Hälso- och sjukvård",$A:$A,"&gt;2023-01-01",$A:$A,"&lt;2023-12-31"))</f>
        <v>#VALUE!</v>
      </c>
      <c r="N137" t="e">
        <f t="shared" si="4"/>
        <v>#VALUE!</v>
      </c>
    </row>
    <row r="138" spans="1:14" ht="14.45" customHeight="1">
      <c r="A138" s="64">
        <v>41880</v>
      </c>
      <c r="B138" s="65" t="s">
        <v>73</v>
      </c>
      <c r="C138" s="65" t="s">
        <v>132</v>
      </c>
      <c r="D138" s="65" t="s">
        <v>126</v>
      </c>
      <c r="E138" t="str">
        <f t="shared" si="3"/>
        <v>Delregion Göteborg</v>
      </c>
      <c r="G138">
        <v>2023</v>
      </c>
      <c r="H138" s="68" t="s">
        <v>200</v>
      </c>
      <c r="I138" t="e">
        <f>IF(COUNTIFS($E:$E,"=Delregion Fyrbodal",$C:$C,"=Hemsjukvård i ordinärt boende",$A:$A,"&gt;2023-01-01",$A:$A,"&lt;2023-12-31")=0,FIND(" ",O22,1),COUNTIFS($E:$E,"=Delregion Fyrbodal",$C:$C,"=Hemsjukvård i ordinärt boende",$A:$A,"&gt;2023-01-01",$A:$A,"&lt;2023-12-31"))</f>
        <v>#VALUE!</v>
      </c>
      <c r="J138" t="e">
        <f>IF(COUNTIFS($E:$E,"=Delregion Göteborg",$C:$C,"=Hemsjukvård i ordinärt boende",$A:$A,"&gt;2023-01-01",$A:$A,"&lt;2023-12-31")=0,FIND(" ",O22,1),COUNTIFS($E:$E,"=Delregion Göteborg",$C:$C,"=Hemsjukvård i ordinärt boende",$A:$A,"&gt;2023-01-01",$A:$A,"&lt;2023-12-31"))</f>
        <v>#VALUE!</v>
      </c>
      <c r="K138" t="e">
        <f>IF(COUNTIFS($E:$E,"=Delregion SIMBA",$C:$C,"=Hemsjukvård i ordinärt boende",$A:$A,"&gt;2023-01-01",$A:$A,"&lt;2023-12-31")=0,FIND(" ",O22,1),COUNTIFS($E:$E,"=Delregion SIMBA",$C:$C,"=Hemsjukvård i ordinärt boende",$A:$A,"&gt;2023-01-01",$A:$A,"&lt;2023-12-31"))</f>
        <v>#VALUE!</v>
      </c>
      <c r="L138" t="e">
        <f>IF(COUNTIFS($E:$E,"=Delregion Skaraborg",$C:$C,"=Hemsjukvård i ordinärt boende",$A:$A,"&gt;2023-01-01",$A:$A,"&lt;2023-12-31")=0,FIND(" ",O22,1),COUNTIFS($E:$E,"=Delregion Skaraborg",$C:$C,"=Hemsjukvård i ordinärt boende",$A:$A,"&gt;2023-01-01",$A:$A,"&lt;2023-12-31"))</f>
        <v>#VALUE!</v>
      </c>
      <c r="M138" t="e">
        <f>IF(COUNTIFS($E:$E,"=Delregion Södra Älvsborg",$C:$C,"=Hemsjukvård i ordinärt boende",$A:$A,"&gt;2023-01-01",$A:$A,"&lt;2023-12-31")=0,FIND(" ",O22,1),COUNTIFS($E:$E,"=Delregion Södra Älvsborg",$C:$C,"=Hemsjukvård i ordinärt boende",$A:$A,"&gt;2023-01-01",$A:$A,"&lt;2023-12-31"))</f>
        <v>#VALUE!</v>
      </c>
      <c r="N138" t="e">
        <f t="shared" si="4"/>
        <v>#VALUE!</v>
      </c>
    </row>
    <row r="139" spans="1:14" ht="14.45" customHeight="1">
      <c r="A139" s="64">
        <v>41883</v>
      </c>
      <c r="B139" s="65" t="s">
        <v>81</v>
      </c>
      <c r="C139" s="65" t="s">
        <v>85</v>
      </c>
      <c r="D139" s="65" t="s">
        <v>75</v>
      </c>
      <c r="E139" t="str">
        <f t="shared" si="3"/>
        <v>Delregion Fyrbodal</v>
      </c>
      <c r="G139">
        <v>2023</v>
      </c>
      <c r="H139" s="68" t="s">
        <v>128</v>
      </c>
      <c r="I139" t="e">
        <f>IF(COUNTIFS($E:$E,"=Delregion Fyrbodal",$C:$C,"=Prehospital vård",$A:$A,"&gt;2023-01-01",$A:$A,"&lt;2023-12-31")=0,FIND(" ",O23,1),COUNTIFS($E:$E,"=Delregion Fyrbodal",$C:$C,"=Prehospital vård",$A:$A,"&gt;2023-01-01",$A:$A,"&lt;2023-12-31"))</f>
        <v>#VALUE!</v>
      </c>
      <c r="J139" t="e">
        <f>IF(COUNTIFS($E:$E,"=Delregion Göteborg",$C:$C,"=Prehospital vård",$A:$A,"&gt;2023-01-01",$A:$A,"&lt;2023-12-31")=0,FIND(" ",O23,1),COUNTIFS($E:$E,"=Delregion Göteborg",$C:$C,"=Prehospital vård",$A:$A,"&gt;2023-01-01",$A:$A,"&lt;2023-12-31"))</f>
        <v>#VALUE!</v>
      </c>
      <c r="K139" t="e">
        <f>IF(COUNTIFS($E:$E,"=Delregion SIMBA",$C:$C,"=Prehospital vård",$A:$A,"&gt;2023-01-01",$A:$A,"&lt;2023-12-31")=0,FIND(" ",O23,1),COUNTIFS($E:$E,"=Delregion SIMBA",$C:$C,"=Prehospital vård",$A:$A,"&gt;2023-01-01",$A:$A,"&lt;2023-12-31"))</f>
        <v>#VALUE!</v>
      </c>
      <c r="L139" t="e">
        <f>IF(COUNTIFS($E:$E,"=Delregion Skaraborg",$C:$C,"=Prehospital vård",$A:$A,"&gt;2023-01-01",$A:$A,"&lt;2023-12-31")=0,FIND(" ",O23,1),COUNTIFS($E:$E,"=Delregion Skaraborg",$C:$C,"=Prehospital vård",$A:$A,"&gt;2023-01-01",$A:$A,"&lt;2023-12-31"))</f>
        <v>#VALUE!</v>
      </c>
      <c r="M139" t="e">
        <f>IF(COUNTIFS($E:$E,"=Delregion Södra Älvsborg",$C:$C,"=Prehospital vård",$A:$A,"&gt;2023-01-01",$A:$A,"&lt;2023-12-31")=0,FIND(" ",O23,1),COUNTIFS($E:$E,"=Delregion Södra Älvsborg",$C:$C,"=Prehospital vård",$A:$A,"&gt;2023-01-01",$A:$A,"&lt;2023-12-31"))</f>
        <v>#VALUE!</v>
      </c>
      <c r="N139" t="e">
        <f t="shared" si="4"/>
        <v>#VALUE!</v>
      </c>
    </row>
    <row r="140" spans="1:14" ht="14.45" customHeight="1">
      <c r="A140" s="64">
        <v>41884</v>
      </c>
      <c r="B140" s="65" t="s">
        <v>76</v>
      </c>
      <c r="C140" s="65" t="s">
        <v>85</v>
      </c>
      <c r="D140" s="65" t="s">
        <v>75</v>
      </c>
      <c r="E140" t="str">
        <f t="shared" si="3"/>
        <v>Delregion Skaraborg</v>
      </c>
      <c r="G140">
        <v>2023</v>
      </c>
      <c r="H140" s="68" t="s">
        <v>127</v>
      </c>
      <c r="I140" t="e">
        <f>IF(COUNTIFS($E:$E,"=Delregion Fyrbodal",$C:$C,"=Primärvård, utom hemsjukvård",$A:$A,"&gt;2023-01-01",$A:$A,"&lt;2023-12-31")=0,FIND(" ",O25,1),COUNTIFS($E:$E,"=Delregion Fyrbodal",$C:$C,"=Primärvård, utom hemsjukvård",$A:$A,"&gt;2023-01-01",$A:$A,"&lt;2023-12-31"))</f>
        <v>#VALUE!</v>
      </c>
      <c r="J140" t="e">
        <f>IF(COUNTIFS($E:$E,"=Delregion Göteborg",$C:$C,"=Primärvård, utom hemsjukvård",$A:$A,"&gt;2023-01-01",$A:$A,"&lt;2023-12-31")=0,FIND(" ",O25,1),COUNTIFS($E:$E,"=Delregion Göteborg",$C:$C,"=Primärvård, utom hemsjukvård",$A:$A,"&gt;2023-01-01",$A:$A,"&lt;2023-12-31"))</f>
        <v>#VALUE!</v>
      </c>
      <c r="K140" t="e">
        <f>IF(COUNTIFS($E:$E,"=Delregion SIMBA",$C:$C,"=Primärvård, utom hemsjukvård",$A:$A,"&gt;2023-01-01",$A:$A,"&lt;2023-12-31")=0,FIND(" ",O25,1),COUNTIFS($E:$E,"=Delregion SIMBA",$C:$C,"=Primärvård, utom hemsjukvård",$A:$A,"&gt;2023-01-01",$A:$A,"&lt;2023-12-31"))</f>
        <v>#VALUE!</v>
      </c>
      <c r="L140" t="e">
        <f>IF(COUNTIFS($E:$E,"=Delregion Skaraborg",$C:$C,"=Primärvård, utom hemsjukvård",$A:$A,"&gt;2023-01-01",$A:$A,"&lt;2023-12-31")=0,FIND(" ",O25,1),COUNTIFS($E:$E,"=Delregion Skaraborg",$C:$C,"=Primärvård, utom hemsjukvård",$A:$A,"&gt;2023-01-01",$A:$A,"&lt;2023-12-31"))</f>
        <v>#VALUE!</v>
      </c>
      <c r="M140" t="e">
        <f>IF(COUNTIFS($E:$E,"=Delregion Södra Älvsborg",$C:$C,"=Primärvård, utom hemsjukvård",$A:$A,"&gt;2023-01-01",$A:$A,"&lt;2023-12-31")=0,FIND(" ",O25,1),COUNTIFS($E:$E,"=Delregion Södra Älvsborg",$C:$C,"=Primärvård, utom hemsjukvård",$A:$A,"&gt;2023-01-01",$A:$A,"&lt;2023-12-31"))</f>
        <v>#VALUE!</v>
      </c>
      <c r="N140" t="e">
        <f t="shared" si="4"/>
        <v>#VALUE!</v>
      </c>
    </row>
    <row r="141" spans="1:14" ht="14.45" customHeight="1">
      <c r="A141" s="64">
        <v>41884</v>
      </c>
      <c r="B141" s="65" t="s">
        <v>116</v>
      </c>
      <c r="C141" s="65" t="s">
        <v>85</v>
      </c>
      <c r="D141" s="65" t="s">
        <v>75</v>
      </c>
      <c r="E141" t="str">
        <f t="shared" ref="E141:E204" si="5">VLOOKUP(B141,$Q$14:$R$62,2,FALSE)</f>
        <v>Delregion Södra Älvsborg</v>
      </c>
      <c r="G141">
        <v>2023</v>
      </c>
      <c r="H141" s="68" t="s">
        <v>129</v>
      </c>
      <c r="I141" t="e">
        <f>IF(COUNTIFS($E:$E,"=Delregion Fyrbodal",$C:$C,"=Psykiatrisk specialistsjukvård",$A:$A,"&gt;2023-01-01",$A:$A,"&lt;2023-12-31")=0,FIND(" ",O26,1),COUNTIFS($E:$E,"=Delregion Fyrbodal",$C:$C,"=Psykiatrisk specialistsjukvård",$A:$A,"&gt;2023-01-01",$A:$A,"&lt;2023-12-31"))</f>
        <v>#VALUE!</v>
      </c>
      <c r="J141" t="e">
        <f>IF(COUNTIFS($E:$E,"=Delregion Göteborg",$C:$C,"=Psykiatrisk specialistsjukvård",$A:$A,"&gt;2023-01-01",$A:$A,"&lt;2023-12-31")=0,FIND(" ",O26,1),COUNTIFS($E:$E,"=Delregion Göteborg",$C:$C,"=Psykiatrisk specialistsjukvård",$A:$A,"&gt;2023-01-01",$A:$A,"&lt;2023-12-31"))</f>
        <v>#VALUE!</v>
      </c>
      <c r="K141" t="e">
        <f>IF(COUNTIFS($E:$E,"=Delregion SIMBA",$C:$C,"=Psykiatrisk specialistsjukvård",$A:$A,"&gt;2023-01-01",$A:$A,"&lt;2023-12-31")=0,FIND(" ",O26,1),COUNTIFS($E:$E,"=Delregion SIMBA",$C:$C,"=Psykiatrisk specialistsjukvård",$A:$A,"&gt;2023-01-01",$A:$A,"&lt;2023-12-31"))</f>
        <v>#VALUE!</v>
      </c>
      <c r="L141" t="e">
        <f>IF(COUNTIFS($E:$E,"=Delregion Skaraborg",$C:$C,"=Psykiatrisk specialistsjukvård",$A:$A,"&gt;2023-01-01",$A:$A,"&lt;2023-12-31")=0,FIND(" ",O26,1),COUNTIFS($E:$E,"=Delregion Skaraborg",$C:$C,"=Psykiatrisk specialistsjukvård",$A:$A,"&gt;2023-01-01",$A:$A,"&lt;2023-12-31"))</f>
        <v>#VALUE!</v>
      </c>
      <c r="M141" t="e">
        <f>IF(COUNTIFS($E:$E,"=Delregion Södra Älvsborg",$C:$C,"=Psykiatrisk specialistsjukvård",$A:$A,"&gt;2023-01-01",$A:$A,"&lt;2023-12-31")=0,FIND(" ",O26,1),COUNTIFS($E:$E,"=Delregion Södra Älvsborg",$C:$C,"=Psykiatrisk specialistsjukvård",$A:$A,"&gt;2023-01-01",$A:$A,"&lt;2023-12-31"))</f>
        <v>#VALUE!</v>
      </c>
      <c r="N141" t="e">
        <f t="shared" si="4"/>
        <v>#VALUE!</v>
      </c>
    </row>
    <row r="142" spans="1:14" ht="14.45" customHeight="1">
      <c r="A142" s="64">
        <v>41884</v>
      </c>
      <c r="B142" s="65" t="s">
        <v>112</v>
      </c>
      <c r="C142" s="65" t="s">
        <v>131</v>
      </c>
      <c r="D142" s="65" t="s">
        <v>126</v>
      </c>
      <c r="E142" t="str">
        <f t="shared" si="5"/>
        <v>Delregion Göteborg</v>
      </c>
      <c r="G142">
        <v>2023</v>
      </c>
      <c r="H142" s="68" t="s">
        <v>198</v>
      </c>
      <c r="I142" t="e">
        <f>IF(SUM(I130:I137)=0,FIND(" ",O21,1),SUM(I130:I137))</f>
        <v>#VALUE!</v>
      </c>
      <c r="J142" t="e">
        <f>IF(SUM(J130:J137)=0,FIND(" ",O21,1),SUM(J130:J137))</f>
        <v>#VALUE!</v>
      </c>
      <c r="K142" t="e">
        <f>IF(SUM(K130:K137)=0,FIND(" ",O21,1),SUM(K130:K137))</f>
        <v>#VALUE!</v>
      </c>
      <c r="L142" t="e">
        <f>IF(SUM(L130:L137)=0,FIND(" ",O21,1),SUM(L130:L137))</f>
        <v>#VALUE!</v>
      </c>
      <c r="M142" t="e">
        <f>IF(SUM(M130:M137)=0,FIND(" ",O21,1),SUM(M130:M137))</f>
        <v>#VALUE!</v>
      </c>
      <c r="N142" t="e">
        <f t="shared" ref="N142:N168" si="6">IF(SUM(I142:M142)=0,FIND(" ",O155,1),SUM(I142:M142))</f>
        <v>#VALUE!</v>
      </c>
    </row>
    <row r="143" spans="1:14" ht="14.45" customHeight="1">
      <c r="A143" s="64">
        <v>41885</v>
      </c>
      <c r="B143" s="65" t="s">
        <v>102</v>
      </c>
      <c r="C143" s="65" t="s">
        <v>96</v>
      </c>
      <c r="D143" s="65" t="s">
        <v>75</v>
      </c>
      <c r="E143" t="str">
        <f t="shared" si="5"/>
        <v>Delregion Södra Älvsborg</v>
      </c>
      <c r="G143">
        <v>2024</v>
      </c>
      <c r="H143" s="68" t="s">
        <v>75</v>
      </c>
      <c r="I143" t="e">
        <f>IF(COUNTIFS($E:$E,"=Delregion Fyrbodal",$D:$D,"=Socialtjänst",$A:$A,"&gt;2024-01-01",$A:$A,"&lt;2024-12-31")=0,FIND(" ",O21,1),COUNTIFS($E:$E,"=Delregion Fyrbodal",$D:$D,"=Socialtjänst",$A:$A,"&gt;2024-01-01",$A:$A,"&lt;2024-12-31"))</f>
        <v>#VALUE!</v>
      </c>
      <c r="J143" t="e">
        <f>IF(COUNTIFS($E:$E,"=Delregion Göteborg",$D:$D,"=Socialtjänst",$A:$A,"&gt;2024-01-01",$A:$A,"&lt;2024-12-31")=0,FIND(" ",O21,1),COUNTIFS($E:$E,"=Delregion Göteborg",$D:$D,"=Socialtjänst",$A:$A,"&gt;2024-01-01",$A:$A,"&lt;2024-12-31"))</f>
        <v>#VALUE!</v>
      </c>
      <c r="K143" t="e">
        <f>IF(COUNTIFS($E:$E,"=Delregion SIMBA",$D:$D,"=Socialtjänst",$A:$A,"&gt;2024-01-01",$A:$A,"&lt;2024-12-31")=0,FIND(" ",O21,1),COUNTIFS($E:$E,"=Delregion SIMBA",$D:$D,"=Socialtjänst",$A:$A,"&gt;2024-01-01",$A:$A,"&lt;2024-12-31"))</f>
        <v>#VALUE!</v>
      </c>
      <c r="L143" t="e">
        <f>IF(COUNTIFS($E:$E,"=Delregion Skaraborg",$D:$D,"=Socialtjänst",$A:$A,"&gt;2024-01-01",$A:$A,"&lt;2024-12-31")=0,FIND(" ",O21,1),COUNTIFS($E:$E,"=Delregion Skaraborg",$D:$D,"=Socialtjänst",$A:$A,"&gt;2024-01-01",$A:$A,"&lt;2024-12-31"))</f>
        <v>#VALUE!</v>
      </c>
      <c r="M143" t="e">
        <f>IF(COUNTIFS($E:$E,"=Delregion Södra Älvsborg",$D:$D,"=Socialtjänst",$A:$A,"&gt;2024-01-01",$A:$A,"&lt;2024-12-31")=0,FIND(" ",O21,1),COUNTIFS($E:$E,"=Delregion Södra Älvsborg",$D:$D,"=Socialtjänst",$A:$A,"&gt;2024-01-01",$A:$A,"&lt;2024-12-31"))</f>
        <v>#VALUE!</v>
      </c>
      <c r="N143" t="e">
        <f t="shared" si="6"/>
        <v>#VALUE!</v>
      </c>
    </row>
    <row r="144" spans="1:14" ht="14.45" customHeight="1">
      <c r="A144" s="64">
        <v>41887</v>
      </c>
      <c r="B144" s="65" t="s">
        <v>95</v>
      </c>
      <c r="C144" s="65" t="s">
        <v>85</v>
      </c>
      <c r="D144" s="65" t="s">
        <v>75</v>
      </c>
      <c r="E144" t="str">
        <f t="shared" si="5"/>
        <v>Delregion Södra Älvsborg</v>
      </c>
      <c r="G144">
        <v>2024</v>
      </c>
      <c r="H144" s="68" t="str">
        <f>"Ekonomiskt bistånd"</f>
        <v>Ekonomiskt bistånd</v>
      </c>
      <c r="I144" t="e">
        <f>IF(COUNTIFS($E:$E,"=Delregion Fyrbodal",$C:$C,"=Ekonomiskt bistånd",$A:$A,"&gt;2024-01-01",$A:$A,"&lt;2024-12-31")=0,FIND(" ",O22,1),COUNTIFS($E:$E,"=Delregion Fyrbodal",$C:$C,"=Ekonomiskt bistånd",$A:$A,"&gt;2024-01-01",$A:$A,"&lt;2024-12-31"))</f>
        <v>#VALUE!</v>
      </c>
      <c r="J144" t="e">
        <f>IF(COUNTIFS($E:$E,"=Delregion Göteborg",$C:$C,"=Ekonomiskt bistånd",$A:$A,"&gt;2024-01-01",$A:$A,"&lt;2024-12-31")=0,FIND(" ",O22,1),COUNTIFS($E:$E,"=Delregion Göteborg",$C:$C,"=Ekonomiskt bistånd",$A:$A,"&gt;2024-01-01",$A:$A,"&lt;2024-12-31"))</f>
        <v>#VALUE!</v>
      </c>
      <c r="K144" t="e">
        <f>IF(COUNTIFS($E:$E,"=Delregion SIMBA",$C:$C,"=Ekonomiskt bistånd",$A:$A,"&gt;2024-01-01",$A:$A,"&lt;2024-12-31")=0,FIND(" ",O22,1),COUNTIFS($E:$E,"=Delregion SIMBA",$C:$C,"=Ekonomiskt bistånd",$A:$A,"&gt;2024-01-01",$A:$A,"&lt;2024-12-31"))</f>
        <v>#VALUE!</v>
      </c>
      <c r="L144" t="e">
        <f>IF(COUNTIFS($E:$E,"=Delregion Skaraborg",$C:$C,"=Ekonomiskt bistånd",$A:$A,"&gt;2024-01-01",$A:$A,"&lt;2024-12-31")=0,FIND(" ",O22,1),COUNTIFS($E:$E,"=Delregion Skaraborg",$C:$C,"=Ekonomiskt bistånd",$A:$A,"&gt;2024-01-01",$A:$A,"&lt;2024-12-31"))</f>
        <v>#VALUE!</v>
      </c>
      <c r="M144" t="e">
        <f>IF(COUNTIFS($E:$E,"=Delregion Södra Älvsborg",$C:$C,"=Ekonomiskt bistånd",$A:$A,"&gt;2024-01-01",$A:$A,"&lt;2024-12-31")=0,FIND(" ",O22,1),COUNTIFS($E:$E,"=Delregion Södra Älvsborg",$C:$C,"=Ekonomiskt bistånd",$A:$A,"&gt;2024-01-01",$A:$A,"&lt;2024-12-31"))</f>
        <v>#VALUE!</v>
      </c>
      <c r="N144" t="e">
        <f t="shared" si="6"/>
        <v>#VALUE!</v>
      </c>
    </row>
    <row r="145" spans="1:14" ht="14.45" customHeight="1">
      <c r="A145" s="64">
        <v>41887</v>
      </c>
      <c r="B145" s="65" t="s">
        <v>73</v>
      </c>
      <c r="C145" s="65" t="s">
        <v>85</v>
      </c>
      <c r="D145" s="65" t="s">
        <v>75</v>
      </c>
      <c r="E145" t="str">
        <f t="shared" si="5"/>
        <v>Delregion Göteborg</v>
      </c>
      <c r="G145">
        <v>2024</v>
      </c>
      <c r="H145" s="68" t="s">
        <v>96</v>
      </c>
      <c r="I145" t="e">
        <f>IF(COUNTIFS($E:$E,"=Delregion Fyrbodal",$C:$C,"=Funktionsnedsättning LSS",$A:$A,"&gt;2024-01-01",$A:$A,"&lt;2024-12-31")=0,FIND(" ",O23,1),COUNTIFS($E:$E,"=Delregion Fyrbodal",$C:$C,"=Funktionsnedsättning LSS",$A:$A,"&gt;2024-01-01",$A:$A,"&lt;2024-12-31"))</f>
        <v>#VALUE!</v>
      </c>
      <c r="J145" t="e">
        <f>IF(COUNTIFS($E:$E,"=Delregion Göteborg",$C:$C,"=Funktionsnedsättning LSS",$A:$A,"&gt;2024-01-01",$A:$A,"&lt;2024-12-31")=0,FIND(" ",O23,1),COUNTIFS($E:$E,"=Delregion Göteborg",$C:$C,"=Funktionsnedsättning LSS",$A:$A,"&gt;2024-01-01",$A:$A,"&lt;2024-12-31"))</f>
        <v>#VALUE!</v>
      </c>
      <c r="K145" t="e">
        <f>IF(COUNTIFS($E:$E,"=Delregion SIMBA",$C:$C,"=Funktionsnedsättning LSS",$A:$A,"&gt;2024-01-01",$A:$A,"&lt;2024-12-31")=0,FIND(" ",O23,1),COUNTIFS($E:$E,"=Delregion SIMBA",$C:$C,"=Funktionsnedsättning LSS",$A:$A,"&gt;2024-01-01",$A:$A,"&lt;2024-12-31"))</f>
        <v>#VALUE!</v>
      </c>
      <c r="L145" t="e">
        <f>IF(COUNTIFS($E:$E,"=Delregion Skaraborg",$C:$C,"=Funktionsnedsättning LSS",$A:$A,"&gt;2024-01-01",$A:$A,"&lt;2024-12-31")=0,FIND(" ",O23,1),COUNTIFS($E:$E,"=Delregion Skaraborg",$C:$C,"=Funktionsnedsättning LSS",$A:$A,"&gt;2024-01-01",$A:$A,"&lt;2024-12-31"))</f>
        <v>#VALUE!</v>
      </c>
      <c r="M145" t="e">
        <f>IF(COUNTIFS($E:$E,"=Delregion Södra Älvsborg",$C:$C,"=Funktionsnedsättning LSS",$A:$A,"&gt;2024-01-01",$A:$A,"&lt;2024-12-31")=0,FIND(" ",O23,1),COUNTIFS($E:$E,"=Delregion Södra Älvsborg",$C:$C,"=Funktionsnedsättning LSS",$A:$A,"&gt;2024-01-01",$A:$A,"&lt;2024-12-31"))</f>
        <v>#VALUE!</v>
      </c>
      <c r="N145" t="e">
        <f t="shared" si="6"/>
        <v>#VALUE!</v>
      </c>
    </row>
    <row r="146" spans="1:14" ht="14.45" customHeight="1">
      <c r="A146" s="64">
        <v>41887</v>
      </c>
      <c r="B146" s="65" t="s">
        <v>73</v>
      </c>
      <c r="C146" s="65" t="s">
        <v>83</v>
      </c>
      <c r="D146" s="65" t="s">
        <v>75</v>
      </c>
      <c r="E146" t="str">
        <f t="shared" si="5"/>
        <v>Delregion Göteborg</v>
      </c>
      <c r="G146">
        <v>2024</v>
      </c>
      <c r="H146" s="68" t="s">
        <v>118</v>
      </c>
      <c r="I146" t="e">
        <f>IF(COUNTIFS($E:$E,"=Delregion Fyrbodal",$C:$C,"=Funktionsnedsättning SoL",$A:$A,"&gt;2024-01-01",$A:$A,"&lt;2024-12-31")=0,FIND(" ",O24,1),COUNTIFS($E:$E,"=Delregion Fyrbodal",$C:$C,"=Funktionsnedsättning SoL",$A:$A,"&gt;2024-01-01",$A:$A,"&lt;2024-12-31"))</f>
        <v>#VALUE!</v>
      </c>
      <c r="J146" t="e">
        <f>IF(COUNTIFS($E:$E,"=Delregion Göteborg",$C:$C,"=Funktionsnedsättning SoL",$A:$A,"&gt;2024-01-01",$A:$A,"&lt;2024-12-31")=0,FIND(" ",O24,1),COUNTIFS($E:$E,"=Delregion Göteborg",$C:$C,"=Funktionsnedsättning SoL",$A:$A,"&gt;2024-01-01",$A:$A,"&lt;2024-12-31"))</f>
        <v>#VALUE!</v>
      </c>
      <c r="K146" t="e">
        <f>IF(COUNTIFS($E:$E,"=Delregion SIMBA",$C:$C,"=Funktionsnedsättning SoL",$A:$A,"&gt;2024-01-01",$A:$A,"&lt;2024-12-31")=0,FIND(" ",O24,1),COUNTIFS($E:$E,"=Delregion SIMBA",$C:$C,"=Funktionsnedsättning SoL",$A:$A,"&gt;2024-01-01",$A:$A,"&lt;2024-12-31"))</f>
        <v>#VALUE!</v>
      </c>
      <c r="L146" t="e">
        <f>IF(COUNTIFS($E:$E,"=Delregion Skaraborg",$C:$C,"=Funktionsnedsättning SoL",$A:$A,"&gt;2024-01-01",$A:$A,"&lt;2024-12-31")=0,FIND(" ",O24,1),COUNTIFS($E:$E,"=Delregion Skaraborg",$C:$C,"=Funktionsnedsättning SoL",$A:$A,"&gt;2024-01-01",$A:$A,"&lt;2024-12-31"))</f>
        <v>#VALUE!</v>
      </c>
      <c r="M146" t="e">
        <f>IF(COUNTIFS($E:$E,"=Delregion Södra Älvsborg",$C:$C,"=Funktionsnedsättning SoL",$A:$A,"&gt;2024-01-01",$A:$A,"&lt;2024-12-31")=0,FIND(" ",O24,1),COUNTIFS($E:$E,"=Delregion Södra Älvsborg",$C:$C,"=Funktionsnedsättning SoL",$A:$A,"&gt;2024-01-01",$A:$A,"&lt;2024-12-31"))</f>
        <v>#VALUE!</v>
      </c>
      <c r="N146" t="e">
        <f t="shared" si="6"/>
        <v>#VALUE!</v>
      </c>
    </row>
    <row r="147" spans="1:14" ht="14.45" customHeight="1">
      <c r="A147" s="64">
        <v>41887</v>
      </c>
      <c r="B147" s="65" t="s">
        <v>115</v>
      </c>
      <c r="C147" s="65" t="s">
        <v>91</v>
      </c>
      <c r="D147" s="65" t="s">
        <v>75</v>
      </c>
      <c r="E147" t="str">
        <f t="shared" si="5"/>
        <v>Delregion Göteborg</v>
      </c>
      <c r="G147">
        <v>2024</v>
      </c>
      <c r="H147" s="68" t="s">
        <v>100</v>
      </c>
      <c r="I147" t="e">
        <f>IF(COUNTIFS($E:$E,"=Delregion Fyrbodal",$C:$C,"=Missbruk",$A:$A,"&gt;2024-01-01",$A:$A,"&lt;2024-12-31")=0,FIND(" ",O25,1),COUNTIFS($E:$E,"=Delregion Fyrbodal",$C:$C,"=Missbruk",$A:$A,"&gt;2024-01-01",$A:$A,"&lt;2024-12-31"))</f>
        <v>#VALUE!</v>
      </c>
      <c r="J147" t="e">
        <f>IF(COUNTIFS($E:$E,"=Delregion Göteborg",$C:$C,"=Missbruk",$A:$A,"&gt;2024-01-01",$A:$A,"&lt;2024-12-31")=0,FIND(" ",O25,1),COUNTIFS($E:$E,"=Delregion Göteborg",$C:$C,"=Missbruk",$A:$A,"&gt;2024-01-01",$A:$A,"&lt;2024-12-31"))</f>
        <v>#VALUE!</v>
      </c>
      <c r="K147" t="e">
        <f>IF(COUNTIFS($E:$E,"=Delregion SIMBA",$C:$C,"=Missbruk",$A:$A,"&gt;2024-01-01",$A:$A,"&lt;2024-12-31")=0,FIND(" ",O25,1),COUNTIFS($E:$E,"=Delregion SIMBA",$C:$C,"=Missbruk",$A:$A,"&gt;2024-01-01",$A:$A,"&lt;2024-12-31"))</f>
        <v>#VALUE!</v>
      </c>
      <c r="L147" t="e">
        <f>IF(COUNTIFS($E:$E,"=Delregion Skaraborg",$C:$C,"=Missbruk",$A:$A,"&gt;2024-01-01",$A:$A,"&lt;2024-12-31")=0,FIND(" ",O25,1),COUNTIFS($E:$E,"=Delregion Skaraborg",$C:$C,"=Missbruk",$A:$A,"&gt;2024-01-01",$A:$A,"&lt;2024-12-31"))</f>
        <v>#VALUE!</v>
      </c>
      <c r="M147" t="e">
        <f>IF(COUNTIFS($E:$E,"=Delregion Södra Älvsborg",$C:$C,"=Missbruk",$A:$A,"&gt;2024-01-01",$A:$A,"&lt;2024-12-31")=0,FIND(" ",O25,1),COUNTIFS($E:$E,"=Delregion Södra Älvsborg",$C:$C,"=Missbruk",$A:$A,"&gt;2024-01-01",$A:$A,"&lt;2024-12-31"))</f>
        <v>#VALUE!</v>
      </c>
      <c r="N147" t="e">
        <f t="shared" si="6"/>
        <v>#VALUE!</v>
      </c>
    </row>
    <row r="148" spans="1:14" ht="14.45" customHeight="1">
      <c r="A148" s="64">
        <v>41890</v>
      </c>
      <c r="B148" s="65" t="s">
        <v>73</v>
      </c>
      <c r="C148" s="65" t="s">
        <v>91</v>
      </c>
      <c r="D148" s="65" t="s">
        <v>75</v>
      </c>
      <c r="E148" t="str">
        <f t="shared" si="5"/>
        <v>Delregion Göteborg</v>
      </c>
      <c r="G148">
        <v>2024</v>
      </c>
      <c r="H148" s="68" t="s">
        <v>201</v>
      </c>
      <c r="I148" t="e">
        <f>IF(COUNTIFS($E:$E,"=Delregion Fyrbodal",$C:$C,"=Äldreomsorg",$A:$A,"&gt;2024-01-01",$A:$A,"&lt;2024-12-31")=0,FIND(" ",O26,1),COUNTIFS($E:$E,"=Delregion Fyrbodal",$C:$C,"=Äldreomsorg",$A:$A,"&gt;2024-01-01",$A:$A,"&lt;2024-12-31"))</f>
        <v>#VALUE!</v>
      </c>
      <c r="J148" t="e">
        <f>IF(COUNTIFS($E:$E,"=Delregion Göteborg",$C:$C,"=Äldreomsorg",$A:$A,"&gt;2024-01-01",$A:$A,"&lt;2024-12-31")=0,FIND(" ",O26,1),COUNTIFS($E:$E,"=Delregion Göteborg",$C:$C,"=Äldreomsorg",$A:$A,"&gt;2024-01-01",$A:$A,"&lt;2024-12-31"))</f>
        <v>#VALUE!</v>
      </c>
      <c r="K148" t="e">
        <f>IF(COUNTIFS($E:$E,"=Delregion SIMBA",$C:$C,"=Äldreomsorg",$A:$A,"&gt;2024-01-01",$A:$A,"&lt;2024-12-31")=0,FIND(" ",O26,1),COUNTIFS($E:$E,"=Delregion SIMBA",$C:$C,"=Äldreomsorg",$A:$A,"&gt;2024-01-01",$A:$A,"&lt;2024-12-31"))</f>
        <v>#VALUE!</v>
      </c>
      <c r="L148" t="e">
        <f>IF(COUNTIFS($E:$E,"=Delregion Skaraborg",$C:$C,"=Äldreomsorg",$A:$A,"&gt;2024-01-01",$A:$A,"&lt;2024-12-31")=0,FIND(" ",O26,1),COUNTIFS($E:$E,"=Delregion Skaraborg",$C:$C,"=Äldreomsorg",$A:$A,"&gt;2024-01-01",$A:$A,"&lt;2024-12-31"))</f>
        <v>#VALUE!</v>
      </c>
      <c r="M148" t="e">
        <f>IF(COUNTIFS($E:$E,"=Delregion Södra Älvsborg",$C:$C,"=Äldreomsorg",$A:$A,"&gt;2024-01-01",$A:$A,"&lt;2024-12-31")=0,FIND(" ",O26,1),COUNTIFS($E:$E,"=Delregion Södra Älvsborg",$C:$C,"=Äldreomsorg",$A:$A,"&gt;2024-01-01",$A:$A,"&lt;2024-12-31"))</f>
        <v>#VALUE!</v>
      </c>
      <c r="N148" t="e">
        <f t="shared" si="6"/>
        <v>#VALUE!</v>
      </c>
    </row>
    <row r="149" spans="1:14" ht="14.45" customHeight="1">
      <c r="A149" s="64">
        <v>41891</v>
      </c>
      <c r="B149" s="65" t="s">
        <v>81</v>
      </c>
      <c r="C149" s="65" t="s">
        <v>85</v>
      </c>
      <c r="D149" s="65" t="s">
        <v>75</v>
      </c>
      <c r="E149" t="str">
        <f t="shared" si="5"/>
        <v>Delregion Fyrbodal</v>
      </c>
      <c r="G149">
        <v>2024</v>
      </c>
      <c r="H149" s="68" t="s">
        <v>79</v>
      </c>
      <c r="I149" t="e">
        <f>IF(COUNTIFS($E:$E,"=Delregion Fyrbodal",$C:$C,"=Övrig socialtjänst",$A:$A,"&gt;2024-01-01",$A:$A,"&lt;2024-12-31")=0,FIND(" ",O27,1),COUNTIFS($E:$E,"=Delregion Fyrbodal",$C:$C,"=Övrig socialtjänst",$A:$A,"&gt;2024-01-01",$A:$A,"&lt;2024-12-31"))</f>
        <v>#VALUE!</v>
      </c>
      <c r="J149" t="e">
        <f>IF(COUNTIFS($E:$E,"=Delregion Göteborg",$C:$C,"=Övrig socialtjänst",$A:$A,"&gt;2024-01-01",$A:$A,"&lt;2024-12-31")=0,FIND(" ",O27,1),COUNTIFS($E:$E,"=Delregion Göteborg",$C:$C,"=Övrig socialtjänst",$A:$A,"&gt;2024-01-01",$A:$A,"&lt;2024-12-31"))</f>
        <v>#VALUE!</v>
      </c>
      <c r="K149" t="e">
        <f>IF(COUNTIFS($E:$E,"=Delregion SIMBA",$C:$C,"=Övrig socialtjänst",$A:$A,"&gt;2024-01-01",$A:$A,"&lt;2024-12-31")=0,FIND(" ",O27,1),COUNTIFS($E:$E,"=Delregion SIMBA",$C:$C,"=Övrig socialtjänst",$A:$A,"&gt;2024-01-01",$A:$A,"&lt;2024-12-31"))</f>
        <v>#VALUE!</v>
      </c>
      <c r="L149" t="e">
        <f>IF(COUNTIFS($E:$E,"=Delregion Skaraborg",$C:$C,"=Övrig socialtjänst",$A:$A,"&gt;2024-01-01",$A:$A,"&lt;2024-12-31")=0,FIND(" ",O27,1),COUNTIFS($E:$E,"=Delregion Skaraborg",$C:$C,"=Övrig socialtjänst",$A:$A,"&gt;2024-01-01",$A:$A,"&lt;2024-12-31"))</f>
        <v>#VALUE!</v>
      </c>
      <c r="M149" t="e">
        <f>IF(COUNTIFS($E:$E,"=Delregion Södra Älvsborg",$C:$C,"=Övrig socialtjänst",$A:$A,"&gt;2024-01-01",$A:$A,"&lt;2024-12-31")=0,FIND(" ",O27,1),COUNTIFS($E:$E,"=Delregion Södra Älvsborg",$C:$C,"=Övrig socialtjänst",$A:$A,"&gt;2024-01-01",$A:$A,"&lt;2024-12-31"))</f>
        <v>#VALUE!</v>
      </c>
      <c r="N149" t="e">
        <f t="shared" si="6"/>
        <v>#VALUE!</v>
      </c>
    </row>
    <row r="150" spans="1:14" ht="14.45" customHeight="1">
      <c r="A150" s="64">
        <v>41893</v>
      </c>
      <c r="B150" s="65" t="s">
        <v>105</v>
      </c>
      <c r="C150" s="65" t="s">
        <v>85</v>
      </c>
      <c r="D150" s="65" t="s">
        <v>75</v>
      </c>
      <c r="E150" t="str">
        <f t="shared" si="5"/>
        <v>Delregion Skaraborg</v>
      </c>
      <c r="G150">
        <v>2024</v>
      </c>
      <c r="H150" s="68" t="s">
        <v>126</v>
      </c>
      <c r="I150" t="e">
        <f>IF(COUNTIFS($E:$E,"=Delregion Fyrbodal",$D:$D,"=Hälso- och sjukvård",$A:$A,"&gt;2024-01-01",$A:$A,"&lt;2024-12-31")=0,FIND(" ",O21,1),COUNTIFS($E:$E,"=Delregion Fyrbodal",$D:$D,"=Hälso- och sjukvård",$A:$A,"&gt;2024-01-01",$A:$A,"&lt;2024-12-31"))</f>
        <v>#VALUE!</v>
      </c>
      <c r="J150" t="e">
        <f>IF(COUNTIFS($E:$E,"=Delregion Göteborg",$D:$D,"=Hälso- och sjukvård",$A:$A,"&gt;2024-01-01",$A:$A,"&lt;2024-12-31")=0,FIND(" ",O21,1),COUNTIFS($E:$E,"=Delregion Göteborg",$D:$D,"=Hälso- och sjukvård",$A:$A,"&gt;2024-01-01",$A:$A,"&lt;2024-12-31"))</f>
        <v>#VALUE!</v>
      </c>
      <c r="K150" t="e">
        <f>IF(COUNTIFS($E:$E,"=Delregion SIMBA",$D:$D,"=Hälso- och sjukvård",$A:$A,"&gt;2024-01-01",$A:$A,"&lt;2024-12-31")=0,FIND(" ",O21,1),COUNTIFS($E:$E,"=Delregion SIMBA",$D:$D,"=Hälso- och sjukvård",$A:$A,"&gt;2024-01-01",$A:$A,"&lt;2024-12-31"))</f>
        <v>#VALUE!</v>
      </c>
      <c r="L150" t="e">
        <f>IF(COUNTIFS($E:$E,"=Delregion Skaraborg",$D:$D,"=Hälso- och sjukvård",$A:$A,"&gt;2024-01-01",$A:$A,"&lt;2024-12-31")=0,FIND(" ",O21,1),COUNTIFS($E:$E,"=Delregion Skaraborg",$D:$D,"=Hälso- och sjukvård",$A:$A,"&gt;2024-01-01",$A:$A,"&lt;2024-12-31"))</f>
        <v>#VALUE!</v>
      </c>
      <c r="M150" t="e">
        <f>IF(COUNTIFS($E:$E,"=Delregion Södra Älvsborg",$D:$D,"=Hälso- och sjukvård",$A:$A,"&gt;2024-01-01",$A:$A,"&lt;2024-12-31")=0,FIND(" ",O21,1),COUNTIFS($E:$E,"=Delregion Södra Älvsborg",$D:$D,"=Hälso- och sjukvård",$A:$A,"&gt;2024-01-01",$A:$A,"&lt;2024-12-31"))</f>
        <v>#VALUE!</v>
      </c>
      <c r="N150" t="e">
        <f t="shared" si="6"/>
        <v>#VALUE!</v>
      </c>
    </row>
    <row r="151" spans="1:14" ht="14.45" customHeight="1">
      <c r="A151" s="64">
        <v>41893</v>
      </c>
      <c r="B151" s="65" t="s">
        <v>73</v>
      </c>
      <c r="C151" s="65" t="s">
        <v>118</v>
      </c>
      <c r="D151" s="65" t="s">
        <v>75</v>
      </c>
      <c r="E151" t="str">
        <f t="shared" si="5"/>
        <v>Delregion Göteborg</v>
      </c>
      <c r="G151">
        <v>2024</v>
      </c>
      <c r="H151" s="68" t="s">
        <v>200</v>
      </c>
      <c r="I151" t="e">
        <f>IF(COUNTIFS($E:$E,"=Delregion Fyrbodal",$C:$C,"=Hemsjukvård i ordinärt boende",$A:$A,"&gt;2024-01-01",$A:$A,"&lt;2024-12-31")=0,FIND(" ",O22,1),COUNTIFS($E:$E,"=Delregion Fyrbodal",$C:$C,"=Hemsjukvård i ordinärt boende",$A:$A,"&gt;2024-01-01",$A:$A,"&lt;2024-12-31"))</f>
        <v>#VALUE!</v>
      </c>
      <c r="J151" t="e">
        <f>IF(COUNTIFS($E:$E,"=Delregion Göteborg",$C:$C,"=Hemsjukvård i ordinärt boende",$A:$A,"&gt;2024-01-01",$A:$A,"&lt;2024-12-31")=0,FIND(" ",O22,1),COUNTIFS($E:$E,"=Delregion Göteborg",$C:$C,"=Hemsjukvård i ordinärt boende",$A:$A,"&gt;2024-01-01",$A:$A,"&lt;2024-12-31"))</f>
        <v>#VALUE!</v>
      </c>
      <c r="K151" t="e">
        <f>IF(COUNTIFS($E:$E,"=Delregion SIMBA",$C:$C,"=Hemsjukvård i ordinärt boende",$A:$A,"&gt;2024-01-01",$A:$A,"&lt;2024-12-31")=0,FIND(" ",O22,1),COUNTIFS($E:$E,"=Delregion SIMBA",$C:$C,"=Hemsjukvård i ordinärt boende",$A:$A,"&gt;2024-01-01",$A:$A,"&lt;2024-12-31"))</f>
        <v>#VALUE!</v>
      </c>
      <c r="L151" t="e">
        <f>IF(COUNTIFS($E:$E,"=Delregion Skaraborg",$C:$C,"=Hemsjukvård i ordinärt boende",$A:$A,"&gt;2024-01-01",$A:$A,"&lt;2024-12-31")=0,FIND(" ",O22,1),COUNTIFS($E:$E,"=Delregion Skaraborg",$C:$C,"=Hemsjukvård i ordinärt boende",$A:$A,"&gt;2024-01-01",$A:$A,"&lt;2024-12-31"))</f>
        <v>#VALUE!</v>
      </c>
      <c r="M151" t="e">
        <f>IF(COUNTIFS($E:$E,"=Delregion Södra Älvsborg",$C:$C,"=Hemsjukvård i ordinärt boende",$A:$A,"&gt;2024-01-01",$A:$A,"&lt;2024-12-31")=0,FIND(" ",O22,1),COUNTIFS($E:$E,"=Delregion Södra Älvsborg",$C:$C,"=Hemsjukvård i ordinärt boende",$A:$A,"&gt;2024-01-01",$A:$A,"&lt;2024-12-31"))</f>
        <v>#VALUE!</v>
      </c>
      <c r="N151" t="e">
        <f t="shared" si="6"/>
        <v>#VALUE!</v>
      </c>
    </row>
    <row r="152" spans="1:14" ht="14.45" customHeight="1">
      <c r="A152" s="64">
        <v>41894</v>
      </c>
      <c r="B152" s="65" t="s">
        <v>73</v>
      </c>
      <c r="C152" s="65" t="s">
        <v>85</v>
      </c>
      <c r="D152" s="65" t="s">
        <v>75</v>
      </c>
      <c r="E152" t="str">
        <f t="shared" si="5"/>
        <v>Delregion Göteborg</v>
      </c>
      <c r="G152">
        <v>2024</v>
      </c>
      <c r="H152" s="68" t="s">
        <v>128</v>
      </c>
      <c r="I152" t="e">
        <f>IF(COUNTIFS($E:$E,"=Delregion Fyrbodal",$C:$C,"=Prehospital vård",$A:$A,"&gt;2024-01-01",$A:$A,"&lt;2024-12-31")=0,FIND(" ",O23,1),COUNTIFS($E:$E,"=Delregion Fyrbodal",$C:$C,"=Prehospital vård",$A:$A,"&gt;2024-01-01",$A:$A,"&lt;2024-12-31"))</f>
        <v>#VALUE!</v>
      </c>
      <c r="J152" t="e">
        <f>IF(COUNTIFS($E:$E,"=Delregion Göteborg",$C:$C,"=Prehospital vård",$A:$A,"&gt;2024-01-01",$A:$A,"&lt;2024-12-31")=0,FIND(" ",O23,1),COUNTIFS($E:$E,"=Delregion Göteborg",$C:$C,"=Prehospital vård",$A:$A,"&gt;2024-01-01",$A:$A,"&lt;2024-12-31"))</f>
        <v>#VALUE!</v>
      </c>
      <c r="K152" t="e">
        <f>IF(COUNTIFS($E:$E,"=Delregion SIMBA",$C:$C,"=Prehospital vård",$A:$A,"&gt;2024-01-01",$A:$A,"&lt;2024-12-31")=0,FIND(" ",O23,1),COUNTIFS($E:$E,"=Delregion SIMBA",$C:$C,"=Prehospital vård",$A:$A,"&gt;2024-01-01",$A:$A,"&lt;2024-12-31"))</f>
        <v>#VALUE!</v>
      </c>
      <c r="L152" t="e">
        <f>IF(COUNTIFS($E:$E,"=Delregion Skaraborg",$C:$C,"=Prehospital vård",$A:$A,"&gt;2024-01-01",$A:$A,"&lt;2024-12-31")=0,FIND(" ",O23,1),COUNTIFS($E:$E,"=Delregion Skaraborg",$C:$C,"=Prehospital vård",$A:$A,"&gt;2024-01-01",$A:$A,"&lt;2024-12-31"))</f>
        <v>#VALUE!</v>
      </c>
      <c r="M152" t="e">
        <f>IF(COUNTIFS($E:$E,"=Delregion Södra Älvsborg",$C:$C,"=Prehospital vård",$A:$A,"&gt;2024-01-01",$A:$A,"&lt;2024-12-31")=0,FIND(" ",O23,1),COUNTIFS($E:$E,"=Delregion Södra Älvsborg",$C:$C,"=Prehospital vård",$A:$A,"&gt;2024-01-01",$A:$A,"&lt;2024-12-31"))</f>
        <v>#VALUE!</v>
      </c>
      <c r="N152" t="e">
        <f t="shared" si="6"/>
        <v>#VALUE!</v>
      </c>
    </row>
    <row r="153" spans="1:14" ht="14.45" customHeight="1">
      <c r="A153" s="64">
        <v>41894</v>
      </c>
      <c r="B153" s="65" t="s">
        <v>78</v>
      </c>
      <c r="C153" s="65" t="s">
        <v>91</v>
      </c>
      <c r="D153" s="65" t="s">
        <v>126</v>
      </c>
      <c r="E153" t="str">
        <f t="shared" si="5"/>
        <v>Delregion SIMBA</v>
      </c>
      <c r="G153">
        <v>2024</v>
      </c>
      <c r="H153" s="68" t="s">
        <v>127</v>
      </c>
      <c r="I153" t="e">
        <f>IF(COUNTIFS($E:$E,"=Delregion Fyrbodal",$C:$C,"=Primärvård, utom hemsjukvård",$A:$A,"&gt;2024-01-01",$A:$A,"&lt;2024-12-31")=0,FIND(" ",O25,1),COUNTIFS($E:$E,"=Delregion Fyrbodal",$C:$C,"=Primärvård, utom hemsjukvård",$A:$A,"&gt;2024-01-01",$A:$A,"&lt;2024-12-31"))</f>
        <v>#VALUE!</v>
      </c>
      <c r="J153" t="e">
        <f>IF(COUNTIFS($E:$E,"=Delregion Göteborg",$C:$C,"=Primärvård, utom hemsjukvård",$A:$A,"&gt;2024-01-01",$A:$A,"&lt;2024-12-31")=0,FIND(" ",O25,1),COUNTIFS($E:$E,"=Delregion Göteborg",$C:$C,"=Primärvård, utom hemsjukvård",$A:$A,"&gt;2024-01-01",$A:$A,"&lt;2024-12-31"))</f>
        <v>#VALUE!</v>
      </c>
      <c r="K153" t="e">
        <f>IF(COUNTIFS($E:$E,"=Delregion SIMBA",$C:$C,"=Primärvård, utom hemsjukvård",$A:$A,"&gt;2024-01-01",$A:$A,"&lt;2024-12-31")=0,FIND(" ",O25,1),COUNTIFS($E:$E,"=Delregion SIMBA",$C:$C,"=Primärvård, utom hemsjukvård",$A:$A,"&gt;2024-01-01",$A:$A,"&lt;2024-12-31"))</f>
        <v>#VALUE!</v>
      </c>
      <c r="L153" t="e">
        <f>IF(COUNTIFS($E:$E,"=Delregion Skaraborg",$C:$C,"=Primärvård, utom hemsjukvård",$A:$A,"&gt;2024-01-01",$A:$A,"&lt;2024-12-31")=0,FIND(" ",O25,1),COUNTIFS($E:$E,"=Delregion Skaraborg",$C:$C,"=Primärvård, utom hemsjukvård",$A:$A,"&gt;2024-01-01",$A:$A,"&lt;2024-12-31"))</f>
        <v>#VALUE!</v>
      </c>
      <c r="M153" t="e">
        <f>IF(COUNTIFS($E:$E,"=Delregion Södra Älvsborg",$C:$C,"=Primärvård, utom hemsjukvård",$A:$A,"&gt;2024-01-01",$A:$A,"&lt;2024-12-31")=0,FIND(" ",O25,1),COUNTIFS($E:$E,"=Delregion Södra Älvsborg",$C:$C,"=Primärvård, utom hemsjukvård",$A:$A,"&gt;2024-01-01",$A:$A,"&lt;2024-12-31"))</f>
        <v>#VALUE!</v>
      </c>
      <c r="N153" t="e">
        <f t="shared" si="6"/>
        <v>#VALUE!</v>
      </c>
    </row>
    <row r="154" spans="1:14" ht="14.45" customHeight="1">
      <c r="A154" s="64">
        <v>41899</v>
      </c>
      <c r="B154" s="65" t="s">
        <v>76</v>
      </c>
      <c r="C154" s="65" t="s">
        <v>85</v>
      </c>
      <c r="D154" s="65" t="s">
        <v>75</v>
      </c>
      <c r="E154" t="str">
        <f t="shared" si="5"/>
        <v>Delregion Skaraborg</v>
      </c>
      <c r="G154">
        <v>2024</v>
      </c>
      <c r="H154" s="68" t="s">
        <v>129</v>
      </c>
      <c r="I154" t="e">
        <f>IF(COUNTIFS($E:$E,"=Delregion Fyrbodal",$C:$C,"=Psykiatrisk specialistsjukvård",$A:$A,"&gt;2024-01-01",$A:$A,"&lt;2024-12-31")=0,FIND(" ",O26,1),COUNTIFS($E:$E,"=Delregion Fyrbodal",$C:$C,"=Psykiatrisk specialistsjukvård",$A:$A,"&gt;2024-01-01",$A:$A,"&lt;2024-12-31"))</f>
        <v>#VALUE!</v>
      </c>
      <c r="J154" t="e">
        <f>IF(COUNTIFS($E:$E,"=Delregion Göteborg",$C:$C,"=Psykiatrisk specialistsjukvård",$A:$A,"&gt;2024-01-01",$A:$A,"&lt;2024-12-31")=0,FIND(" ",O26,1),COUNTIFS($E:$E,"=Delregion Göteborg",$C:$C,"=Psykiatrisk specialistsjukvård",$A:$A,"&gt;2024-01-01",$A:$A,"&lt;2024-12-31"))</f>
        <v>#VALUE!</v>
      </c>
      <c r="K154" t="e">
        <f>IF(COUNTIFS($E:$E,"=Delregion SIMBA",$C:$C,"=Psykiatrisk specialistsjukvård",$A:$A,"&gt;2024-01-01",$A:$A,"&lt;2024-12-31")=0,FIND(" ",O26,1),COUNTIFS($E:$E,"=Delregion SIMBA",$C:$C,"=Psykiatrisk specialistsjukvård",$A:$A,"&gt;2024-01-01",$A:$A,"&lt;2024-12-31"))</f>
        <v>#VALUE!</v>
      </c>
      <c r="L154" t="e">
        <f>IF(COUNTIFS($E:$E,"=Delregion Skaraborg",$C:$C,"=Psykiatrisk specialistsjukvård",$A:$A,"&gt;2024-01-01",$A:$A,"&lt;2024-12-31")=0,FIND(" ",O26,1),COUNTIFS($E:$E,"=Delregion Skaraborg",$C:$C,"=Psykiatrisk specialistsjukvård",$A:$A,"&gt;2024-01-01",$A:$A,"&lt;2024-12-31"))</f>
        <v>#VALUE!</v>
      </c>
      <c r="M154" t="e">
        <f>IF(COUNTIFS($E:$E,"=Delregion Södra Älvsborg",$C:$C,"=Psykiatrisk specialistsjukvård",$A:$A,"&gt;2024-01-01",$A:$A,"&lt;2024-12-31")=0,FIND(" ",O26,1),COUNTIFS($E:$E,"=Delregion Södra Älvsborg",$C:$C,"=Psykiatrisk specialistsjukvård",$A:$A,"&gt;2024-01-01",$A:$A,"&lt;2024-12-31"))</f>
        <v>#VALUE!</v>
      </c>
      <c r="N154" t="e">
        <f t="shared" si="6"/>
        <v>#VALUE!</v>
      </c>
    </row>
    <row r="155" spans="1:14" ht="14.45" customHeight="1">
      <c r="A155" s="64">
        <v>41899</v>
      </c>
      <c r="B155" s="65" t="s">
        <v>73</v>
      </c>
      <c r="C155" s="65" t="s">
        <v>85</v>
      </c>
      <c r="D155" s="65" t="s">
        <v>75</v>
      </c>
      <c r="E155" t="str">
        <f t="shared" si="5"/>
        <v>Delregion Göteborg</v>
      </c>
      <c r="G155">
        <v>2024</v>
      </c>
      <c r="H155" s="68" t="s">
        <v>198</v>
      </c>
      <c r="I155" t="e">
        <f>IF(SUM(I143:I150)=0,FIND(" ",O21,1),SUM(I143:I150))</f>
        <v>#VALUE!</v>
      </c>
      <c r="J155" t="e">
        <f>IF(SUM(J143:J150)=0,FIND(" ",O21,1),SUM(J143:J150))</f>
        <v>#VALUE!</v>
      </c>
      <c r="K155" t="e">
        <f>IF(SUM(K143:K150)=0,FIND(" ",O21,1),SUM(K143:K150))</f>
        <v>#VALUE!</v>
      </c>
      <c r="L155" t="e">
        <f>IF(SUM(L143:L150)=0,FIND(" ",O21,1),SUM(L143:L150))</f>
        <v>#VALUE!</v>
      </c>
      <c r="M155" t="e">
        <f>IF(SUM(M143:M150)=0,FIND(" ",O21,1),SUM(M143:M150))</f>
        <v>#VALUE!</v>
      </c>
      <c r="N155" t="e">
        <f t="shared" si="6"/>
        <v>#VALUE!</v>
      </c>
    </row>
    <row r="156" spans="1:14" ht="14.45" customHeight="1">
      <c r="A156" s="64">
        <v>41899</v>
      </c>
      <c r="B156" s="65" t="s">
        <v>94</v>
      </c>
      <c r="C156" s="65" t="s">
        <v>83</v>
      </c>
      <c r="D156" s="65" t="s">
        <v>75</v>
      </c>
      <c r="E156" t="str">
        <f t="shared" si="5"/>
        <v>Delregion Fyrbodal</v>
      </c>
      <c r="G156">
        <v>2025</v>
      </c>
      <c r="H156" s="68" t="s">
        <v>75</v>
      </c>
      <c r="I156" t="e">
        <f>IF(COUNTIFS($E:$E,"=Delregion Fyrbodal",$D:$D,"=Socialtjänst",$A:$A,"&gt;2025-01-01",$A:$A,"&lt;2025-12-31")=0,FIND(" ",O21,1),COUNTIFS($E:$E,"=Delregion Fyrbodal",$D:$D,"=Socialtjänst",$A:$A,"&gt;2025-01-01",$A:$A,"&lt;2025-12-31"))</f>
        <v>#VALUE!</v>
      </c>
      <c r="J156" t="e">
        <f>IF(COUNTIFS($E:$E,"=Delregion Göteborg",$D:$D,"=Socialtjänst",$A:$A,"&gt;2025-01-01",$A:$A,"&lt;2025-12-31")=0,FIND(" ",O21,1),COUNTIFS($E:$E,"=Delregion Göteborg",$D:$D,"=Socialtjänst",$A:$A,"&gt;2025-01-01",$A:$A,"&lt;2025-12-31"))</f>
        <v>#VALUE!</v>
      </c>
      <c r="K156" t="e">
        <f>IF(COUNTIFS($E:$E,"=Delregion SIMBA",$D:$D,"=Socialtjänst",$A:$A,"&gt;2025-01-01",$A:$A,"&lt;2025-12-31")=0,FIND(" ",O21,1),COUNTIFS($E:$E,"=Delregion SIMBA",$D:$D,"=Socialtjänst",$A:$A,"&gt;2025-01-01",$A:$A,"&lt;2025-12-31"))</f>
        <v>#VALUE!</v>
      </c>
      <c r="L156" t="e">
        <f>IF(COUNTIFS($E:$E,"=Delregion Skaraborg",$D:$D,"=Socialtjänst",$A:$A,"&gt;2025-01-01",$A:$A,"&lt;2025-12-31")=0,FIND(" ",O21,1),COUNTIFS($E:$E,"=Delregion Skaraborg",$D:$D,"=Socialtjänst",$A:$A,"&gt;2025-01-01",$A:$A,"&lt;2025-12-31"))</f>
        <v>#VALUE!</v>
      </c>
      <c r="M156" t="e">
        <f>IF(COUNTIFS($E:$E,"=Delregion Södra Älvsborg",$D:$D,"=Socialtjänst",$A:$A,"&gt;2025-01-01",$A:$A,"&lt;2025-12-31")=0,FIND(" ",O21,1),COUNTIFS($E:$E,"=Delregion Södra Älvsborg",$D:$D,"=Socialtjänst",$A:$A,"&gt;2025-01-01",$A:$A,"&lt;2025-12-31"))</f>
        <v>#VALUE!</v>
      </c>
      <c r="N156" t="e">
        <f t="shared" si="6"/>
        <v>#VALUE!</v>
      </c>
    </row>
    <row r="157" spans="1:14" ht="14.45" customHeight="1">
      <c r="A157" s="64">
        <v>41904</v>
      </c>
      <c r="B157" s="65" t="s">
        <v>99</v>
      </c>
      <c r="C157" s="65" t="s">
        <v>85</v>
      </c>
      <c r="D157" s="65" t="s">
        <v>75</v>
      </c>
      <c r="E157" t="str">
        <f t="shared" si="5"/>
        <v>Delregion Skaraborg</v>
      </c>
      <c r="G157">
        <v>2025</v>
      </c>
      <c r="H157" s="68" t="str">
        <f>"Ekonomiskt bistånd"</f>
        <v>Ekonomiskt bistånd</v>
      </c>
      <c r="I157" t="e">
        <f>IF(COUNTIFS($E:$E,"=Delregion Fyrbodal",$C:$C,"=Ekonomiskt bistånd",$A:$A,"&gt;2025-01-01",$A:$A,"&lt;2025-12-31")=0,FIND(" ",O22,1),COUNTIFS($E:$E,"=Delregion Fyrbodal",$C:$C,"=Ekonomiskt bistånd",$A:$A,"&gt;2025-01-01",$A:$A,"&lt;2025-12-31"))</f>
        <v>#VALUE!</v>
      </c>
      <c r="J157" t="e">
        <f>IF(COUNTIFS($E:$E,"=Delregion Göteborg",$C:$C,"=Ekonomiskt bistånd",$A:$A,"&gt;2025-01-01",$A:$A,"&lt;2025-12-31")=0,FIND(" ",O22,1),COUNTIFS($E:$E,"=Delregion Göteborg",$C:$C,"=Ekonomiskt bistånd",$A:$A,"&gt;2025-01-01",$A:$A,"&lt;2025-12-31"))</f>
        <v>#VALUE!</v>
      </c>
      <c r="K157" t="e">
        <f>IF(COUNTIFS($E:$E,"=Delregion SIMBA",$C:$C,"=Ekonomiskt bistånd",$A:$A,"&gt;2025-01-01",$A:$A,"&lt;2025-12-31")=0,FIND(" ",O22,1),COUNTIFS($E:$E,"=Delregion SIMBA",$C:$C,"=Ekonomiskt bistånd",$A:$A,"&gt;2025-01-01",$A:$A,"&lt;2025-12-31"))</f>
        <v>#VALUE!</v>
      </c>
      <c r="L157" t="e">
        <f>IF(COUNTIFS($E:$E,"=Delregion Skaraborg",$C:$C,"=Ekonomiskt bistånd",$A:$A,"&gt;2025-01-01",$A:$A,"&lt;2025-12-31")=0,FIND(" ",O22,1),COUNTIFS($E:$E,"=Delregion Skaraborg",$C:$C,"=Ekonomiskt bistånd",$A:$A,"&gt;2025-01-01",$A:$A,"&lt;2025-12-31"))</f>
        <v>#VALUE!</v>
      </c>
      <c r="M157" t="e">
        <f>IF(COUNTIFS($E:$E,"=Delregion Södra Älvsborg",$C:$C,"=Ekonomiskt bistånd",$A:$A,"&gt;2025-01-01",$A:$A,"&lt;2025-12-31")=0,FIND(" ",O22,1),COUNTIFS($E:$E,"=Delregion Södra Älvsborg",$C:$C,"=Ekonomiskt bistånd",$A:$A,"&gt;2025-01-01",$A:$A,"&lt;2025-12-31"))</f>
        <v>#VALUE!</v>
      </c>
      <c r="N157" t="e">
        <f t="shared" si="6"/>
        <v>#VALUE!</v>
      </c>
    </row>
    <row r="158" spans="1:14" ht="14.45" customHeight="1">
      <c r="A158" s="64">
        <v>41904</v>
      </c>
      <c r="B158" s="65" t="s">
        <v>73</v>
      </c>
      <c r="C158" s="65" t="s">
        <v>131</v>
      </c>
      <c r="D158" s="65" t="s">
        <v>126</v>
      </c>
      <c r="E158" t="str">
        <f t="shared" si="5"/>
        <v>Delregion Göteborg</v>
      </c>
      <c r="G158">
        <v>2025</v>
      </c>
      <c r="H158" s="68" t="s">
        <v>96</v>
      </c>
      <c r="I158" t="e">
        <f>IF(COUNTIFS($E:$E,"=Delregion Fyrbodal",$C:$C,"=Funktionsnedsättning LSS",$A:$A,"&gt;2025-01-01",$A:$A,"&lt;2025-12-31")=0,FIND(" ",O23,1),COUNTIFS($E:$E,"=Delregion Fyrbodal",$C:$C,"=Funktionsnedsättning LSS",$A:$A,"&gt;2025-01-01",$A:$A,"&lt;2025-12-31"))</f>
        <v>#VALUE!</v>
      </c>
      <c r="J158" t="e">
        <f>IF(COUNTIFS($E:$E,"=Delregion Göteborg",$C:$C,"=Funktionsnedsättning LSS",$A:$A,"&gt;2025-01-01",$A:$A,"&lt;2025-12-31")=0,FIND(" ",O23,1),COUNTIFS($E:$E,"=Delregion Göteborg",$C:$C,"=Funktionsnedsättning LSS",$A:$A,"&gt;2025-01-01",$A:$A,"&lt;2025-12-31"))</f>
        <v>#VALUE!</v>
      </c>
      <c r="K158" t="e">
        <f>IF(COUNTIFS($E:$E,"=Delregion SIMBA",$C:$C,"=Funktionsnedsättning LSS",$A:$A,"&gt;2025-01-01",$A:$A,"&lt;2025-12-31")=0,FIND(" ",O23,1),COUNTIFS($E:$E,"=Delregion SIMBA",$C:$C,"=Funktionsnedsättning LSS",$A:$A,"&gt;2025-01-01",$A:$A,"&lt;2025-12-31"))</f>
        <v>#VALUE!</v>
      </c>
      <c r="L158" t="e">
        <f>IF(COUNTIFS($E:$E,"=Delregion Skaraborg",$C:$C,"=Funktionsnedsättning LSS",$A:$A,"&gt;2025-01-01",$A:$A,"&lt;2025-12-31")=0,FIND(" ",O23,1),COUNTIFS($E:$E,"=Delregion Skaraborg",$C:$C,"=Funktionsnedsättning LSS",$A:$A,"&gt;2025-01-01",$A:$A,"&lt;2025-12-31"))</f>
        <v>#VALUE!</v>
      </c>
      <c r="M158" t="e">
        <f>IF(COUNTIFS($E:$E,"=Delregion Södra Älvsborg",$C:$C,"=Funktionsnedsättning LSS",$A:$A,"&gt;2025-01-01",$A:$A,"&lt;2025-12-31")=0,FIND(" ",O23,1),COUNTIFS($E:$E,"=Delregion Södra Älvsborg",$C:$C,"=Funktionsnedsättning LSS",$A:$A,"&gt;2025-01-01",$A:$A,"&lt;2025-12-31"))</f>
        <v>#VALUE!</v>
      </c>
      <c r="N158" t="e">
        <f t="shared" si="6"/>
        <v>#VALUE!</v>
      </c>
    </row>
    <row r="159" spans="1:14" ht="14.45" customHeight="1">
      <c r="A159" s="64">
        <v>41905</v>
      </c>
      <c r="B159" s="65" t="s">
        <v>101</v>
      </c>
      <c r="C159" s="65" t="s">
        <v>85</v>
      </c>
      <c r="D159" s="65" t="s">
        <v>75</v>
      </c>
      <c r="E159" t="str">
        <f t="shared" si="5"/>
        <v>Delregion SIMBA</v>
      </c>
      <c r="G159">
        <v>2025</v>
      </c>
      <c r="H159" s="68" t="s">
        <v>118</v>
      </c>
      <c r="I159" t="e">
        <f>IF(COUNTIFS($E:$E,"=Delregion Fyrbodal",$C:$C,"=Funktionsnedsättning SoL",$A:$A,"&gt;2025-01-01",$A:$A,"&lt;2025-12-31")=0,FIND(" ",O24,1),COUNTIFS($E:$E,"=Delregion Fyrbodal",$C:$C,"=Funktionsnedsättning SoL",$A:$A,"&gt;2025-01-01",$A:$A,"&lt;2025-12-31"))</f>
        <v>#VALUE!</v>
      </c>
      <c r="J159" t="e">
        <f>IF(COUNTIFS($E:$E,"=Delregion Göteborg",$C:$C,"=Funktionsnedsättning SoL",$A:$A,"&gt;2025-01-01",$A:$A,"&lt;2025-12-31")=0,FIND(" ",O24,1),COUNTIFS($E:$E,"=Delregion Göteborg",$C:$C,"=Funktionsnedsättning SoL",$A:$A,"&gt;2025-01-01",$A:$A,"&lt;2025-12-31"))</f>
        <v>#VALUE!</v>
      </c>
      <c r="K159" t="e">
        <f>IF(COUNTIFS($E:$E,"=Delregion SIMBA",$C:$C,"=Funktionsnedsättning SoL",$A:$A,"&gt;2025-01-01",$A:$A,"&lt;2025-12-31")=0,FIND(" ",O24,1),COUNTIFS($E:$E,"=Delregion SIMBA",$C:$C,"=Funktionsnedsättning SoL",$A:$A,"&gt;2025-01-01",$A:$A,"&lt;2025-12-31"))</f>
        <v>#VALUE!</v>
      </c>
      <c r="L159" t="e">
        <f>IF(COUNTIFS($E:$E,"=Delregion Skaraborg",$C:$C,"=Funktionsnedsättning SoL",$A:$A,"&gt;2025-01-01",$A:$A,"&lt;2025-12-31")=0,FIND(" ",O24,1),COUNTIFS($E:$E,"=Delregion Skaraborg",$C:$C,"=Funktionsnedsättning SoL",$A:$A,"&gt;2025-01-01",$A:$A,"&lt;2025-12-31"))</f>
        <v>#VALUE!</v>
      </c>
      <c r="M159" t="e">
        <f>IF(COUNTIFS($E:$E,"=Delregion Södra Älvsborg",$C:$C,"=Funktionsnedsättning SoL",$A:$A,"&gt;2025-01-01",$A:$A,"&lt;2025-12-31")=0,FIND(" ",O24,1),COUNTIFS($E:$E,"=Delregion Södra Älvsborg",$C:$C,"=Funktionsnedsättning SoL",$A:$A,"&gt;2025-01-01",$A:$A,"&lt;2025-12-31"))</f>
        <v>#VALUE!</v>
      </c>
      <c r="N159" t="e">
        <f t="shared" si="6"/>
        <v>#VALUE!</v>
      </c>
    </row>
    <row r="160" spans="1:14" ht="14.45" customHeight="1">
      <c r="A160" s="64">
        <v>41906</v>
      </c>
      <c r="B160" s="65" t="s">
        <v>89</v>
      </c>
      <c r="C160" s="65" t="s">
        <v>85</v>
      </c>
      <c r="D160" s="65" t="s">
        <v>75</v>
      </c>
      <c r="E160" t="str">
        <f t="shared" si="5"/>
        <v>Delregion Skaraborg</v>
      </c>
      <c r="G160">
        <v>2025</v>
      </c>
      <c r="H160" s="68" t="s">
        <v>100</v>
      </c>
      <c r="I160" t="e">
        <f>IF(COUNTIFS($E:$E,"=Delregion Fyrbodal",$C:$C,"=Missbruk",$A:$A,"&gt;2025-01-01",$A:$A,"&lt;2025-12-31")=0,FIND(" ",O25,1),COUNTIFS($E:$E,"=Delregion Fyrbodal",$C:$C,"=Missbruk",$A:$A,"&gt;2025-01-01",$A:$A,"&lt;2025-12-31"))</f>
        <v>#VALUE!</v>
      </c>
      <c r="J160" t="e">
        <f>IF(COUNTIFS($E:$E,"=Delregion Göteborg",$C:$C,"=Missbruk",$A:$A,"&gt;2025-01-01",$A:$A,"&lt;2025-12-31")=0,FIND(" ",O25,1),COUNTIFS($E:$E,"=Delregion Göteborg",$C:$C,"=Missbruk",$A:$A,"&gt;2025-01-01",$A:$A,"&lt;2025-12-31"))</f>
        <v>#VALUE!</v>
      </c>
      <c r="K160" t="e">
        <f>IF(COUNTIFS($E:$E,"=Delregion SIMBA",$C:$C,"=Missbruk",$A:$A,"&gt;2025-01-01",$A:$A,"&lt;2025-12-31")=0,FIND(" ",O25,1),COUNTIFS($E:$E,"=Delregion SIMBA",$C:$C,"=Missbruk",$A:$A,"&gt;2025-01-01",$A:$A,"&lt;2025-12-31"))</f>
        <v>#VALUE!</v>
      </c>
      <c r="L160" t="e">
        <f>IF(COUNTIFS($E:$E,"=Delregion Skaraborg",$C:$C,"=Missbruk",$A:$A,"&gt;2025-01-01",$A:$A,"&lt;2025-12-31")=0,FIND(" ",O25,1),COUNTIFS($E:$E,"=Delregion Skaraborg",$C:$C,"=Missbruk",$A:$A,"&gt;2025-01-01",$A:$A,"&lt;2025-12-31"))</f>
        <v>#VALUE!</v>
      </c>
      <c r="M160" t="e">
        <f>IF(COUNTIFS($E:$E,"=Delregion Södra Älvsborg",$C:$C,"=Missbruk",$A:$A,"&gt;2025-01-01",$A:$A,"&lt;2025-12-31")=0,FIND(" ",O25,1),COUNTIFS($E:$E,"=Delregion Södra Älvsborg",$C:$C,"=Missbruk",$A:$A,"&gt;2025-01-01",$A:$A,"&lt;2025-12-31"))</f>
        <v>#VALUE!</v>
      </c>
      <c r="N160" t="e">
        <f t="shared" si="6"/>
        <v>#VALUE!</v>
      </c>
    </row>
    <row r="161" spans="1:14" ht="14.45" customHeight="1">
      <c r="A161" s="64">
        <v>41906</v>
      </c>
      <c r="B161" s="65" t="s">
        <v>92</v>
      </c>
      <c r="C161" s="65" t="s">
        <v>85</v>
      </c>
      <c r="D161" s="65" t="s">
        <v>75</v>
      </c>
      <c r="E161" t="str">
        <f t="shared" si="5"/>
        <v>Delregion Södra Älvsborg</v>
      </c>
      <c r="G161">
        <v>2025</v>
      </c>
      <c r="H161" s="68" t="s">
        <v>201</v>
      </c>
      <c r="I161" t="e">
        <f>IF(COUNTIFS($E:$E,"=Delregion Fyrbodal",$C:$C,"=Äldreomsorg",$A:$A,"&gt;2025-01-01",$A:$A,"&lt;2025-12-31")=0,FIND(" ",O26,1),COUNTIFS($E:$E,"=Delregion Fyrbodal",$C:$C,"=Äldreomsorg",$A:$A,"&gt;2025-01-01",$A:$A,"&lt;2025-12-31"))</f>
        <v>#VALUE!</v>
      </c>
      <c r="J161" t="e">
        <f>IF(COUNTIFS($E:$E,"=Delregion Göteborg",$C:$C,"=Äldreomsorg",$A:$A,"&gt;2025-01-01",$A:$A,"&lt;2025-12-31")=0,FIND(" ",O26,1),COUNTIFS($E:$E,"=Delregion Göteborg",$C:$C,"=Äldreomsorg",$A:$A,"&gt;2025-01-01",$A:$A,"&lt;2025-12-31"))</f>
        <v>#VALUE!</v>
      </c>
      <c r="K161" t="e">
        <f>IF(COUNTIFS($E:$E,"=Delregion SIMBA",$C:$C,"=Äldreomsorg",$A:$A,"&gt;2025-01-01",$A:$A,"&lt;2025-12-31")=0,FIND(" ",O26,1),COUNTIFS($E:$E,"=Delregion SIMBA",$C:$C,"=Äldreomsorg",$A:$A,"&gt;2025-01-01",$A:$A,"&lt;2025-12-31"))</f>
        <v>#VALUE!</v>
      </c>
      <c r="L161" t="e">
        <f>IF(COUNTIFS($E:$E,"=Delregion Skaraborg",$C:$C,"=Äldreomsorg",$A:$A,"&gt;2025-01-01",$A:$A,"&lt;2025-12-31")=0,FIND(" ",O26,1),COUNTIFS($E:$E,"=Delregion Skaraborg",$C:$C,"=Äldreomsorg",$A:$A,"&gt;2025-01-01",$A:$A,"&lt;2025-12-31"))</f>
        <v>#VALUE!</v>
      </c>
      <c r="M161" t="e">
        <f>IF(COUNTIFS($E:$E,"=Delregion Södra Älvsborg",$C:$C,"=Äldreomsorg",$A:$A,"&gt;2025-01-01",$A:$A,"&lt;2025-12-31")=0,FIND(" ",O26,1),COUNTIFS($E:$E,"=Delregion Södra Älvsborg",$C:$C,"=Äldreomsorg",$A:$A,"&gt;2025-01-01",$A:$A,"&lt;2025-12-31"))</f>
        <v>#VALUE!</v>
      </c>
      <c r="N161" t="e">
        <f t="shared" si="6"/>
        <v>#VALUE!</v>
      </c>
    </row>
    <row r="162" spans="1:14" ht="14.45" customHeight="1">
      <c r="A162" s="64">
        <v>41906</v>
      </c>
      <c r="B162" s="65" t="s">
        <v>73</v>
      </c>
      <c r="C162" s="65" t="s">
        <v>83</v>
      </c>
      <c r="D162" s="65" t="s">
        <v>75</v>
      </c>
      <c r="E162" t="str">
        <f t="shared" si="5"/>
        <v>Delregion Göteborg</v>
      </c>
      <c r="G162">
        <v>2025</v>
      </c>
      <c r="H162" s="68" t="s">
        <v>79</v>
      </c>
      <c r="I162" t="e">
        <f>IF(COUNTIFS($E:$E,"=Delregion Fyrbodal",$C:$C,"=Övrig socialtjänst",$A:$A,"&gt;2025-01-01",$A:$A,"&lt;2025-12-31")=0,FIND(" ",O27,1),COUNTIFS($E:$E,"=Delregion Fyrbodal",$C:$C,"=Övrig socialtjänst",$A:$A,"&gt;2025-01-01",$A:$A,"&lt;2025-12-31"))</f>
        <v>#VALUE!</v>
      </c>
      <c r="J162" t="e">
        <f>IF(COUNTIFS($E:$E,"=Delregion Göteborg",$C:$C,"=Övrig socialtjänst",$A:$A,"&gt;2025-01-01",$A:$A,"&lt;2025-12-31")=0,FIND(" ",O27,1),COUNTIFS($E:$E,"=Delregion Göteborg",$C:$C,"=Övrig socialtjänst",$A:$A,"&gt;2025-01-01",$A:$A,"&lt;2025-12-31"))</f>
        <v>#VALUE!</v>
      </c>
      <c r="K162" t="e">
        <f>IF(COUNTIFS($E:$E,"=Delregion SIMBA",$C:$C,"=Övrig socialtjänst",$A:$A,"&gt;2025-01-01",$A:$A,"&lt;2025-12-31")=0,FIND(" ",O27,1),COUNTIFS($E:$E,"=Delregion SIMBA",$C:$C,"=Övrig socialtjänst",$A:$A,"&gt;2025-01-01",$A:$A,"&lt;2025-12-31"))</f>
        <v>#VALUE!</v>
      </c>
      <c r="L162" t="e">
        <f>IF(COUNTIFS($E:$E,"=Delregion Skaraborg",$C:$C,"=Övrig socialtjänst",$A:$A,"&gt;2025-01-01",$A:$A,"&lt;2025-12-31")=0,FIND(" ",O27,1),COUNTIFS($E:$E,"=Delregion Skaraborg",$C:$C,"=Övrig socialtjänst",$A:$A,"&gt;2025-01-01",$A:$A,"&lt;2025-12-31"))</f>
        <v>#VALUE!</v>
      </c>
      <c r="M162" t="e">
        <f>IF(COUNTIFS($E:$E,"=Delregion Södra Älvsborg",$C:$C,"=Övrig socialtjänst",$A:$A,"&gt;2025-01-01",$A:$A,"&lt;2025-12-31")=0,FIND(" ",O27,1),COUNTIFS($E:$E,"=Delregion Södra Älvsborg",$C:$C,"=Övrig socialtjänst",$A:$A,"&gt;2025-01-01",$A:$A,"&lt;2025-12-31"))</f>
        <v>#VALUE!</v>
      </c>
      <c r="N162" t="e">
        <f t="shared" si="6"/>
        <v>#VALUE!</v>
      </c>
    </row>
    <row r="163" spans="1:14" ht="14.45" customHeight="1">
      <c r="A163" s="64">
        <v>41906</v>
      </c>
      <c r="B163" s="65" t="s">
        <v>73</v>
      </c>
      <c r="C163" s="65" t="s">
        <v>91</v>
      </c>
      <c r="D163" s="65" t="s">
        <v>75</v>
      </c>
      <c r="E163" t="str">
        <f t="shared" si="5"/>
        <v>Delregion Göteborg</v>
      </c>
      <c r="G163">
        <v>2025</v>
      </c>
      <c r="H163" s="68" t="s">
        <v>126</v>
      </c>
      <c r="I163" t="e">
        <f>IF(COUNTIFS($E:$E,"=Delregion Fyrbodal",$D:$D,"=Hälso- och sjukvård",$A:$A,"&gt;2025-01-01",$A:$A,"&lt;2025-12-31")=0,FIND(" ",O21,1),COUNTIFS($E:$E,"=Delregion Fyrbodal",$D:$D,"=Hälso- och sjukvård",$A:$A,"&gt;2025-01-01",$A:$A,"&lt;2025-12-31"))</f>
        <v>#VALUE!</v>
      </c>
      <c r="J163" t="e">
        <f>IF(COUNTIFS($E:$E,"=Delregion Göteborg",$D:$D,"=Hälso- och sjukvård",$A:$A,"&gt;2025-01-01",$A:$A,"&lt;2025-12-31")=0,FIND(" ",O21,1),COUNTIFS($E:$E,"=Delregion Göteborg",$D:$D,"=Hälso- och sjukvård",$A:$A,"&gt;2025-01-01",$A:$A,"&lt;2025-12-31"))</f>
        <v>#VALUE!</v>
      </c>
      <c r="K163" t="e">
        <f>IF(COUNTIFS($E:$E,"=Delregion SIMBA",$D:$D,"=Hälso- och sjukvård",$A:$A,"&gt;2025-01-01",$A:$A,"&lt;2025-12-31")=0,FIND(" ",O21,1),COUNTIFS($E:$E,"=Delregion SIMBA",$D:$D,"=Hälso- och sjukvård",$A:$A,"&gt;2025-01-01",$A:$A,"&lt;2025-12-31"))</f>
        <v>#VALUE!</v>
      </c>
      <c r="L163" t="e">
        <f>IF(COUNTIFS($E:$E,"=Delregion Skaraborg",$D:$D,"=Hälso- och sjukvård",$A:$A,"&gt;2025-01-01",$A:$A,"&lt;2025-12-31")=0,FIND(" ",O21,1),COUNTIFS($E:$E,"=Delregion Skaraborg",$D:$D,"=Hälso- och sjukvård",$A:$A,"&gt;2025-01-01",$A:$A,"&lt;2025-12-31"))</f>
        <v>#VALUE!</v>
      </c>
      <c r="M163" t="e">
        <f>IF(COUNTIFS($E:$E,"=Delregion Södra Älvsborg",$D:$D,"=Hälso- och sjukvård",$A:$A,"&gt;2025-01-01",$A:$A,"&lt;2025-12-31")=0,FIND(" ",O21,1),COUNTIFS($E:$E,"=Delregion Södra Älvsborg",$D:$D,"=Hälso- och sjukvård",$A:$A,"&gt;2025-01-01",$A:$A,"&lt;2025-12-31"))</f>
        <v>#VALUE!</v>
      </c>
      <c r="N163" t="e">
        <f t="shared" si="6"/>
        <v>#VALUE!</v>
      </c>
    </row>
    <row r="164" spans="1:14" ht="14.45" customHeight="1">
      <c r="A164" s="64">
        <v>41906</v>
      </c>
      <c r="B164" s="65" t="s">
        <v>73</v>
      </c>
      <c r="C164" s="65" t="s">
        <v>74</v>
      </c>
      <c r="D164" s="65" t="s">
        <v>126</v>
      </c>
      <c r="E164" t="str">
        <f t="shared" si="5"/>
        <v>Delregion Göteborg</v>
      </c>
      <c r="G164">
        <v>2025</v>
      </c>
      <c r="H164" s="68" t="s">
        <v>200</v>
      </c>
      <c r="I164" t="e">
        <f>IF(COUNTIFS($E:$E,"=Delregion Fyrbodal",$C:$C,"=Hemsjukvård i ordinärt boende",$A:$A,"&gt;2025-01-01",$A:$A,"&lt;2025-12-31")=0,FIND(" ",O22,1),COUNTIFS($E:$E,"=Delregion Fyrbodal",$C:$C,"=Hemsjukvård i ordinärt boende",$A:$A,"&gt;2025-01-01",$A:$A,"&lt;2025-12-31"))</f>
        <v>#VALUE!</v>
      </c>
      <c r="J164" t="e">
        <f>IF(COUNTIFS($E:$E,"=Delregion Göteborg",$C:$C,"=Hemsjukvård i ordinärt boende",$A:$A,"&gt;2025-01-01",$A:$A,"&lt;2025-12-31")=0,FIND(" ",O22,1),COUNTIFS($E:$E,"=Delregion Göteborg",$C:$C,"=Hemsjukvård i ordinärt boende",$A:$A,"&gt;2025-01-01",$A:$A,"&lt;2025-12-31"))</f>
        <v>#VALUE!</v>
      </c>
      <c r="K164" t="e">
        <f>IF(COUNTIFS($E:$E,"=Delregion SIMBA",$C:$C,"=Hemsjukvård i ordinärt boende",$A:$A,"&gt;2025-01-01",$A:$A,"&lt;2025-12-31")=0,FIND(" ",O22,1),COUNTIFS($E:$E,"=Delregion SIMBA",$C:$C,"=Hemsjukvård i ordinärt boende",$A:$A,"&gt;2025-01-01",$A:$A,"&lt;2025-12-31"))</f>
        <v>#VALUE!</v>
      </c>
      <c r="L164" t="e">
        <f>IF(COUNTIFS($E:$E,"=Delregion Skaraborg",$C:$C,"=Hemsjukvård i ordinärt boende",$A:$A,"&gt;2025-01-01",$A:$A,"&lt;2025-12-31")=0,FIND(" ",O22,1),COUNTIFS($E:$E,"=Delregion Skaraborg",$C:$C,"=Hemsjukvård i ordinärt boende",$A:$A,"&gt;2025-01-01",$A:$A,"&lt;2025-12-31"))</f>
        <v>#VALUE!</v>
      </c>
      <c r="M164" t="e">
        <f>IF(COUNTIFS($E:$E,"=Delregion Södra Älvsborg",$C:$C,"=Hemsjukvård i ordinärt boende",$A:$A,"&gt;2025-01-01",$A:$A,"&lt;2025-12-31")=0,FIND(" ",O22,1),COUNTIFS($E:$E,"=Delregion Södra Älvsborg",$C:$C,"=Hemsjukvård i ordinärt boende",$A:$A,"&gt;2025-01-01",$A:$A,"&lt;2025-12-31"))</f>
        <v>#VALUE!</v>
      </c>
      <c r="N164" t="e">
        <f t="shared" si="6"/>
        <v>#VALUE!</v>
      </c>
    </row>
    <row r="165" spans="1:14" ht="14.45" customHeight="1">
      <c r="A165" s="64">
        <v>41907</v>
      </c>
      <c r="B165" s="65" t="s">
        <v>101</v>
      </c>
      <c r="C165" s="65" t="s">
        <v>83</v>
      </c>
      <c r="D165" s="65" t="s">
        <v>75</v>
      </c>
      <c r="E165" t="str">
        <f t="shared" si="5"/>
        <v>Delregion SIMBA</v>
      </c>
      <c r="G165">
        <v>2025</v>
      </c>
      <c r="H165" s="68" t="s">
        <v>128</v>
      </c>
      <c r="I165" t="e">
        <f>IF(COUNTIFS($E:$E,"=Delregion Fyrbodal",$C:$C,"=Prehospital vård",$A:$A,"&gt;2025-01-01",$A:$A,"&lt;2025-12-31")=0,FIND(" ",O23,1),COUNTIFS($E:$E,"=Delregion Fyrbodal",$C:$C,"=Prehospital vård",$A:$A,"&gt;2025-01-01",$A:$A,"&lt;2025-12-31"))</f>
        <v>#VALUE!</v>
      </c>
      <c r="J165" t="e">
        <f>IF(COUNTIFS($E:$E,"=Delregion Göteborg",$C:$C,"=Prehospital vård",$A:$A,"&gt;2025-01-01",$A:$A,"&lt;2025-12-31")=0,FIND(" ",O23,1),COUNTIFS($E:$E,"=Delregion Göteborg",$C:$C,"=Prehospital vård",$A:$A,"&gt;2025-01-01",$A:$A,"&lt;2025-12-31"))</f>
        <v>#VALUE!</v>
      </c>
      <c r="K165" t="e">
        <f>IF(COUNTIFS($E:$E,"=Delregion SIMBA",$C:$C,"=Prehospital vård",$A:$A,"&gt;2025-01-01",$A:$A,"&lt;2025-12-31")=0,FIND(" ",O23,1),COUNTIFS($E:$E,"=Delregion SIMBA",$C:$C,"=Prehospital vård",$A:$A,"&gt;2025-01-01",$A:$A,"&lt;2025-12-31"))</f>
        <v>#VALUE!</v>
      </c>
      <c r="L165" t="e">
        <f>IF(COUNTIFS($E:$E,"=Delregion Skaraborg",$C:$C,"=Prehospital vård",$A:$A,"&gt;2025-01-01",$A:$A,"&lt;2025-12-31")=0,FIND(" ",O23,1),COUNTIFS($E:$E,"=Delregion Skaraborg",$C:$C,"=Prehospital vård",$A:$A,"&gt;2025-01-01",$A:$A,"&lt;2025-12-31"))</f>
        <v>#VALUE!</v>
      </c>
      <c r="M165" t="e">
        <f>IF(COUNTIFS($E:$E,"=Delregion Södra Älvsborg",$C:$C,"=Prehospital vård",$A:$A,"&gt;2025-01-01",$A:$A,"&lt;2025-12-31")=0,FIND(" ",O23,1),COUNTIFS($E:$E,"=Delregion Södra Älvsborg",$C:$C,"=Prehospital vård",$A:$A,"&gt;2025-01-01",$A:$A,"&lt;2025-12-31"))</f>
        <v>#VALUE!</v>
      </c>
      <c r="N165" t="e">
        <f t="shared" si="6"/>
        <v>#VALUE!</v>
      </c>
    </row>
    <row r="166" spans="1:14" ht="14.45" customHeight="1">
      <c r="A166" s="64">
        <v>41907</v>
      </c>
      <c r="B166" s="65" t="s">
        <v>86</v>
      </c>
      <c r="C166" s="65" t="s">
        <v>134</v>
      </c>
      <c r="D166" s="65" t="s">
        <v>126</v>
      </c>
      <c r="E166" t="str">
        <f t="shared" si="5"/>
        <v>Delregion Fyrbodal</v>
      </c>
      <c r="G166">
        <v>2025</v>
      </c>
      <c r="H166" s="68" t="s">
        <v>127</v>
      </c>
      <c r="I166" t="e">
        <f>IF(COUNTIFS($E:$E,"=Delregion Fyrbodal",$C:$C,"=Primärvård, utom hemsjukvård",$A:$A,"&gt;2025-01-01",$A:$A,"&lt;2025-12-31")=0,FIND(" ",O25,1),COUNTIFS($E:$E,"=Delregion Fyrbodal",$C:$C,"=Primärvård, utom hemsjukvård",$A:$A,"&gt;2025-01-01",$A:$A,"&lt;2025-12-31"))</f>
        <v>#VALUE!</v>
      </c>
      <c r="J166" t="e">
        <f>IF(COUNTIFS($E:$E,"=Delregion Göteborg",$C:$C,"=Primärvård, utom hemsjukvård",$A:$A,"&gt;2025-01-01",$A:$A,"&lt;2025-12-31")=0,FIND(" ",O25,1),COUNTIFS($E:$E,"=Delregion Göteborg",$C:$C,"=Primärvård, utom hemsjukvård",$A:$A,"&gt;2025-01-01",$A:$A,"&lt;2025-12-31"))</f>
        <v>#VALUE!</v>
      </c>
      <c r="K166" t="e">
        <f>IF(COUNTIFS($E:$E,"=Delregion SIMBA",$C:$C,"=Primärvård, utom hemsjukvård",$A:$A,"&gt;2025-01-01",$A:$A,"&lt;2025-12-31")=0,FIND(" ",O25,1),COUNTIFS($E:$E,"=Delregion SIMBA",$C:$C,"=Primärvård, utom hemsjukvård",$A:$A,"&gt;2025-01-01",$A:$A,"&lt;2025-12-31"))</f>
        <v>#VALUE!</v>
      </c>
      <c r="L166" t="e">
        <f>IF(COUNTIFS($E:$E,"=Delregion Skaraborg",$C:$C,"=Primärvård, utom hemsjukvård",$A:$A,"&gt;2025-01-01",$A:$A,"&lt;2025-12-31")=0,FIND(" ",O25,1),COUNTIFS($E:$E,"=Delregion Skaraborg",$C:$C,"=Primärvård, utom hemsjukvård",$A:$A,"&gt;2025-01-01",$A:$A,"&lt;2025-12-31"))</f>
        <v>#VALUE!</v>
      </c>
      <c r="M166" t="e">
        <f>IF(COUNTIFS($E:$E,"=Delregion Södra Älvsborg",$C:$C,"=Primärvård, utom hemsjukvård",$A:$A,"&gt;2025-01-01",$A:$A,"&lt;2025-12-31")=0,FIND(" ",O25,1),COUNTIFS($E:$E,"=Delregion Södra Älvsborg",$C:$C,"=Primärvård, utom hemsjukvård",$A:$A,"&gt;2025-01-01",$A:$A,"&lt;2025-12-31"))</f>
        <v>#VALUE!</v>
      </c>
      <c r="N166" t="e">
        <f t="shared" si="6"/>
        <v>#VALUE!</v>
      </c>
    </row>
    <row r="167" spans="1:14" ht="14.45" customHeight="1">
      <c r="A167" s="64">
        <v>41907</v>
      </c>
      <c r="B167" s="65" t="s">
        <v>73</v>
      </c>
      <c r="C167" s="65" t="s">
        <v>129</v>
      </c>
      <c r="D167" s="65" t="s">
        <v>126</v>
      </c>
      <c r="E167" t="str">
        <f t="shared" si="5"/>
        <v>Delregion Göteborg</v>
      </c>
      <c r="G167">
        <v>2025</v>
      </c>
      <c r="H167" s="68" t="s">
        <v>129</v>
      </c>
      <c r="I167" t="e">
        <f>IF(COUNTIFS($E:$E,"=Delregion Fyrbodal",$C:$C,"=Psykiatrisk specialistsjukvård",$A:$A,"&gt;2025-01-01",$A:$A,"&lt;2025-12-31")=0,FIND(" ",O26,1),COUNTIFS($E:$E,"=Delregion Fyrbodal",$C:$C,"=Psykiatrisk specialistsjukvård",$A:$A,"&gt;2025-01-01",$A:$A,"&lt;2025-12-31"))</f>
        <v>#VALUE!</v>
      </c>
      <c r="J167" t="e">
        <f>IF(COUNTIFS($E:$E,"=Delregion Göteborg",$C:$C,"=Psykiatrisk specialistsjukvård",$A:$A,"&gt;2025-01-01",$A:$A,"&lt;2025-12-31")=0,FIND(" ",O26,1),COUNTIFS($E:$E,"=Delregion Göteborg",$C:$C,"=Psykiatrisk specialistsjukvård",$A:$A,"&gt;2025-01-01",$A:$A,"&lt;2025-12-31"))</f>
        <v>#VALUE!</v>
      </c>
      <c r="K167" t="e">
        <f>IF(COUNTIFS($E:$E,"=Delregion SIMBA",$C:$C,"=Psykiatrisk specialistsjukvård",$A:$A,"&gt;2025-01-01",$A:$A,"&lt;2025-12-31")=0,FIND(" ",O26,1),COUNTIFS($E:$E,"=Delregion SIMBA",$C:$C,"=Psykiatrisk specialistsjukvård",$A:$A,"&gt;2025-01-01",$A:$A,"&lt;2025-12-31"))</f>
        <v>#VALUE!</v>
      </c>
      <c r="L167" t="e">
        <f>IF(COUNTIFS($E:$E,"=Delregion Skaraborg",$C:$C,"=Psykiatrisk specialistsjukvård",$A:$A,"&gt;2025-01-01",$A:$A,"&lt;2025-12-31")=0,FIND(" ",O26,1),COUNTIFS($E:$E,"=Delregion Skaraborg",$C:$C,"=Psykiatrisk specialistsjukvård",$A:$A,"&gt;2025-01-01",$A:$A,"&lt;2025-12-31"))</f>
        <v>#VALUE!</v>
      </c>
      <c r="M167" t="e">
        <f>IF(COUNTIFS($E:$E,"=Delregion Södra Älvsborg",$C:$C,"=Psykiatrisk specialistsjukvård",$A:$A,"&gt;2025-01-01",$A:$A,"&lt;2025-12-31")=0,FIND(" ",O26,1),COUNTIFS($E:$E,"=Delregion Södra Älvsborg",$C:$C,"=Psykiatrisk specialistsjukvård",$A:$A,"&gt;2025-01-01",$A:$A,"&lt;2025-12-31"))</f>
        <v>#VALUE!</v>
      </c>
      <c r="N167" t="e">
        <f t="shared" si="6"/>
        <v>#VALUE!</v>
      </c>
    </row>
    <row r="168" spans="1:14" ht="14.45" customHeight="1">
      <c r="A168" s="64">
        <v>41911</v>
      </c>
      <c r="B168" s="65" t="s">
        <v>97</v>
      </c>
      <c r="C168" s="65" t="s">
        <v>127</v>
      </c>
      <c r="D168" s="65" t="s">
        <v>126</v>
      </c>
      <c r="E168" t="str">
        <f t="shared" si="5"/>
        <v>Delregion Fyrbodal</v>
      </c>
      <c r="G168">
        <v>2025</v>
      </c>
      <c r="H168" s="68" t="s">
        <v>198</v>
      </c>
      <c r="I168" t="e">
        <f>IF(SUM(I156:I163)=0,FIND(" ",O21,1),SUM(I156:I163))</f>
        <v>#VALUE!</v>
      </c>
      <c r="J168" t="e">
        <f>IF(SUM(J156:J163)=0,FIND(" ",O21,1),SUM(J156:J163))</f>
        <v>#VALUE!</v>
      </c>
      <c r="K168" t="e">
        <f>IF(SUM(K156:K163)=0,FIND(" ",O21,1),SUM(K156:K163))</f>
        <v>#VALUE!</v>
      </c>
      <c r="L168" t="e">
        <f>IF(SUM(L156:L163)=0,FIND(" ",O21,1),SUM(L156:L163))</f>
        <v>#VALUE!</v>
      </c>
      <c r="M168" t="e">
        <f>IF(SUM(M156:M163)=0,FIND(" ",O21,1),SUM(M156:M163))</f>
        <v>#VALUE!</v>
      </c>
      <c r="N168" t="e">
        <f t="shared" si="6"/>
        <v>#VALUE!</v>
      </c>
    </row>
    <row r="169" spans="1:14" ht="14.45" customHeight="1">
      <c r="A169" s="64">
        <v>41913</v>
      </c>
      <c r="B169" s="65" t="s">
        <v>97</v>
      </c>
      <c r="C169" s="65" t="s">
        <v>85</v>
      </c>
      <c r="D169" s="65" t="s">
        <v>75</v>
      </c>
      <c r="E169" t="str">
        <f t="shared" si="5"/>
        <v>Delregion Fyrbodal</v>
      </c>
      <c r="J169" s="66"/>
    </row>
    <row r="170" spans="1:14" ht="14.45" customHeight="1">
      <c r="A170" s="64">
        <v>41913</v>
      </c>
      <c r="B170" s="65" t="s">
        <v>73</v>
      </c>
      <c r="C170" s="65" t="s">
        <v>134</v>
      </c>
      <c r="D170" s="65" t="s">
        <v>126</v>
      </c>
      <c r="E170" t="str">
        <f t="shared" si="5"/>
        <v>Delregion Göteborg</v>
      </c>
    </row>
    <row r="171" spans="1:14" ht="14.45" customHeight="1">
      <c r="A171" s="64">
        <v>41913</v>
      </c>
      <c r="B171" s="65" t="s">
        <v>73</v>
      </c>
      <c r="C171" s="65" t="s">
        <v>134</v>
      </c>
      <c r="D171" s="65" t="s">
        <v>126</v>
      </c>
      <c r="E171" t="str">
        <f t="shared" si="5"/>
        <v>Delregion Göteborg</v>
      </c>
    </row>
    <row r="172" spans="1:14" ht="14.45" customHeight="1">
      <c r="A172" s="64">
        <v>41914</v>
      </c>
      <c r="B172" s="65" t="s">
        <v>86</v>
      </c>
      <c r="C172" s="65" t="s">
        <v>85</v>
      </c>
      <c r="D172" s="65" t="s">
        <v>75</v>
      </c>
      <c r="E172" t="str">
        <f t="shared" si="5"/>
        <v>Delregion Fyrbodal</v>
      </c>
    </row>
    <row r="173" spans="1:14" ht="14.45" customHeight="1">
      <c r="A173" s="64">
        <v>41914</v>
      </c>
      <c r="B173" s="65" t="s">
        <v>104</v>
      </c>
      <c r="C173" s="65" t="s">
        <v>96</v>
      </c>
      <c r="D173" s="65" t="s">
        <v>75</v>
      </c>
      <c r="E173" t="str">
        <f t="shared" si="5"/>
        <v>Delregion SIMBA</v>
      </c>
    </row>
    <row r="174" spans="1:14" ht="14.45" customHeight="1">
      <c r="A174" s="64">
        <v>41918</v>
      </c>
      <c r="B174" s="65" t="s">
        <v>73</v>
      </c>
      <c r="C174" s="65" t="s">
        <v>85</v>
      </c>
      <c r="D174" s="65" t="s">
        <v>75</v>
      </c>
      <c r="E174" t="str">
        <f t="shared" si="5"/>
        <v>Delregion Göteborg</v>
      </c>
    </row>
    <row r="175" spans="1:14" ht="14.45" customHeight="1">
      <c r="A175" s="64">
        <v>41918</v>
      </c>
      <c r="B175" s="65" t="s">
        <v>120</v>
      </c>
      <c r="C175" s="65" t="s">
        <v>129</v>
      </c>
      <c r="D175" s="65" t="s">
        <v>126</v>
      </c>
      <c r="E175" t="str">
        <f t="shared" si="5"/>
        <v>Delregion Södra Älvsborg</v>
      </c>
    </row>
    <row r="176" spans="1:14" ht="14.45" customHeight="1">
      <c r="A176" s="64">
        <v>41919</v>
      </c>
      <c r="B176" s="65" t="s">
        <v>73</v>
      </c>
      <c r="C176" s="65" t="s">
        <v>83</v>
      </c>
      <c r="D176" s="65" t="s">
        <v>75</v>
      </c>
      <c r="E176" t="str">
        <f t="shared" si="5"/>
        <v>Delregion Göteborg</v>
      </c>
    </row>
    <row r="177" spans="1:5" ht="14.45" customHeight="1">
      <c r="A177" s="64">
        <v>41919</v>
      </c>
      <c r="B177" s="65" t="s">
        <v>73</v>
      </c>
      <c r="C177" s="65" t="s">
        <v>131</v>
      </c>
      <c r="D177" s="65" t="s">
        <v>126</v>
      </c>
      <c r="E177" t="str">
        <f t="shared" si="5"/>
        <v>Delregion Göteborg</v>
      </c>
    </row>
    <row r="178" spans="1:5" ht="14.45" customHeight="1">
      <c r="A178" s="64">
        <v>41921</v>
      </c>
      <c r="B178" s="65" t="s">
        <v>73</v>
      </c>
      <c r="C178" s="65" t="s">
        <v>131</v>
      </c>
      <c r="D178" s="65" t="s">
        <v>126</v>
      </c>
      <c r="E178" t="str">
        <f t="shared" si="5"/>
        <v>Delregion Göteborg</v>
      </c>
    </row>
    <row r="179" spans="1:5" ht="14.45" customHeight="1">
      <c r="A179" s="64">
        <v>41922</v>
      </c>
      <c r="B179" s="65" t="s">
        <v>73</v>
      </c>
      <c r="C179" s="65" t="s">
        <v>85</v>
      </c>
      <c r="D179" s="65" t="s">
        <v>75</v>
      </c>
      <c r="E179" t="str">
        <f t="shared" si="5"/>
        <v>Delregion Göteborg</v>
      </c>
    </row>
    <row r="180" spans="1:5" ht="14.45" customHeight="1">
      <c r="A180" s="64">
        <v>41922</v>
      </c>
      <c r="B180" s="65" t="s">
        <v>77</v>
      </c>
      <c r="C180" s="65" t="s">
        <v>85</v>
      </c>
      <c r="D180" s="65" t="s">
        <v>75</v>
      </c>
      <c r="E180" t="str">
        <f t="shared" si="5"/>
        <v>Delregion SIMBA</v>
      </c>
    </row>
    <row r="181" spans="1:5" ht="14.45" customHeight="1">
      <c r="A181" s="64">
        <v>41925</v>
      </c>
      <c r="B181" s="65" t="s">
        <v>95</v>
      </c>
      <c r="C181" s="65" t="s">
        <v>129</v>
      </c>
      <c r="D181" s="65" t="s">
        <v>126</v>
      </c>
      <c r="E181" t="str">
        <f t="shared" si="5"/>
        <v>Delregion Södra Älvsborg</v>
      </c>
    </row>
    <row r="182" spans="1:5" ht="14.45" customHeight="1">
      <c r="A182" s="64">
        <v>41927</v>
      </c>
      <c r="B182" s="65" t="s">
        <v>110</v>
      </c>
      <c r="C182" s="65" t="s">
        <v>85</v>
      </c>
      <c r="D182" s="65" t="s">
        <v>75</v>
      </c>
      <c r="E182" t="str">
        <f t="shared" si="5"/>
        <v>Delregion Fyrbodal</v>
      </c>
    </row>
    <row r="183" spans="1:5" ht="14.45" customHeight="1">
      <c r="A183" s="64">
        <v>41927</v>
      </c>
      <c r="B183" s="65" t="s">
        <v>102</v>
      </c>
      <c r="C183" s="65" t="s">
        <v>85</v>
      </c>
      <c r="D183" s="65" t="s">
        <v>75</v>
      </c>
      <c r="E183" t="str">
        <f t="shared" si="5"/>
        <v>Delregion Södra Älvsborg</v>
      </c>
    </row>
    <row r="184" spans="1:5" ht="14.45" customHeight="1">
      <c r="A184" s="64">
        <v>41927</v>
      </c>
      <c r="B184" s="65" t="s">
        <v>99</v>
      </c>
      <c r="C184" s="65" t="s">
        <v>88</v>
      </c>
      <c r="D184" s="65" t="s">
        <v>75</v>
      </c>
      <c r="E184" t="str">
        <f t="shared" si="5"/>
        <v>Delregion Skaraborg</v>
      </c>
    </row>
    <row r="185" spans="1:5" ht="14.45" customHeight="1">
      <c r="A185" s="64">
        <v>41927</v>
      </c>
      <c r="B185" s="65" t="s">
        <v>95</v>
      </c>
      <c r="C185" s="65" t="s">
        <v>134</v>
      </c>
      <c r="D185" s="65" t="s">
        <v>126</v>
      </c>
      <c r="E185" t="str">
        <f t="shared" si="5"/>
        <v>Delregion Södra Älvsborg</v>
      </c>
    </row>
    <row r="186" spans="1:5" ht="14.45" customHeight="1">
      <c r="A186" s="64">
        <v>41927</v>
      </c>
      <c r="B186" s="65" t="s">
        <v>73</v>
      </c>
      <c r="C186" s="65" t="s">
        <v>132</v>
      </c>
      <c r="D186" s="65" t="s">
        <v>126</v>
      </c>
      <c r="E186" t="str">
        <f t="shared" si="5"/>
        <v>Delregion Göteborg</v>
      </c>
    </row>
    <row r="187" spans="1:5" ht="14.45" customHeight="1">
      <c r="A187" s="64">
        <v>41928</v>
      </c>
      <c r="B187" s="65" t="s">
        <v>108</v>
      </c>
      <c r="C187" s="65" t="s">
        <v>91</v>
      </c>
      <c r="D187" s="65" t="s">
        <v>75</v>
      </c>
      <c r="E187" t="str">
        <f t="shared" si="5"/>
        <v>Delregion Fyrbodal</v>
      </c>
    </row>
    <row r="188" spans="1:5" ht="14.45" customHeight="1">
      <c r="A188" s="64">
        <v>41928</v>
      </c>
      <c r="B188" s="65" t="s">
        <v>108</v>
      </c>
      <c r="C188" s="65" t="s">
        <v>91</v>
      </c>
      <c r="D188" s="65" t="s">
        <v>75</v>
      </c>
      <c r="E188" t="str">
        <f t="shared" si="5"/>
        <v>Delregion Fyrbodal</v>
      </c>
    </row>
    <row r="189" spans="1:5" ht="14.45" customHeight="1">
      <c r="A189" s="64">
        <v>41928</v>
      </c>
      <c r="B189" s="65" t="s">
        <v>108</v>
      </c>
      <c r="C189" s="65" t="s">
        <v>91</v>
      </c>
      <c r="D189" s="65" t="s">
        <v>75</v>
      </c>
      <c r="E189" t="str">
        <f t="shared" si="5"/>
        <v>Delregion Fyrbodal</v>
      </c>
    </row>
    <row r="190" spans="1:5" ht="14.45" customHeight="1">
      <c r="A190" s="64">
        <v>41934</v>
      </c>
      <c r="B190" s="65" t="s">
        <v>97</v>
      </c>
      <c r="C190" s="65" t="s">
        <v>129</v>
      </c>
      <c r="D190" s="65" t="s">
        <v>126</v>
      </c>
      <c r="E190" t="str">
        <f t="shared" si="5"/>
        <v>Delregion Fyrbodal</v>
      </c>
    </row>
    <row r="191" spans="1:5" ht="14.45" customHeight="1">
      <c r="A191" s="64">
        <v>41934</v>
      </c>
      <c r="B191" s="65" t="s">
        <v>73</v>
      </c>
      <c r="C191" s="65" t="s">
        <v>129</v>
      </c>
      <c r="D191" s="65" t="s">
        <v>126</v>
      </c>
      <c r="E191" t="str">
        <f t="shared" si="5"/>
        <v>Delregion Göteborg</v>
      </c>
    </row>
    <row r="192" spans="1:5" ht="14.45" customHeight="1">
      <c r="A192" s="64">
        <v>41936</v>
      </c>
      <c r="B192" s="65" t="s">
        <v>109</v>
      </c>
      <c r="C192" s="65" t="s">
        <v>85</v>
      </c>
      <c r="D192" s="65" t="s">
        <v>75</v>
      </c>
      <c r="E192" t="str">
        <f t="shared" si="5"/>
        <v>Delregion Fyrbodal</v>
      </c>
    </row>
    <row r="193" spans="1:5" ht="14.45" customHeight="1">
      <c r="A193" s="64">
        <v>41936</v>
      </c>
      <c r="B193" s="65" t="s">
        <v>73</v>
      </c>
      <c r="C193" s="65" t="s">
        <v>83</v>
      </c>
      <c r="D193" s="65" t="s">
        <v>75</v>
      </c>
      <c r="E193" t="str">
        <f t="shared" si="5"/>
        <v>Delregion Göteborg</v>
      </c>
    </row>
    <row r="194" spans="1:5" ht="14.45" customHeight="1">
      <c r="A194" s="64">
        <v>41936</v>
      </c>
      <c r="B194" s="65" t="s">
        <v>73</v>
      </c>
      <c r="C194" s="65" t="s">
        <v>91</v>
      </c>
      <c r="D194" s="65" t="s">
        <v>75</v>
      </c>
      <c r="E194" t="str">
        <f t="shared" si="5"/>
        <v>Delregion Göteborg</v>
      </c>
    </row>
    <row r="195" spans="1:5" ht="14.45" customHeight="1">
      <c r="A195" s="64">
        <v>41939</v>
      </c>
      <c r="B195" s="65" t="s">
        <v>73</v>
      </c>
      <c r="C195" s="65" t="s">
        <v>83</v>
      </c>
      <c r="D195" s="65" t="s">
        <v>75</v>
      </c>
      <c r="E195" t="str">
        <f t="shared" si="5"/>
        <v>Delregion Göteborg</v>
      </c>
    </row>
    <row r="196" spans="1:5" ht="14.45" customHeight="1">
      <c r="A196" s="64">
        <v>41939</v>
      </c>
      <c r="B196" s="65" t="s">
        <v>73</v>
      </c>
      <c r="C196" s="65" t="s">
        <v>96</v>
      </c>
      <c r="D196" s="65" t="s">
        <v>75</v>
      </c>
      <c r="E196" t="str">
        <f t="shared" si="5"/>
        <v>Delregion Göteborg</v>
      </c>
    </row>
    <row r="197" spans="1:5" ht="14.45" customHeight="1">
      <c r="A197" s="64">
        <v>41939</v>
      </c>
      <c r="B197" s="65" t="s">
        <v>76</v>
      </c>
      <c r="C197" s="65" t="s">
        <v>91</v>
      </c>
      <c r="D197" s="65" t="s">
        <v>75</v>
      </c>
      <c r="E197" t="str">
        <f t="shared" si="5"/>
        <v>Delregion Skaraborg</v>
      </c>
    </row>
    <row r="198" spans="1:5" ht="14.45" customHeight="1">
      <c r="A198" s="64">
        <v>41939</v>
      </c>
      <c r="B198" s="65" t="s">
        <v>80</v>
      </c>
      <c r="C198" s="65" t="s">
        <v>130</v>
      </c>
      <c r="D198" s="65" t="s">
        <v>126</v>
      </c>
      <c r="E198" t="str">
        <f t="shared" si="5"/>
        <v>Delregion Södra Älvsborg</v>
      </c>
    </row>
    <row r="199" spans="1:5" ht="14.45" customHeight="1">
      <c r="A199" s="64">
        <v>41941</v>
      </c>
      <c r="B199" s="65" t="s">
        <v>99</v>
      </c>
      <c r="C199" s="65" t="s">
        <v>139</v>
      </c>
      <c r="D199" s="65" t="s">
        <v>126</v>
      </c>
      <c r="E199" t="str">
        <f t="shared" si="5"/>
        <v>Delregion Skaraborg</v>
      </c>
    </row>
    <row r="200" spans="1:5" ht="14.45" customHeight="1">
      <c r="A200" s="64">
        <v>41946</v>
      </c>
      <c r="B200" s="65" t="s">
        <v>92</v>
      </c>
      <c r="C200" s="65" t="s">
        <v>83</v>
      </c>
      <c r="D200" s="65" t="s">
        <v>75</v>
      </c>
      <c r="E200" t="str">
        <f t="shared" si="5"/>
        <v>Delregion Södra Älvsborg</v>
      </c>
    </row>
    <row r="201" spans="1:5" ht="14.45" customHeight="1">
      <c r="A201" s="64">
        <v>41947</v>
      </c>
      <c r="B201" s="65" t="s">
        <v>99</v>
      </c>
      <c r="C201" s="65" t="s">
        <v>131</v>
      </c>
      <c r="D201" s="65" t="s">
        <v>126</v>
      </c>
      <c r="E201" t="str">
        <f t="shared" si="5"/>
        <v>Delregion Skaraborg</v>
      </c>
    </row>
    <row r="202" spans="1:5" ht="14.45" customHeight="1">
      <c r="A202" s="64">
        <v>41948</v>
      </c>
      <c r="B202" s="65" t="s">
        <v>86</v>
      </c>
      <c r="C202" s="65" t="s">
        <v>127</v>
      </c>
      <c r="D202" s="65" t="s">
        <v>126</v>
      </c>
      <c r="E202" t="str">
        <f t="shared" si="5"/>
        <v>Delregion Fyrbodal</v>
      </c>
    </row>
    <row r="203" spans="1:5" ht="14.45" customHeight="1">
      <c r="A203" s="64">
        <v>41949</v>
      </c>
      <c r="B203" s="65" t="s">
        <v>73</v>
      </c>
      <c r="C203" s="65" t="s">
        <v>85</v>
      </c>
      <c r="D203" s="65" t="s">
        <v>75</v>
      </c>
      <c r="E203" t="str">
        <f t="shared" si="5"/>
        <v>Delregion Göteborg</v>
      </c>
    </row>
    <row r="204" spans="1:5" ht="14.45" customHeight="1">
      <c r="A204" s="64">
        <v>41949</v>
      </c>
      <c r="B204" s="65" t="s">
        <v>81</v>
      </c>
      <c r="C204" s="65" t="s">
        <v>127</v>
      </c>
      <c r="D204" s="65" t="s">
        <v>126</v>
      </c>
      <c r="E204" t="str">
        <f t="shared" si="5"/>
        <v>Delregion Fyrbodal</v>
      </c>
    </row>
    <row r="205" spans="1:5" ht="14.45" customHeight="1">
      <c r="A205" s="64">
        <v>41949</v>
      </c>
      <c r="B205" s="65" t="s">
        <v>122</v>
      </c>
      <c r="C205" s="65" t="s">
        <v>74</v>
      </c>
      <c r="D205" s="65" t="s">
        <v>126</v>
      </c>
      <c r="E205" t="str">
        <f t="shared" ref="E205:E268" si="7">VLOOKUP(B205,$Q$14:$R$62,2,FALSE)</f>
        <v>Delregion Fyrbodal</v>
      </c>
    </row>
    <row r="206" spans="1:5" ht="14.45" customHeight="1">
      <c r="A206" s="64">
        <v>41950</v>
      </c>
      <c r="B206" s="65" t="s">
        <v>76</v>
      </c>
      <c r="C206" s="65" t="s">
        <v>130</v>
      </c>
      <c r="D206" s="65" t="s">
        <v>126</v>
      </c>
      <c r="E206" t="str">
        <f t="shared" si="7"/>
        <v>Delregion Skaraborg</v>
      </c>
    </row>
    <row r="207" spans="1:5" ht="14.45" customHeight="1">
      <c r="A207" s="64">
        <v>41953</v>
      </c>
      <c r="B207" s="65" t="s">
        <v>95</v>
      </c>
      <c r="C207" s="65" t="s">
        <v>83</v>
      </c>
      <c r="D207" s="65" t="s">
        <v>75</v>
      </c>
      <c r="E207" t="str">
        <f t="shared" si="7"/>
        <v>Delregion Södra Älvsborg</v>
      </c>
    </row>
    <row r="208" spans="1:5" ht="14.45" customHeight="1">
      <c r="A208" s="64">
        <v>41953</v>
      </c>
      <c r="B208" s="65" t="s">
        <v>73</v>
      </c>
      <c r="C208" s="65" t="s">
        <v>118</v>
      </c>
      <c r="D208" s="65" t="s">
        <v>75</v>
      </c>
      <c r="E208" t="str">
        <f t="shared" si="7"/>
        <v>Delregion Göteborg</v>
      </c>
    </row>
    <row r="209" spans="1:5" ht="14.45" customHeight="1">
      <c r="A209" s="64">
        <v>41953</v>
      </c>
      <c r="B209" s="65" t="s">
        <v>95</v>
      </c>
      <c r="C209" s="65" t="s">
        <v>131</v>
      </c>
      <c r="D209" s="65" t="s">
        <v>126</v>
      </c>
      <c r="E209" t="str">
        <f t="shared" si="7"/>
        <v>Delregion Södra Älvsborg</v>
      </c>
    </row>
    <row r="210" spans="1:5" ht="14.45" customHeight="1">
      <c r="A210" s="64">
        <v>41953</v>
      </c>
      <c r="B210" s="65" t="s">
        <v>115</v>
      </c>
      <c r="C210" s="65" t="s">
        <v>131</v>
      </c>
      <c r="D210" s="65" t="s">
        <v>126</v>
      </c>
      <c r="E210" t="str">
        <f t="shared" si="7"/>
        <v>Delregion Göteborg</v>
      </c>
    </row>
    <row r="211" spans="1:5" ht="14.45" customHeight="1">
      <c r="A211" s="64">
        <v>41954</v>
      </c>
      <c r="B211" s="65" t="s">
        <v>73</v>
      </c>
      <c r="C211" s="65" t="s">
        <v>96</v>
      </c>
      <c r="D211" s="65" t="s">
        <v>75</v>
      </c>
      <c r="E211" t="str">
        <f t="shared" si="7"/>
        <v>Delregion Göteborg</v>
      </c>
    </row>
    <row r="212" spans="1:5" ht="14.45" customHeight="1">
      <c r="A212" s="64">
        <v>41954</v>
      </c>
      <c r="B212" s="65" t="s">
        <v>73</v>
      </c>
      <c r="C212" s="65" t="s">
        <v>134</v>
      </c>
      <c r="D212" s="65" t="s">
        <v>126</v>
      </c>
      <c r="E212" t="str">
        <f t="shared" si="7"/>
        <v>Delregion Göteborg</v>
      </c>
    </row>
    <row r="213" spans="1:5" ht="14.45" customHeight="1">
      <c r="A213" s="64">
        <v>41954</v>
      </c>
      <c r="B213" s="65" t="s">
        <v>73</v>
      </c>
      <c r="C213" s="65" t="s">
        <v>130</v>
      </c>
      <c r="D213" s="65" t="s">
        <v>126</v>
      </c>
      <c r="E213" t="str">
        <f t="shared" si="7"/>
        <v>Delregion Göteborg</v>
      </c>
    </row>
    <row r="214" spans="1:5" ht="14.45" customHeight="1">
      <c r="A214" s="64">
        <v>41955</v>
      </c>
      <c r="B214" s="65" t="s">
        <v>86</v>
      </c>
      <c r="C214" s="65" t="s">
        <v>131</v>
      </c>
      <c r="D214" s="65" t="s">
        <v>126</v>
      </c>
      <c r="E214" t="str">
        <f t="shared" si="7"/>
        <v>Delregion Fyrbodal</v>
      </c>
    </row>
    <row r="215" spans="1:5" ht="14.45" customHeight="1">
      <c r="A215" s="64">
        <v>41956</v>
      </c>
      <c r="B215" s="65" t="s">
        <v>95</v>
      </c>
      <c r="C215" s="65" t="s">
        <v>131</v>
      </c>
      <c r="D215" s="65" t="s">
        <v>126</v>
      </c>
      <c r="E215" t="str">
        <f t="shared" si="7"/>
        <v>Delregion Södra Älvsborg</v>
      </c>
    </row>
    <row r="216" spans="1:5" ht="14.45" customHeight="1">
      <c r="A216" s="64">
        <v>41956</v>
      </c>
      <c r="B216" s="65" t="s">
        <v>73</v>
      </c>
      <c r="C216" s="65" t="s">
        <v>131</v>
      </c>
      <c r="D216" s="65" t="s">
        <v>126</v>
      </c>
      <c r="E216" t="str">
        <f t="shared" si="7"/>
        <v>Delregion Göteborg</v>
      </c>
    </row>
    <row r="217" spans="1:5" ht="14.45" customHeight="1">
      <c r="A217" s="64">
        <v>41960</v>
      </c>
      <c r="B217" s="65" t="s">
        <v>113</v>
      </c>
      <c r="C217" s="65" t="s">
        <v>85</v>
      </c>
      <c r="D217" s="65" t="s">
        <v>75</v>
      </c>
      <c r="E217" t="str">
        <f t="shared" si="7"/>
        <v>Delregion Skaraborg</v>
      </c>
    </row>
    <row r="218" spans="1:5" ht="14.45" customHeight="1">
      <c r="A218" s="64">
        <v>41960</v>
      </c>
      <c r="B218" s="65" t="s">
        <v>115</v>
      </c>
      <c r="C218" s="65" t="s">
        <v>127</v>
      </c>
      <c r="D218" s="65" t="s">
        <v>126</v>
      </c>
      <c r="E218" t="str">
        <f t="shared" si="7"/>
        <v>Delregion Göteborg</v>
      </c>
    </row>
    <row r="219" spans="1:5" ht="14.45" customHeight="1">
      <c r="A219" s="64">
        <v>41960</v>
      </c>
      <c r="B219" s="65" t="s">
        <v>99</v>
      </c>
      <c r="C219" s="65" t="s">
        <v>131</v>
      </c>
      <c r="D219" s="65" t="s">
        <v>126</v>
      </c>
      <c r="E219" t="str">
        <f t="shared" si="7"/>
        <v>Delregion Skaraborg</v>
      </c>
    </row>
    <row r="220" spans="1:5" ht="14.45" customHeight="1">
      <c r="A220" s="64">
        <v>41961</v>
      </c>
      <c r="B220" s="65" t="s">
        <v>76</v>
      </c>
      <c r="C220" s="65" t="s">
        <v>100</v>
      </c>
      <c r="D220" s="65" t="s">
        <v>75</v>
      </c>
      <c r="E220" t="str">
        <f t="shared" si="7"/>
        <v>Delregion Skaraborg</v>
      </c>
    </row>
    <row r="221" spans="1:5" ht="14.45" customHeight="1">
      <c r="A221" s="64">
        <v>41961</v>
      </c>
      <c r="B221" s="65" t="s">
        <v>95</v>
      </c>
      <c r="C221" s="65" t="s">
        <v>129</v>
      </c>
      <c r="D221" s="65" t="s">
        <v>126</v>
      </c>
      <c r="E221" t="str">
        <f t="shared" si="7"/>
        <v>Delregion Södra Älvsborg</v>
      </c>
    </row>
    <row r="222" spans="1:5" ht="14.45" customHeight="1">
      <c r="A222" s="64">
        <v>41962</v>
      </c>
      <c r="B222" s="65" t="s">
        <v>95</v>
      </c>
      <c r="C222" s="65" t="s">
        <v>134</v>
      </c>
      <c r="D222" s="65" t="s">
        <v>126</v>
      </c>
      <c r="E222" t="str">
        <f t="shared" si="7"/>
        <v>Delregion Södra Älvsborg</v>
      </c>
    </row>
    <row r="223" spans="1:5" ht="14.45" customHeight="1">
      <c r="A223" s="64">
        <v>41962</v>
      </c>
      <c r="B223" s="65" t="s">
        <v>95</v>
      </c>
      <c r="C223" s="65" t="s">
        <v>131</v>
      </c>
      <c r="D223" s="65" t="s">
        <v>126</v>
      </c>
      <c r="E223" t="str">
        <f t="shared" si="7"/>
        <v>Delregion Södra Älvsborg</v>
      </c>
    </row>
    <row r="224" spans="1:5" ht="14.45" customHeight="1">
      <c r="A224" s="64">
        <v>41963</v>
      </c>
      <c r="B224" s="65" t="s">
        <v>73</v>
      </c>
      <c r="C224" s="65" t="s">
        <v>88</v>
      </c>
      <c r="D224" s="65" t="s">
        <v>75</v>
      </c>
      <c r="E224" t="str">
        <f t="shared" si="7"/>
        <v>Delregion Göteborg</v>
      </c>
    </row>
    <row r="225" spans="1:5" ht="14.45" customHeight="1">
      <c r="A225" s="64">
        <v>41963</v>
      </c>
      <c r="B225" s="65" t="s">
        <v>97</v>
      </c>
      <c r="C225" s="65" t="s">
        <v>139</v>
      </c>
      <c r="D225" s="65" t="s">
        <v>126</v>
      </c>
      <c r="E225" t="str">
        <f t="shared" si="7"/>
        <v>Delregion Fyrbodal</v>
      </c>
    </row>
    <row r="226" spans="1:5" ht="14.45" customHeight="1">
      <c r="A226" s="64">
        <v>41964</v>
      </c>
      <c r="B226" s="65" t="s">
        <v>197</v>
      </c>
      <c r="C226" s="65" t="s">
        <v>118</v>
      </c>
      <c r="D226" s="65" t="s">
        <v>75</v>
      </c>
      <c r="E226" t="str">
        <f t="shared" si="7"/>
        <v>Delregion Fyrbodal</v>
      </c>
    </row>
    <row r="227" spans="1:5" ht="14.45" customHeight="1">
      <c r="A227" s="64">
        <v>41964</v>
      </c>
      <c r="B227" s="65" t="s">
        <v>78</v>
      </c>
      <c r="C227" s="65" t="s">
        <v>134</v>
      </c>
      <c r="D227" s="65" t="s">
        <v>126</v>
      </c>
      <c r="E227" t="str">
        <f t="shared" si="7"/>
        <v>Delregion SIMBA</v>
      </c>
    </row>
    <row r="228" spans="1:5" ht="14.45" customHeight="1">
      <c r="A228" s="64">
        <v>41967</v>
      </c>
      <c r="B228" s="65" t="s">
        <v>115</v>
      </c>
      <c r="C228" s="65" t="s">
        <v>85</v>
      </c>
      <c r="D228" s="65" t="s">
        <v>75</v>
      </c>
      <c r="E228" t="str">
        <f t="shared" si="7"/>
        <v>Delregion Göteborg</v>
      </c>
    </row>
    <row r="229" spans="1:5" ht="14.45" customHeight="1">
      <c r="A229" s="64">
        <v>41967</v>
      </c>
      <c r="B229" s="65" t="s">
        <v>73</v>
      </c>
      <c r="C229" s="65" t="s">
        <v>88</v>
      </c>
      <c r="D229" s="65" t="s">
        <v>75</v>
      </c>
      <c r="E229" t="str">
        <f t="shared" si="7"/>
        <v>Delregion Göteborg</v>
      </c>
    </row>
    <row r="230" spans="1:5" ht="14.45" customHeight="1">
      <c r="A230" s="64">
        <v>41968</v>
      </c>
      <c r="B230" s="65" t="s">
        <v>115</v>
      </c>
      <c r="C230" s="65" t="s">
        <v>131</v>
      </c>
      <c r="D230" s="65" t="s">
        <v>126</v>
      </c>
      <c r="E230" t="str">
        <f t="shared" si="7"/>
        <v>Delregion Göteborg</v>
      </c>
    </row>
    <row r="231" spans="1:5" ht="14.45" customHeight="1">
      <c r="A231" s="64">
        <v>41969</v>
      </c>
      <c r="B231" s="65" t="s">
        <v>115</v>
      </c>
      <c r="C231" s="65" t="s">
        <v>85</v>
      </c>
      <c r="D231" s="65" t="s">
        <v>75</v>
      </c>
      <c r="E231" t="str">
        <f t="shared" si="7"/>
        <v>Delregion Göteborg</v>
      </c>
    </row>
    <row r="232" spans="1:5" ht="14.45" customHeight="1">
      <c r="A232" s="64">
        <v>41969</v>
      </c>
      <c r="B232" s="65" t="s">
        <v>73</v>
      </c>
      <c r="C232" s="65" t="s">
        <v>134</v>
      </c>
      <c r="D232" s="65" t="s">
        <v>126</v>
      </c>
      <c r="E232" t="str">
        <f t="shared" si="7"/>
        <v>Delregion Göteborg</v>
      </c>
    </row>
    <row r="233" spans="1:5" ht="14.45" customHeight="1">
      <c r="A233" s="64">
        <v>41969</v>
      </c>
      <c r="B233" s="65" t="s">
        <v>73</v>
      </c>
      <c r="C233" s="65" t="s">
        <v>125</v>
      </c>
      <c r="D233" s="65" t="s">
        <v>126</v>
      </c>
      <c r="E233" t="str">
        <f t="shared" si="7"/>
        <v>Delregion Göteborg</v>
      </c>
    </row>
    <row r="234" spans="1:5" ht="14.45" customHeight="1">
      <c r="A234" s="64">
        <v>41971</v>
      </c>
      <c r="B234" s="65" t="s">
        <v>73</v>
      </c>
      <c r="C234" s="65" t="s">
        <v>83</v>
      </c>
      <c r="D234" s="65" t="s">
        <v>75</v>
      </c>
      <c r="E234" t="str">
        <f t="shared" si="7"/>
        <v>Delregion Göteborg</v>
      </c>
    </row>
    <row r="235" spans="1:5" ht="14.45" customHeight="1">
      <c r="A235" s="64">
        <v>41971</v>
      </c>
      <c r="B235" s="65" t="s">
        <v>86</v>
      </c>
      <c r="C235" s="65" t="s">
        <v>131</v>
      </c>
      <c r="D235" s="65" t="s">
        <v>126</v>
      </c>
      <c r="E235" t="str">
        <f t="shared" si="7"/>
        <v>Delregion Fyrbodal</v>
      </c>
    </row>
    <row r="236" spans="1:5" ht="14.45" customHeight="1">
      <c r="A236" s="64">
        <v>41974</v>
      </c>
      <c r="B236" s="65" t="s">
        <v>73</v>
      </c>
      <c r="C236" s="65" t="s">
        <v>127</v>
      </c>
      <c r="D236" s="65" t="s">
        <v>126</v>
      </c>
      <c r="E236" t="str">
        <f t="shared" si="7"/>
        <v>Delregion Göteborg</v>
      </c>
    </row>
    <row r="237" spans="1:5" ht="14.45" customHeight="1">
      <c r="A237" s="64">
        <v>41974</v>
      </c>
      <c r="B237" s="65" t="s">
        <v>73</v>
      </c>
      <c r="C237" s="65" t="s">
        <v>127</v>
      </c>
      <c r="D237" s="65" t="s">
        <v>126</v>
      </c>
      <c r="E237" t="str">
        <f t="shared" si="7"/>
        <v>Delregion Göteborg</v>
      </c>
    </row>
    <row r="238" spans="1:5" ht="14.45" customHeight="1">
      <c r="A238" s="64">
        <v>41975</v>
      </c>
      <c r="B238" s="65" t="s">
        <v>73</v>
      </c>
      <c r="C238" s="65" t="s">
        <v>85</v>
      </c>
      <c r="D238" s="65" t="s">
        <v>75</v>
      </c>
      <c r="E238" t="str">
        <f t="shared" si="7"/>
        <v>Delregion Göteborg</v>
      </c>
    </row>
    <row r="239" spans="1:5" ht="14.45" customHeight="1">
      <c r="A239" s="64">
        <v>41976</v>
      </c>
      <c r="B239" s="65" t="s">
        <v>73</v>
      </c>
      <c r="C239" s="65" t="s">
        <v>85</v>
      </c>
      <c r="D239" s="65" t="s">
        <v>75</v>
      </c>
      <c r="E239" t="str">
        <f t="shared" si="7"/>
        <v>Delregion Göteborg</v>
      </c>
    </row>
    <row r="240" spans="1:5" ht="14.45" customHeight="1">
      <c r="A240" s="64">
        <v>41976</v>
      </c>
      <c r="B240" s="65" t="s">
        <v>97</v>
      </c>
      <c r="C240" s="65" t="s">
        <v>131</v>
      </c>
      <c r="D240" s="65" t="s">
        <v>126</v>
      </c>
      <c r="E240" t="str">
        <f t="shared" si="7"/>
        <v>Delregion Fyrbodal</v>
      </c>
    </row>
    <row r="241" spans="1:5" ht="14.45" customHeight="1">
      <c r="A241" s="64">
        <v>41978</v>
      </c>
      <c r="B241" s="65" t="s">
        <v>78</v>
      </c>
      <c r="C241" s="65" t="s">
        <v>85</v>
      </c>
      <c r="D241" s="65" t="s">
        <v>75</v>
      </c>
      <c r="E241" t="str">
        <f t="shared" si="7"/>
        <v>Delregion SIMBA</v>
      </c>
    </row>
    <row r="242" spans="1:5" ht="14.45" customHeight="1">
      <c r="A242" s="64">
        <v>41978</v>
      </c>
      <c r="B242" s="65" t="s">
        <v>73</v>
      </c>
      <c r="C242" s="65" t="s">
        <v>96</v>
      </c>
      <c r="D242" s="65" t="s">
        <v>75</v>
      </c>
      <c r="E242" t="str">
        <f t="shared" si="7"/>
        <v>Delregion Göteborg</v>
      </c>
    </row>
    <row r="243" spans="1:5" ht="14.45" customHeight="1">
      <c r="A243" s="64">
        <v>41978</v>
      </c>
      <c r="B243" s="65" t="s">
        <v>84</v>
      </c>
      <c r="C243" s="65" t="s">
        <v>91</v>
      </c>
      <c r="D243" s="65" t="s">
        <v>75</v>
      </c>
      <c r="E243" t="str">
        <f t="shared" si="7"/>
        <v>Delregion Skaraborg</v>
      </c>
    </row>
    <row r="244" spans="1:5" ht="14.45" customHeight="1">
      <c r="A244" s="64">
        <v>41982</v>
      </c>
      <c r="B244" s="65" t="s">
        <v>73</v>
      </c>
      <c r="C244" s="65" t="s">
        <v>131</v>
      </c>
      <c r="D244" s="65" t="s">
        <v>126</v>
      </c>
      <c r="E244" t="str">
        <f t="shared" si="7"/>
        <v>Delregion Göteborg</v>
      </c>
    </row>
    <row r="245" spans="1:5" ht="14.45" customHeight="1">
      <c r="A245" s="64">
        <v>41983</v>
      </c>
      <c r="B245" s="65" t="s">
        <v>98</v>
      </c>
      <c r="C245" s="65" t="s">
        <v>83</v>
      </c>
      <c r="D245" s="65" t="s">
        <v>75</v>
      </c>
      <c r="E245" t="str">
        <f t="shared" si="7"/>
        <v>Delregion Göteborg</v>
      </c>
    </row>
    <row r="246" spans="1:5" ht="14.45" customHeight="1">
      <c r="A246" s="64">
        <v>41985</v>
      </c>
      <c r="B246" s="65" t="s">
        <v>81</v>
      </c>
      <c r="C246" s="65" t="s">
        <v>127</v>
      </c>
      <c r="D246" s="65" t="s">
        <v>126</v>
      </c>
      <c r="E246" t="str">
        <f t="shared" si="7"/>
        <v>Delregion Fyrbodal</v>
      </c>
    </row>
    <row r="247" spans="1:5" ht="14.45" customHeight="1">
      <c r="A247" s="64">
        <v>41988</v>
      </c>
      <c r="B247" s="65" t="s">
        <v>82</v>
      </c>
      <c r="C247" s="65" t="s">
        <v>88</v>
      </c>
      <c r="D247" s="65" t="s">
        <v>75</v>
      </c>
      <c r="E247" t="str">
        <f t="shared" si="7"/>
        <v>Delregion Fyrbodal</v>
      </c>
    </row>
    <row r="248" spans="1:5" ht="14.45" customHeight="1">
      <c r="A248" s="64">
        <v>41988</v>
      </c>
      <c r="B248" s="65" t="s">
        <v>99</v>
      </c>
      <c r="C248" s="65" t="s">
        <v>131</v>
      </c>
      <c r="D248" s="65" t="s">
        <v>126</v>
      </c>
      <c r="E248" t="str">
        <f t="shared" si="7"/>
        <v>Delregion Skaraborg</v>
      </c>
    </row>
    <row r="249" spans="1:5" ht="14.45" customHeight="1">
      <c r="A249" s="64">
        <v>41989</v>
      </c>
      <c r="B249" s="65" t="s">
        <v>121</v>
      </c>
      <c r="C249" s="65" t="s">
        <v>85</v>
      </c>
      <c r="D249" s="65" t="s">
        <v>75</v>
      </c>
      <c r="E249" t="str">
        <f t="shared" si="7"/>
        <v>Delregion Södra Älvsborg</v>
      </c>
    </row>
    <row r="250" spans="1:5" ht="14.45" customHeight="1">
      <c r="A250" s="64">
        <v>41989</v>
      </c>
      <c r="B250" s="65" t="s">
        <v>105</v>
      </c>
      <c r="C250" s="65" t="s">
        <v>85</v>
      </c>
      <c r="D250" s="65" t="s">
        <v>75</v>
      </c>
      <c r="E250" t="str">
        <f t="shared" si="7"/>
        <v>Delregion Skaraborg</v>
      </c>
    </row>
    <row r="251" spans="1:5" ht="14.45" customHeight="1">
      <c r="A251" s="64">
        <v>41989</v>
      </c>
      <c r="B251" s="65" t="s">
        <v>108</v>
      </c>
      <c r="C251" s="65" t="s">
        <v>91</v>
      </c>
      <c r="D251" s="65" t="s">
        <v>75</v>
      </c>
      <c r="E251" t="str">
        <f t="shared" si="7"/>
        <v>Delregion Fyrbodal</v>
      </c>
    </row>
    <row r="252" spans="1:5" ht="14.45" customHeight="1">
      <c r="A252" s="64">
        <v>41990</v>
      </c>
      <c r="B252" s="65" t="s">
        <v>104</v>
      </c>
      <c r="C252" s="65" t="s">
        <v>85</v>
      </c>
      <c r="D252" s="65" t="s">
        <v>75</v>
      </c>
      <c r="E252" t="str">
        <f t="shared" si="7"/>
        <v>Delregion SIMBA</v>
      </c>
    </row>
    <row r="253" spans="1:5" ht="14.45" customHeight="1">
      <c r="A253" s="64">
        <v>41990</v>
      </c>
      <c r="B253" s="65" t="s">
        <v>97</v>
      </c>
      <c r="C253" s="65" t="s">
        <v>127</v>
      </c>
      <c r="D253" s="65" t="s">
        <v>126</v>
      </c>
      <c r="E253" t="str">
        <f t="shared" si="7"/>
        <v>Delregion Fyrbodal</v>
      </c>
    </row>
    <row r="254" spans="1:5" ht="14.45" customHeight="1">
      <c r="A254" s="64">
        <v>41991</v>
      </c>
      <c r="B254" s="65" t="s">
        <v>108</v>
      </c>
      <c r="C254" s="65" t="s">
        <v>91</v>
      </c>
      <c r="D254" s="65" t="s">
        <v>75</v>
      </c>
      <c r="E254" t="str">
        <f t="shared" si="7"/>
        <v>Delregion Fyrbodal</v>
      </c>
    </row>
    <row r="255" spans="1:5" ht="14.45" customHeight="1">
      <c r="A255" s="64">
        <v>41991</v>
      </c>
      <c r="B255" s="65" t="s">
        <v>97</v>
      </c>
      <c r="C255" s="65" t="s">
        <v>127</v>
      </c>
      <c r="D255" s="65" t="s">
        <v>126</v>
      </c>
      <c r="E255" t="str">
        <f t="shared" si="7"/>
        <v>Delregion Fyrbodal</v>
      </c>
    </row>
    <row r="256" spans="1:5" ht="14.45" customHeight="1">
      <c r="A256" s="64">
        <v>41991</v>
      </c>
      <c r="B256" s="65" t="s">
        <v>73</v>
      </c>
      <c r="C256" s="65" t="s">
        <v>131</v>
      </c>
      <c r="D256" s="65" t="s">
        <v>126</v>
      </c>
      <c r="E256" t="str">
        <f t="shared" si="7"/>
        <v>Delregion Göteborg</v>
      </c>
    </row>
    <row r="257" spans="1:5" ht="14.45" customHeight="1">
      <c r="A257" s="64">
        <v>41992</v>
      </c>
      <c r="B257" s="65" t="s">
        <v>95</v>
      </c>
      <c r="C257" s="65" t="s">
        <v>127</v>
      </c>
      <c r="D257" s="65" t="s">
        <v>126</v>
      </c>
      <c r="E257" t="str">
        <f t="shared" si="7"/>
        <v>Delregion Södra Älvsborg</v>
      </c>
    </row>
    <row r="258" spans="1:5" ht="14.45" customHeight="1">
      <c r="A258" s="64">
        <v>41996</v>
      </c>
      <c r="B258" s="65" t="s">
        <v>78</v>
      </c>
      <c r="C258" s="65" t="s">
        <v>100</v>
      </c>
      <c r="D258" s="65" t="s">
        <v>75</v>
      </c>
      <c r="E258" t="str">
        <f t="shared" si="7"/>
        <v>Delregion SIMBA</v>
      </c>
    </row>
    <row r="259" spans="1:5" ht="14.45" customHeight="1">
      <c r="A259" s="64">
        <v>42011</v>
      </c>
      <c r="B259" s="65" t="s">
        <v>73</v>
      </c>
      <c r="C259" s="65" t="s">
        <v>96</v>
      </c>
      <c r="D259" s="65" t="s">
        <v>75</v>
      </c>
      <c r="E259" t="str">
        <f t="shared" si="7"/>
        <v>Delregion Göteborg</v>
      </c>
    </row>
    <row r="260" spans="1:5" ht="14.45" customHeight="1">
      <c r="A260" s="64">
        <v>42012</v>
      </c>
      <c r="B260" s="65" t="s">
        <v>73</v>
      </c>
      <c r="C260" s="65" t="s">
        <v>127</v>
      </c>
      <c r="D260" s="65" t="s">
        <v>126</v>
      </c>
      <c r="E260" t="str">
        <f t="shared" si="7"/>
        <v>Delregion Göteborg</v>
      </c>
    </row>
    <row r="261" spans="1:5" ht="14.45" customHeight="1">
      <c r="A261" s="64">
        <v>42012</v>
      </c>
      <c r="B261" s="65" t="s">
        <v>97</v>
      </c>
      <c r="C261" s="65" t="s">
        <v>139</v>
      </c>
      <c r="D261" s="65" t="s">
        <v>126</v>
      </c>
      <c r="E261" t="str">
        <f t="shared" si="7"/>
        <v>Delregion Fyrbodal</v>
      </c>
    </row>
    <row r="262" spans="1:5" ht="14.45" customHeight="1">
      <c r="A262" s="64">
        <v>42012</v>
      </c>
      <c r="B262" s="65" t="s">
        <v>73</v>
      </c>
      <c r="C262" s="65" t="s">
        <v>131</v>
      </c>
      <c r="D262" s="65" t="s">
        <v>126</v>
      </c>
      <c r="E262" t="str">
        <f t="shared" si="7"/>
        <v>Delregion Göteborg</v>
      </c>
    </row>
    <row r="263" spans="1:5" ht="14.45" customHeight="1">
      <c r="A263" s="64">
        <v>42013</v>
      </c>
      <c r="B263" s="65" t="s">
        <v>102</v>
      </c>
      <c r="C263" s="65" t="s">
        <v>85</v>
      </c>
      <c r="D263" s="65" t="s">
        <v>75</v>
      </c>
      <c r="E263" t="str">
        <f t="shared" si="7"/>
        <v>Delregion Södra Älvsborg</v>
      </c>
    </row>
    <row r="264" spans="1:5" ht="14.45" customHeight="1">
      <c r="A264" s="64">
        <v>42016</v>
      </c>
      <c r="B264" s="65" t="s">
        <v>97</v>
      </c>
      <c r="C264" s="65" t="s">
        <v>125</v>
      </c>
      <c r="D264" s="65" t="s">
        <v>126</v>
      </c>
      <c r="E264" t="str">
        <f t="shared" si="7"/>
        <v>Delregion Fyrbodal</v>
      </c>
    </row>
    <row r="265" spans="1:5" ht="14.45" customHeight="1">
      <c r="A265" s="64">
        <v>42018</v>
      </c>
      <c r="B265" s="65" t="s">
        <v>73</v>
      </c>
      <c r="C265" s="65" t="s">
        <v>138</v>
      </c>
      <c r="D265" s="65" t="s">
        <v>126</v>
      </c>
      <c r="E265" t="str">
        <f t="shared" si="7"/>
        <v>Delregion Göteborg</v>
      </c>
    </row>
    <row r="266" spans="1:5" ht="14.45" customHeight="1">
      <c r="A266" s="64">
        <v>42018</v>
      </c>
      <c r="B266" s="65" t="s">
        <v>97</v>
      </c>
      <c r="C266" s="65" t="s">
        <v>127</v>
      </c>
      <c r="D266" s="65" t="s">
        <v>126</v>
      </c>
      <c r="E266" t="str">
        <f t="shared" si="7"/>
        <v>Delregion Fyrbodal</v>
      </c>
    </row>
    <row r="267" spans="1:5" ht="14.45" customHeight="1">
      <c r="A267" s="64">
        <v>42018</v>
      </c>
      <c r="B267" s="65" t="s">
        <v>99</v>
      </c>
      <c r="C267" s="65" t="s">
        <v>131</v>
      </c>
      <c r="D267" s="65" t="s">
        <v>126</v>
      </c>
      <c r="E267" t="str">
        <f t="shared" si="7"/>
        <v>Delregion Skaraborg</v>
      </c>
    </row>
    <row r="268" spans="1:5" ht="14.45" customHeight="1">
      <c r="A268" s="64">
        <v>42019</v>
      </c>
      <c r="B268" s="65" t="s">
        <v>80</v>
      </c>
      <c r="C268" s="65" t="s">
        <v>128</v>
      </c>
      <c r="D268" s="65" t="s">
        <v>126</v>
      </c>
      <c r="E268" t="str">
        <f t="shared" si="7"/>
        <v>Delregion Södra Älvsborg</v>
      </c>
    </row>
    <row r="269" spans="1:5" ht="14.45" customHeight="1">
      <c r="A269" s="64">
        <v>42020</v>
      </c>
      <c r="B269" s="65" t="s">
        <v>73</v>
      </c>
      <c r="C269" s="65" t="s">
        <v>131</v>
      </c>
      <c r="D269" s="65" t="s">
        <v>126</v>
      </c>
      <c r="E269" t="str">
        <f t="shared" ref="E269:E332" si="8">VLOOKUP(B269,$Q$14:$R$62,2,FALSE)</f>
        <v>Delregion Göteborg</v>
      </c>
    </row>
    <row r="270" spans="1:5" ht="14.45" customHeight="1">
      <c r="A270" s="64">
        <v>42020</v>
      </c>
      <c r="B270" s="65" t="s">
        <v>73</v>
      </c>
      <c r="C270" s="65" t="s">
        <v>131</v>
      </c>
      <c r="D270" s="65" t="s">
        <v>126</v>
      </c>
      <c r="E270" t="str">
        <f t="shared" si="8"/>
        <v>Delregion Göteborg</v>
      </c>
    </row>
    <row r="271" spans="1:5" ht="14.45" customHeight="1">
      <c r="A271" s="64">
        <v>42023</v>
      </c>
      <c r="B271" s="65" t="s">
        <v>76</v>
      </c>
      <c r="C271" s="65" t="s">
        <v>134</v>
      </c>
      <c r="D271" s="65" t="s">
        <v>126</v>
      </c>
      <c r="E271" t="str">
        <f t="shared" si="8"/>
        <v>Delregion Skaraborg</v>
      </c>
    </row>
    <row r="272" spans="1:5" ht="14.45" customHeight="1">
      <c r="A272" s="64">
        <v>42023</v>
      </c>
      <c r="B272" s="65" t="s">
        <v>73</v>
      </c>
      <c r="C272" s="65" t="s">
        <v>131</v>
      </c>
      <c r="D272" s="65" t="s">
        <v>126</v>
      </c>
      <c r="E272" t="str">
        <f t="shared" si="8"/>
        <v>Delregion Göteborg</v>
      </c>
    </row>
    <row r="273" spans="1:5" ht="14.45" customHeight="1">
      <c r="A273" s="64">
        <v>42024</v>
      </c>
      <c r="B273" s="65" t="s">
        <v>103</v>
      </c>
      <c r="C273" s="65" t="s">
        <v>88</v>
      </c>
      <c r="D273" s="65" t="s">
        <v>75</v>
      </c>
      <c r="E273" t="str">
        <f t="shared" si="8"/>
        <v>Delregion Göteborg</v>
      </c>
    </row>
    <row r="274" spans="1:5" ht="14.45" customHeight="1">
      <c r="A274" s="64">
        <v>42024</v>
      </c>
      <c r="B274" s="65" t="s">
        <v>99</v>
      </c>
      <c r="C274" s="65" t="s">
        <v>88</v>
      </c>
      <c r="D274" s="65" t="s">
        <v>75</v>
      </c>
      <c r="E274" t="str">
        <f t="shared" si="8"/>
        <v>Delregion Skaraborg</v>
      </c>
    </row>
    <row r="275" spans="1:5" ht="14.45" customHeight="1">
      <c r="A275" s="64">
        <v>42024</v>
      </c>
      <c r="B275" s="65" t="s">
        <v>73</v>
      </c>
      <c r="C275" s="65" t="s">
        <v>131</v>
      </c>
      <c r="D275" s="65" t="s">
        <v>126</v>
      </c>
      <c r="E275" t="str">
        <f t="shared" si="8"/>
        <v>Delregion Göteborg</v>
      </c>
    </row>
    <row r="276" spans="1:5" ht="14.45" customHeight="1">
      <c r="A276" s="64">
        <v>42025</v>
      </c>
      <c r="B276" s="65" t="s">
        <v>81</v>
      </c>
      <c r="C276" s="65" t="s">
        <v>83</v>
      </c>
      <c r="D276" s="65" t="s">
        <v>75</v>
      </c>
      <c r="E276" t="str">
        <f t="shared" si="8"/>
        <v>Delregion Fyrbodal</v>
      </c>
    </row>
    <row r="277" spans="1:5" ht="14.45" customHeight="1">
      <c r="A277" s="64">
        <v>42025</v>
      </c>
      <c r="B277" s="65" t="s">
        <v>73</v>
      </c>
      <c r="C277" s="65" t="s">
        <v>96</v>
      </c>
      <c r="D277" s="65" t="s">
        <v>75</v>
      </c>
      <c r="E277" t="str">
        <f t="shared" si="8"/>
        <v>Delregion Göteborg</v>
      </c>
    </row>
    <row r="278" spans="1:5" ht="14.45" customHeight="1">
      <c r="A278" s="64">
        <v>42026</v>
      </c>
      <c r="B278" s="65" t="s">
        <v>73</v>
      </c>
      <c r="C278" s="65" t="s">
        <v>83</v>
      </c>
      <c r="D278" s="65" t="s">
        <v>75</v>
      </c>
      <c r="E278" t="str">
        <f t="shared" si="8"/>
        <v>Delregion Göteborg</v>
      </c>
    </row>
    <row r="279" spans="1:5" ht="14.45" customHeight="1">
      <c r="A279" s="64">
        <v>42027</v>
      </c>
      <c r="B279" s="65" t="s">
        <v>97</v>
      </c>
      <c r="C279" s="65" t="s">
        <v>131</v>
      </c>
      <c r="D279" s="65" t="s">
        <v>126</v>
      </c>
      <c r="E279" t="str">
        <f t="shared" si="8"/>
        <v>Delregion Fyrbodal</v>
      </c>
    </row>
    <row r="280" spans="1:5" ht="14.45" customHeight="1">
      <c r="A280" s="64">
        <v>42030</v>
      </c>
      <c r="B280" s="65" t="s">
        <v>80</v>
      </c>
      <c r="C280" s="65" t="s">
        <v>96</v>
      </c>
      <c r="D280" s="65" t="s">
        <v>75</v>
      </c>
      <c r="E280" t="str">
        <f t="shared" si="8"/>
        <v>Delregion Södra Älvsborg</v>
      </c>
    </row>
    <row r="281" spans="1:5" ht="14.45" customHeight="1">
      <c r="A281" s="64">
        <v>42030</v>
      </c>
      <c r="B281" s="65" t="s">
        <v>73</v>
      </c>
      <c r="C281" s="65" t="s">
        <v>129</v>
      </c>
      <c r="D281" s="65" t="s">
        <v>126</v>
      </c>
      <c r="E281" t="str">
        <f t="shared" si="8"/>
        <v>Delregion Göteborg</v>
      </c>
    </row>
    <row r="282" spans="1:5" ht="14.45" customHeight="1">
      <c r="A282" s="64">
        <v>42031</v>
      </c>
      <c r="B282" s="65" t="s">
        <v>197</v>
      </c>
      <c r="C282" s="65" t="s">
        <v>85</v>
      </c>
      <c r="D282" s="65" t="s">
        <v>75</v>
      </c>
      <c r="E282" t="str">
        <f t="shared" si="8"/>
        <v>Delregion Fyrbodal</v>
      </c>
    </row>
    <row r="283" spans="1:5" ht="14.45" customHeight="1">
      <c r="A283" s="64">
        <v>42031</v>
      </c>
      <c r="B283" s="65" t="s">
        <v>115</v>
      </c>
      <c r="C283" s="65" t="s">
        <v>85</v>
      </c>
      <c r="D283" s="65" t="s">
        <v>75</v>
      </c>
      <c r="E283" t="str">
        <f t="shared" si="8"/>
        <v>Delregion Göteborg</v>
      </c>
    </row>
    <row r="284" spans="1:5" ht="14.45" customHeight="1">
      <c r="A284" s="64">
        <v>42033</v>
      </c>
      <c r="B284" s="65" t="s">
        <v>73</v>
      </c>
      <c r="C284" s="65" t="s">
        <v>85</v>
      </c>
      <c r="D284" s="65" t="s">
        <v>75</v>
      </c>
      <c r="E284" t="str">
        <f t="shared" si="8"/>
        <v>Delregion Göteborg</v>
      </c>
    </row>
    <row r="285" spans="1:5" ht="14.45" customHeight="1">
      <c r="A285" s="64">
        <v>42033</v>
      </c>
      <c r="B285" s="65" t="s">
        <v>89</v>
      </c>
      <c r="C285" s="65" t="s">
        <v>91</v>
      </c>
      <c r="D285" s="65" t="s">
        <v>126</v>
      </c>
      <c r="E285" t="str">
        <f t="shared" si="8"/>
        <v>Delregion Skaraborg</v>
      </c>
    </row>
    <row r="286" spans="1:5" ht="14.45" customHeight="1">
      <c r="A286" s="64">
        <v>42034</v>
      </c>
      <c r="B286" s="65" t="s">
        <v>73</v>
      </c>
      <c r="C286" s="65" t="s">
        <v>129</v>
      </c>
      <c r="D286" s="65" t="s">
        <v>126</v>
      </c>
      <c r="E286" t="str">
        <f t="shared" si="8"/>
        <v>Delregion Göteborg</v>
      </c>
    </row>
    <row r="287" spans="1:5" ht="14.45" customHeight="1">
      <c r="A287" s="64">
        <v>42038</v>
      </c>
      <c r="B287" s="65" t="s">
        <v>197</v>
      </c>
      <c r="C287" s="65" t="s">
        <v>85</v>
      </c>
      <c r="D287" s="65" t="s">
        <v>75</v>
      </c>
      <c r="E287" t="str">
        <f t="shared" si="8"/>
        <v>Delregion Fyrbodal</v>
      </c>
    </row>
    <row r="288" spans="1:5" ht="14.45" customHeight="1">
      <c r="A288" s="64">
        <v>42038</v>
      </c>
      <c r="B288" s="65" t="s">
        <v>104</v>
      </c>
      <c r="C288" s="65" t="s">
        <v>85</v>
      </c>
      <c r="D288" s="65" t="s">
        <v>75</v>
      </c>
      <c r="E288" t="str">
        <f t="shared" si="8"/>
        <v>Delregion SIMBA</v>
      </c>
    </row>
    <row r="289" spans="1:5" ht="14.45" customHeight="1">
      <c r="A289" s="64">
        <v>42039</v>
      </c>
      <c r="B289" s="65" t="s">
        <v>98</v>
      </c>
      <c r="C289" s="65" t="s">
        <v>85</v>
      </c>
      <c r="D289" s="65" t="s">
        <v>75</v>
      </c>
      <c r="E289" t="str">
        <f t="shared" si="8"/>
        <v>Delregion Göteborg</v>
      </c>
    </row>
    <row r="290" spans="1:5" ht="14.45" customHeight="1">
      <c r="A290" s="64">
        <v>42039</v>
      </c>
      <c r="B290" s="65" t="s">
        <v>73</v>
      </c>
      <c r="C290" s="65" t="s">
        <v>131</v>
      </c>
      <c r="D290" s="65" t="s">
        <v>126</v>
      </c>
      <c r="E290" t="str">
        <f t="shared" si="8"/>
        <v>Delregion Göteborg</v>
      </c>
    </row>
    <row r="291" spans="1:5" ht="14.45" customHeight="1">
      <c r="A291" s="64">
        <v>42040</v>
      </c>
      <c r="B291" s="65" t="s">
        <v>110</v>
      </c>
      <c r="C291" s="65" t="s">
        <v>85</v>
      </c>
      <c r="D291" s="65" t="s">
        <v>75</v>
      </c>
      <c r="E291" t="str">
        <f t="shared" si="8"/>
        <v>Delregion Fyrbodal</v>
      </c>
    </row>
    <row r="292" spans="1:5" ht="14.45" customHeight="1">
      <c r="A292" s="64">
        <v>42041</v>
      </c>
      <c r="B292" s="65" t="s">
        <v>73</v>
      </c>
      <c r="C292" s="65" t="s">
        <v>127</v>
      </c>
      <c r="D292" s="65" t="s">
        <v>126</v>
      </c>
      <c r="E292" t="str">
        <f t="shared" si="8"/>
        <v>Delregion Göteborg</v>
      </c>
    </row>
    <row r="293" spans="1:5" ht="14.45" customHeight="1">
      <c r="A293" s="64">
        <v>42041</v>
      </c>
      <c r="B293" s="65" t="s">
        <v>73</v>
      </c>
      <c r="C293" s="65" t="s">
        <v>74</v>
      </c>
      <c r="D293" s="65" t="s">
        <v>126</v>
      </c>
      <c r="E293" t="str">
        <f t="shared" si="8"/>
        <v>Delregion Göteborg</v>
      </c>
    </row>
    <row r="294" spans="1:5" ht="14.45" customHeight="1">
      <c r="A294" s="64">
        <v>42046</v>
      </c>
      <c r="B294" s="65" t="s">
        <v>124</v>
      </c>
      <c r="C294" s="65" t="s">
        <v>85</v>
      </c>
      <c r="D294" s="65" t="s">
        <v>75</v>
      </c>
      <c r="E294" t="str">
        <f t="shared" si="8"/>
        <v>Delregion Fyrbodal</v>
      </c>
    </row>
    <row r="295" spans="1:5" ht="14.45" customHeight="1">
      <c r="A295" s="64">
        <v>42046</v>
      </c>
      <c r="B295" s="65" t="s">
        <v>112</v>
      </c>
      <c r="C295" s="65" t="s">
        <v>85</v>
      </c>
      <c r="D295" s="65" t="s">
        <v>75</v>
      </c>
      <c r="E295" t="str">
        <f t="shared" si="8"/>
        <v>Delregion Göteborg</v>
      </c>
    </row>
    <row r="296" spans="1:5" ht="14.45" customHeight="1">
      <c r="A296" s="64">
        <v>42048</v>
      </c>
      <c r="B296" s="65" t="s">
        <v>82</v>
      </c>
      <c r="C296" s="65" t="s">
        <v>83</v>
      </c>
      <c r="D296" s="65" t="s">
        <v>75</v>
      </c>
      <c r="E296" t="str">
        <f t="shared" si="8"/>
        <v>Delregion Fyrbodal</v>
      </c>
    </row>
    <row r="297" spans="1:5" ht="14.45" customHeight="1">
      <c r="A297" s="64">
        <v>42051</v>
      </c>
      <c r="B297" s="65" t="s">
        <v>73</v>
      </c>
      <c r="C297" s="65" t="s">
        <v>83</v>
      </c>
      <c r="D297" s="65" t="s">
        <v>75</v>
      </c>
      <c r="E297" t="str">
        <f t="shared" si="8"/>
        <v>Delregion Göteborg</v>
      </c>
    </row>
    <row r="298" spans="1:5" ht="14.45" customHeight="1">
      <c r="A298" s="64">
        <v>42053</v>
      </c>
      <c r="B298" s="65" t="s">
        <v>73</v>
      </c>
      <c r="C298" s="65" t="s">
        <v>118</v>
      </c>
      <c r="D298" s="65" t="s">
        <v>75</v>
      </c>
      <c r="E298" t="str">
        <f t="shared" si="8"/>
        <v>Delregion Göteborg</v>
      </c>
    </row>
    <row r="299" spans="1:5" ht="14.45" customHeight="1">
      <c r="A299" s="64">
        <v>42059</v>
      </c>
      <c r="B299" s="65" t="s">
        <v>86</v>
      </c>
      <c r="C299" s="65" t="s">
        <v>134</v>
      </c>
      <c r="D299" s="65" t="s">
        <v>126</v>
      </c>
      <c r="E299" t="str">
        <f t="shared" si="8"/>
        <v>Delregion Fyrbodal</v>
      </c>
    </row>
    <row r="300" spans="1:5" ht="14.45" customHeight="1">
      <c r="A300" s="64">
        <v>42060</v>
      </c>
      <c r="B300" s="65" t="s">
        <v>136</v>
      </c>
      <c r="C300" s="65" t="s">
        <v>128</v>
      </c>
      <c r="D300" s="65" t="s">
        <v>126</v>
      </c>
      <c r="E300" t="str">
        <f t="shared" si="8"/>
        <v>Delregion Fyrbodal</v>
      </c>
    </row>
    <row r="301" spans="1:5" ht="14.45" customHeight="1">
      <c r="A301" s="64">
        <v>42066</v>
      </c>
      <c r="B301" s="65" t="s">
        <v>73</v>
      </c>
      <c r="C301" s="65" t="s">
        <v>131</v>
      </c>
      <c r="D301" s="65" t="s">
        <v>126</v>
      </c>
      <c r="E301" t="str">
        <f t="shared" si="8"/>
        <v>Delregion Göteborg</v>
      </c>
    </row>
    <row r="302" spans="1:5" ht="14.45" customHeight="1">
      <c r="A302" s="64">
        <v>42068</v>
      </c>
      <c r="B302" s="65" t="s">
        <v>73</v>
      </c>
      <c r="C302" s="65" t="s">
        <v>85</v>
      </c>
      <c r="D302" s="65" t="s">
        <v>75</v>
      </c>
      <c r="E302" t="str">
        <f t="shared" si="8"/>
        <v>Delregion Göteborg</v>
      </c>
    </row>
    <row r="303" spans="1:5" ht="14.45" customHeight="1">
      <c r="A303" s="64">
        <v>42068</v>
      </c>
      <c r="B303" s="65" t="s">
        <v>95</v>
      </c>
      <c r="C303" s="65" t="s">
        <v>139</v>
      </c>
      <c r="D303" s="65" t="s">
        <v>126</v>
      </c>
      <c r="E303" t="str">
        <f t="shared" si="8"/>
        <v>Delregion Södra Älvsborg</v>
      </c>
    </row>
    <row r="304" spans="1:5" ht="14.45" customHeight="1">
      <c r="A304" s="64">
        <v>42073</v>
      </c>
      <c r="B304" s="65" t="s">
        <v>73</v>
      </c>
      <c r="C304" s="65" t="s">
        <v>85</v>
      </c>
      <c r="D304" s="65" t="s">
        <v>75</v>
      </c>
      <c r="E304" t="str">
        <f t="shared" si="8"/>
        <v>Delregion Göteborg</v>
      </c>
    </row>
    <row r="305" spans="1:5" ht="14.45" customHeight="1">
      <c r="A305" s="64">
        <v>42073</v>
      </c>
      <c r="B305" s="65" t="s">
        <v>104</v>
      </c>
      <c r="C305" s="65" t="s">
        <v>83</v>
      </c>
      <c r="D305" s="65" t="s">
        <v>75</v>
      </c>
      <c r="E305" t="str">
        <f t="shared" si="8"/>
        <v>Delregion SIMBA</v>
      </c>
    </row>
    <row r="306" spans="1:5" ht="14.45" customHeight="1">
      <c r="A306" s="64">
        <v>42073</v>
      </c>
      <c r="B306" s="65" t="s">
        <v>73</v>
      </c>
      <c r="C306" s="65" t="s">
        <v>131</v>
      </c>
      <c r="D306" s="65" t="s">
        <v>126</v>
      </c>
      <c r="E306" t="str">
        <f t="shared" si="8"/>
        <v>Delregion Göteborg</v>
      </c>
    </row>
    <row r="307" spans="1:5" ht="14.45" customHeight="1">
      <c r="A307" s="64">
        <v>42075</v>
      </c>
      <c r="B307" s="65" t="s">
        <v>98</v>
      </c>
      <c r="C307" s="65" t="s">
        <v>88</v>
      </c>
      <c r="D307" s="65" t="s">
        <v>75</v>
      </c>
      <c r="E307" t="str">
        <f t="shared" si="8"/>
        <v>Delregion Göteborg</v>
      </c>
    </row>
    <row r="308" spans="1:5" ht="14.45" customHeight="1">
      <c r="A308" s="64">
        <v>42079</v>
      </c>
      <c r="B308" s="65" t="s">
        <v>107</v>
      </c>
      <c r="C308" s="65" t="s">
        <v>85</v>
      </c>
      <c r="D308" s="65" t="s">
        <v>75</v>
      </c>
      <c r="E308" t="str">
        <f t="shared" si="8"/>
        <v>Delregion Skaraborg</v>
      </c>
    </row>
    <row r="309" spans="1:5" ht="14.45" customHeight="1">
      <c r="A309" s="64">
        <v>42080</v>
      </c>
      <c r="B309" s="65" t="s">
        <v>73</v>
      </c>
      <c r="C309" s="65" t="s">
        <v>85</v>
      </c>
      <c r="D309" s="65" t="s">
        <v>75</v>
      </c>
      <c r="E309" t="str">
        <f t="shared" si="8"/>
        <v>Delregion Göteborg</v>
      </c>
    </row>
    <row r="310" spans="1:5" ht="14.45" customHeight="1">
      <c r="A310" s="64">
        <v>42080</v>
      </c>
      <c r="B310" s="65" t="s">
        <v>73</v>
      </c>
      <c r="C310" s="65" t="s">
        <v>100</v>
      </c>
      <c r="D310" s="65" t="s">
        <v>75</v>
      </c>
      <c r="E310" t="str">
        <f t="shared" si="8"/>
        <v>Delregion Göteborg</v>
      </c>
    </row>
    <row r="311" spans="1:5" ht="14.45" customHeight="1">
      <c r="A311" s="64">
        <v>42081</v>
      </c>
      <c r="B311" s="65" t="s">
        <v>73</v>
      </c>
      <c r="C311" s="65" t="s">
        <v>85</v>
      </c>
      <c r="D311" s="65" t="s">
        <v>75</v>
      </c>
      <c r="E311" t="str">
        <f t="shared" si="8"/>
        <v>Delregion Göteborg</v>
      </c>
    </row>
    <row r="312" spans="1:5" ht="14.45" customHeight="1">
      <c r="A312" s="64">
        <v>42082</v>
      </c>
      <c r="B312" s="65" t="s">
        <v>73</v>
      </c>
      <c r="C312" s="65" t="s">
        <v>85</v>
      </c>
      <c r="D312" s="65" t="s">
        <v>75</v>
      </c>
      <c r="E312" t="str">
        <f t="shared" si="8"/>
        <v>Delregion Göteborg</v>
      </c>
    </row>
    <row r="313" spans="1:5" ht="14.45" customHeight="1">
      <c r="A313" s="64">
        <v>42082</v>
      </c>
      <c r="B313" s="65" t="s">
        <v>95</v>
      </c>
      <c r="C313" s="65" t="s">
        <v>131</v>
      </c>
      <c r="D313" s="65" t="s">
        <v>126</v>
      </c>
      <c r="E313" t="str">
        <f t="shared" si="8"/>
        <v>Delregion Södra Älvsborg</v>
      </c>
    </row>
    <row r="314" spans="1:5" ht="14.45" customHeight="1">
      <c r="A314" s="64">
        <v>42083</v>
      </c>
      <c r="B314" s="65" t="s">
        <v>115</v>
      </c>
      <c r="C314" s="65" t="s">
        <v>131</v>
      </c>
      <c r="D314" s="65" t="s">
        <v>126</v>
      </c>
      <c r="E314" t="str">
        <f t="shared" si="8"/>
        <v>Delregion Göteborg</v>
      </c>
    </row>
    <row r="315" spans="1:5" ht="14.45" customHeight="1">
      <c r="A315" s="64">
        <v>42086</v>
      </c>
      <c r="B315" s="65" t="s">
        <v>107</v>
      </c>
      <c r="C315" s="65" t="s">
        <v>85</v>
      </c>
      <c r="D315" s="65" t="s">
        <v>75</v>
      </c>
      <c r="E315" t="str">
        <f t="shared" si="8"/>
        <v>Delregion Skaraborg</v>
      </c>
    </row>
    <row r="316" spans="1:5" ht="14.45" customHeight="1">
      <c r="A316" s="64">
        <v>42088</v>
      </c>
      <c r="B316" s="65" t="s">
        <v>87</v>
      </c>
      <c r="C316" s="65" t="s">
        <v>85</v>
      </c>
      <c r="D316" s="65" t="s">
        <v>75</v>
      </c>
      <c r="E316" t="str">
        <f t="shared" si="8"/>
        <v>Delregion Skaraborg</v>
      </c>
    </row>
    <row r="317" spans="1:5" ht="14.45" customHeight="1">
      <c r="A317" s="64">
        <v>42088</v>
      </c>
      <c r="B317" s="65" t="s">
        <v>97</v>
      </c>
      <c r="C317" s="65" t="s">
        <v>125</v>
      </c>
      <c r="D317" s="65" t="s">
        <v>126</v>
      </c>
      <c r="E317" t="str">
        <f t="shared" si="8"/>
        <v>Delregion Fyrbodal</v>
      </c>
    </row>
    <row r="318" spans="1:5" ht="14.45" customHeight="1">
      <c r="A318" s="64">
        <v>42089</v>
      </c>
      <c r="B318" s="65" t="s">
        <v>120</v>
      </c>
      <c r="C318" s="65" t="s">
        <v>118</v>
      </c>
      <c r="D318" s="65" t="s">
        <v>75</v>
      </c>
      <c r="E318" t="str">
        <f t="shared" si="8"/>
        <v>Delregion Södra Älvsborg</v>
      </c>
    </row>
    <row r="319" spans="1:5" ht="14.45" customHeight="1">
      <c r="A319" s="64">
        <v>42089</v>
      </c>
      <c r="B319" s="65" t="s">
        <v>120</v>
      </c>
      <c r="C319" s="65" t="s">
        <v>118</v>
      </c>
      <c r="D319" s="65" t="s">
        <v>75</v>
      </c>
      <c r="E319" t="str">
        <f t="shared" si="8"/>
        <v>Delregion Södra Älvsborg</v>
      </c>
    </row>
    <row r="320" spans="1:5" ht="14.45" customHeight="1">
      <c r="A320" s="64">
        <v>42090</v>
      </c>
      <c r="B320" s="65" t="s">
        <v>73</v>
      </c>
      <c r="C320" s="65" t="s">
        <v>83</v>
      </c>
      <c r="D320" s="65" t="s">
        <v>75</v>
      </c>
      <c r="E320" t="str">
        <f t="shared" si="8"/>
        <v>Delregion Göteborg</v>
      </c>
    </row>
    <row r="321" spans="1:5" ht="14.45" customHeight="1">
      <c r="A321" s="64">
        <v>42093</v>
      </c>
      <c r="B321" s="65" t="s">
        <v>73</v>
      </c>
      <c r="C321" s="65" t="s">
        <v>85</v>
      </c>
      <c r="D321" s="65" t="s">
        <v>75</v>
      </c>
      <c r="E321" t="str">
        <f t="shared" si="8"/>
        <v>Delregion Göteborg</v>
      </c>
    </row>
    <row r="322" spans="1:5" ht="14.45" customHeight="1">
      <c r="A322" s="64">
        <v>42093</v>
      </c>
      <c r="B322" s="65" t="s">
        <v>73</v>
      </c>
      <c r="C322" s="65" t="s">
        <v>127</v>
      </c>
      <c r="D322" s="65" t="s">
        <v>126</v>
      </c>
      <c r="E322" t="str">
        <f t="shared" si="8"/>
        <v>Delregion Göteborg</v>
      </c>
    </row>
    <row r="323" spans="1:5" ht="14.45" customHeight="1">
      <c r="A323" s="64">
        <v>42093</v>
      </c>
      <c r="B323" s="65" t="s">
        <v>73</v>
      </c>
      <c r="C323" s="65" t="s">
        <v>131</v>
      </c>
      <c r="D323" s="65" t="s">
        <v>126</v>
      </c>
      <c r="E323" t="str">
        <f t="shared" si="8"/>
        <v>Delregion Göteborg</v>
      </c>
    </row>
    <row r="324" spans="1:5" ht="14.45" customHeight="1">
      <c r="A324" s="64">
        <v>42094</v>
      </c>
      <c r="B324" s="65" t="s">
        <v>73</v>
      </c>
      <c r="C324" s="65" t="s">
        <v>139</v>
      </c>
      <c r="D324" s="65" t="s">
        <v>126</v>
      </c>
      <c r="E324" t="str">
        <f t="shared" si="8"/>
        <v>Delregion Göteborg</v>
      </c>
    </row>
    <row r="325" spans="1:5" ht="14.45" customHeight="1">
      <c r="A325" s="64">
        <v>42095</v>
      </c>
      <c r="B325" s="65" t="s">
        <v>78</v>
      </c>
      <c r="C325" s="65" t="s">
        <v>85</v>
      </c>
      <c r="D325" s="65" t="s">
        <v>75</v>
      </c>
      <c r="E325" t="str">
        <f t="shared" si="8"/>
        <v>Delregion SIMBA</v>
      </c>
    </row>
    <row r="326" spans="1:5" ht="14.45" customHeight="1">
      <c r="A326" s="64">
        <v>42095</v>
      </c>
      <c r="B326" s="65" t="s">
        <v>99</v>
      </c>
      <c r="C326" s="65" t="s">
        <v>131</v>
      </c>
      <c r="D326" s="65" t="s">
        <v>126</v>
      </c>
      <c r="E326" t="str">
        <f t="shared" si="8"/>
        <v>Delregion Skaraborg</v>
      </c>
    </row>
    <row r="327" spans="1:5" ht="14.45" customHeight="1">
      <c r="A327" s="64">
        <v>42104</v>
      </c>
      <c r="B327" s="65" t="s">
        <v>97</v>
      </c>
      <c r="C327" s="65" t="s">
        <v>129</v>
      </c>
      <c r="D327" s="65" t="s">
        <v>126</v>
      </c>
      <c r="E327" t="str">
        <f t="shared" si="8"/>
        <v>Delregion Fyrbodal</v>
      </c>
    </row>
    <row r="328" spans="1:5" ht="14.45" customHeight="1">
      <c r="A328" s="64">
        <v>42104</v>
      </c>
      <c r="B328" s="65" t="s">
        <v>73</v>
      </c>
      <c r="C328" s="65" t="s">
        <v>131</v>
      </c>
      <c r="D328" s="65" t="s">
        <v>126</v>
      </c>
      <c r="E328" t="str">
        <f t="shared" si="8"/>
        <v>Delregion Göteborg</v>
      </c>
    </row>
    <row r="329" spans="1:5" ht="14.45" customHeight="1">
      <c r="A329" s="64">
        <v>42104</v>
      </c>
      <c r="B329" s="65" t="s">
        <v>99</v>
      </c>
      <c r="C329" s="65" t="s">
        <v>131</v>
      </c>
      <c r="D329" s="65" t="s">
        <v>126</v>
      </c>
      <c r="E329" t="str">
        <f t="shared" si="8"/>
        <v>Delregion Skaraborg</v>
      </c>
    </row>
    <row r="330" spans="1:5" ht="14.45" customHeight="1">
      <c r="A330" s="64">
        <v>42108</v>
      </c>
      <c r="B330" s="65" t="s">
        <v>115</v>
      </c>
      <c r="C330" s="65" t="s">
        <v>134</v>
      </c>
      <c r="D330" s="65" t="s">
        <v>126</v>
      </c>
      <c r="E330" t="str">
        <f t="shared" si="8"/>
        <v>Delregion Göteborg</v>
      </c>
    </row>
    <row r="331" spans="1:5" ht="14.45" customHeight="1">
      <c r="A331" s="64">
        <v>42108</v>
      </c>
      <c r="B331" s="65" t="s">
        <v>115</v>
      </c>
      <c r="C331" s="65" t="s">
        <v>131</v>
      </c>
      <c r="D331" s="65" t="s">
        <v>126</v>
      </c>
      <c r="E331" t="str">
        <f t="shared" si="8"/>
        <v>Delregion Göteborg</v>
      </c>
    </row>
    <row r="332" spans="1:5" ht="14.45" customHeight="1">
      <c r="A332" s="64">
        <v>42108</v>
      </c>
      <c r="B332" s="65" t="s">
        <v>115</v>
      </c>
      <c r="C332" s="65" t="s">
        <v>131</v>
      </c>
      <c r="D332" s="65" t="s">
        <v>126</v>
      </c>
      <c r="E332" t="str">
        <f t="shared" si="8"/>
        <v>Delregion Göteborg</v>
      </c>
    </row>
    <row r="333" spans="1:5" ht="14.45" customHeight="1">
      <c r="A333" s="64">
        <v>42110</v>
      </c>
      <c r="B333" s="65" t="s">
        <v>107</v>
      </c>
      <c r="C333" s="65" t="s">
        <v>85</v>
      </c>
      <c r="D333" s="65" t="s">
        <v>75</v>
      </c>
      <c r="E333" t="str">
        <f t="shared" ref="E333:E396" si="9">VLOOKUP(B333,$Q$14:$R$62,2,FALSE)</f>
        <v>Delregion Skaraborg</v>
      </c>
    </row>
    <row r="334" spans="1:5" ht="14.45" customHeight="1">
      <c r="A334" s="64">
        <v>42110</v>
      </c>
      <c r="B334" s="65" t="s">
        <v>73</v>
      </c>
      <c r="C334" s="65" t="s">
        <v>127</v>
      </c>
      <c r="D334" s="65" t="s">
        <v>126</v>
      </c>
      <c r="E334" t="str">
        <f t="shared" si="9"/>
        <v>Delregion Göteborg</v>
      </c>
    </row>
    <row r="335" spans="1:5" ht="14.45" customHeight="1">
      <c r="A335" s="64">
        <v>42111</v>
      </c>
      <c r="B335" s="65" t="s">
        <v>95</v>
      </c>
      <c r="C335" s="65" t="s">
        <v>131</v>
      </c>
      <c r="D335" s="65" t="s">
        <v>126</v>
      </c>
      <c r="E335" t="str">
        <f t="shared" si="9"/>
        <v>Delregion Södra Älvsborg</v>
      </c>
    </row>
    <row r="336" spans="1:5" ht="14.45" customHeight="1">
      <c r="A336" s="64">
        <v>42114</v>
      </c>
      <c r="B336" s="65" t="s">
        <v>87</v>
      </c>
      <c r="C336" s="65" t="s">
        <v>129</v>
      </c>
      <c r="D336" s="65" t="s">
        <v>126</v>
      </c>
      <c r="E336" t="str">
        <f t="shared" si="9"/>
        <v>Delregion Skaraborg</v>
      </c>
    </row>
    <row r="337" spans="1:5" ht="14.45" customHeight="1">
      <c r="A337" s="64">
        <v>42115</v>
      </c>
      <c r="B337" s="65" t="s">
        <v>73</v>
      </c>
      <c r="C337" s="65" t="s">
        <v>85</v>
      </c>
      <c r="D337" s="65" t="s">
        <v>75</v>
      </c>
      <c r="E337" t="str">
        <f t="shared" si="9"/>
        <v>Delregion Göteborg</v>
      </c>
    </row>
    <row r="338" spans="1:5" ht="14.45" customHeight="1">
      <c r="A338" s="64">
        <v>42117</v>
      </c>
      <c r="B338" s="65" t="s">
        <v>73</v>
      </c>
      <c r="C338" s="65" t="s">
        <v>85</v>
      </c>
      <c r="D338" s="65" t="s">
        <v>75</v>
      </c>
      <c r="E338" t="str">
        <f t="shared" si="9"/>
        <v>Delregion Göteborg</v>
      </c>
    </row>
    <row r="339" spans="1:5" ht="14.45" customHeight="1">
      <c r="A339" s="64">
        <v>42117</v>
      </c>
      <c r="B339" s="65" t="s">
        <v>73</v>
      </c>
      <c r="C339" s="65" t="s">
        <v>131</v>
      </c>
      <c r="D339" s="65" t="s">
        <v>126</v>
      </c>
      <c r="E339" t="str">
        <f t="shared" si="9"/>
        <v>Delregion Göteborg</v>
      </c>
    </row>
    <row r="340" spans="1:5" ht="14.45" customHeight="1">
      <c r="A340" s="64">
        <v>42118</v>
      </c>
      <c r="B340" s="65" t="s">
        <v>73</v>
      </c>
      <c r="C340" s="65" t="s">
        <v>85</v>
      </c>
      <c r="D340" s="65" t="s">
        <v>75</v>
      </c>
      <c r="E340" t="str">
        <f t="shared" si="9"/>
        <v>Delregion Göteborg</v>
      </c>
    </row>
    <row r="341" spans="1:5" ht="14.45" customHeight="1">
      <c r="A341" s="64">
        <v>42118</v>
      </c>
      <c r="B341" s="65" t="s">
        <v>89</v>
      </c>
      <c r="C341" s="65" t="s">
        <v>96</v>
      </c>
      <c r="D341" s="65" t="s">
        <v>75</v>
      </c>
      <c r="E341" t="str">
        <f t="shared" si="9"/>
        <v>Delregion Skaraborg</v>
      </c>
    </row>
    <row r="342" spans="1:5" ht="14.45" customHeight="1">
      <c r="A342" s="64">
        <v>42118</v>
      </c>
      <c r="B342" s="65" t="s">
        <v>95</v>
      </c>
      <c r="C342" s="65" t="s">
        <v>134</v>
      </c>
      <c r="D342" s="65" t="s">
        <v>126</v>
      </c>
      <c r="E342" t="str">
        <f t="shared" si="9"/>
        <v>Delregion Södra Älvsborg</v>
      </c>
    </row>
    <row r="343" spans="1:5" ht="14.45" customHeight="1">
      <c r="A343" s="64">
        <v>42121</v>
      </c>
      <c r="B343" s="65" t="s">
        <v>115</v>
      </c>
      <c r="C343" s="65" t="s">
        <v>85</v>
      </c>
      <c r="D343" s="65" t="s">
        <v>75</v>
      </c>
      <c r="E343" t="str">
        <f t="shared" si="9"/>
        <v>Delregion Göteborg</v>
      </c>
    </row>
    <row r="344" spans="1:5" ht="14.45" customHeight="1">
      <c r="A344" s="64">
        <v>42121</v>
      </c>
      <c r="B344" s="65" t="s">
        <v>115</v>
      </c>
      <c r="C344" s="65" t="s">
        <v>85</v>
      </c>
      <c r="D344" s="65" t="s">
        <v>75</v>
      </c>
      <c r="E344" t="str">
        <f t="shared" si="9"/>
        <v>Delregion Göteborg</v>
      </c>
    </row>
    <row r="345" spans="1:5" ht="14.45" customHeight="1">
      <c r="A345" s="64">
        <v>42122</v>
      </c>
      <c r="B345" s="65" t="s">
        <v>73</v>
      </c>
      <c r="C345" s="65" t="s">
        <v>85</v>
      </c>
      <c r="D345" s="65" t="s">
        <v>75</v>
      </c>
      <c r="E345" t="str">
        <f t="shared" si="9"/>
        <v>Delregion Göteborg</v>
      </c>
    </row>
    <row r="346" spans="1:5" ht="14.45" customHeight="1">
      <c r="A346" s="64">
        <v>42129</v>
      </c>
      <c r="B346" s="65" t="s">
        <v>106</v>
      </c>
      <c r="C346" s="65" t="s">
        <v>85</v>
      </c>
      <c r="D346" s="65" t="s">
        <v>75</v>
      </c>
      <c r="E346" t="str">
        <f t="shared" si="9"/>
        <v>Delregion Fyrbodal</v>
      </c>
    </row>
    <row r="347" spans="1:5" ht="14.45" customHeight="1">
      <c r="A347" s="64">
        <v>42129</v>
      </c>
      <c r="B347" s="65" t="s">
        <v>97</v>
      </c>
      <c r="C347" s="65" t="s">
        <v>130</v>
      </c>
      <c r="D347" s="65" t="s">
        <v>126</v>
      </c>
      <c r="E347" t="str">
        <f t="shared" si="9"/>
        <v>Delregion Fyrbodal</v>
      </c>
    </row>
    <row r="348" spans="1:5" ht="14.45" customHeight="1">
      <c r="A348" s="64">
        <v>42130</v>
      </c>
      <c r="B348" s="65" t="s">
        <v>73</v>
      </c>
      <c r="C348" s="65" t="s">
        <v>100</v>
      </c>
      <c r="D348" s="65" t="s">
        <v>75</v>
      </c>
      <c r="E348" t="str">
        <f t="shared" si="9"/>
        <v>Delregion Göteborg</v>
      </c>
    </row>
    <row r="349" spans="1:5" ht="14.45" customHeight="1">
      <c r="A349" s="64">
        <v>42132</v>
      </c>
      <c r="B349" s="65" t="s">
        <v>73</v>
      </c>
      <c r="C349" s="65" t="s">
        <v>125</v>
      </c>
      <c r="D349" s="65" t="s">
        <v>126</v>
      </c>
      <c r="E349" t="str">
        <f t="shared" si="9"/>
        <v>Delregion Göteborg</v>
      </c>
    </row>
    <row r="350" spans="1:5" ht="14.45" customHeight="1">
      <c r="A350" s="64">
        <v>42136</v>
      </c>
      <c r="B350" s="65" t="s">
        <v>86</v>
      </c>
      <c r="C350" s="65" t="s">
        <v>85</v>
      </c>
      <c r="D350" s="65" t="s">
        <v>75</v>
      </c>
      <c r="E350" t="str">
        <f t="shared" si="9"/>
        <v>Delregion Fyrbodal</v>
      </c>
    </row>
    <row r="351" spans="1:5" ht="14.45" customHeight="1">
      <c r="A351" s="64">
        <v>42137</v>
      </c>
      <c r="B351" s="65" t="s">
        <v>94</v>
      </c>
      <c r="C351" s="65" t="s">
        <v>85</v>
      </c>
      <c r="D351" s="65" t="s">
        <v>75</v>
      </c>
      <c r="E351" t="str">
        <f t="shared" si="9"/>
        <v>Delregion Fyrbodal</v>
      </c>
    </row>
    <row r="352" spans="1:5" ht="14.45" customHeight="1">
      <c r="A352" s="64">
        <v>42142</v>
      </c>
      <c r="B352" s="65" t="s">
        <v>73</v>
      </c>
      <c r="C352" s="65" t="s">
        <v>125</v>
      </c>
      <c r="D352" s="65" t="s">
        <v>126</v>
      </c>
      <c r="E352" t="str">
        <f t="shared" si="9"/>
        <v>Delregion Göteborg</v>
      </c>
    </row>
    <row r="353" spans="1:5" ht="14.45" customHeight="1">
      <c r="A353" s="64">
        <v>42145</v>
      </c>
      <c r="B353" s="65" t="s">
        <v>73</v>
      </c>
      <c r="C353" s="65" t="s">
        <v>85</v>
      </c>
      <c r="D353" s="65" t="s">
        <v>75</v>
      </c>
      <c r="E353" t="str">
        <f t="shared" si="9"/>
        <v>Delregion Göteborg</v>
      </c>
    </row>
    <row r="354" spans="1:5" ht="14.45" customHeight="1">
      <c r="A354" s="64">
        <v>42145</v>
      </c>
      <c r="B354" s="65" t="s">
        <v>73</v>
      </c>
      <c r="C354" s="65" t="s">
        <v>85</v>
      </c>
      <c r="D354" s="65" t="s">
        <v>75</v>
      </c>
      <c r="E354" t="str">
        <f t="shared" si="9"/>
        <v>Delregion Göteborg</v>
      </c>
    </row>
    <row r="355" spans="1:5" ht="14.45" customHeight="1">
      <c r="A355" s="64">
        <v>42145</v>
      </c>
      <c r="B355" s="65" t="s">
        <v>73</v>
      </c>
      <c r="C355" s="65" t="s">
        <v>83</v>
      </c>
      <c r="D355" s="65" t="s">
        <v>75</v>
      </c>
      <c r="E355" t="str">
        <f t="shared" si="9"/>
        <v>Delregion Göteborg</v>
      </c>
    </row>
    <row r="356" spans="1:5" ht="14.45" customHeight="1">
      <c r="A356" s="64">
        <v>42149</v>
      </c>
      <c r="B356" s="65" t="s">
        <v>117</v>
      </c>
      <c r="C356" s="65" t="s">
        <v>85</v>
      </c>
      <c r="D356" s="65" t="s">
        <v>75</v>
      </c>
      <c r="E356" t="str">
        <f t="shared" si="9"/>
        <v>Delregion Skaraborg</v>
      </c>
    </row>
    <row r="357" spans="1:5" ht="14.45" customHeight="1">
      <c r="A357" s="64">
        <v>42149</v>
      </c>
      <c r="B357" s="65" t="s">
        <v>116</v>
      </c>
      <c r="C357" s="65" t="s">
        <v>85</v>
      </c>
      <c r="D357" s="65" t="s">
        <v>75</v>
      </c>
      <c r="E357" t="str">
        <f t="shared" si="9"/>
        <v>Delregion Södra Älvsborg</v>
      </c>
    </row>
    <row r="358" spans="1:5" ht="14.45" customHeight="1">
      <c r="A358" s="64">
        <v>42149</v>
      </c>
      <c r="B358" s="65" t="s">
        <v>89</v>
      </c>
      <c r="C358" s="65" t="s">
        <v>83</v>
      </c>
      <c r="D358" s="65" t="s">
        <v>75</v>
      </c>
      <c r="E358" t="str">
        <f t="shared" si="9"/>
        <v>Delregion Skaraborg</v>
      </c>
    </row>
    <row r="359" spans="1:5" ht="14.45" customHeight="1">
      <c r="A359" s="64">
        <v>42156</v>
      </c>
      <c r="B359" s="65" t="s">
        <v>73</v>
      </c>
      <c r="C359" s="65" t="s">
        <v>85</v>
      </c>
      <c r="D359" s="65" t="s">
        <v>75</v>
      </c>
      <c r="E359" t="str">
        <f t="shared" si="9"/>
        <v>Delregion Göteborg</v>
      </c>
    </row>
    <row r="360" spans="1:5" ht="14.45" customHeight="1">
      <c r="A360" s="64">
        <v>42156</v>
      </c>
      <c r="B360" s="65" t="s">
        <v>73</v>
      </c>
      <c r="C360" s="65" t="s">
        <v>83</v>
      </c>
      <c r="D360" s="65" t="s">
        <v>75</v>
      </c>
      <c r="E360" t="str">
        <f t="shared" si="9"/>
        <v>Delregion Göteborg</v>
      </c>
    </row>
    <row r="361" spans="1:5" ht="14.45" customHeight="1">
      <c r="A361" s="64">
        <v>42156</v>
      </c>
      <c r="B361" s="65" t="s">
        <v>73</v>
      </c>
      <c r="C361" s="65" t="s">
        <v>83</v>
      </c>
      <c r="D361" s="65" t="s">
        <v>75</v>
      </c>
      <c r="E361" t="str">
        <f t="shared" si="9"/>
        <v>Delregion Göteborg</v>
      </c>
    </row>
    <row r="362" spans="1:5" ht="14.45" customHeight="1">
      <c r="A362" s="64">
        <v>42156</v>
      </c>
      <c r="B362" s="65" t="s">
        <v>116</v>
      </c>
      <c r="C362" s="65" t="s">
        <v>96</v>
      </c>
      <c r="D362" s="65" t="s">
        <v>75</v>
      </c>
      <c r="E362" t="str">
        <f t="shared" si="9"/>
        <v>Delregion Södra Älvsborg</v>
      </c>
    </row>
    <row r="363" spans="1:5" ht="14.45" customHeight="1">
      <c r="A363" s="64">
        <v>42157</v>
      </c>
      <c r="B363" s="65" t="s">
        <v>73</v>
      </c>
      <c r="C363" s="65" t="s">
        <v>85</v>
      </c>
      <c r="D363" s="65" t="s">
        <v>75</v>
      </c>
      <c r="E363" t="str">
        <f t="shared" si="9"/>
        <v>Delregion Göteborg</v>
      </c>
    </row>
    <row r="364" spans="1:5" ht="14.45" customHeight="1">
      <c r="A364" s="64">
        <v>42158</v>
      </c>
      <c r="B364" s="65" t="s">
        <v>73</v>
      </c>
      <c r="C364" s="65" t="s">
        <v>85</v>
      </c>
      <c r="D364" s="65" t="s">
        <v>75</v>
      </c>
      <c r="E364" t="str">
        <f t="shared" si="9"/>
        <v>Delregion Göteborg</v>
      </c>
    </row>
    <row r="365" spans="1:5" ht="14.45" customHeight="1">
      <c r="A365" s="64">
        <v>42158</v>
      </c>
      <c r="B365" s="65" t="s">
        <v>115</v>
      </c>
      <c r="C365" s="65" t="s">
        <v>85</v>
      </c>
      <c r="D365" s="65" t="s">
        <v>75</v>
      </c>
      <c r="E365" t="str">
        <f t="shared" si="9"/>
        <v>Delregion Göteborg</v>
      </c>
    </row>
    <row r="366" spans="1:5" ht="14.45" customHeight="1">
      <c r="A366" s="64">
        <v>42159</v>
      </c>
      <c r="B366" s="65" t="s">
        <v>84</v>
      </c>
      <c r="C366" s="65" t="s">
        <v>85</v>
      </c>
      <c r="D366" s="65" t="s">
        <v>75</v>
      </c>
      <c r="E366" t="str">
        <f t="shared" si="9"/>
        <v>Delregion Skaraborg</v>
      </c>
    </row>
    <row r="367" spans="1:5" ht="14.45" customHeight="1">
      <c r="A367" s="64">
        <v>42159</v>
      </c>
      <c r="B367" s="65" t="s">
        <v>73</v>
      </c>
      <c r="C367" s="65" t="s">
        <v>85</v>
      </c>
      <c r="D367" s="65" t="s">
        <v>75</v>
      </c>
      <c r="E367" t="str">
        <f t="shared" si="9"/>
        <v>Delregion Göteborg</v>
      </c>
    </row>
    <row r="368" spans="1:5" ht="14.45" customHeight="1">
      <c r="A368" s="64">
        <v>42159</v>
      </c>
      <c r="B368" s="65" t="s">
        <v>81</v>
      </c>
      <c r="C368" s="65" t="s">
        <v>88</v>
      </c>
      <c r="D368" s="65" t="s">
        <v>75</v>
      </c>
      <c r="E368" t="str">
        <f t="shared" si="9"/>
        <v>Delregion Fyrbodal</v>
      </c>
    </row>
    <row r="369" spans="1:5" ht="14.45" customHeight="1">
      <c r="A369" s="64">
        <v>42163</v>
      </c>
      <c r="B369" s="65" t="s">
        <v>78</v>
      </c>
      <c r="C369" s="65" t="s">
        <v>85</v>
      </c>
      <c r="D369" s="65" t="s">
        <v>75</v>
      </c>
      <c r="E369" t="str">
        <f t="shared" si="9"/>
        <v>Delregion SIMBA</v>
      </c>
    </row>
    <row r="370" spans="1:5" ht="14.45" customHeight="1">
      <c r="A370" s="64">
        <v>42164</v>
      </c>
      <c r="B370" s="65" t="s">
        <v>73</v>
      </c>
      <c r="C370" s="65" t="s">
        <v>129</v>
      </c>
      <c r="D370" s="65" t="s">
        <v>126</v>
      </c>
      <c r="E370" t="str">
        <f t="shared" si="9"/>
        <v>Delregion Göteborg</v>
      </c>
    </row>
    <row r="371" spans="1:5" ht="14.45" customHeight="1">
      <c r="A371" s="64">
        <v>42164</v>
      </c>
      <c r="B371" s="65" t="s">
        <v>86</v>
      </c>
      <c r="C371" s="65" t="s">
        <v>125</v>
      </c>
      <c r="D371" s="65" t="s">
        <v>126</v>
      </c>
      <c r="E371" t="str">
        <f t="shared" si="9"/>
        <v>Delregion Fyrbodal</v>
      </c>
    </row>
    <row r="372" spans="1:5" ht="14.45" customHeight="1">
      <c r="A372" s="64">
        <v>42171</v>
      </c>
      <c r="B372" s="65" t="s">
        <v>73</v>
      </c>
      <c r="C372" s="65" t="s">
        <v>129</v>
      </c>
      <c r="D372" s="65" t="s">
        <v>126</v>
      </c>
      <c r="E372" t="str">
        <f t="shared" si="9"/>
        <v>Delregion Göteborg</v>
      </c>
    </row>
    <row r="373" spans="1:5" ht="14.45" customHeight="1">
      <c r="A373" s="64">
        <v>42171</v>
      </c>
      <c r="B373" s="65" t="s">
        <v>73</v>
      </c>
      <c r="C373" s="65" t="s">
        <v>131</v>
      </c>
      <c r="D373" s="65" t="s">
        <v>126</v>
      </c>
      <c r="E373" t="str">
        <f t="shared" si="9"/>
        <v>Delregion Göteborg</v>
      </c>
    </row>
    <row r="374" spans="1:5" ht="14.45" customHeight="1">
      <c r="A374" s="64">
        <v>42173</v>
      </c>
      <c r="B374" s="65" t="s">
        <v>120</v>
      </c>
      <c r="C374" s="65" t="s">
        <v>127</v>
      </c>
      <c r="D374" s="65" t="s">
        <v>126</v>
      </c>
      <c r="E374" t="str">
        <f t="shared" si="9"/>
        <v>Delregion Södra Älvsborg</v>
      </c>
    </row>
    <row r="375" spans="1:5" ht="14.45" customHeight="1">
      <c r="A375" s="64">
        <v>42173</v>
      </c>
      <c r="B375" s="65" t="s">
        <v>115</v>
      </c>
      <c r="C375" s="65" t="s">
        <v>131</v>
      </c>
      <c r="D375" s="65" t="s">
        <v>126</v>
      </c>
      <c r="E375" t="str">
        <f t="shared" si="9"/>
        <v>Delregion Göteborg</v>
      </c>
    </row>
    <row r="376" spans="1:5" ht="14.45" customHeight="1">
      <c r="A376" s="64">
        <v>42177</v>
      </c>
      <c r="B376" s="65" t="s">
        <v>115</v>
      </c>
      <c r="C376" s="65" t="s">
        <v>85</v>
      </c>
      <c r="D376" s="65" t="s">
        <v>75</v>
      </c>
      <c r="E376" t="str">
        <f t="shared" si="9"/>
        <v>Delregion Göteborg</v>
      </c>
    </row>
    <row r="377" spans="1:5" ht="14.45" customHeight="1">
      <c r="A377" s="64">
        <v>42181</v>
      </c>
      <c r="B377" s="65" t="s">
        <v>81</v>
      </c>
      <c r="C377" s="65" t="s">
        <v>85</v>
      </c>
      <c r="D377" s="65" t="s">
        <v>75</v>
      </c>
      <c r="E377" t="str">
        <f t="shared" si="9"/>
        <v>Delregion Fyrbodal</v>
      </c>
    </row>
    <row r="378" spans="1:5" ht="14.45" customHeight="1">
      <c r="A378" s="64">
        <v>42181</v>
      </c>
      <c r="B378" s="65" t="s">
        <v>73</v>
      </c>
      <c r="C378" s="65" t="s">
        <v>129</v>
      </c>
      <c r="D378" s="65" t="s">
        <v>126</v>
      </c>
      <c r="E378" t="str">
        <f t="shared" si="9"/>
        <v>Delregion Göteborg</v>
      </c>
    </row>
    <row r="379" spans="1:5" ht="14.45" customHeight="1">
      <c r="A379" s="64">
        <v>42181</v>
      </c>
      <c r="B379" s="65" t="s">
        <v>73</v>
      </c>
      <c r="C379" s="65" t="s">
        <v>131</v>
      </c>
      <c r="D379" s="65" t="s">
        <v>126</v>
      </c>
      <c r="E379" t="str">
        <f t="shared" si="9"/>
        <v>Delregion Göteborg</v>
      </c>
    </row>
    <row r="380" spans="1:5" ht="14.45" customHeight="1">
      <c r="A380" s="64">
        <v>42185</v>
      </c>
      <c r="B380" s="65" t="s">
        <v>73</v>
      </c>
      <c r="C380" s="65" t="s">
        <v>85</v>
      </c>
      <c r="D380" s="65" t="s">
        <v>75</v>
      </c>
      <c r="E380" t="str">
        <f t="shared" si="9"/>
        <v>Delregion Göteborg</v>
      </c>
    </row>
    <row r="381" spans="1:5" ht="14.45" customHeight="1">
      <c r="A381" s="64">
        <v>42185</v>
      </c>
      <c r="B381" s="65" t="s">
        <v>73</v>
      </c>
      <c r="C381" s="65" t="s">
        <v>139</v>
      </c>
      <c r="D381" s="65" t="s">
        <v>126</v>
      </c>
      <c r="E381" t="str">
        <f t="shared" si="9"/>
        <v>Delregion Göteborg</v>
      </c>
    </row>
    <row r="382" spans="1:5" ht="14.45" customHeight="1">
      <c r="A382" s="64">
        <v>42186</v>
      </c>
      <c r="B382" s="65" t="s">
        <v>95</v>
      </c>
      <c r="C382" s="65" t="s">
        <v>127</v>
      </c>
      <c r="D382" s="65" t="s">
        <v>126</v>
      </c>
      <c r="E382" t="str">
        <f t="shared" si="9"/>
        <v>Delregion Södra Älvsborg</v>
      </c>
    </row>
    <row r="383" spans="1:5" ht="14.45" customHeight="1">
      <c r="A383" s="64">
        <v>42186</v>
      </c>
      <c r="B383" s="65" t="s">
        <v>73</v>
      </c>
      <c r="C383" s="65" t="s">
        <v>127</v>
      </c>
      <c r="D383" s="65" t="s">
        <v>126</v>
      </c>
      <c r="E383" t="str">
        <f t="shared" si="9"/>
        <v>Delregion Göteborg</v>
      </c>
    </row>
    <row r="384" spans="1:5" ht="14.45" customHeight="1">
      <c r="A384" s="64">
        <v>42194</v>
      </c>
      <c r="B384" s="65" t="s">
        <v>73</v>
      </c>
      <c r="C384" s="65" t="s">
        <v>131</v>
      </c>
      <c r="D384" s="65" t="s">
        <v>126</v>
      </c>
      <c r="E384" t="str">
        <f t="shared" si="9"/>
        <v>Delregion Göteborg</v>
      </c>
    </row>
    <row r="385" spans="1:5" ht="14.45" customHeight="1">
      <c r="A385" s="64">
        <v>42195</v>
      </c>
      <c r="B385" s="65" t="s">
        <v>73</v>
      </c>
      <c r="C385" s="65" t="s">
        <v>127</v>
      </c>
      <c r="D385" s="65" t="s">
        <v>126</v>
      </c>
      <c r="E385" t="str">
        <f t="shared" si="9"/>
        <v>Delregion Göteborg</v>
      </c>
    </row>
    <row r="386" spans="1:5" ht="14.45" customHeight="1">
      <c r="A386" s="64">
        <v>42198</v>
      </c>
      <c r="B386" s="65" t="s">
        <v>109</v>
      </c>
      <c r="C386" s="65" t="s">
        <v>118</v>
      </c>
      <c r="D386" s="65" t="s">
        <v>75</v>
      </c>
      <c r="E386" t="str">
        <f t="shared" si="9"/>
        <v>Delregion Fyrbodal</v>
      </c>
    </row>
    <row r="387" spans="1:5" ht="14.45" customHeight="1">
      <c r="A387" s="64">
        <v>42202</v>
      </c>
      <c r="B387" s="65" t="s">
        <v>89</v>
      </c>
      <c r="C387" s="65" t="s">
        <v>85</v>
      </c>
      <c r="D387" s="65" t="s">
        <v>75</v>
      </c>
      <c r="E387" t="str">
        <f t="shared" si="9"/>
        <v>Delregion Skaraborg</v>
      </c>
    </row>
    <row r="388" spans="1:5" ht="14.45" customHeight="1">
      <c r="A388" s="64">
        <v>42214</v>
      </c>
      <c r="B388" s="65" t="s">
        <v>73</v>
      </c>
      <c r="C388" s="65" t="s">
        <v>96</v>
      </c>
      <c r="D388" s="65" t="s">
        <v>75</v>
      </c>
      <c r="E388" t="str">
        <f t="shared" si="9"/>
        <v>Delregion Göteborg</v>
      </c>
    </row>
    <row r="389" spans="1:5" ht="14.45" customHeight="1">
      <c r="A389" s="64">
        <v>42219</v>
      </c>
      <c r="B389" s="65" t="s">
        <v>105</v>
      </c>
      <c r="C389" s="65" t="s">
        <v>85</v>
      </c>
      <c r="D389" s="65" t="s">
        <v>75</v>
      </c>
      <c r="E389" t="str">
        <f t="shared" si="9"/>
        <v>Delregion Skaraborg</v>
      </c>
    </row>
    <row r="390" spans="1:5" ht="14.45" customHeight="1">
      <c r="A390" s="64">
        <v>42221</v>
      </c>
      <c r="B390" s="65" t="s">
        <v>73</v>
      </c>
      <c r="C390" s="65" t="s">
        <v>85</v>
      </c>
      <c r="D390" s="65" t="s">
        <v>75</v>
      </c>
      <c r="E390" t="str">
        <f t="shared" si="9"/>
        <v>Delregion Göteborg</v>
      </c>
    </row>
    <row r="391" spans="1:5" ht="14.45" customHeight="1">
      <c r="A391" s="64">
        <v>42221</v>
      </c>
      <c r="B391" s="65" t="s">
        <v>73</v>
      </c>
      <c r="C391" s="65" t="s">
        <v>85</v>
      </c>
      <c r="D391" s="65" t="s">
        <v>75</v>
      </c>
      <c r="E391" t="str">
        <f t="shared" si="9"/>
        <v>Delregion Göteborg</v>
      </c>
    </row>
    <row r="392" spans="1:5" ht="14.45" customHeight="1">
      <c r="A392" s="64">
        <v>42221</v>
      </c>
      <c r="B392" s="65" t="s">
        <v>78</v>
      </c>
      <c r="C392" s="65" t="s">
        <v>74</v>
      </c>
      <c r="D392" s="65" t="s">
        <v>126</v>
      </c>
      <c r="E392" t="str">
        <f t="shared" si="9"/>
        <v>Delregion SIMBA</v>
      </c>
    </row>
    <row r="393" spans="1:5" ht="14.45" customHeight="1">
      <c r="A393" s="64">
        <v>42222</v>
      </c>
      <c r="B393" s="65" t="s">
        <v>97</v>
      </c>
      <c r="C393" s="65" t="s">
        <v>85</v>
      </c>
      <c r="D393" s="65" t="s">
        <v>75</v>
      </c>
      <c r="E393" t="str">
        <f t="shared" si="9"/>
        <v>Delregion Fyrbodal</v>
      </c>
    </row>
    <row r="394" spans="1:5" ht="14.45" customHeight="1">
      <c r="A394" s="64">
        <v>42222</v>
      </c>
      <c r="B394" s="65" t="s">
        <v>86</v>
      </c>
      <c r="C394" s="65" t="s">
        <v>85</v>
      </c>
      <c r="D394" s="65" t="s">
        <v>75</v>
      </c>
      <c r="E394" t="str">
        <f t="shared" si="9"/>
        <v>Delregion Fyrbodal</v>
      </c>
    </row>
    <row r="395" spans="1:5" ht="14.45" customHeight="1">
      <c r="A395" s="64">
        <v>42223</v>
      </c>
      <c r="B395" s="65" t="s">
        <v>86</v>
      </c>
      <c r="C395" s="65" t="s">
        <v>100</v>
      </c>
      <c r="D395" s="65" t="s">
        <v>75</v>
      </c>
      <c r="E395" t="str">
        <f t="shared" si="9"/>
        <v>Delregion Fyrbodal</v>
      </c>
    </row>
    <row r="396" spans="1:5" ht="14.45" customHeight="1">
      <c r="A396" s="64">
        <v>42227</v>
      </c>
      <c r="B396" s="65" t="s">
        <v>80</v>
      </c>
      <c r="C396" s="65" t="s">
        <v>134</v>
      </c>
      <c r="D396" s="65" t="s">
        <v>126</v>
      </c>
      <c r="E396" t="str">
        <f t="shared" si="9"/>
        <v>Delregion Södra Älvsborg</v>
      </c>
    </row>
    <row r="397" spans="1:5" ht="14.45" customHeight="1">
      <c r="A397" s="64">
        <v>42234</v>
      </c>
      <c r="B397" s="65" t="s">
        <v>90</v>
      </c>
      <c r="C397" s="65" t="s">
        <v>85</v>
      </c>
      <c r="D397" s="65" t="s">
        <v>75</v>
      </c>
      <c r="E397" t="str">
        <f t="shared" ref="E397:E460" si="10">VLOOKUP(B397,$Q$14:$R$62,2,FALSE)</f>
        <v>Delregion Skaraborg</v>
      </c>
    </row>
    <row r="398" spans="1:5" ht="14.45" customHeight="1">
      <c r="A398" s="64">
        <v>42234</v>
      </c>
      <c r="B398" s="65" t="s">
        <v>86</v>
      </c>
      <c r="C398" s="65" t="s">
        <v>85</v>
      </c>
      <c r="D398" s="65" t="s">
        <v>75</v>
      </c>
      <c r="E398" t="str">
        <f t="shared" si="10"/>
        <v>Delregion Fyrbodal</v>
      </c>
    </row>
    <row r="399" spans="1:5" ht="14.45" customHeight="1">
      <c r="A399" s="64">
        <v>42234</v>
      </c>
      <c r="B399" s="65" t="s">
        <v>87</v>
      </c>
      <c r="C399" s="65" t="s">
        <v>85</v>
      </c>
      <c r="D399" s="65" t="s">
        <v>75</v>
      </c>
      <c r="E399" t="str">
        <f t="shared" si="10"/>
        <v>Delregion Skaraborg</v>
      </c>
    </row>
    <row r="400" spans="1:5" ht="14.45" customHeight="1">
      <c r="A400" s="64">
        <v>42234</v>
      </c>
      <c r="B400" s="65" t="s">
        <v>73</v>
      </c>
      <c r="C400" s="65" t="s">
        <v>129</v>
      </c>
      <c r="D400" s="65" t="s">
        <v>126</v>
      </c>
      <c r="E400" t="str">
        <f t="shared" si="10"/>
        <v>Delregion Göteborg</v>
      </c>
    </row>
    <row r="401" spans="1:5" ht="14.45" customHeight="1">
      <c r="A401" s="64">
        <v>42234</v>
      </c>
      <c r="B401" s="65" t="s">
        <v>80</v>
      </c>
      <c r="C401" s="65" t="s">
        <v>125</v>
      </c>
      <c r="D401" s="65" t="s">
        <v>126</v>
      </c>
      <c r="E401" t="str">
        <f t="shared" si="10"/>
        <v>Delregion Södra Älvsborg</v>
      </c>
    </row>
    <row r="402" spans="1:5" ht="14.45" customHeight="1">
      <c r="A402" s="64">
        <v>42235</v>
      </c>
      <c r="B402" s="65" t="s">
        <v>95</v>
      </c>
      <c r="C402" s="65" t="s">
        <v>83</v>
      </c>
      <c r="D402" s="65" t="s">
        <v>75</v>
      </c>
      <c r="E402" t="str">
        <f t="shared" si="10"/>
        <v>Delregion Södra Älvsborg</v>
      </c>
    </row>
    <row r="403" spans="1:5" ht="14.45" customHeight="1">
      <c r="A403" s="64">
        <v>42236</v>
      </c>
      <c r="B403" s="65" t="s">
        <v>77</v>
      </c>
      <c r="C403" s="65" t="s">
        <v>128</v>
      </c>
      <c r="D403" s="65" t="s">
        <v>126</v>
      </c>
      <c r="E403" t="str">
        <f t="shared" si="10"/>
        <v>Delregion SIMBA</v>
      </c>
    </row>
    <row r="404" spans="1:5" ht="14.45" customHeight="1">
      <c r="A404" s="64">
        <v>42237</v>
      </c>
      <c r="B404" s="65" t="s">
        <v>86</v>
      </c>
      <c r="C404" s="65" t="s">
        <v>91</v>
      </c>
      <c r="D404" s="65" t="s">
        <v>126</v>
      </c>
      <c r="E404" t="str">
        <f t="shared" si="10"/>
        <v>Delregion Fyrbodal</v>
      </c>
    </row>
    <row r="405" spans="1:5" ht="14.45" customHeight="1">
      <c r="A405" s="64">
        <v>42240</v>
      </c>
      <c r="B405" s="65" t="s">
        <v>73</v>
      </c>
      <c r="C405" s="65" t="s">
        <v>85</v>
      </c>
      <c r="D405" s="65" t="s">
        <v>75</v>
      </c>
      <c r="E405" t="str">
        <f t="shared" si="10"/>
        <v>Delregion Göteborg</v>
      </c>
    </row>
    <row r="406" spans="1:5" ht="14.45" customHeight="1">
      <c r="A406" s="64">
        <v>42240</v>
      </c>
      <c r="B406" s="65" t="s">
        <v>73</v>
      </c>
      <c r="C406" s="65" t="s">
        <v>85</v>
      </c>
      <c r="D406" s="65" t="s">
        <v>75</v>
      </c>
      <c r="E406" t="str">
        <f t="shared" si="10"/>
        <v>Delregion Göteborg</v>
      </c>
    </row>
    <row r="407" spans="1:5" ht="14.45" customHeight="1">
      <c r="A407" s="64">
        <v>42243</v>
      </c>
      <c r="B407" s="65" t="s">
        <v>104</v>
      </c>
      <c r="C407" s="65" t="s">
        <v>85</v>
      </c>
      <c r="D407" s="65" t="s">
        <v>75</v>
      </c>
      <c r="E407" t="str">
        <f t="shared" si="10"/>
        <v>Delregion SIMBA</v>
      </c>
    </row>
    <row r="408" spans="1:5" ht="14.45" customHeight="1">
      <c r="A408" s="64">
        <v>42243</v>
      </c>
      <c r="B408" s="65" t="s">
        <v>73</v>
      </c>
      <c r="C408" s="65" t="s">
        <v>134</v>
      </c>
      <c r="D408" s="65" t="s">
        <v>126</v>
      </c>
      <c r="E408" t="str">
        <f t="shared" si="10"/>
        <v>Delregion Göteborg</v>
      </c>
    </row>
    <row r="409" spans="1:5" ht="14.45" customHeight="1">
      <c r="A409" s="64">
        <v>42248</v>
      </c>
      <c r="B409" s="65" t="s">
        <v>73</v>
      </c>
      <c r="C409" s="65" t="s">
        <v>85</v>
      </c>
      <c r="D409" s="65" t="s">
        <v>75</v>
      </c>
      <c r="E409" t="str">
        <f t="shared" si="10"/>
        <v>Delregion Göteborg</v>
      </c>
    </row>
    <row r="410" spans="1:5" ht="14.45" customHeight="1">
      <c r="A410" s="64">
        <v>42251</v>
      </c>
      <c r="B410" s="65" t="s">
        <v>73</v>
      </c>
      <c r="C410" s="65" t="s">
        <v>85</v>
      </c>
      <c r="D410" s="65" t="s">
        <v>75</v>
      </c>
      <c r="E410" t="str">
        <f t="shared" si="10"/>
        <v>Delregion Göteborg</v>
      </c>
    </row>
    <row r="411" spans="1:5" ht="14.45" customHeight="1">
      <c r="A411" s="64">
        <v>42256</v>
      </c>
      <c r="B411" s="65" t="s">
        <v>73</v>
      </c>
      <c r="C411" s="65" t="s">
        <v>85</v>
      </c>
      <c r="D411" s="65" t="s">
        <v>75</v>
      </c>
      <c r="E411" t="str">
        <f t="shared" si="10"/>
        <v>Delregion Göteborg</v>
      </c>
    </row>
    <row r="412" spans="1:5" ht="14.45" customHeight="1">
      <c r="A412" s="64">
        <v>42256</v>
      </c>
      <c r="B412" s="65" t="s">
        <v>117</v>
      </c>
      <c r="C412" s="65" t="s">
        <v>83</v>
      </c>
      <c r="D412" s="65" t="s">
        <v>75</v>
      </c>
      <c r="E412" t="str">
        <f t="shared" si="10"/>
        <v>Delregion Skaraborg</v>
      </c>
    </row>
    <row r="413" spans="1:5" ht="14.45" customHeight="1">
      <c r="A413" s="64">
        <v>42256</v>
      </c>
      <c r="B413" s="65" t="s">
        <v>73</v>
      </c>
      <c r="C413" s="65" t="s">
        <v>130</v>
      </c>
      <c r="D413" s="65" t="s">
        <v>126</v>
      </c>
      <c r="E413" t="str">
        <f t="shared" si="10"/>
        <v>Delregion Göteborg</v>
      </c>
    </row>
    <row r="414" spans="1:5" ht="14.45" customHeight="1">
      <c r="A414" s="64">
        <v>42256</v>
      </c>
      <c r="B414" s="65" t="s">
        <v>73</v>
      </c>
      <c r="C414" s="65" t="s">
        <v>131</v>
      </c>
      <c r="D414" s="65" t="s">
        <v>126</v>
      </c>
      <c r="E414" t="str">
        <f t="shared" si="10"/>
        <v>Delregion Göteborg</v>
      </c>
    </row>
    <row r="415" spans="1:5" ht="14.45" customHeight="1">
      <c r="A415" s="64">
        <v>42258</v>
      </c>
      <c r="B415" s="65" t="s">
        <v>73</v>
      </c>
      <c r="C415" s="65" t="s">
        <v>85</v>
      </c>
      <c r="D415" s="65" t="s">
        <v>75</v>
      </c>
      <c r="E415" t="str">
        <f t="shared" si="10"/>
        <v>Delregion Göteborg</v>
      </c>
    </row>
    <row r="416" spans="1:5" ht="14.45" customHeight="1">
      <c r="A416" s="64">
        <v>42258</v>
      </c>
      <c r="B416" s="65" t="s">
        <v>115</v>
      </c>
      <c r="C416" s="65" t="s">
        <v>85</v>
      </c>
      <c r="D416" s="65" t="s">
        <v>75</v>
      </c>
      <c r="E416" t="str">
        <f t="shared" si="10"/>
        <v>Delregion Göteborg</v>
      </c>
    </row>
    <row r="417" spans="1:5" ht="14.45" customHeight="1">
      <c r="A417" s="64">
        <v>42258</v>
      </c>
      <c r="B417" s="65" t="s">
        <v>73</v>
      </c>
      <c r="C417" s="65" t="s">
        <v>131</v>
      </c>
      <c r="D417" s="65" t="s">
        <v>126</v>
      </c>
      <c r="E417" t="str">
        <f t="shared" si="10"/>
        <v>Delregion Göteborg</v>
      </c>
    </row>
    <row r="418" spans="1:5" ht="14.45" customHeight="1">
      <c r="A418" s="64">
        <v>42262</v>
      </c>
      <c r="B418" s="65" t="s">
        <v>95</v>
      </c>
      <c r="C418" s="65" t="s">
        <v>96</v>
      </c>
      <c r="D418" s="65" t="s">
        <v>75</v>
      </c>
      <c r="E418" t="str">
        <f t="shared" si="10"/>
        <v>Delregion Södra Älvsborg</v>
      </c>
    </row>
    <row r="419" spans="1:5" ht="14.45" customHeight="1">
      <c r="A419" s="64">
        <v>42263</v>
      </c>
      <c r="B419" s="65" t="s">
        <v>98</v>
      </c>
      <c r="C419" s="65" t="s">
        <v>85</v>
      </c>
      <c r="D419" s="65" t="s">
        <v>75</v>
      </c>
      <c r="E419" t="str">
        <f t="shared" si="10"/>
        <v>Delregion Göteborg</v>
      </c>
    </row>
    <row r="420" spans="1:5" ht="14.45" customHeight="1">
      <c r="A420" s="64">
        <v>42264</v>
      </c>
      <c r="B420" s="65" t="s">
        <v>76</v>
      </c>
      <c r="C420" s="65" t="s">
        <v>85</v>
      </c>
      <c r="D420" s="65" t="s">
        <v>75</v>
      </c>
      <c r="E420" t="str">
        <f t="shared" si="10"/>
        <v>Delregion Skaraborg</v>
      </c>
    </row>
    <row r="421" spans="1:5" ht="14.45" customHeight="1">
      <c r="A421" s="64">
        <v>42265</v>
      </c>
      <c r="B421" s="65" t="s">
        <v>93</v>
      </c>
      <c r="C421" s="65" t="s">
        <v>91</v>
      </c>
      <c r="D421" s="65" t="s">
        <v>75</v>
      </c>
      <c r="E421" t="str">
        <f t="shared" si="10"/>
        <v>Delregion Södra Älvsborg</v>
      </c>
    </row>
    <row r="422" spans="1:5" ht="14.45" customHeight="1">
      <c r="A422" s="64">
        <v>42268</v>
      </c>
      <c r="B422" s="65" t="s">
        <v>107</v>
      </c>
      <c r="C422" s="65" t="s">
        <v>88</v>
      </c>
      <c r="D422" s="65" t="s">
        <v>75</v>
      </c>
      <c r="E422" t="str">
        <f t="shared" si="10"/>
        <v>Delregion Skaraborg</v>
      </c>
    </row>
    <row r="423" spans="1:5" ht="14.45" customHeight="1">
      <c r="A423" s="64">
        <v>42268</v>
      </c>
      <c r="B423" s="65" t="s">
        <v>115</v>
      </c>
      <c r="C423" s="65" t="s">
        <v>134</v>
      </c>
      <c r="D423" s="65" t="s">
        <v>126</v>
      </c>
      <c r="E423" t="str">
        <f t="shared" si="10"/>
        <v>Delregion Göteborg</v>
      </c>
    </row>
    <row r="424" spans="1:5" ht="14.45" customHeight="1">
      <c r="A424" s="64">
        <v>42268</v>
      </c>
      <c r="B424" s="65" t="s">
        <v>115</v>
      </c>
      <c r="C424" s="65" t="s">
        <v>134</v>
      </c>
      <c r="D424" s="65" t="s">
        <v>126</v>
      </c>
      <c r="E424" t="str">
        <f t="shared" si="10"/>
        <v>Delregion Göteborg</v>
      </c>
    </row>
    <row r="425" spans="1:5" ht="14.45" customHeight="1">
      <c r="A425" s="64">
        <v>42269</v>
      </c>
      <c r="B425" s="65" t="s">
        <v>73</v>
      </c>
      <c r="C425" s="65" t="s">
        <v>127</v>
      </c>
      <c r="D425" s="65" t="s">
        <v>126</v>
      </c>
      <c r="E425" t="str">
        <f t="shared" si="10"/>
        <v>Delregion Göteborg</v>
      </c>
    </row>
    <row r="426" spans="1:5" ht="14.45" customHeight="1">
      <c r="A426" s="64">
        <v>42270</v>
      </c>
      <c r="B426" s="65" t="s">
        <v>73</v>
      </c>
      <c r="C426" s="65" t="s">
        <v>85</v>
      </c>
      <c r="D426" s="65" t="s">
        <v>75</v>
      </c>
      <c r="E426" t="str">
        <f t="shared" si="10"/>
        <v>Delregion Göteborg</v>
      </c>
    </row>
    <row r="427" spans="1:5" ht="14.45" customHeight="1">
      <c r="A427" s="64">
        <v>42271</v>
      </c>
      <c r="B427" s="65" t="s">
        <v>73</v>
      </c>
      <c r="C427" s="65" t="s">
        <v>85</v>
      </c>
      <c r="D427" s="65" t="s">
        <v>75</v>
      </c>
      <c r="E427" t="str">
        <f t="shared" si="10"/>
        <v>Delregion Göteborg</v>
      </c>
    </row>
    <row r="428" spans="1:5" ht="14.45" customHeight="1">
      <c r="A428" s="64">
        <v>42271</v>
      </c>
      <c r="B428" s="65" t="s">
        <v>78</v>
      </c>
      <c r="C428" s="65" t="s">
        <v>131</v>
      </c>
      <c r="D428" s="65" t="s">
        <v>126</v>
      </c>
      <c r="E428" t="str">
        <f t="shared" si="10"/>
        <v>Delregion SIMBA</v>
      </c>
    </row>
    <row r="429" spans="1:5" ht="14.45" customHeight="1">
      <c r="A429" s="64">
        <v>42272</v>
      </c>
      <c r="B429" s="65" t="s">
        <v>109</v>
      </c>
      <c r="C429" s="65" t="s">
        <v>118</v>
      </c>
      <c r="D429" s="65" t="s">
        <v>75</v>
      </c>
      <c r="E429" t="str">
        <f t="shared" si="10"/>
        <v>Delregion Fyrbodal</v>
      </c>
    </row>
    <row r="430" spans="1:5" ht="14.45" customHeight="1">
      <c r="A430" s="64">
        <v>42272</v>
      </c>
      <c r="B430" s="65" t="s">
        <v>73</v>
      </c>
      <c r="C430" s="65" t="s">
        <v>134</v>
      </c>
      <c r="D430" s="65" t="s">
        <v>126</v>
      </c>
      <c r="E430" t="str">
        <f t="shared" si="10"/>
        <v>Delregion Göteborg</v>
      </c>
    </row>
    <row r="431" spans="1:5" ht="14.45" customHeight="1">
      <c r="A431" s="64">
        <v>42272</v>
      </c>
      <c r="B431" s="65" t="s">
        <v>73</v>
      </c>
      <c r="C431" s="65" t="s">
        <v>127</v>
      </c>
      <c r="D431" s="65" t="s">
        <v>126</v>
      </c>
      <c r="E431" t="str">
        <f t="shared" si="10"/>
        <v>Delregion Göteborg</v>
      </c>
    </row>
    <row r="432" spans="1:5" ht="14.45" customHeight="1">
      <c r="A432" s="64">
        <v>42275</v>
      </c>
      <c r="B432" s="65" t="s">
        <v>73</v>
      </c>
      <c r="C432" s="65" t="s">
        <v>85</v>
      </c>
      <c r="D432" s="65" t="s">
        <v>75</v>
      </c>
      <c r="E432" t="str">
        <f t="shared" si="10"/>
        <v>Delregion Göteborg</v>
      </c>
    </row>
    <row r="433" spans="1:5" ht="14.45" customHeight="1">
      <c r="A433" s="64">
        <v>42275</v>
      </c>
      <c r="B433" s="65" t="s">
        <v>102</v>
      </c>
      <c r="C433" s="65" t="s">
        <v>83</v>
      </c>
      <c r="D433" s="65" t="s">
        <v>75</v>
      </c>
      <c r="E433" t="str">
        <f t="shared" si="10"/>
        <v>Delregion Södra Älvsborg</v>
      </c>
    </row>
    <row r="434" spans="1:5" ht="14.45" customHeight="1">
      <c r="A434" s="64">
        <v>42275</v>
      </c>
      <c r="B434" s="65" t="s">
        <v>102</v>
      </c>
      <c r="C434" s="65" t="s">
        <v>83</v>
      </c>
      <c r="D434" s="65" t="s">
        <v>75</v>
      </c>
      <c r="E434" t="str">
        <f t="shared" si="10"/>
        <v>Delregion Södra Älvsborg</v>
      </c>
    </row>
    <row r="435" spans="1:5" ht="14.45" customHeight="1">
      <c r="A435" s="64">
        <v>42275</v>
      </c>
      <c r="B435" s="65" t="s">
        <v>76</v>
      </c>
      <c r="C435" s="65" t="s">
        <v>131</v>
      </c>
      <c r="D435" s="65" t="s">
        <v>126</v>
      </c>
      <c r="E435" t="str">
        <f t="shared" si="10"/>
        <v>Delregion Skaraborg</v>
      </c>
    </row>
    <row r="436" spans="1:5" ht="14.45" customHeight="1">
      <c r="A436" s="64">
        <v>42277</v>
      </c>
      <c r="B436" s="65" t="s">
        <v>99</v>
      </c>
      <c r="C436" s="65" t="s">
        <v>83</v>
      </c>
      <c r="D436" s="65" t="s">
        <v>75</v>
      </c>
      <c r="E436" t="str">
        <f t="shared" si="10"/>
        <v>Delregion Skaraborg</v>
      </c>
    </row>
    <row r="437" spans="1:5" ht="14.45" customHeight="1">
      <c r="A437" s="64">
        <v>42277</v>
      </c>
      <c r="B437" s="65" t="s">
        <v>73</v>
      </c>
      <c r="C437" s="65" t="s">
        <v>131</v>
      </c>
      <c r="D437" s="65" t="s">
        <v>126</v>
      </c>
      <c r="E437" t="str">
        <f t="shared" si="10"/>
        <v>Delregion Göteborg</v>
      </c>
    </row>
    <row r="438" spans="1:5" ht="14.45" customHeight="1">
      <c r="A438" s="64">
        <v>42278</v>
      </c>
      <c r="B438" s="65" t="s">
        <v>92</v>
      </c>
      <c r="C438" s="65" t="s">
        <v>83</v>
      </c>
      <c r="D438" s="65" t="s">
        <v>75</v>
      </c>
      <c r="E438" t="str">
        <f t="shared" si="10"/>
        <v>Delregion Södra Älvsborg</v>
      </c>
    </row>
    <row r="439" spans="1:5" ht="14.45" customHeight="1">
      <c r="A439" s="64">
        <v>42278</v>
      </c>
      <c r="B439" s="65" t="s">
        <v>73</v>
      </c>
      <c r="C439" s="65" t="s">
        <v>88</v>
      </c>
      <c r="D439" s="65" t="s">
        <v>75</v>
      </c>
      <c r="E439" t="str">
        <f t="shared" si="10"/>
        <v>Delregion Göteborg</v>
      </c>
    </row>
    <row r="440" spans="1:5" ht="14.45" customHeight="1">
      <c r="A440" s="64">
        <v>42279</v>
      </c>
      <c r="B440" s="65" t="s">
        <v>80</v>
      </c>
      <c r="C440" s="65" t="s">
        <v>83</v>
      </c>
      <c r="D440" s="65" t="s">
        <v>75</v>
      </c>
      <c r="E440" t="str">
        <f t="shared" si="10"/>
        <v>Delregion Södra Älvsborg</v>
      </c>
    </row>
    <row r="441" spans="1:5" ht="14.45" customHeight="1">
      <c r="A441" s="64">
        <v>42282</v>
      </c>
      <c r="B441" s="65" t="s">
        <v>80</v>
      </c>
      <c r="C441" s="65" t="s">
        <v>83</v>
      </c>
      <c r="D441" s="65" t="s">
        <v>75</v>
      </c>
      <c r="E441" t="str">
        <f t="shared" si="10"/>
        <v>Delregion Södra Älvsborg</v>
      </c>
    </row>
    <row r="442" spans="1:5" ht="14.45" customHeight="1">
      <c r="A442" s="64">
        <v>42283</v>
      </c>
      <c r="B442" s="65" t="s">
        <v>77</v>
      </c>
      <c r="C442" s="65" t="s">
        <v>85</v>
      </c>
      <c r="D442" s="65" t="s">
        <v>75</v>
      </c>
      <c r="E442" t="str">
        <f t="shared" si="10"/>
        <v>Delregion SIMBA</v>
      </c>
    </row>
    <row r="443" spans="1:5" ht="14.45" customHeight="1">
      <c r="A443" s="64">
        <v>42283</v>
      </c>
      <c r="B443" s="65" t="s">
        <v>73</v>
      </c>
      <c r="C443" s="65" t="s">
        <v>79</v>
      </c>
      <c r="D443" s="65" t="s">
        <v>75</v>
      </c>
      <c r="E443" t="str">
        <f t="shared" si="10"/>
        <v>Delregion Göteborg</v>
      </c>
    </row>
    <row r="444" spans="1:5" ht="14.45" customHeight="1">
      <c r="A444" s="64">
        <v>42286</v>
      </c>
      <c r="B444" s="65" t="s">
        <v>73</v>
      </c>
      <c r="C444" s="65" t="s">
        <v>130</v>
      </c>
      <c r="D444" s="65" t="s">
        <v>126</v>
      </c>
      <c r="E444" t="str">
        <f t="shared" si="10"/>
        <v>Delregion Göteborg</v>
      </c>
    </row>
    <row r="445" spans="1:5" ht="14.45" customHeight="1">
      <c r="A445" s="64">
        <v>42290</v>
      </c>
      <c r="B445" s="65" t="s">
        <v>97</v>
      </c>
      <c r="C445" s="65" t="s">
        <v>85</v>
      </c>
      <c r="D445" s="65" t="s">
        <v>75</v>
      </c>
      <c r="E445" t="str">
        <f t="shared" si="10"/>
        <v>Delregion Fyrbodal</v>
      </c>
    </row>
    <row r="446" spans="1:5" ht="14.45" customHeight="1">
      <c r="A446" s="64">
        <v>42291</v>
      </c>
      <c r="B446" s="65" t="s">
        <v>109</v>
      </c>
      <c r="C446" s="65" t="s">
        <v>85</v>
      </c>
      <c r="D446" s="65" t="s">
        <v>75</v>
      </c>
      <c r="E446" t="str">
        <f t="shared" si="10"/>
        <v>Delregion Fyrbodal</v>
      </c>
    </row>
    <row r="447" spans="1:5" ht="14.45" customHeight="1">
      <c r="A447" s="64">
        <v>42291</v>
      </c>
      <c r="B447" s="65" t="s">
        <v>73</v>
      </c>
      <c r="C447" s="65" t="s">
        <v>83</v>
      </c>
      <c r="D447" s="65" t="s">
        <v>75</v>
      </c>
      <c r="E447" t="str">
        <f t="shared" si="10"/>
        <v>Delregion Göteborg</v>
      </c>
    </row>
    <row r="448" spans="1:5" ht="14.45" customHeight="1">
      <c r="A448" s="64">
        <v>42299</v>
      </c>
      <c r="B448" s="65" t="s">
        <v>73</v>
      </c>
      <c r="C448" s="65" t="s">
        <v>83</v>
      </c>
      <c r="D448" s="65" t="s">
        <v>75</v>
      </c>
      <c r="E448" t="str">
        <f t="shared" si="10"/>
        <v>Delregion Göteborg</v>
      </c>
    </row>
    <row r="449" spans="1:5" ht="14.45" customHeight="1">
      <c r="A449" s="64">
        <v>42300</v>
      </c>
      <c r="B449" s="65" t="s">
        <v>80</v>
      </c>
      <c r="C449" s="65" t="s">
        <v>91</v>
      </c>
      <c r="D449" s="65" t="s">
        <v>75</v>
      </c>
      <c r="E449" t="str">
        <f t="shared" si="10"/>
        <v>Delregion Södra Älvsborg</v>
      </c>
    </row>
    <row r="450" spans="1:5" ht="14.45" customHeight="1">
      <c r="A450" s="64">
        <v>42300</v>
      </c>
      <c r="B450" s="65" t="s">
        <v>95</v>
      </c>
      <c r="C450" s="65" t="s">
        <v>127</v>
      </c>
      <c r="D450" s="65" t="s">
        <v>126</v>
      </c>
      <c r="E450" t="str">
        <f t="shared" si="10"/>
        <v>Delregion Södra Älvsborg</v>
      </c>
    </row>
    <row r="451" spans="1:5" ht="14.45" customHeight="1">
      <c r="A451" s="64">
        <v>42300</v>
      </c>
      <c r="B451" s="65" t="s">
        <v>87</v>
      </c>
      <c r="C451" s="65" t="s">
        <v>129</v>
      </c>
      <c r="D451" s="65" t="s">
        <v>126</v>
      </c>
      <c r="E451" t="str">
        <f t="shared" si="10"/>
        <v>Delregion Skaraborg</v>
      </c>
    </row>
    <row r="452" spans="1:5" ht="14.45" customHeight="1">
      <c r="A452" s="64">
        <v>42304</v>
      </c>
      <c r="B452" s="65" t="s">
        <v>104</v>
      </c>
      <c r="C452" s="65" t="s">
        <v>85</v>
      </c>
      <c r="D452" s="65" t="s">
        <v>75</v>
      </c>
      <c r="E452" t="str">
        <f t="shared" si="10"/>
        <v>Delregion SIMBA</v>
      </c>
    </row>
    <row r="453" spans="1:5" ht="14.45" customHeight="1">
      <c r="A453" s="64">
        <v>42305</v>
      </c>
      <c r="B453" s="65" t="s">
        <v>73</v>
      </c>
      <c r="C453" s="65" t="s">
        <v>128</v>
      </c>
      <c r="D453" s="65" t="s">
        <v>126</v>
      </c>
      <c r="E453" t="str">
        <f t="shared" si="10"/>
        <v>Delregion Göteborg</v>
      </c>
    </row>
    <row r="454" spans="1:5" ht="14.45" customHeight="1">
      <c r="A454" s="64">
        <v>42310</v>
      </c>
      <c r="B454" s="65" t="s">
        <v>73</v>
      </c>
      <c r="C454" s="65" t="s">
        <v>85</v>
      </c>
      <c r="D454" s="65" t="s">
        <v>75</v>
      </c>
      <c r="E454" t="str">
        <f t="shared" si="10"/>
        <v>Delregion Göteborg</v>
      </c>
    </row>
    <row r="455" spans="1:5" ht="14.45" customHeight="1">
      <c r="A455" s="64">
        <v>42310</v>
      </c>
      <c r="B455" s="65" t="s">
        <v>73</v>
      </c>
      <c r="C455" s="65" t="s">
        <v>139</v>
      </c>
      <c r="D455" s="65" t="s">
        <v>126</v>
      </c>
      <c r="E455" t="str">
        <f t="shared" si="10"/>
        <v>Delregion Göteborg</v>
      </c>
    </row>
    <row r="456" spans="1:5" ht="14.45" customHeight="1">
      <c r="A456" s="64">
        <v>42311</v>
      </c>
      <c r="B456" s="65" t="s">
        <v>95</v>
      </c>
      <c r="C456" s="65" t="s">
        <v>88</v>
      </c>
      <c r="D456" s="65" t="s">
        <v>75</v>
      </c>
      <c r="E456" t="str">
        <f t="shared" si="10"/>
        <v>Delregion Södra Älvsborg</v>
      </c>
    </row>
    <row r="457" spans="1:5" ht="14.45" customHeight="1">
      <c r="A457" s="64">
        <v>42312</v>
      </c>
      <c r="B457" s="65" t="s">
        <v>92</v>
      </c>
      <c r="C457" s="65" t="s">
        <v>85</v>
      </c>
      <c r="D457" s="65" t="s">
        <v>75</v>
      </c>
      <c r="E457" t="str">
        <f t="shared" si="10"/>
        <v>Delregion Södra Älvsborg</v>
      </c>
    </row>
    <row r="458" spans="1:5" ht="14.45" customHeight="1">
      <c r="A458" s="64">
        <v>42317</v>
      </c>
      <c r="B458" s="65" t="s">
        <v>114</v>
      </c>
      <c r="C458" s="65" t="s">
        <v>83</v>
      </c>
      <c r="D458" s="65" t="s">
        <v>75</v>
      </c>
      <c r="E458" t="str">
        <f t="shared" si="10"/>
        <v>Delregion Fyrbodal</v>
      </c>
    </row>
    <row r="459" spans="1:5" ht="14.45" customHeight="1">
      <c r="A459" s="64">
        <v>42318</v>
      </c>
      <c r="B459" s="65" t="s">
        <v>73</v>
      </c>
      <c r="C459" s="65" t="s">
        <v>131</v>
      </c>
      <c r="D459" s="65" t="s">
        <v>126</v>
      </c>
      <c r="E459" t="str">
        <f t="shared" si="10"/>
        <v>Delregion Göteborg</v>
      </c>
    </row>
    <row r="460" spans="1:5" ht="14.45" customHeight="1">
      <c r="A460" s="64">
        <v>42320</v>
      </c>
      <c r="B460" s="65" t="s">
        <v>101</v>
      </c>
      <c r="C460" s="65" t="s">
        <v>85</v>
      </c>
      <c r="D460" s="65" t="s">
        <v>75</v>
      </c>
      <c r="E460" t="str">
        <f t="shared" si="10"/>
        <v>Delregion SIMBA</v>
      </c>
    </row>
    <row r="461" spans="1:5" ht="14.45" customHeight="1">
      <c r="A461" s="64">
        <v>42320</v>
      </c>
      <c r="B461" s="65" t="s">
        <v>73</v>
      </c>
      <c r="C461" s="65" t="s">
        <v>137</v>
      </c>
      <c r="D461" s="65" t="s">
        <v>126</v>
      </c>
      <c r="E461" t="str">
        <f t="shared" ref="E461:E524" si="11">VLOOKUP(B461,$Q$14:$R$62,2,FALSE)</f>
        <v>Delregion Göteborg</v>
      </c>
    </row>
    <row r="462" spans="1:5" ht="14.45" customHeight="1">
      <c r="A462" s="64">
        <v>42324</v>
      </c>
      <c r="B462" s="65" t="s">
        <v>73</v>
      </c>
      <c r="C462" s="65" t="s">
        <v>131</v>
      </c>
      <c r="D462" s="65" t="s">
        <v>126</v>
      </c>
      <c r="E462" t="str">
        <f t="shared" si="11"/>
        <v>Delregion Göteborg</v>
      </c>
    </row>
    <row r="463" spans="1:5" ht="14.45" customHeight="1">
      <c r="A463" s="64">
        <v>42325</v>
      </c>
      <c r="B463" s="65" t="s">
        <v>89</v>
      </c>
      <c r="C463" s="65" t="s">
        <v>85</v>
      </c>
      <c r="D463" s="65" t="s">
        <v>75</v>
      </c>
      <c r="E463" t="str">
        <f t="shared" si="11"/>
        <v>Delregion Skaraborg</v>
      </c>
    </row>
    <row r="464" spans="1:5" ht="14.45" customHeight="1">
      <c r="A464" s="64">
        <v>42328</v>
      </c>
      <c r="B464" s="65" t="s">
        <v>115</v>
      </c>
      <c r="C464" s="65" t="s">
        <v>132</v>
      </c>
      <c r="D464" s="65" t="s">
        <v>126</v>
      </c>
      <c r="E464" t="str">
        <f t="shared" si="11"/>
        <v>Delregion Göteborg</v>
      </c>
    </row>
    <row r="465" spans="1:5" ht="14.45" customHeight="1">
      <c r="A465" s="64">
        <v>42332</v>
      </c>
      <c r="B465" s="65" t="s">
        <v>107</v>
      </c>
      <c r="C465" s="65" t="s">
        <v>85</v>
      </c>
      <c r="D465" s="65" t="s">
        <v>75</v>
      </c>
      <c r="E465" t="str">
        <f t="shared" si="11"/>
        <v>Delregion Skaraborg</v>
      </c>
    </row>
    <row r="466" spans="1:5" ht="14.45" customHeight="1">
      <c r="A466" s="64">
        <v>42332</v>
      </c>
      <c r="B466" s="65" t="s">
        <v>105</v>
      </c>
      <c r="C466" s="65" t="s">
        <v>85</v>
      </c>
      <c r="D466" s="65" t="s">
        <v>75</v>
      </c>
      <c r="E466" t="str">
        <f t="shared" si="11"/>
        <v>Delregion Skaraborg</v>
      </c>
    </row>
    <row r="467" spans="1:5" ht="14.45" customHeight="1">
      <c r="A467" s="64">
        <v>42339</v>
      </c>
      <c r="B467" s="65" t="s">
        <v>73</v>
      </c>
      <c r="C467" s="65" t="s">
        <v>79</v>
      </c>
      <c r="D467" s="65" t="s">
        <v>75</v>
      </c>
      <c r="E467" t="str">
        <f t="shared" si="11"/>
        <v>Delregion Göteborg</v>
      </c>
    </row>
    <row r="468" spans="1:5" ht="14.45" customHeight="1">
      <c r="A468" s="64">
        <v>42339</v>
      </c>
      <c r="B468" s="65" t="s">
        <v>98</v>
      </c>
      <c r="C468" s="65" t="s">
        <v>127</v>
      </c>
      <c r="D468" s="65" t="s">
        <v>126</v>
      </c>
      <c r="E468" t="str">
        <f t="shared" si="11"/>
        <v>Delregion Göteborg</v>
      </c>
    </row>
    <row r="469" spans="1:5" ht="14.45" customHeight="1">
      <c r="A469" s="64">
        <v>42339</v>
      </c>
      <c r="B469" s="65" t="s">
        <v>73</v>
      </c>
      <c r="C469" s="65" t="s">
        <v>125</v>
      </c>
      <c r="D469" s="65" t="s">
        <v>126</v>
      </c>
      <c r="E469" t="str">
        <f t="shared" si="11"/>
        <v>Delregion Göteborg</v>
      </c>
    </row>
    <row r="470" spans="1:5">
      <c r="A470" s="64">
        <v>42340</v>
      </c>
      <c r="B470" s="65" t="s">
        <v>81</v>
      </c>
      <c r="C470" s="65" t="s">
        <v>85</v>
      </c>
      <c r="D470" s="65" t="s">
        <v>75</v>
      </c>
      <c r="E470" t="str">
        <f t="shared" si="11"/>
        <v>Delregion Fyrbodal</v>
      </c>
    </row>
    <row r="471" spans="1:5">
      <c r="A471" s="64">
        <v>42340</v>
      </c>
      <c r="B471" s="65" t="s">
        <v>95</v>
      </c>
      <c r="C471" s="65" t="s">
        <v>74</v>
      </c>
      <c r="D471" s="65" t="s">
        <v>126</v>
      </c>
      <c r="E471" t="str">
        <f t="shared" si="11"/>
        <v>Delregion Södra Älvsborg</v>
      </c>
    </row>
    <row r="472" spans="1:5">
      <c r="A472" s="64">
        <v>42340</v>
      </c>
      <c r="B472" s="65" t="s">
        <v>95</v>
      </c>
      <c r="C472" s="65" t="s">
        <v>74</v>
      </c>
      <c r="D472" s="65" t="s">
        <v>126</v>
      </c>
      <c r="E472" t="str">
        <f t="shared" si="11"/>
        <v>Delregion Södra Älvsborg</v>
      </c>
    </row>
    <row r="473" spans="1:5">
      <c r="A473" s="64">
        <v>42341</v>
      </c>
      <c r="B473" s="65" t="s">
        <v>86</v>
      </c>
      <c r="C473" s="65" t="s">
        <v>131</v>
      </c>
      <c r="D473" s="65" t="s">
        <v>126</v>
      </c>
      <c r="E473" t="str">
        <f t="shared" si="11"/>
        <v>Delregion Fyrbodal</v>
      </c>
    </row>
    <row r="474" spans="1:5">
      <c r="A474" s="64">
        <v>42342</v>
      </c>
      <c r="B474" s="65" t="s">
        <v>73</v>
      </c>
      <c r="C474" s="65" t="s">
        <v>131</v>
      </c>
      <c r="D474" s="65" t="s">
        <v>126</v>
      </c>
      <c r="E474" t="str">
        <f t="shared" si="11"/>
        <v>Delregion Göteborg</v>
      </c>
    </row>
    <row r="475" spans="1:5">
      <c r="A475" s="64">
        <v>42345</v>
      </c>
      <c r="B475" s="65" t="s">
        <v>73</v>
      </c>
      <c r="C475" s="65" t="s">
        <v>129</v>
      </c>
      <c r="D475" s="65" t="s">
        <v>126</v>
      </c>
      <c r="E475" t="str">
        <f t="shared" si="11"/>
        <v>Delregion Göteborg</v>
      </c>
    </row>
    <row r="476" spans="1:5">
      <c r="A476" s="64">
        <v>42346</v>
      </c>
      <c r="B476" s="65" t="s">
        <v>77</v>
      </c>
      <c r="C476" s="65" t="s">
        <v>85</v>
      </c>
      <c r="D476" s="65" t="s">
        <v>75</v>
      </c>
      <c r="E476" t="str">
        <f t="shared" si="11"/>
        <v>Delregion SIMBA</v>
      </c>
    </row>
    <row r="477" spans="1:5">
      <c r="A477" s="64">
        <v>42346</v>
      </c>
      <c r="B477" s="65" t="s">
        <v>99</v>
      </c>
      <c r="C477" s="65" t="s">
        <v>85</v>
      </c>
      <c r="D477" s="65" t="s">
        <v>75</v>
      </c>
      <c r="E477" t="str">
        <f t="shared" si="11"/>
        <v>Delregion Skaraborg</v>
      </c>
    </row>
    <row r="478" spans="1:5">
      <c r="A478" s="64">
        <v>42346</v>
      </c>
      <c r="B478" s="65" t="s">
        <v>73</v>
      </c>
      <c r="C478" s="65" t="s">
        <v>85</v>
      </c>
      <c r="D478" s="65" t="s">
        <v>75</v>
      </c>
      <c r="E478" t="str">
        <f t="shared" si="11"/>
        <v>Delregion Göteborg</v>
      </c>
    </row>
    <row r="479" spans="1:5">
      <c r="A479" s="64">
        <v>42346</v>
      </c>
      <c r="B479" s="65" t="s">
        <v>87</v>
      </c>
      <c r="C479" s="65" t="s">
        <v>129</v>
      </c>
      <c r="D479" s="65" t="s">
        <v>126</v>
      </c>
      <c r="E479" t="str">
        <f t="shared" si="11"/>
        <v>Delregion Skaraborg</v>
      </c>
    </row>
    <row r="480" spans="1:5">
      <c r="A480" s="64">
        <v>42347</v>
      </c>
      <c r="B480" s="65" t="s">
        <v>73</v>
      </c>
      <c r="C480" s="65" t="s">
        <v>125</v>
      </c>
      <c r="D480" s="65" t="s">
        <v>126</v>
      </c>
      <c r="E480" t="str">
        <f t="shared" si="11"/>
        <v>Delregion Göteborg</v>
      </c>
    </row>
    <row r="481" spans="1:5">
      <c r="A481" s="64">
        <v>42348</v>
      </c>
      <c r="B481" s="65" t="s">
        <v>73</v>
      </c>
      <c r="C481" s="65" t="s">
        <v>85</v>
      </c>
      <c r="D481" s="65" t="s">
        <v>75</v>
      </c>
      <c r="E481" t="str">
        <f t="shared" si="11"/>
        <v>Delregion Göteborg</v>
      </c>
    </row>
    <row r="482" spans="1:5">
      <c r="A482" s="64">
        <v>42349</v>
      </c>
      <c r="B482" s="65" t="s">
        <v>73</v>
      </c>
      <c r="C482" s="65" t="s">
        <v>131</v>
      </c>
      <c r="D482" s="65" t="s">
        <v>126</v>
      </c>
      <c r="E482" t="str">
        <f t="shared" si="11"/>
        <v>Delregion Göteborg</v>
      </c>
    </row>
    <row r="483" spans="1:5">
      <c r="A483" s="64">
        <v>42353</v>
      </c>
      <c r="B483" s="65" t="s">
        <v>73</v>
      </c>
      <c r="C483" s="65" t="s">
        <v>129</v>
      </c>
      <c r="D483" s="65" t="s">
        <v>126</v>
      </c>
      <c r="E483" t="str">
        <f t="shared" si="11"/>
        <v>Delregion Göteborg</v>
      </c>
    </row>
    <row r="484" spans="1:5">
      <c r="A484" s="64">
        <v>42354</v>
      </c>
      <c r="B484" s="65" t="s">
        <v>87</v>
      </c>
      <c r="C484" s="65" t="s">
        <v>85</v>
      </c>
      <c r="D484" s="65" t="s">
        <v>75</v>
      </c>
      <c r="E484" t="str">
        <f t="shared" si="11"/>
        <v>Delregion Skaraborg</v>
      </c>
    </row>
    <row r="485" spans="1:5">
      <c r="A485" s="64">
        <v>42354</v>
      </c>
      <c r="B485" s="65" t="s">
        <v>106</v>
      </c>
      <c r="C485" s="65" t="s">
        <v>85</v>
      </c>
      <c r="D485" s="65" t="s">
        <v>75</v>
      </c>
      <c r="E485" t="str">
        <f t="shared" si="11"/>
        <v>Delregion Fyrbodal</v>
      </c>
    </row>
    <row r="486" spans="1:5">
      <c r="A486" s="64">
        <v>42354</v>
      </c>
      <c r="B486" s="65" t="s">
        <v>86</v>
      </c>
      <c r="C486" s="65" t="s">
        <v>127</v>
      </c>
      <c r="D486" s="65" t="s">
        <v>126</v>
      </c>
      <c r="E486" t="str">
        <f t="shared" si="11"/>
        <v>Delregion Fyrbodal</v>
      </c>
    </row>
    <row r="487" spans="1:5">
      <c r="A487" s="64">
        <v>42354</v>
      </c>
      <c r="B487" s="65" t="s">
        <v>73</v>
      </c>
      <c r="C487" s="65" t="s">
        <v>129</v>
      </c>
      <c r="D487" s="65" t="s">
        <v>126</v>
      </c>
      <c r="E487" t="str">
        <f t="shared" si="11"/>
        <v>Delregion Göteborg</v>
      </c>
    </row>
    <row r="488" spans="1:5">
      <c r="A488" s="64">
        <v>42356</v>
      </c>
      <c r="B488" s="65" t="s">
        <v>73</v>
      </c>
      <c r="C488" s="65" t="s">
        <v>85</v>
      </c>
      <c r="D488" s="65" t="s">
        <v>75</v>
      </c>
      <c r="E488" t="str">
        <f t="shared" si="11"/>
        <v>Delregion Göteborg</v>
      </c>
    </row>
    <row r="489" spans="1:5">
      <c r="A489" s="64">
        <v>42356</v>
      </c>
      <c r="B489" s="65" t="s">
        <v>97</v>
      </c>
      <c r="C489" s="65" t="s">
        <v>127</v>
      </c>
      <c r="D489" s="65" t="s">
        <v>126</v>
      </c>
      <c r="E489" t="str">
        <f t="shared" si="11"/>
        <v>Delregion Fyrbodal</v>
      </c>
    </row>
    <row r="490" spans="1:5">
      <c r="A490" s="64">
        <v>42359</v>
      </c>
      <c r="B490" s="65" t="s">
        <v>116</v>
      </c>
      <c r="C490" s="65" t="s">
        <v>85</v>
      </c>
      <c r="D490" s="65" t="s">
        <v>75</v>
      </c>
      <c r="E490" t="str">
        <f t="shared" si="11"/>
        <v>Delregion Södra Älvsborg</v>
      </c>
    </row>
    <row r="491" spans="1:5">
      <c r="A491" s="64">
        <v>42359</v>
      </c>
      <c r="B491" s="65" t="s">
        <v>99</v>
      </c>
      <c r="C491" s="65" t="s">
        <v>83</v>
      </c>
      <c r="D491" s="65" t="s">
        <v>75</v>
      </c>
      <c r="E491" t="str">
        <f t="shared" si="11"/>
        <v>Delregion Skaraborg</v>
      </c>
    </row>
    <row r="492" spans="1:5">
      <c r="A492" s="64">
        <v>42360</v>
      </c>
      <c r="B492" s="65" t="s">
        <v>73</v>
      </c>
      <c r="C492" s="65" t="s">
        <v>127</v>
      </c>
      <c r="D492" s="65" t="s">
        <v>126</v>
      </c>
      <c r="E492" t="str">
        <f t="shared" si="11"/>
        <v>Delregion Göteborg</v>
      </c>
    </row>
    <row r="493" spans="1:5">
      <c r="A493" s="64">
        <v>42360</v>
      </c>
      <c r="B493" s="65" t="s">
        <v>73</v>
      </c>
      <c r="C493" s="65" t="s">
        <v>127</v>
      </c>
      <c r="D493" s="65" t="s">
        <v>126</v>
      </c>
      <c r="E493" t="str">
        <f t="shared" si="11"/>
        <v>Delregion Göteborg</v>
      </c>
    </row>
    <row r="494" spans="1:5">
      <c r="A494" s="64">
        <v>42360</v>
      </c>
      <c r="B494" s="65" t="s">
        <v>115</v>
      </c>
      <c r="C494" s="65" t="s">
        <v>131</v>
      </c>
      <c r="D494" s="65" t="s">
        <v>126</v>
      </c>
      <c r="E494" t="str">
        <f t="shared" si="11"/>
        <v>Delregion Göteborg</v>
      </c>
    </row>
    <row r="495" spans="1:5">
      <c r="A495" s="64">
        <v>42367</v>
      </c>
      <c r="B495" s="65" t="s">
        <v>95</v>
      </c>
      <c r="C495" s="65" t="s">
        <v>96</v>
      </c>
      <c r="D495" s="65" t="s">
        <v>75</v>
      </c>
      <c r="E495" t="str">
        <f t="shared" si="11"/>
        <v>Delregion Södra Älvsborg</v>
      </c>
    </row>
    <row r="496" spans="1:5">
      <c r="A496" s="64">
        <v>42376</v>
      </c>
      <c r="B496" s="65" t="s">
        <v>115</v>
      </c>
      <c r="C496" s="65" t="s">
        <v>85</v>
      </c>
      <c r="D496" s="65" t="s">
        <v>75</v>
      </c>
      <c r="E496" t="str">
        <f t="shared" si="11"/>
        <v>Delregion Göteborg</v>
      </c>
    </row>
    <row r="497" spans="1:5">
      <c r="A497" s="64">
        <v>42376</v>
      </c>
      <c r="B497" s="65" t="s">
        <v>87</v>
      </c>
      <c r="C497" s="65" t="s">
        <v>85</v>
      </c>
      <c r="D497" s="65" t="s">
        <v>75</v>
      </c>
      <c r="E497" t="str">
        <f t="shared" si="11"/>
        <v>Delregion Skaraborg</v>
      </c>
    </row>
    <row r="498" spans="1:5">
      <c r="A498" s="64">
        <v>42376</v>
      </c>
      <c r="B498" s="65" t="s">
        <v>99</v>
      </c>
      <c r="C498" s="65" t="s">
        <v>134</v>
      </c>
      <c r="D498" s="65" t="s">
        <v>126</v>
      </c>
      <c r="E498" t="str">
        <f t="shared" si="11"/>
        <v>Delregion Skaraborg</v>
      </c>
    </row>
    <row r="499" spans="1:5">
      <c r="A499" s="64">
        <v>42376</v>
      </c>
      <c r="B499" s="65" t="s">
        <v>115</v>
      </c>
      <c r="C499" s="65" t="s">
        <v>131</v>
      </c>
      <c r="D499" s="65" t="s">
        <v>126</v>
      </c>
      <c r="E499" t="str">
        <f t="shared" si="11"/>
        <v>Delregion Göteborg</v>
      </c>
    </row>
    <row r="500" spans="1:5">
      <c r="A500" s="64">
        <v>42377</v>
      </c>
      <c r="B500" s="65" t="s">
        <v>99</v>
      </c>
      <c r="C500" s="65" t="s">
        <v>137</v>
      </c>
      <c r="D500" s="65" t="s">
        <v>126</v>
      </c>
      <c r="E500" t="str">
        <f t="shared" si="11"/>
        <v>Delregion Skaraborg</v>
      </c>
    </row>
    <row r="501" spans="1:5">
      <c r="A501" s="64">
        <v>42377</v>
      </c>
      <c r="B501" s="65" t="s">
        <v>115</v>
      </c>
      <c r="C501" s="65" t="s">
        <v>129</v>
      </c>
      <c r="D501" s="65" t="s">
        <v>126</v>
      </c>
      <c r="E501" t="str">
        <f t="shared" si="11"/>
        <v>Delregion Göteborg</v>
      </c>
    </row>
    <row r="502" spans="1:5">
      <c r="A502" s="64">
        <v>42382</v>
      </c>
      <c r="B502" s="65" t="s">
        <v>82</v>
      </c>
      <c r="C502" s="65" t="s">
        <v>85</v>
      </c>
      <c r="D502" s="65" t="s">
        <v>75</v>
      </c>
      <c r="E502" t="str">
        <f t="shared" si="11"/>
        <v>Delregion Fyrbodal</v>
      </c>
    </row>
    <row r="503" spans="1:5">
      <c r="A503" s="64">
        <v>42382</v>
      </c>
      <c r="B503" s="65" t="s">
        <v>78</v>
      </c>
      <c r="C503" s="65" t="s">
        <v>130</v>
      </c>
      <c r="D503" s="65" t="s">
        <v>126</v>
      </c>
      <c r="E503" t="str">
        <f t="shared" si="11"/>
        <v>Delregion SIMBA</v>
      </c>
    </row>
    <row r="504" spans="1:5">
      <c r="A504" s="64">
        <v>42382</v>
      </c>
      <c r="B504" s="65" t="s">
        <v>73</v>
      </c>
      <c r="C504" s="65" t="s">
        <v>125</v>
      </c>
      <c r="D504" s="65" t="s">
        <v>126</v>
      </c>
      <c r="E504" t="str">
        <f t="shared" si="11"/>
        <v>Delregion Göteborg</v>
      </c>
    </row>
    <row r="505" spans="1:5">
      <c r="A505" s="64">
        <v>42384</v>
      </c>
      <c r="B505" s="65" t="s">
        <v>104</v>
      </c>
      <c r="C505" s="65" t="s">
        <v>85</v>
      </c>
      <c r="D505" s="65" t="s">
        <v>75</v>
      </c>
      <c r="E505" t="str">
        <f t="shared" si="11"/>
        <v>Delregion SIMBA</v>
      </c>
    </row>
    <row r="506" spans="1:5">
      <c r="A506" s="64">
        <v>42384</v>
      </c>
      <c r="B506" s="65" t="s">
        <v>115</v>
      </c>
      <c r="C506" s="65" t="s">
        <v>96</v>
      </c>
      <c r="D506" s="65" t="s">
        <v>75</v>
      </c>
      <c r="E506" t="str">
        <f t="shared" si="11"/>
        <v>Delregion Göteborg</v>
      </c>
    </row>
    <row r="507" spans="1:5">
      <c r="A507" s="64">
        <v>42387</v>
      </c>
      <c r="B507" s="65" t="s">
        <v>97</v>
      </c>
      <c r="C507" s="65" t="s">
        <v>85</v>
      </c>
      <c r="D507" s="65" t="s">
        <v>75</v>
      </c>
      <c r="E507" t="str">
        <f t="shared" si="11"/>
        <v>Delregion Fyrbodal</v>
      </c>
    </row>
    <row r="508" spans="1:5">
      <c r="A508" s="64">
        <v>42387</v>
      </c>
      <c r="B508" s="65" t="s">
        <v>73</v>
      </c>
      <c r="C508" s="65" t="s">
        <v>127</v>
      </c>
      <c r="D508" s="65" t="s">
        <v>126</v>
      </c>
      <c r="E508" t="str">
        <f t="shared" si="11"/>
        <v>Delregion Göteborg</v>
      </c>
    </row>
    <row r="509" spans="1:5">
      <c r="A509" s="64">
        <v>42387</v>
      </c>
      <c r="B509" s="65" t="s">
        <v>73</v>
      </c>
      <c r="C509" s="65" t="s">
        <v>127</v>
      </c>
      <c r="D509" s="65" t="s">
        <v>126</v>
      </c>
      <c r="E509" t="str">
        <f t="shared" si="11"/>
        <v>Delregion Göteborg</v>
      </c>
    </row>
    <row r="510" spans="1:5">
      <c r="A510" s="64">
        <v>42387</v>
      </c>
      <c r="B510" s="65" t="s">
        <v>115</v>
      </c>
      <c r="C510" s="65" t="s">
        <v>127</v>
      </c>
      <c r="D510" s="65" t="s">
        <v>126</v>
      </c>
      <c r="E510" t="str">
        <f t="shared" si="11"/>
        <v>Delregion Göteborg</v>
      </c>
    </row>
    <row r="511" spans="1:5">
      <c r="A511" s="64">
        <v>42388</v>
      </c>
      <c r="B511" s="65" t="s">
        <v>73</v>
      </c>
      <c r="C511" s="65" t="s">
        <v>130</v>
      </c>
      <c r="D511" s="65" t="s">
        <v>126</v>
      </c>
      <c r="E511" t="str">
        <f t="shared" si="11"/>
        <v>Delregion Göteborg</v>
      </c>
    </row>
    <row r="512" spans="1:5">
      <c r="A512" s="64">
        <v>42388</v>
      </c>
      <c r="B512" s="65" t="s">
        <v>73</v>
      </c>
      <c r="C512" s="65" t="s">
        <v>128</v>
      </c>
      <c r="D512" s="65" t="s">
        <v>126</v>
      </c>
      <c r="E512" t="str">
        <f t="shared" si="11"/>
        <v>Delregion Göteborg</v>
      </c>
    </row>
    <row r="513" spans="1:5">
      <c r="A513" s="64">
        <v>42389</v>
      </c>
      <c r="B513" s="65" t="s">
        <v>78</v>
      </c>
      <c r="C513" s="65" t="s">
        <v>79</v>
      </c>
      <c r="D513" s="65" t="s">
        <v>75</v>
      </c>
      <c r="E513" t="str">
        <f t="shared" si="11"/>
        <v>Delregion SIMBA</v>
      </c>
    </row>
    <row r="514" spans="1:5">
      <c r="A514" s="64">
        <v>42390</v>
      </c>
      <c r="B514" s="65" t="s">
        <v>73</v>
      </c>
      <c r="C514" s="65" t="s">
        <v>85</v>
      </c>
      <c r="D514" s="65" t="s">
        <v>75</v>
      </c>
      <c r="E514" t="str">
        <f t="shared" si="11"/>
        <v>Delregion Göteborg</v>
      </c>
    </row>
    <row r="515" spans="1:5">
      <c r="A515" s="64">
        <v>42390</v>
      </c>
      <c r="B515" s="65" t="s">
        <v>95</v>
      </c>
      <c r="C515" s="65" t="s">
        <v>127</v>
      </c>
      <c r="D515" s="65" t="s">
        <v>126</v>
      </c>
      <c r="E515" t="str">
        <f t="shared" si="11"/>
        <v>Delregion Södra Älvsborg</v>
      </c>
    </row>
    <row r="516" spans="1:5">
      <c r="A516" s="64">
        <v>42390</v>
      </c>
      <c r="B516" s="65" t="s">
        <v>73</v>
      </c>
      <c r="C516" s="65" t="s">
        <v>131</v>
      </c>
      <c r="D516" s="65" t="s">
        <v>126</v>
      </c>
      <c r="E516" t="str">
        <f t="shared" si="11"/>
        <v>Delregion Göteborg</v>
      </c>
    </row>
    <row r="517" spans="1:5">
      <c r="A517" s="64">
        <v>42391</v>
      </c>
      <c r="B517" s="65" t="s">
        <v>73</v>
      </c>
      <c r="C517" s="65" t="s">
        <v>118</v>
      </c>
      <c r="D517" s="65" t="s">
        <v>75</v>
      </c>
      <c r="E517" t="str">
        <f t="shared" si="11"/>
        <v>Delregion Göteborg</v>
      </c>
    </row>
    <row r="518" spans="1:5">
      <c r="A518" s="64">
        <v>42391</v>
      </c>
      <c r="B518" s="65" t="s">
        <v>73</v>
      </c>
      <c r="C518" s="65" t="s">
        <v>129</v>
      </c>
      <c r="D518" s="65" t="s">
        <v>126</v>
      </c>
      <c r="E518" t="str">
        <f t="shared" si="11"/>
        <v>Delregion Göteborg</v>
      </c>
    </row>
    <row r="519" spans="1:5">
      <c r="A519" s="64">
        <v>42391</v>
      </c>
      <c r="B519" s="65" t="s">
        <v>73</v>
      </c>
      <c r="C519" s="65" t="s">
        <v>125</v>
      </c>
      <c r="D519" s="65" t="s">
        <v>126</v>
      </c>
      <c r="E519" t="str">
        <f t="shared" si="11"/>
        <v>Delregion Göteborg</v>
      </c>
    </row>
    <row r="520" spans="1:5">
      <c r="A520" s="64">
        <v>42394</v>
      </c>
      <c r="B520" s="65" t="s">
        <v>77</v>
      </c>
      <c r="C520" s="65" t="s">
        <v>85</v>
      </c>
      <c r="D520" s="65" t="s">
        <v>75</v>
      </c>
      <c r="E520" t="str">
        <f t="shared" si="11"/>
        <v>Delregion SIMBA</v>
      </c>
    </row>
    <row r="521" spans="1:5">
      <c r="A521" s="64">
        <v>42394</v>
      </c>
      <c r="B521" s="65" t="s">
        <v>115</v>
      </c>
      <c r="C521" s="65" t="s">
        <v>130</v>
      </c>
      <c r="D521" s="65" t="s">
        <v>126</v>
      </c>
      <c r="E521" t="str">
        <f t="shared" si="11"/>
        <v>Delregion Göteborg</v>
      </c>
    </row>
    <row r="522" spans="1:5">
      <c r="A522" s="64">
        <v>42395</v>
      </c>
      <c r="B522" s="65" t="s">
        <v>73</v>
      </c>
      <c r="C522" s="65" t="s">
        <v>83</v>
      </c>
      <c r="D522" s="65" t="s">
        <v>75</v>
      </c>
      <c r="E522" t="str">
        <f t="shared" si="11"/>
        <v>Delregion Göteborg</v>
      </c>
    </row>
    <row r="523" spans="1:5">
      <c r="A523" s="64">
        <v>42395</v>
      </c>
      <c r="B523" s="65" t="s">
        <v>73</v>
      </c>
      <c r="C523" s="65" t="s">
        <v>129</v>
      </c>
      <c r="D523" s="65" t="s">
        <v>126</v>
      </c>
      <c r="E523" t="str">
        <f t="shared" si="11"/>
        <v>Delregion Göteborg</v>
      </c>
    </row>
    <row r="524" spans="1:5">
      <c r="A524" s="64">
        <v>42396</v>
      </c>
      <c r="B524" s="65" t="s">
        <v>73</v>
      </c>
      <c r="C524" s="65" t="s">
        <v>129</v>
      </c>
      <c r="D524" s="65" t="s">
        <v>126</v>
      </c>
      <c r="E524" t="str">
        <f t="shared" si="11"/>
        <v>Delregion Göteborg</v>
      </c>
    </row>
    <row r="525" spans="1:5">
      <c r="A525" s="64">
        <v>42396</v>
      </c>
      <c r="B525" s="65" t="s">
        <v>73</v>
      </c>
      <c r="C525" s="65" t="s">
        <v>129</v>
      </c>
      <c r="D525" s="65" t="s">
        <v>126</v>
      </c>
      <c r="E525" t="str">
        <f t="shared" ref="E525:E588" si="12">VLOOKUP(B525,$Q$14:$R$62,2,FALSE)</f>
        <v>Delregion Göteborg</v>
      </c>
    </row>
    <row r="526" spans="1:5">
      <c r="A526" s="64">
        <v>42397</v>
      </c>
      <c r="B526" s="65" t="s">
        <v>73</v>
      </c>
      <c r="C526" s="65" t="s">
        <v>85</v>
      </c>
      <c r="D526" s="65" t="s">
        <v>75</v>
      </c>
      <c r="E526" t="str">
        <f t="shared" si="12"/>
        <v>Delregion Göteborg</v>
      </c>
    </row>
    <row r="527" spans="1:5">
      <c r="A527" s="64">
        <v>42397</v>
      </c>
      <c r="B527" s="65" t="s">
        <v>107</v>
      </c>
      <c r="C527" s="65" t="s">
        <v>83</v>
      </c>
      <c r="D527" s="65" t="s">
        <v>75</v>
      </c>
      <c r="E527" t="str">
        <f t="shared" si="12"/>
        <v>Delregion Skaraborg</v>
      </c>
    </row>
    <row r="528" spans="1:5">
      <c r="A528" s="64">
        <v>42397</v>
      </c>
      <c r="B528" s="65" t="s">
        <v>73</v>
      </c>
      <c r="C528" s="65" t="s">
        <v>91</v>
      </c>
      <c r="D528" s="65" t="s">
        <v>126</v>
      </c>
      <c r="E528" t="str">
        <f t="shared" si="12"/>
        <v>Delregion Göteborg</v>
      </c>
    </row>
    <row r="529" spans="1:5">
      <c r="A529" s="64">
        <v>42398</v>
      </c>
      <c r="B529" s="65" t="s">
        <v>78</v>
      </c>
      <c r="C529" s="65" t="s">
        <v>85</v>
      </c>
      <c r="D529" s="65" t="s">
        <v>75</v>
      </c>
      <c r="E529" t="str">
        <f t="shared" si="12"/>
        <v>Delregion SIMBA</v>
      </c>
    </row>
    <row r="530" spans="1:5">
      <c r="A530" s="64">
        <v>42403</v>
      </c>
      <c r="B530" s="65" t="s">
        <v>73</v>
      </c>
      <c r="C530" s="65" t="s">
        <v>85</v>
      </c>
      <c r="D530" s="65" t="s">
        <v>75</v>
      </c>
      <c r="E530" t="str">
        <f t="shared" si="12"/>
        <v>Delregion Göteborg</v>
      </c>
    </row>
    <row r="531" spans="1:5">
      <c r="A531" s="64">
        <v>42403</v>
      </c>
      <c r="B531" s="65" t="s">
        <v>86</v>
      </c>
      <c r="C531" s="65" t="s">
        <v>91</v>
      </c>
      <c r="D531" s="65" t="s">
        <v>75</v>
      </c>
      <c r="E531" t="str">
        <f t="shared" si="12"/>
        <v>Delregion Fyrbodal</v>
      </c>
    </row>
    <row r="532" spans="1:5">
      <c r="A532" s="64">
        <v>42403</v>
      </c>
      <c r="B532" s="65" t="s">
        <v>115</v>
      </c>
      <c r="C532" s="65" t="s">
        <v>131</v>
      </c>
      <c r="D532" s="65" t="s">
        <v>126</v>
      </c>
      <c r="E532" t="str">
        <f t="shared" si="12"/>
        <v>Delregion Göteborg</v>
      </c>
    </row>
    <row r="533" spans="1:5">
      <c r="A533" s="64">
        <v>42403</v>
      </c>
      <c r="B533" s="65" t="s">
        <v>115</v>
      </c>
      <c r="C533" s="65" t="s">
        <v>131</v>
      </c>
      <c r="D533" s="65" t="s">
        <v>126</v>
      </c>
      <c r="E533" t="str">
        <f t="shared" si="12"/>
        <v>Delregion Göteborg</v>
      </c>
    </row>
    <row r="534" spans="1:5">
      <c r="A534" s="64">
        <v>42404</v>
      </c>
      <c r="B534" s="65" t="s">
        <v>115</v>
      </c>
      <c r="C534" s="65" t="s">
        <v>85</v>
      </c>
      <c r="D534" s="65" t="s">
        <v>75</v>
      </c>
      <c r="E534" t="str">
        <f t="shared" si="12"/>
        <v>Delregion Göteborg</v>
      </c>
    </row>
    <row r="535" spans="1:5">
      <c r="A535" s="64">
        <v>42404</v>
      </c>
      <c r="B535" s="65" t="s">
        <v>92</v>
      </c>
      <c r="C535" s="65" t="s">
        <v>85</v>
      </c>
      <c r="D535" s="65" t="s">
        <v>75</v>
      </c>
      <c r="E535" t="str">
        <f t="shared" si="12"/>
        <v>Delregion Södra Älvsborg</v>
      </c>
    </row>
    <row r="536" spans="1:5">
      <c r="A536" s="64">
        <v>42404</v>
      </c>
      <c r="B536" s="65" t="s">
        <v>104</v>
      </c>
      <c r="C536" s="65" t="s">
        <v>85</v>
      </c>
      <c r="D536" s="65" t="s">
        <v>75</v>
      </c>
      <c r="E536" t="str">
        <f t="shared" si="12"/>
        <v>Delregion SIMBA</v>
      </c>
    </row>
    <row r="537" spans="1:5">
      <c r="A537" s="64">
        <v>42404</v>
      </c>
      <c r="B537" s="65" t="s">
        <v>76</v>
      </c>
      <c r="C537" s="65" t="s">
        <v>88</v>
      </c>
      <c r="D537" s="65" t="s">
        <v>75</v>
      </c>
      <c r="E537" t="str">
        <f t="shared" si="12"/>
        <v>Delregion Skaraborg</v>
      </c>
    </row>
    <row r="538" spans="1:5">
      <c r="A538" s="64">
        <v>42405</v>
      </c>
      <c r="B538" s="65" t="s">
        <v>73</v>
      </c>
      <c r="C538" s="65" t="s">
        <v>85</v>
      </c>
      <c r="D538" s="65" t="s">
        <v>75</v>
      </c>
      <c r="E538" t="str">
        <f t="shared" si="12"/>
        <v>Delregion Göteborg</v>
      </c>
    </row>
    <row r="539" spans="1:5">
      <c r="A539" s="64">
        <v>42405</v>
      </c>
      <c r="B539" s="65" t="s">
        <v>108</v>
      </c>
      <c r="C539" s="65" t="s">
        <v>85</v>
      </c>
      <c r="D539" s="65" t="s">
        <v>75</v>
      </c>
      <c r="E539" t="str">
        <f t="shared" si="12"/>
        <v>Delregion Fyrbodal</v>
      </c>
    </row>
    <row r="540" spans="1:5">
      <c r="A540" s="64">
        <v>42405</v>
      </c>
      <c r="B540" s="65" t="s">
        <v>73</v>
      </c>
      <c r="C540" s="65" t="s">
        <v>91</v>
      </c>
      <c r="D540" s="65" t="s">
        <v>75</v>
      </c>
      <c r="E540" t="str">
        <f t="shared" si="12"/>
        <v>Delregion Göteborg</v>
      </c>
    </row>
    <row r="541" spans="1:5">
      <c r="A541" s="64">
        <v>42409</v>
      </c>
      <c r="B541" s="65" t="s">
        <v>106</v>
      </c>
      <c r="C541" s="65" t="s">
        <v>85</v>
      </c>
      <c r="D541" s="65" t="s">
        <v>75</v>
      </c>
      <c r="E541" t="str">
        <f t="shared" si="12"/>
        <v>Delregion Fyrbodal</v>
      </c>
    </row>
    <row r="542" spans="1:5">
      <c r="A542" s="64">
        <v>42409</v>
      </c>
      <c r="B542" s="65" t="s">
        <v>73</v>
      </c>
      <c r="C542" s="65" t="s">
        <v>100</v>
      </c>
      <c r="D542" s="65" t="s">
        <v>75</v>
      </c>
      <c r="E542" t="str">
        <f t="shared" si="12"/>
        <v>Delregion Göteborg</v>
      </c>
    </row>
    <row r="543" spans="1:5">
      <c r="A543" s="64">
        <v>42409</v>
      </c>
      <c r="B543" s="65" t="s">
        <v>86</v>
      </c>
      <c r="C543" s="65" t="s">
        <v>91</v>
      </c>
      <c r="D543" s="65" t="s">
        <v>75</v>
      </c>
      <c r="E543" t="str">
        <f t="shared" si="12"/>
        <v>Delregion Fyrbodal</v>
      </c>
    </row>
    <row r="544" spans="1:5">
      <c r="A544" s="64">
        <v>42409</v>
      </c>
      <c r="B544" s="65" t="s">
        <v>73</v>
      </c>
      <c r="C544" s="65" t="s">
        <v>125</v>
      </c>
      <c r="D544" s="65" t="s">
        <v>126</v>
      </c>
      <c r="E544" t="str">
        <f t="shared" si="12"/>
        <v>Delregion Göteborg</v>
      </c>
    </row>
    <row r="545" spans="1:5">
      <c r="A545" s="64">
        <v>42410</v>
      </c>
      <c r="B545" s="65" t="s">
        <v>73</v>
      </c>
      <c r="C545" s="65" t="s">
        <v>83</v>
      </c>
      <c r="D545" s="65" t="s">
        <v>75</v>
      </c>
      <c r="E545" t="str">
        <f t="shared" si="12"/>
        <v>Delregion Göteborg</v>
      </c>
    </row>
    <row r="546" spans="1:5">
      <c r="A546" s="64">
        <v>42415</v>
      </c>
      <c r="B546" s="65" t="s">
        <v>115</v>
      </c>
      <c r="C546" s="65" t="s">
        <v>131</v>
      </c>
      <c r="D546" s="65" t="s">
        <v>126</v>
      </c>
      <c r="E546" t="str">
        <f t="shared" si="12"/>
        <v>Delregion Göteborg</v>
      </c>
    </row>
    <row r="547" spans="1:5">
      <c r="A547" s="64">
        <v>42416</v>
      </c>
      <c r="B547" s="65" t="s">
        <v>73</v>
      </c>
      <c r="C547" s="65" t="s">
        <v>85</v>
      </c>
      <c r="D547" s="65" t="s">
        <v>75</v>
      </c>
      <c r="E547" t="str">
        <f t="shared" si="12"/>
        <v>Delregion Göteborg</v>
      </c>
    </row>
    <row r="548" spans="1:5">
      <c r="A548" s="64">
        <v>42416</v>
      </c>
      <c r="B548" s="65" t="s">
        <v>80</v>
      </c>
      <c r="C548" s="65" t="s">
        <v>85</v>
      </c>
      <c r="D548" s="65" t="s">
        <v>75</v>
      </c>
      <c r="E548" t="str">
        <f t="shared" si="12"/>
        <v>Delregion Södra Älvsborg</v>
      </c>
    </row>
    <row r="549" spans="1:5">
      <c r="A549" s="64">
        <v>42416</v>
      </c>
      <c r="B549" s="65" t="s">
        <v>104</v>
      </c>
      <c r="C549" s="65" t="s">
        <v>85</v>
      </c>
      <c r="D549" s="65" t="s">
        <v>75</v>
      </c>
      <c r="E549" t="str">
        <f t="shared" si="12"/>
        <v>Delregion SIMBA</v>
      </c>
    </row>
    <row r="550" spans="1:5">
      <c r="A550" s="64">
        <v>42416</v>
      </c>
      <c r="B550" s="65" t="s">
        <v>73</v>
      </c>
      <c r="C550" s="65" t="s">
        <v>85</v>
      </c>
      <c r="D550" s="65" t="s">
        <v>75</v>
      </c>
      <c r="E550" t="str">
        <f t="shared" si="12"/>
        <v>Delregion Göteborg</v>
      </c>
    </row>
    <row r="551" spans="1:5">
      <c r="A551" s="64">
        <v>42416</v>
      </c>
      <c r="B551" s="65" t="s">
        <v>98</v>
      </c>
      <c r="C551" s="65" t="s">
        <v>85</v>
      </c>
      <c r="D551" s="65" t="s">
        <v>75</v>
      </c>
      <c r="E551" t="str">
        <f t="shared" si="12"/>
        <v>Delregion Göteborg</v>
      </c>
    </row>
    <row r="552" spans="1:5">
      <c r="A552" s="64">
        <v>42416</v>
      </c>
      <c r="B552" s="65" t="s">
        <v>94</v>
      </c>
      <c r="C552" s="65" t="s">
        <v>129</v>
      </c>
      <c r="D552" s="65" t="s">
        <v>126</v>
      </c>
      <c r="E552" t="str">
        <f t="shared" si="12"/>
        <v>Delregion Fyrbodal</v>
      </c>
    </row>
    <row r="553" spans="1:5">
      <c r="A553" s="64">
        <v>42416</v>
      </c>
      <c r="B553" s="65" t="s">
        <v>97</v>
      </c>
      <c r="C553" s="65" t="s">
        <v>125</v>
      </c>
      <c r="D553" s="65" t="s">
        <v>126</v>
      </c>
      <c r="E553" t="str">
        <f t="shared" si="12"/>
        <v>Delregion Fyrbodal</v>
      </c>
    </row>
    <row r="554" spans="1:5">
      <c r="A554" s="64">
        <v>42417</v>
      </c>
      <c r="B554" s="65" t="s">
        <v>89</v>
      </c>
      <c r="C554" s="65" t="s">
        <v>100</v>
      </c>
      <c r="D554" s="65" t="s">
        <v>75</v>
      </c>
      <c r="E554" t="str">
        <f t="shared" si="12"/>
        <v>Delregion Skaraborg</v>
      </c>
    </row>
    <row r="555" spans="1:5">
      <c r="A555" s="64">
        <v>42417</v>
      </c>
      <c r="B555" s="65" t="s">
        <v>78</v>
      </c>
      <c r="C555" s="65" t="s">
        <v>74</v>
      </c>
      <c r="D555" s="65" t="s">
        <v>126</v>
      </c>
      <c r="E555" t="str">
        <f t="shared" si="12"/>
        <v>Delregion SIMBA</v>
      </c>
    </row>
    <row r="556" spans="1:5">
      <c r="A556" s="64">
        <v>42418</v>
      </c>
      <c r="B556" s="65" t="s">
        <v>73</v>
      </c>
      <c r="C556" s="65" t="s">
        <v>74</v>
      </c>
      <c r="D556" s="65" t="s">
        <v>126</v>
      </c>
      <c r="E556" t="str">
        <f t="shared" si="12"/>
        <v>Delregion Göteborg</v>
      </c>
    </row>
    <row r="557" spans="1:5">
      <c r="A557" s="64">
        <v>42419</v>
      </c>
      <c r="B557" s="65" t="s">
        <v>80</v>
      </c>
      <c r="C557" s="65" t="s">
        <v>96</v>
      </c>
      <c r="D557" s="65" t="s">
        <v>75</v>
      </c>
      <c r="E557" t="str">
        <f t="shared" si="12"/>
        <v>Delregion Södra Älvsborg</v>
      </c>
    </row>
    <row r="558" spans="1:5">
      <c r="A558" s="64">
        <v>42422</v>
      </c>
      <c r="B558" s="65" t="s">
        <v>73</v>
      </c>
      <c r="C558" s="65" t="s">
        <v>130</v>
      </c>
      <c r="D558" s="65" t="s">
        <v>126</v>
      </c>
      <c r="E558" t="str">
        <f t="shared" si="12"/>
        <v>Delregion Göteborg</v>
      </c>
    </row>
    <row r="559" spans="1:5">
      <c r="A559" s="64">
        <v>42422</v>
      </c>
      <c r="B559" s="65" t="s">
        <v>109</v>
      </c>
      <c r="C559" s="65" t="s">
        <v>127</v>
      </c>
      <c r="D559" s="65" t="s">
        <v>126</v>
      </c>
      <c r="E559" t="str">
        <f t="shared" si="12"/>
        <v>Delregion Fyrbodal</v>
      </c>
    </row>
    <row r="560" spans="1:5">
      <c r="A560" s="64">
        <v>42423</v>
      </c>
      <c r="B560" s="65" t="s">
        <v>73</v>
      </c>
      <c r="C560" s="65" t="s">
        <v>96</v>
      </c>
      <c r="D560" s="65" t="s">
        <v>75</v>
      </c>
      <c r="E560" t="str">
        <f t="shared" si="12"/>
        <v>Delregion Göteborg</v>
      </c>
    </row>
    <row r="561" spans="1:5">
      <c r="A561" s="64">
        <v>42424</v>
      </c>
      <c r="B561" s="65" t="s">
        <v>77</v>
      </c>
      <c r="C561" s="65" t="s">
        <v>85</v>
      </c>
      <c r="D561" s="65" t="s">
        <v>75</v>
      </c>
      <c r="E561" t="str">
        <f t="shared" si="12"/>
        <v>Delregion SIMBA</v>
      </c>
    </row>
    <row r="562" spans="1:5">
      <c r="A562" s="64">
        <v>42425</v>
      </c>
      <c r="B562" s="65" t="s">
        <v>73</v>
      </c>
      <c r="C562" s="65" t="s">
        <v>100</v>
      </c>
      <c r="D562" s="65" t="s">
        <v>75</v>
      </c>
      <c r="E562" t="str">
        <f t="shared" si="12"/>
        <v>Delregion Göteborg</v>
      </c>
    </row>
    <row r="563" spans="1:5">
      <c r="A563" s="64">
        <v>42426</v>
      </c>
      <c r="B563" s="65" t="s">
        <v>107</v>
      </c>
      <c r="C563" s="65" t="s">
        <v>127</v>
      </c>
      <c r="D563" s="65" t="s">
        <v>126</v>
      </c>
      <c r="E563" t="str">
        <f t="shared" si="12"/>
        <v>Delregion Skaraborg</v>
      </c>
    </row>
    <row r="564" spans="1:5">
      <c r="A564" s="64">
        <v>42429</v>
      </c>
      <c r="B564" s="65" t="s">
        <v>73</v>
      </c>
      <c r="C564" s="65" t="s">
        <v>74</v>
      </c>
      <c r="D564" s="65" t="s">
        <v>75</v>
      </c>
      <c r="E564" t="str">
        <f t="shared" si="12"/>
        <v>Delregion Göteborg</v>
      </c>
    </row>
    <row r="565" spans="1:5">
      <c r="A565" s="64">
        <v>42429</v>
      </c>
      <c r="B565" s="65" t="s">
        <v>73</v>
      </c>
      <c r="C565" s="65" t="s">
        <v>74</v>
      </c>
      <c r="D565" s="65" t="s">
        <v>75</v>
      </c>
      <c r="E565" t="str">
        <f t="shared" si="12"/>
        <v>Delregion Göteborg</v>
      </c>
    </row>
    <row r="566" spans="1:5">
      <c r="A566" s="64">
        <v>42429</v>
      </c>
      <c r="B566" s="65" t="s">
        <v>120</v>
      </c>
      <c r="C566" s="65" t="s">
        <v>127</v>
      </c>
      <c r="D566" s="65" t="s">
        <v>126</v>
      </c>
      <c r="E566" t="str">
        <f t="shared" si="12"/>
        <v>Delregion Södra Älvsborg</v>
      </c>
    </row>
    <row r="567" spans="1:5">
      <c r="A567" s="64">
        <v>42429</v>
      </c>
      <c r="B567" s="65" t="s">
        <v>78</v>
      </c>
      <c r="C567" s="65" t="s">
        <v>127</v>
      </c>
      <c r="D567" s="65" t="s">
        <v>126</v>
      </c>
      <c r="E567" t="str">
        <f t="shared" si="12"/>
        <v>Delregion SIMBA</v>
      </c>
    </row>
    <row r="568" spans="1:5">
      <c r="A568" s="64">
        <v>42430</v>
      </c>
      <c r="B568" s="65" t="s">
        <v>78</v>
      </c>
      <c r="C568" s="65" t="s">
        <v>85</v>
      </c>
      <c r="D568" s="65" t="s">
        <v>75</v>
      </c>
      <c r="E568" t="str">
        <f t="shared" si="12"/>
        <v>Delregion SIMBA</v>
      </c>
    </row>
    <row r="569" spans="1:5">
      <c r="A569" s="64">
        <v>42430</v>
      </c>
      <c r="B569" s="65" t="s">
        <v>77</v>
      </c>
      <c r="C569" s="65" t="s">
        <v>79</v>
      </c>
      <c r="D569" s="65" t="s">
        <v>75</v>
      </c>
      <c r="E569" t="str">
        <f t="shared" si="12"/>
        <v>Delregion SIMBA</v>
      </c>
    </row>
    <row r="570" spans="1:5">
      <c r="A570" s="64">
        <v>42430</v>
      </c>
      <c r="B570" s="65" t="s">
        <v>77</v>
      </c>
      <c r="C570" s="65" t="s">
        <v>74</v>
      </c>
      <c r="D570" s="65" t="s">
        <v>75</v>
      </c>
      <c r="E570" t="str">
        <f t="shared" si="12"/>
        <v>Delregion SIMBA</v>
      </c>
    </row>
    <row r="571" spans="1:5">
      <c r="A571" s="64">
        <v>42430</v>
      </c>
      <c r="B571" s="65" t="s">
        <v>73</v>
      </c>
      <c r="C571" s="65" t="s">
        <v>131</v>
      </c>
      <c r="D571" s="65" t="s">
        <v>126</v>
      </c>
      <c r="E571" t="str">
        <f t="shared" si="12"/>
        <v>Delregion Göteborg</v>
      </c>
    </row>
    <row r="572" spans="1:5">
      <c r="A572" s="64">
        <v>42430</v>
      </c>
      <c r="B572" s="65" t="s">
        <v>86</v>
      </c>
      <c r="C572" s="65" t="s">
        <v>74</v>
      </c>
      <c r="D572" s="65" t="s">
        <v>126</v>
      </c>
      <c r="E572" t="str">
        <f t="shared" si="12"/>
        <v>Delregion Fyrbodal</v>
      </c>
    </row>
    <row r="573" spans="1:5">
      <c r="A573" s="64">
        <v>42431</v>
      </c>
      <c r="B573" s="65" t="s">
        <v>73</v>
      </c>
      <c r="C573" s="65" t="s">
        <v>85</v>
      </c>
      <c r="D573" s="65" t="s">
        <v>75</v>
      </c>
      <c r="E573" t="str">
        <f t="shared" si="12"/>
        <v>Delregion Göteborg</v>
      </c>
    </row>
    <row r="574" spans="1:5">
      <c r="A574" s="64">
        <v>42431</v>
      </c>
      <c r="B574" s="65" t="s">
        <v>89</v>
      </c>
      <c r="C574" s="65" t="s">
        <v>88</v>
      </c>
      <c r="D574" s="65" t="s">
        <v>75</v>
      </c>
      <c r="E574" t="str">
        <f t="shared" si="12"/>
        <v>Delregion Skaraborg</v>
      </c>
    </row>
    <row r="575" spans="1:5">
      <c r="A575" s="64">
        <v>42431</v>
      </c>
      <c r="B575" s="65" t="s">
        <v>73</v>
      </c>
      <c r="C575" s="65" t="s">
        <v>131</v>
      </c>
      <c r="D575" s="65" t="s">
        <v>126</v>
      </c>
      <c r="E575" t="str">
        <f t="shared" si="12"/>
        <v>Delregion Göteborg</v>
      </c>
    </row>
    <row r="576" spans="1:5">
      <c r="A576" s="64">
        <v>42436</v>
      </c>
      <c r="B576" s="65" t="s">
        <v>94</v>
      </c>
      <c r="C576" s="65" t="s">
        <v>91</v>
      </c>
      <c r="D576" s="65" t="s">
        <v>75</v>
      </c>
      <c r="E576" t="str">
        <f t="shared" si="12"/>
        <v>Delregion Fyrbodal</v>
      </c>
    </row>
    <row r="577" spans="1:5">
      <c r="A577" s="64">
        <v>42436</v>
      </c>
      <c r="B577" s="65" t="s">
        <v>80</v>
      </c>
      <c r="C577" s="65" t="s">
        <v>138</v>
      </c>
      <c r="D577" s="65" t="s">
        <v>126</v>
      </c>
      <c r="E577" t="str">
        <f t="shared" si="12"/>
        <v>Delregion Södra Älvsborg</v>
      </c>
    </row>
    <row r="578" spans="1:5">
      <c r="A578" s="64">
        <v>42436</v>
      </c>
      <c r="B578" s="65" t="s">
        <v>73</v>
      </c>
      <c r="C578" s="65" t="s">
        <v>127</v>
      </c>
      <c r="D578" s="65" t="s">
        <v>126</v>
      </c>
      <c r="E578" t="str">
        <f t="shared" si="12"/>
        <v>Delregion Göteborg</v>
      </c>
    </row>
    <row r="579" spans="1:5">
      <c r="A579" s="64">
        <v>42436</v>
      </c>
      <c r="B579" s="65" t="s">
        <v>99</v>
      </c>
      <c r="C579" s="65" t="s">
        <v>127</v>
      </c>
      <c r="D579" s="65" t="s">
        <v>126</v>
      </c>
      <c r="E579" t="str">
        <f t="shared" si="12"/>
        <v>Delregion Skaraborg</v>
      </c>
    </row>
    <row r="580" spans="1:5">
      <c r="A580" s="64">
        <v>42436</v>
      </c>
      <c r="B580" s="65" t="s">
        <v>99</v>
      </c>
      <c r="C580" s="65" t="s">
        <v>129</v>
      </c>
      <c r="D580" s="65" t="s">
        <v>126</v>
      </c>
      <c r="E580" t="str">
        <f t="shared" si="12"/>
        <v>Delregion Skaraborg</v>
      </c>
    </row>
    <row r="581" spans="1:5">
      <c r="A581" s="64">
        <v>42436</v>
      </c>
      <c r="B581" s="65" t="s">
        <v>95</v>
      </c>
      <c r="C581" s="65" t="s">
        <v>129</v>
      </c>
      <c r="D581" s="65" t="s">
        <v>126</v>
      </c>
      <c r="E581" t="str">
        <f t="shared" si="12"/>
        <v>Delregion Södra Älvsborg</v>
      </c>
    </row>
    <row r="582" spans="1:5">
      <c r="A582" s="64">
        <v>42436</v>
      </c>
      <c r="B582" s="65" t="s">
        <v>86</v>
      </c>
      <c r="C582" s="65" t="s">
        <v>125</v>
      </c>
      <c r="D582" s="65" t="s">
        <v>126</v>
      </c>
      <c r="E582" t="str">
        <f t="shared" si="12"/>
        <v>Delregion Fyrbodal</v>
      </c>
    </row>
    <row r="583" spans="1:5">
      <c r="A583" s="64">
        <v>42436</v>
      </c>
      <c r="B583" s="65" t="s">
        <v>73</v>
      </c>
      <c r="C583" s="65" t="s">
        <v>125</v>
      </c>
      <c r="D583" s="65" t="s">
        <v>126</v>
      </c>
      <c r="E583" t="str">
        <f t="shared" si="12"/>
        <v>Delregion Göteborg</v>
      </c>
    </row>
    <row r="584" spans="1:5">
      <c r="A584" s="64">
        <v>42438</v>
      </c>
      <c r="B584" s="65" t="s">
        <v>86</v>
      </c>
      <c r="C584" s="65" t="s">
        <v>131</v>
      </c>
      <c r="D584" s="65" t="s">
        <v>126</v>
      </c>
      <c r="E584" t="str">
        <f t="shared" si="12"/>
        <v>Delregion Fyrbodal</v>
      </c>
    </row>
    <row r="585" spans="1:5">
      <c r="A585" s="64">
        <v>42440</v>
      </c>
      <c r="B585" s="65" t="s">
        <v>73</v>
      </c>
      <c r="C585" s="65" t="s">
        <v>129</v>
      </c>
      <c r="D585" s="65" t="s">
        <v>126</v>
      </c>
      <c r="E585" t="str">
        <f t="shared" si="12"/>
        <v>Delregion Göteborg</v>
      </c>
    </row>
    <row r="586" spans="1:5">
      <c r="A586" s="64">
        <v>42443</v>
      </c>
      <c r="B586" s="65" t="s">
        <v>94</v>
      </c>
      <c r="C586" s="65" t="s">
        <v>85</v>
      </c>
      <c r="D586" s="65" t="s">
        <v>75</v>
      </c>
      <c r="E586" t="str">
        <f t="shared" si="12"/>
        <v>Delregion Fyrbodal</v>
      </c>
    </row>
    <row r="587" spans="1:5">
      <c r="A587" s="64">
        <v>42443</v>
      </c>
      <c r="B587" s="65" t="s">
        <v>122</v>
      </c>
      <c r="C587" s="65" t="s">
        <v>83</v>
      </c>
      <c r="D587" s="65" t="s">
        <v>75</v>
      </c>
      <c r="E587" t="str">
        <f t="shared" si="12"/>
        <v>Delregion Fyrbodal</v>
      </c>
    </row>
    <row r="588" spans="1:5">
      <c r="A588" s="64">
        <v>42443</v>
      </c>
      <c r="B588" s="65" t="s">
        <v>73</v>
      </c>
      <c r="C588" s="65" t="s">
        <v>83</v>
      </c>
      <c r="D588" s="65" t="s">
        <v>75</v>
      </c>
      <c r="E588" t="str">
        <f t="shared" si="12"/>
        <v>Delregion Göteborg</v>
      </c>
    </row>
    <row r="589" spans="1:5">
      <c r="A589" s="64">
        <v>42444</v>
      </c>
      <c r="B589" s="65" t="s">
        <v>120</v>
      </c>
      <c r="C589" s="65" t="s">
        <v>83</v>
      </c>
      <c r="D589" s="65" t="s">
        <v>75</v>
      </c>
      <c r="E589" t="str">
        <f t="shared" ref="E589:E652" si="13">VLOOKUP(B589,$Q$14:$R$62,2,FALSE)</f>
        <v>Delregion Södra Älvsborg</v>
      </c>
    </row>
    <row r="590" spans="1:5">
      <c r="A590" s="64">
        <v>42444</v>
      </c>
      <c r="B590" s="65" t="s">
        <v>90</v>
      </c>
      <c r="C590" s="65" t="s">
        <v>88</v>
      </c>
      <c r="D590" s="65" t="s">
        <v>75</v>
      </c>
      <c r="E590" t="str">
        <f t="shared" si="13"/>
        <v>Delregion Skaraborg</v>
      </c>
    </row>
    <row r="591" spans="1:5">
      <c r="A591" s="64">
        <v>42444</v>
      </c>
      <c r="B591" s="65" t="s">
        <v>73</v>
      </c>
      <c r="C591" s="65" t="s">
        <v>131</v>
      </c>
      <c r="D591" s="65" t="s">
        <v>126</v>
      </c>
      <c r="E591" t="str">
        <f t="shared" si="13"/>
        <v>Delregion Göteborg</v>
      </c>
    </row>
    <row r="592" spans="1:5">
      <c r="A592" s="64">
        <v>42445</v>
      </c>
      <c r="B592" s="65" t="s">
        <v>73</v>
      </c>
      <c r="C592" s="65" t="s">
        <v>85</v>
      </c>
      <c r="D592" s="65" t="s">
        <v>75</v>
      </c>
      <c r="E592" t="str">
        <f t="shared" si="13"/>
        <v>Delregion Göteborg</v>
      </c>
    </row>
    <row r="593" spans="1:5">
      <c r="A593" s="64">
        <v>42445</v>
      </c>
      <c r="B593" s="65" t="s">
        <v>73</v>
      </c>
      <c r="C593" s="65" t="s">
        <v>96</v>
      </c>
      <c r="D593" s="65" t="s">
        <v>75</v>
      </c>
      <c r="E593" t="str">
        <f t="shared" si="13"/>
        <v>Delregion Göteborg</v>
      </c>
    </row>
    <row r="594" spans="1:5">
      <c r="A594" s="64">
        <v>42446</v>
      </c>
      <c r="B594" s="65" t="s">
        <v>76</v>
      </c>
      <c r="C594" s="65" t="s">
        <v>131</v>
      </c>
      <c r="D594" s="65" t="s">
        <v>126</v>
      </c>
      <c r="E594" t="str">
        <f t="shared" si="13"/>
        <v>Delregion Skaraborg</v>
      </c>
    </row>
    <row r="595" spans="1:5">
      <c r="A595" s="64">
        <v>42447</v>
      </c>
      <c r="B595" s="65" t="s">
        <v>108</v>
      </c>
      <c r="C595" s="65" t="s">
        <v>83</v>
      </c>
      <c r="D595" s="65" t="s">
        <v>75</v>
      </c>
      <c r="E595" t="str">
        <f t="shared" si="13"/>
        <v>Delregion Fyrbodal</v>
      </c>
    </row>
    <row r="596" spans="1:5">
      <c r="A596" s="64">
        <v>42447</v>
      </c>
      <c r="B596" s="65" t="s">
        <v>95</v>
      </c>
      <c r="C596" s="65" t="s">
        <v>131</v>
      </c>
      <c r="D596" s="65" t="s">
        <v>126</v>
      </c>
      <c r="E596" t="str">
        <f t="shared" si="13"/>
        <v>Delregion Södra Älvsborg</v>
      </c>
    </row>
    <row r="597" spans="1:5">
      <c r="A597" s="64">
        <v>42447</v>
      </c>
      <c r="B597" s="65" t="s">
        <v>119</v>
      </c>
      <c r="C597" s="65" t="s">
        <v>74</v>
      </c>
      <c r="D597" s="65" t="s">
        <v>126</v>
      </c>
      <c r="E597" t="str">
        <f t="shared" si="13"/>
        <v>Delregion Skaraborg</v>
      </c>
    </row>
    <row r="598" spans="1:5">
      <c r="A598" s="64">
        <v>42447</v>
      </c>
      <c r="B598" s="65" t="s">
        <v>80</v>
      </c>
      <c r="C598" s="65" t="s">
        <v>74</v>
      </c>
      <c r="D598" s="65" t="s">
        <v>126</v>
      </c>
      <c r="E598" t="str">
        <f t="shared" si="13"/>
        <v>Delregion Södra Älvsborg</v>
      </c>
    </row>
    <row r="599" spans="1:5">
      <c r="A599" s="64">
        <v>42452</v>
      </c>
      <c r="B599" s="65" t="s">
        <v>73</v>
      </c>
      <c r="C599" s="65" t="s">
        <v>127</v>
      </c>
      <c r="D599" s="65" t="s">
        <v>126</v>
      </c>
      <c r="E599" t="str">
        <f t="shared" si="13"/>
        <v>Delregion Göteborg</v>
      </c>
    </row>
    <row r="600" spans="1:5">
      <c r="A600" s="64">
        <v>42453</v>
      </c>
      <c r="B600" s="65" t="s">
        <v>73</v>
      </c>
      <c r="C600" s="65" t="s">
        <v>85</v>
      </c>
      <c r="D600" s="65" t="s">
        <v>75</v>
      </c>
      <c r="E600" t="str">
        <f t="shared" si="13"/>
        <v>Delregion Göteborg</v>
      </c>
    </row>
    <row r="601" spans="1:5">
      <c r="A601" s="64">
        <v>42458</v>
      </c>
      <c r="B601" s="65" t="s">
        <v>115</v>
      </c>
      <c r="C601" s="65" t="s">
        <v>134</v>
      </c>
      <c r="D601" s="65" t="s">
        <v>126</v>
      </c>
      <c r="E601" t="str">
        <f t="shared" si="13"/>
        <v>Delregion Göteborg</v>
      </c>
    </row>
    <row r="602" spans="1:5">
      <c r="A602" s="64">
        <v>42459</v>
      </c>
      <c r="B602" s="65" t="s">
        <v>98</v>
      </c>
      <c r="C602" s="65" t="s">
        <v>85</v>
      </c>
      <c r="D602" s="65" t="s">
        <v>75</v>
      </c>
      <c r="E602" t="str">
        <f t="shared" si="13"/>
        <v>Delregion Göteborg</v>
      </c>
    </row>
    <row r="603" spans="1:5">
      <c r="A603" s="64">
        <v>42461</v>
      </c>
      <c r="B603" s="65" t="s">
        <v>73</v>
      </c>
      <c r="C603" s="65" t="s">
        <v>79</v>
      </c>
      <c r="D603" s="65" t="s">
        <v>75</v>
      </c>
      <c r="E603" t="str">
        <f t="shared" si="13"/>
        <v>Delregion Göteborg</v>
      </c>
    </row>
    <row r="604" spans="1:5">
      <c r="A604" s="64">
        <v>42461</v>
      </c>
      <c r="B604" s="65" t="s">
        <v>87</v>
      </c>
      <c r="C604" s="65" t="s">
        <v>127</v>
      </c>
      <c r="D604" s="65" t="s">
        <v>126</v>
      </c>
      <c r="E604" t="str">
        <f t="shared" si="13"/>
        <v>Delregion Skaraborg</v>
      </c>
    </row>
    <row r="605" spans="1:5">
      <c r="A605" s="64">
        <v>42464</v>
      </c>
      <c r="B605" s="65" t="s">
        <v>104</v>
      </c>
      <c r="C605" s="65" t="s">
        <v>85</v>
      </c>
      <c r="D605" s="65" t="s">
        <v>75</v>
      </c>
      <c r="E605" t="str">
        <f t="shared" si="13"/>
        <v>Delregion SIMBA</v>
      </c>
    </row>
    <row r="606" spans="1:5">
      <c r="A606" s="64">
        <v>42464</v>
      </c>
      <c r="B606" s="65" t="s">
        <v>73</v>
      </c>
      <c r="C606" s="65" t="s">
        <v>83</v>
      </c>
      <c r="D606" s="65" t="s">
        <v>75</v>
      </c>
      <c r="E606" t="str">
        <f t="shared" si="13"/>
        <v>Delregion Göteborg</v>
      </c>
    </row>
    <row r="607" spans="1:5">
      <c r="A607" s="64">
        <v>42465</v>
      </c>
      <c r="B607" s="65" t="s">
        <v>114</v>
      </c>
      <c r="C607" s="65" t="s">
        <v>85</v>
      </c>
      <c r="D607" s="65" t="s">
        <v>75</v>
      </c>
      <c r="E607" t="str">
        <f t="shared" si="13"/>
        <v>Delregion Fyrbodal</v>
      </c>
    </row>
    <row r="608" spans="1:5">
      <c r="A608" s="64">
        <v>42468</v>
      </c>
      <c r="B608" s="65" t="s">
        <v>104</v>
      </c>
      <c r="C608" s="65" t="s">
        <v>85</v>
      </c>
      <c r="D608" s="65" t="s">
        <v>75</v>
      </c>
      <c r="E608" t="str">
        <f t="shared" si="13"/>
        <v>Delregion SIMBA</v>
      </c>
    </row>
    <row r="609" spans="1:5">
      <c r="A609" s="64">
        <v>42471</v>
      </c>
      <c r="B609" s="65" t="s">
        <v>108</v>
      </c>
      <c r="C609" s="65" t="s">
        <v>85</v>
      </c>
      <c r="D609" s="65" t="s">
        <v>75</v>
      </c>
      <c r="E609" t="str">
        <f t="shared" si="13"/>
        <v>Delregion Fyrbodal</v>
      </c>
    </row>
    <row r="610" spans="1:5">
      <c r="A610" s="64">
        <v>42471</v>
      </c>
      <c r="B610" s="65" t="s">
        <v>108</v>
      </c>
      <c r="C610" s="65" t="s">
        <v>85</v>
      </c>
      <c r="D610" s="65" t="s">
        <v>75</v>
      </c>
      <c r="E610" t="str">
        <f t="shared" si="13"/>
        <v>Delregion Fyrbodal</v>
      </c>
    </row>
    <row r="611" spans="1:5">
      <c r="A611" s="64">
        <v>42471</v>
      </c>
      <c r="B611" s="65" t="s">
        <v>94</v>
      </c>
      <c r="C611" s="65" t="s">
        <v>129</v>
      </c>
      <c r="D611" s="65" t="s">
        <v>126</v>
      </c>
      <c r="E611" t="str">
        <f t="shared" si="13"/>
        <v>Delregion Fyrbodal</v>
      </c>
    </row>
    <row r="612" spans="1:5">
      <c r="A612" s="64">
        <v>42472</v>
      </c>
      <c r="B612" s="65" t="s">
        <v>73</v>
      </c>
      <c r="C612" s="65" t="s">
        <v>85</v>
      </c>
      <c r="D612" s="65" t="s">
        <v>75</v>
      </c>
      <c r="E612" t="str">
        <f t="shared" si="13"/>
        <v>Delregion Göteborg</v>
      </c>
    </row>
    <row r="613" spans="1:5">
      <c r="A613" s="64">
        <v>42472</v>
      </c>
      <c r="B613" s="65" t="s">
        <v>115</v>
      </c>
      <c r="C613" s="65" t="s">
        <v>134</v>
      </c>
      <c r="D613" s="65" t="s">
        <v>126</v>
      </c>
      <c r="E613" t="str">
        <f t="shared" si="13"/>
        <v>Delregion Göteborg</v>
      </c>
    </row>
    <row r="614" spans="1:5">
      <c r="A614" s="64">
        <v>42473</v>
      </c>
      <c r="B614" s="65" t="s">
        <v>105</v>
      </c>
      <c r="C614" s="65" t="s">
        <v>85</v>
      </c>
      <c r="D614" s="65" t="s">
        <v>75</v>
      </c>
      <c r="E614" t="str">
        <f t="shared" si="13"/>
        <v>Delregion Skaraborg</v>
      </c>
    </row>
    <row r="615" spans="1:5">
      <c r="A615" s="64">
        <v>42473</v>
      </c>
      <c r="B615" s="65" t="s">
        <v>97</v>
      </c>
      <c r="C615" s="65" t="s">
        <v>134</v>
      </c>
      <c r="D615" s="65" t="s">
        <v>126</v>
      </c>
      <c r="E615" t="str">
        <f t="shared" si="13"/>
        <v>Delregion Fyrbodal</v>
      </c>
    </row>
    <row r="616" spans="1:5">
      <c r="A616" s="64">
        <v>42474</v>
      </c>
      <c r="B616" s="65" t="s">
        <v>120</v>
      </c>
      <c r="C616" s="65" t="s">
        <v>85</v>
      </c>
      <c r="D616" s="65" t="s">
        <v>75</v>
      </c>
      <c r="E616" t="str">
        <f t="shared" si="13"/>
        <v>Delregion Södra Älvsborg</v>
      </c>
    </row>
    <row r="617" spans="1:5">
      <c r="A617" s="64">
        <v>42475</v>
      </c>
      <c r="B617" s="65" t="s">
        <v>92</v>
      </c>
      <c r="C617" s="65" t="s">
        <v>85</v>
      </c>
      <c r="D617" s="65" t="s">
        <v>75</v>
      </c>
      <c r="E617" t="str">
        <f t="shared" si="13"/>
        <v>Delregion Södra Älvsborg</v>
      </c>
    </row>
    <row r="618" spans="1:5">
      <c r="A618" s="64">
        <v>42475</v>
      </c>
      <c r="B618" s="65" t="s">
        <v>73</v>
      </c>
      <c r="C618" s="65" t="s">
        <v>85</v>
      </c>
      <c r="D618" s="65" t="s">
        <v>75</v>
      </c>
      <c r="E618" t="str">
        <f t="shared" si="13"/>
        <v>Delregion Göteborg</v>
      </c>
    </row>
    <row r="619" spans="1:5">
      <c r="A619" s="64">
        <v>42475</v>
      </c>
      <c r="B619" s="65" t="s">
        <v>73</v>
      </c>
      <c r="C619" s="65" t="s">
        <v>83</v>
      </c>
      <c r="D619" s="65" t="s">
        <v>75</v>
      </c>
      <c r="E619" t="str">
        <f t="shared" si="13"/>
        <v>Delregion Göteborg</v>
      </c>
    </row>
    <row r="620" spans="1:5">
      <c r="A620" s="64">
        <v>42475</v>
      </c>
      <c r="B620" s="65" t="s">
        <v>73</v>
      </c>
      <c r="C620" s="65" t="s">
        <v>129</v>
      </c>
      <c r="D620" s="65" t="s">
        <v>126</v>
      </c>
      <c r="E620" t="str">
        <f t="shared" si="13"/>
        <v>Delregion Göteborg</v>
      </c>
    </row>
    <row r="621" spans="1:5">
      <c r="A621" s="64">
        <v>42475</v>
      </c>
      <c r="B621" s="65" t="s">
        <v>99</v>
      </c>
      <c r="C621" s="65" t="s">
        <v>129</v>
      </c>
      <c r="D621" s="65" t="s">
        <v>126</v>
      </c>
      <c r="E621" t="str">
        <f t="shared" si="13"/>
        <v>Delregion Skaraborg</v>
      </c>
    </row>
    <row r="622" spans="1:5">
      <c r="A622" s="64">
        <v>42475</v>
      </c>
      <c r="B622" s="65" t="s">
        <v>95</v>
      </c>
      <c r="C622" s="65" t="s">
        <v>129</v>
      </c>
      <c r="D622" s="65" t="s">
        <v>126</v>
      </c>
      <c r="E622" t="str">
        <f t="shared" si="13"/>
        <v>Delregion Södra Älvsborg</v>
      </c>
    </row>
    <row r="623" spans="1:5">
      <c r="A623" s="64">
        <v>42478</v>
      </c>
      <c r="B623" s="65" t="s">
        <v>73</v>
      </c>
      <c r="C623" s="65" t="s">
        <v>85</v>
      </c>
      <c r="D623" s="65" t="s">
        <v>75</v>
      </c>
      <c r="E623" t="str">
        <f t="shared" si="13"/>
        <v>Delregion Göteborg</v>
      </c>
    </row>
    <row r="624" spans="1:5">
      <c r="A624" s="64">
        <v>42478</v>
      </c>
      <c r="B624" s="65" t="s">
        <v>73</v>
      </c>
      <c r="C624" s="65" t="s">
        <v>127</v>
      </c>
      <c r="D624" s="65" t="s">
        <v>126</v>
      </c>
      <c r="E624" t="str">
        <f t="shared" si="13"/>
        <v>Delregion Göteborg</v>
      </c>
    </row>
    <row r="625" spans="1:5">
      <c r="A625" s="64">
        <v>42478</v>
      </c>
      <c r="B625" s="65" t="s">
        <v>97</v>
      </c>
      <c r="C625" s="65" t="s">
        <v>125</v>
      </c>
      <c r="D625" s="65" t="s">
        <v>126</v>
      </c>
      <c r="E625" t="str">
        <f t="shared" si="13"/>
        <v>Delregion Fyrbodal</v>
      </c>
    </row>
    <row r="626" spans="1:5">
      <c r="A626" s="64">
        <v>42478</v>
      </c>
      <c r="B626" s="65" t="s">
        <v>99</v>
      </c>
      <c r="C626" s="65" t="s">
        <v>74</v>
      </c>
      <c r="D626" s="65" t="s">
        <v>126</v>
      </c>
      <c r="E626" t="str">
        <f t="shared" si="13"/>
        <v>Delregion Skaraborg</v>
      </c>
    </row>
    <row r="627" spans="1:5">
      <c r="A627" s="64">
        <v>42479</v>
      </c>
      <c r="B627" s="65" t="s">
        <v>104</v>
      </c>
      <c r="C627" s="65" t="s">
        <v>85</v>
      </c>
      <c r="D627" s="65" t="s">
        <v>75</v>
      </c>
      <c r="E627" t="str">
        <f t="shared" si="13"/>
        <v>Delregion SIMBA</v>
      </c>
    </row>
    <row r="628" spans="1:5">
      <c r="A628" s="64">
        <v>42479</v>
      </c>
      <c r="B628" s="65" t="s">
        <v>73</v>
      </c>
      <c r="C628" s="65" t="s">
        <v>127</v>
      </c>
      <c r="D628" s="65" t="s">
        <v>126</v>
      </c>
      <c r="E628" t="str">
        <f t="shared" si="13"/>
        <v>Delregion Göteborg</v>
      </c>
    </row>
    <row r="629" spans="1:5">
      <c r="A629" s="64">
        <v>42479</v>
      </c>
      <c r="B629" s="65" t="s">
        <v>119</v>
      </c>
      <c r="C629" s="65" t="s">
        <v>127</v>
      </c>
      <c r="D629" s="65" t="s">
        <v>126</v>
      </c>
      <c r="E629" t="str">
        <f t="shared" si="13"/>
        <v>Delregion Skaraborg</v>
      </c>
    </row>
    <row r="630" spans="1:5">
      <c r="A630" s="64">
        <v>42480</v>
      </c>
      <c r="B630" s="65" t="s">
        <v>86</v>
      </c>
      <c r="C630" s="65" t="s">
        <v>85</v>
      </c>
      <c r="D630" s="65" t="s">
        <v>75</v>
      </c>
      <c r="E630" t="str">
        <f t="shared" si="13"/>
        <v>Delregion Fyrbodal</v>
      </c>
    </row>
    <row r="631" spans="1:5">
      <c r="A631" s="64">
        <v>42481</v>
      </c>
      <c r="B631" s="65" t="s">
        <v>73</v>
      </c>
      <c r="C631" s="65" t="s">
        <v>129</v>
      </c>
      <c r="D631" s="65" t="s">
        <v>126</v>
      </c>
      <c r="E631" t="str">
        <f t="shared" si="13"/>
        <v>Delregion Göteborg</v>
      </c>
    </row>
    <row r="632" spans="1:5">
      <c r="A632" s="64">
        <v>42481</v>
      </c>
      <c r="B632" s="65" t="s">
        <v>73</v>
      </c>
      <c r="C632" s="65" t="s">
        <v>129</v>
      </c>
      <c r="D632" s="65" t="s">
        <v>126</v>
      </c>
      <c r="E632" t="str">
        <f t="shared" si="13"/>
        <v>Delregion Göteborg</v>
      </c>
    </row>
    <row r="633" spans="1:5">
      <c r="A633" s="64">
        <v>42482</v>
      </c>
      <c r="B633" s="65" t="s">
        <v>73</v>
      </c>
      <c r="C633" s="65" t="s">
        <v>85</v>
      </c>
      <c r="D633" s="65" t="s">
        <v>75</v>
      </c>
      <c r="E633" t="str">
        <f t="shared" si="13"/>
        <v>Delregion Göteborg</v>
      </c>
    </row>
    <row r="634" spans="1:5">
      <c r="A634" s="64">
        <v>42485</v>
      </c>
      <c r="B634" s="65" t="s">
        <v>99</v>
      </c>
      <c r="C634" s="65" t="s">
        <v>83</v>
      </c>
      <c r="D634" s="65" t="s">
        <v>75</v>
      </c>
      <c r="E634" t="str">
        <f t="shared" si="13"/>
        <v>Delregion Skaraborg</v>
      </c>
    </row>
    <row r="635" spans="1:5">
      <c r="A635" s="64">
        <v>42485</v>
      </c>
      <c r="B635" s="65" t="s">
        <v>73</v>
      </c>
      <c r="C635" s="65" t="s">
        <v>127</v>
      </c>
      <c r="D635" s="65" t="s">
        <v>126</v>
      </c>
      <c r="E635" t="str">
        <f t="shared" si="13"/>
        <v>Delregion Göteborg</v>
      </c>
    </row>
    <row r="636" spans="1:5">
      <c r="A636" s="64">
        <v>42486</v>
      </c>
      <c r="B636" s="65" t="s">
        <v>73</v>
      </c>
      <c r="C636" s="65" t="s">
        <v>85</v>
      </c>
      <c r="D636" s="65" t="s">
        <v>75</v>
      </c>
      <c r="E636" t="str">
        <f t="shared" si="13"/>
        <v>Delregion Göteborg</v>
      </c>
    </row>
    <row r="637" spans="1:5">
      <c r="A637" s="64">
        <v>42486</v>
      </c>
      <c r="B637" s="65" t="s">
        <v>99</v>
      </c>
      <c r="C637" s="65" t="s">
        <v>100</v>
      </c>
      <c r="D637" s="65" t="s">
        <v>75</v>
      </c>
      <c r="E637" t="str">
        <f t="shared" si="13"/>
        <v>Delregion Skaraborg</v>
      </c>
    </row>
    <row r="638" spans="1:5">
      <c r="A638" s="64">
        <v>42486</v>
      </c>
      <c r="B638" s="65" t="s">
        <v>73</v>
      </c>
      <c r="C638" s="65" t="s">
        <v>130</v>
      </c>
      <c r="D638" s="65" t="s">
        <v>126</v>
      </c>
      <c r="E638" t="str">
        <f t="shared" si="13"/>
        <v>Delregion Göteborg</v>
      </c>
    </row>
    <row r="639" spans="1:5">
      <c r="A639" s="64">
        <v>42486</v>
      </c>
      <c r="B639" s="65" t="s">
        <v>73</v>
      </c>
      <c r="C639" s="65" t="s">
        <v>131</v>
      </c>
      <c r="D639" s="65" t="s">
        <v>126</v>
      </c>
      <c r="E639" t="str">
        <f t="shared" si="13"/>
        <v>Delregion Göteborg</v>
      </c>
    </row>
    <row r="640" spans="1:5">
      <c r="A640" s="64">
        <v>42487</v>
      </c>
      <c r="B640" s="65" t="s">
        <v>116</v>
      </c>
      <c r="C640" s="65" t="s">
        <v>85</v>
      </c>
      <c r="D640" s="65" t="s">
        <v>75</v>
      </c>
      <c r="E640" t="str">
        <f t="shared" si="13"/>
        <v>Delregion Södra Älvsborg</v>
      </c>
    </row>
    <row r="641" spans="1:5">
      <c r="A641" s="64">
        <v>42487</v>
      </c>
      <c r="B641" s="65" t="s">
        <v>95</v>
      </c>
      <c r="C641" s="65" t="s">
        <v>127</v>
      </c>
      <c r="D641" s="65" t="s">
        <v>126</v>
      </c>
      <c r="E641" t="str">
        <f t="shared" si="13"/>
        <v>Delregion Södra Älvsborg</v>
      </c>
    </row>
    <row r="642" spans="1:5">
      <c r="A642" s="64">
        <v>42487</v>
      </c>
      <c r="B642" s="65" t="s">
        <v>119</v>
      </c>
      <c r="C642" s="65" t="s">
        <v>127</v>
      </c>
      <c r="D642" s="65" t="s">
        <v>126</v>
      </c>
      <c r="E642" t="str">
        <f t="shared" si="13"/>
        <v>Delregion Skaraborg</v>
      </c>
    </row>
    <row r="643" spans="1:5">
      <c r="A643" s="64">
        <v>42488</v>
      </c>
      <c r="B643" s="65" t="s">
        <v>84</v>
      </c>
      <c r="C643" s="65" t="s">
        <v>127</v>
      </c>
      <c r="D643" s="65" t="s">
        <v>126</v>
      </c>
      <c r="E643" t="str">
        <f t="shared" si="13"/>
        <v>Delregion Skaraborg</v>
      </c>
    </row>
    <row r="644" spans="1:5">
      <c r="A644" s="64">
        <v>42488</v>
      </c>
      <c r="B644" s="65" t="s">
        <v>84</v>
      </c>
      <c r="C644" s="65" t="s">
        <v>127</v>
      </c>
      <c r="D644" s="65" t="s">
        <v>126</v>
      </c>
      <c r="E644" t="str">
        <f t="shared" si="13"/>
        <v>Delregion Skaraborg</v>
      </c>
    </row>
    <row r="645" spans="1:5">
      <c r="A645" s="64">
        <v>42488</v>
      </c>
      <c r="B645" s="65" t="s">
        <v>95</v>
      </c>
      <c r="C645" s="65" t="s">
        <v>129</v>
      </c>
      <c r="D645" s="65" t="s">
        <v>126</v>
      </c>
      <c r="E645" t="str">
        <f t="shared" si="13"/>
        <v>Delregion Södra Älvsborg</v>
      </c>
    </row>
    <row r="646" spans="1:5">
      <c r="A646" s="64">
        <v>42489</v>
      </c>
      <c r="B646" s="65" t="s">
        <v>81</v>
      </c>
      <c r="C646" s="65" t="s">
        <v>85</v>
      </c>
      <c r="D646" s="65" t="s">
        <v>75</v>
      </c>
      <c r="E646" t="str">
        <f t="shared" si="13"/>
        <v>Delregion Fyrbodal</v>
      </c>
    </row>
    <row r="647" spans="1:5">
      <c r="A647" s="64">
        <v>42489</v>
      </c>
      <c r="B647" s="65" t="s">
        <v>119</v>
      </c>
      <c r="C647" s="65" t="s">
        <v>91</v>
      </c>
      <c r="D647" s="65" t="s">
        <v>75</v>
      </c>
      <c r="E647" t="str">
        <f t="shared" si="13"/>
        <v>Delregion Skaraborg</v>
      </c>
    </row>
    <row r="648" spans="1:5">
      <c r="A648" s="64">
        <v>42489</v>
      </c>
      <c r="B648" s="65" t="s">
        <v>73</v>
      </c>
      <c r="C648" s="65" t="s">
        <v>130</v>
      </c>
      <c r="D648" s="65" t="s">
        <v>126</v>
      </c>
      <c r="E648" t="str">
        <f t="shared" si="13"/>
        <v>Delregion Göteborg</v>
      </c>
    </row>
    <row r="649" spans="1:5">
      <c r="A649" s="64">
        <v>42489</v>
      </c>
      <c r="B649" s="65" t="s">
        <v>73</v>
      </c>
      <c r="C649" s="65" t="s">
        <v>125</v>
      </c>
      <c r="D649" s="65" t="s">
        <v>126</v>
      </c>
      <c r="E649" t="str">
        <f t="shared" si="13"/>
        <v>Delregion Göteborg</v>
      </c>
    </row>
    <row r="650" spans="1:5">
      <c r="A650" s="64">
        <v>42489</v>
      </c>
      <c r="B650" s="65" t="s">
        <v>97</v>
      </c>
      <c r="C650" s="65" t="s">
        <v>125</v>
      </c>
      <c r="D650" s="65" t="s">
        <v>126</v>
      </c>
      <c r="E650" t="str">
        <f t="shared" si="13"/>
        <v>Delregion Fyrbodal</v>
      </c>
    </row>
    <row r="651" spans="1:5">
      <c r="A651" s="64">
        <v>42489</v>
      </c>
      <c r="B651" s="65" t="s">
        <v>73</v>
      </c>
      <c r="C651" s="65" t="s">
        <v>131</v>
      </c>
      <c r="D651" s="65" t="s">
        <v>126</v>
      </c>
      <c r="E651" t="str">
        <f t="shared" si="13"/>
        <v>Delregion Göteborg</v>
      </c>
    </row>
    <row r="652" spans="1:5">
      <c r="A652" s="64">
        <v>42492</v>
      </c>
      <c r="B652" s="65" t="s">
        <v>73</v>
      </c>
      <c r="C652" s="65" t="s">
        <v>85</v>
      </c>
      <c r="D652" s="65" t="s">
        <v>75</v>
      </c>
      <c r="E652" t="str">
        <f t="shared" si="13"/>
        <v>Delregion Göteborg</v>
      </c>
    </row>
    <row r="653" spans="1:5">
      <c r="A653" s="64">
        <v>42492</v>
      </c>
      <c r="B653" s="65" t="s">
        <v>109</v>
      </c>
      <c r="C653" s="65" t="s">
        <v>118</v>
      </c>
      <c r="D653" s="65" t="s">
        <v>75</v>
      </c>
      <c r="E653" t="str">
        <f t="shared" ref="E653:E716" si="14">VLOOKUP(B653,$Q$14:$R$62,2,FALSE)</f>
        <v>Delregion Fyrbodal</v>
      </c>
    </row>
    <row r="654" spans="1:5">
      <c r="A654" s="64">
        <v>42492</v>
      </c>
      <c r="B654" s="65" t="s">
        <v>73</v>
      </c>
      <c r="C654" s="65" t="s">
        <v>127</v>
      </c>
      <c r="D654" s="65" t="s">
        <v>126</v>
      </c>
      <c r="E654" t="str">
        <f t="shared" si="14"/>
        <v>Delregion Göteborg</v>
      </c>
    </row>
    <row r="655" spans="1:5">
      <c r="A655" s="64">
        <v>42492</v>
      </c>
      <c r="B655" s="65" t="s">
        <v>73</v>
      </c>
      <c r="C655" s="65" t="s">
        <v>127</v>
      </c>
      <c r="D655" s="65" t="s">
        <v>126</v>
      </c>
      <c r="E655" t="str">
        <f t="shared" si="14"/>
        <v>Delregion Göteborg</v>
      </c>
    </row>
    <row r="656" spans="1:5">
      <c r="A656" s="64">
        <v>42493</v>
      </c>
      <c r="B656" s="65" t="s">
        <v>84</v>
      </c>
      <c r="C656" s="65" t="s">
        <v>127</v>
      </c>
      <c r="D656" s="65" t="s">
        <v>126</v>
      </c>
      <c r="E656" t="str">
        <f t="shared" si="14"/>
        <v>Delregion Skaraborg</v>
      </c>
    </row>
    <row r="657" spans="1:5">
      <c r="A657" s="64">
        <v>42493</v>
      </c>
      <c r="B657" s="65" t="s">
        <v>95</v>
      </c>
      <c r="C657" s="65" t="s">
        <v>131</v>
      </c>
      <c r="D657" s="65" t="s">
        <v>126</v>
      </c>
      <c r="E657" t="str">
        <f t="shared" si="14"/>
        <v>Delregion Södra Älvsborg</v>
      </c>
    </row>
    <row r="658" spans="1:5">
      <c r="A658" s="64">
        <v>42499</v>
      </c>
      <c r="B658" s="65" t="s">
        <v>73</v>
      </c>
      <c r="C658" s="65" t="s">
        <v>85</v>
      </c>
      <c r="D658" s="65" t="s">
        <v>75</v>
      </c>
      <c r="E658" t="str">
        <f t="shared" si="14"/>
        <v>Delregion Göteborg</v>
      </c>
    </row>
    <row r="659" spans="1:5">
      <c r="A659" s="64">
        <v>42499</v>
      </c>
      <c r="B659" s="65" t="s">
        <v>99</v>
      </c>
      <c r="C659" s="65" t="s">
        <v>130</v>
      </c>
      <c r="D659" s="65" t="s">
        <v>126</v>
      </c>
      <c r="E659" t="str">
        <f t="shared" si="14"/>
        <v>Delregion Skaraborg</v>
      </c>
    </row>
    <row r="660" spans="1:5">
      <c r="A660" s="64">
        <v>42499</v>
      </c>
      <c r="B660" s="65" t="s">
        <v>115</v>
      </c>
      <c r="C660" s="65" t="s">
        <v>128</v>
      </c>
      <c r="D660" s="65" t="s">
        <v>126</v>
      </c>
      <c r="E660" t="str">
        <f t="shared" si="14"/>
        <v>Delregion Göteborg</v>
      </c>
    </row>
    <row r="661" spans="1:5">
      <c r="A661" s="64">
        <v>42500</v>
      </c>
      <c r="B661" s="65" t="s">
        <v>106</v>
      </c>
      <c r="C661" s="65" t="s">
        <v>85</v>
      </c>
      <c r="D661" s="65" t="s">
        <v>75</v>
      </c>
      <c r="E661" t="str">
        <f t="shared" si="14"/>
        <v>Delregion Fyrbodal</v>
      </c>
    </row>
    <row r="662" spans="1:5">
      <c r="A662" s="64">
        <v>42500</v>
      </c>
      <c r="B662" s="65" t="s">
        <v>123</v>
      </c>
      <c r="C662" s="65" t="s">
        <v>85</v>
      </c>
      <c r="D662" s="65" t="s">
        <v>75</v>
      </c>
      <c r="E662" t="str">
        <f t="shared" si="14"/>
        <v>Delregion Södra Älvsborg</v>
      </c>
    </row>
    <row r="663" spans="1:5">
      <c r="A663" s="64">
        <v>42500</v>
      </c>
      <c r="B663" s="65" t="s">
        <v>86</v>
      </c>
      <c r="C663" s="65" t="s">
        <v>88</v>
      </c>
      <c r="D663" s="65" t="s">
        <v>75</v>
      </c>
      <c r="E663" t="str">
        <f t="shared" si="14"/>
        <v>Delregion Fyrbodal</v>
      </c>
    </row>
    <row r="664" spans="1:5">
      <c r="A664" s="64">
        <v>42500</v>
      </c>
      <c r="B664" s="65" t="s">
        <v>86</v>
      </c>
      <c r="C664" s="65" t="s">
        <v>74</v>
      </c>
      <c r="D664" s="65" t="s">
        <v>126</v>
      </c>
      <c r="E664" t="str">
        <f t="shared" si="14"/>
        <v>Delregion Fyrbodal</v>
      </c>
    </row>
    <row r="665" spans="1:5">
      <c r="A665" s="64">
        <v>42501</v>
      </c>
      <c r="B665" s="65" t="s">
        <v>95</v>
      </c>
      <c r="C665" s="65" t="s">
        <v>91</v>
      </c>
      <c r="D665" s="65" t="s">
        <v>75</v>
      </c>
      <c r="E665" t="str">
        <f t="shared" si="14"/>
        <v>Delregion Södra Älvsborg</v>
      </c>
    </row>
    <row r="666" spans="1:5">
      <c r="A666" s="64">
        <v>42502</v>
      </c>
      <c r="B666" s="65" t="s">
        <v>78</v>
      </c>
      <c r="C666" s="65" t="s">
        <v>127</v>
      </c>
      <c r="D666" s="65" t="s">
        <v>126</v>
      </c>
      <c r="E666" t="str">
        <f t="shared" si="14"/>
        <v>Delregion SIMBA</v>
      </c>
    </row>
    <row r="667" spans="1:5">
      <c r="A667" s="64">
        <v>42502</v>
      </c>
      <c r="B667" s="65" t="s">
        <v>95</v>
      </c>
      <c r="C667" s="65" t="s">
        <v>131</v>
      </c>
      <c r="D667" s="65" t="s">
        <v>126</v>
      </c>
      <c r="E667" t="str">
        <f t="shared" si="14"/>
        <v>Delregion Södra Älvsborg</v>
      </c>
    </row>
    <row r="668" spans="1:5">
      <c r="A668" s="64">
        <v>42503</v>
      </c>
      <c r="B668" s="65" t="s">
        <v>73</v>
      </c>
      <c r="C668" s="65" t="s">
        <v>85</v>
      </c>
      <c r="D668" s="65" t="s">
        <v>75</v>
      </c>
      <c r="E668" t="str">
        <f t="shared" si="14"/>
        <v>Delregion Göteborg</v>
      </c>
    </row>
    <row r="669" spans="1:5">
      <c r="A669" s="64">
        <v>42503</v>
      </c>
      <c r="B669" s="65" t="s">
        <v>98</v>
      </c>
      <c r="C669" s="65" t="s">
        <v>127</v>
      </c>
      <c r="D669" s="65" t="s">
        <v>126</v>
      </c>
      <c r="E669" t="str">
        <f t="shared" si="14"/>
        <v>Delregion Göteborg</v>
      </c>
    </row>
    <row r="670" spans="1:5">
      <c r="A670" s="64">
        <v>42503</v>
      </c>
      <c r="B670" s="65" t="s">
        <v>73</v>
      </c>
      <c r="C670" s="65" t="s">
        <v>129</v>
      </c>
      <c r="D670" s="65" t="s">
        <v>126</v>
      </c>
      <c r="E670" t="str">
        <f t="shared" si="14"/>
        <v>Delregion Göteborg</v>
      </c>
    </row>
    <row r="671" spans="1:5">
      <c r="A671" s="64">
        <v>42503</v>
      </c>
      <c r="B671" s="65" t="s">
        <v>87</v>
      </c>
      <c r="C671" s="65" t="s">
        <v>129</v>
      </c>
      <c r="D671" s="65" t="s">
        <v>126</v>
      </c>
      <c r="E671" t="str">
        <f t="shared" si="14"/>
        <v>Delregion Skaraborg</v>
      </c>
    </row>
    <row r="672" spans="1:5">
      <c r="A672" s="64">
        <v>42507</v>
      </c>
      <c r="B672" s="65" t="s">
        <v>99</v>
      </c>
      <c r="C672" s="65" t="s">
        <v>129</v>
      </c>
      <c r="D672" s="65" t="s">
        <v>126</v>
      </c>
      <c r="E672" t="str">
        <f t="shared" si="14"/>
        <v>Delregion Skaraborg</v>
      </c>
    </row>
    <row r="673" spans="1:5">
      <c r="A673" s="64">
        <v>42507</v>
      </c>
      <c r="B673" s="65" t="s">
        <v>120</v>
      </c>
      <c r="C673" s="65" t="s">
        <v>129</v>
      </c>
      <c r="D673" s="65" t="s">
        <v>126</v>
      </c>
      <c r="E673" t="str">
        <f t="shared" si="14"/>
        <v>Delregion Södra Älvsborg</v>
      </c>
    </row>
    <row r="674" spans="1:5">
      <c r="A674" s="64">
        <v>42507</v>
      </c>
      <c r="B674" s="65" t="s">
        <v>73</v>
      </c>
      <c r="C674" s="65" t="s">
        <v>131</v>
      </c>
      <c r="D674" s="65" t="s">
        <v>126</v>
      </c>
      <c r="E674" t="str">
        <f t="shared" si="14"/>
        <v>Delregion Göteborg</v>
      </c>
    </row>
    <row r="675" spans="1:5">
      <c r="A675" s="64">
        <v>42508</v>
      </c>
      <c r="B675" s="65" t="s">
        <v>80</v>
      </c>
      <c r="C675" s="65" t="s">
        <v>127</v>
      </c>
      <c r="D675" s="65" t="s">
        <v>126</v>
      </c>
      <c r="E675" t="str">
        <f t="shared" si="14"/>
        <v>Delregion Södra Älvsborg</v>
      </c>
    </row>
    <row r="676" spans="1:5">
      <c r="A676" s="64">
        <v>42508</v>
      </c>
      <c r="B676" s="65" t="s">
        <v>95</v>
      </c>
      <c r="C676" s="65" t="s">
        <v>127</v>
      </c>
      <c r="D676" s="65" t="s">
        <v>126</v>
      </c>
      <c r="E676" t="str">
        <f t="shared" si="14"/>
        <v>Delregion Södra Älvsborg</v>
      </c>
    </row>
    <row r="677" spans="1:5">
      <c r="A677" s="64">
        <v>42508</v>
      </c>
      <c r="B677" s="65" t="s">
        <v>97</v>
      </c>
      <c r="C677" s="65" t="s">
        <v>127</v>
      </c>
      <c r="D677" s="65" t="s">
        <v>126</v>
      </c>
      <c r="E677" t="str">
        <f t="shared" si="14"/>
        <v>Delregion Fyrbodal</v>
      </c>
    </row>
    <row r="678" spans="1:5">
      <c r="A678" s="64">
        <v>42508</v>
      </c>
      <c r="B678" s="65" t="s">
        <v>73</v>
      </c>
      <c r="C678" s="65" t="s">
        <v>127</v>
      </c>
      <c r="D678" s="65" t="s">
        <v>126</v>
      </c>
      <c r="E678" t="str">
        <f t="shared" si="14"/>
        <v>Delregion Göteborg</v>
      </c>
    </row>
    <row r="679" spans="1:5">
      <c r="A679" s="64">
        <v>42508</v>
      </c>
      <c r="B679" s="65" t="s">
        <v>108</v>
      </c>
      <c r="C679" s="65" t="s">
        <v>127</v>
      </c>
      <c r="D679" s="65" t="s">
        <v>126</v>
      </c>
      <c r="E679" t="str">
        <f t="shared" si="14"/>
        <v>Delregion Fyrbodal</v>
      </c>
    </row>
    <row r="680" spans="1:5">
      <c r="A680" s="64">
        <v>42508</v>
      </c>
      <c r="B680" s="65" t="s">
        <v>92</v>
      </c>
      <c r="C680" s="65" t="s">
        <v>127</v>
      </c>
      <c r="D680" s="65" t="s">
        <v>126</v>
      </c>
      <c r="E680" t="str">
        <f t="shared" si="14"/>
        <v>Delregion Södra Älvsborg</v>
      </c>
    </row>
    <row r="681" spans="1:5">
      <c r="A681" s="64">
        <v>42508</v>
      </c>
      <c r="B681" s="65" t="s">
        <v>73</v>
      </c>
      <c r="C681" s="65" t="s">
        <v>127</v>
      </c>
      <c r="D681" s="65" t="s">
        <v>126</v>
      </c>
      <c r="E681" t="str">
        <f t="shared" si="14"/>
        <v>Delregion Göteborg</v>
      </c>
    </row>
    <row r="682" spans="1:5">
      <c r="A682" s="64">
        <v>42508</v>
      </c>
      <c r="B682" s="65" t="s">
        <v>80</v>
      </c>
      <c r="C682" s="65" t="s">
        <v>129</v>
      </c>
      <c r="D682" s="65" t="s">
        <v>126</v>
      </c>
      <c r="E682" t="str">
        <f t="shared" si="14"/>
        <v>Delregion Södra Älvsborg</v>
      </c>
    </row>
    <row r="683" spans="1:5">
      <c r="A683" s="64">
        <v>42508</v>
      </c>
      <c r="B683" s="65" t="s">
        <v>99</v>
      </c>
      <c r="C683" s="65" t="s">
        <v>131</v>
      </c>
      <c r="D683" s="65" t="s">
        <v>126</v>
      </c>
      <c r="E683" t="str">
        <f t="shared" si="14"/>
        <v>Delregion Skaraborg</v>
      </c>
    </row>
    <row r="684" spans="1:5">
      <c r="A684" s="64">
        <v>42509</v>
      </c>
      <c r="B684" s="65" t="s">
        <v>73</v>
      </c>
      <c r="C684" s="65" t="s">
        <v>85</v>
      </c>
      <c r="D684" s="65" t="s">
        <v>75</v>
      </c>
      <c r="E684" t="str">
        <f t="shared" si="14"/>
        <v>Delregion Göteborg</v>
      </c>
    </row>
    <row r="685" spans="1:5">
      <c r="A685" s="64">
        <v>42509</v>
      </c>
      <c r="B685" s="65" t="s">
        <v>73</v>
      </c>
      <c r="C685" s="65" t="s">
        <v>127</v>
      </c>
      <c r="D685" s="65" t="s">
        <v>126</v>
      </c>
      <c r="E685" t="str">
        <f t="shared" si="14"/>
        <v>Delregion Göteborg</v>
      </c>
    </row>
    <row r="686" spans="1:5">
      <c r="A686" s="64">
        <v>42509</v>
      </c>
      <c r="B686" s="65" t="s">
        <v>136</v>
      </c>
      <c r="C686" s="65" t="s">
        <v>127</v>
      </c>
      <c r="D686" s="65" t="s">
        <v>126</v>
      </c>
      <c r="E686" t="str">
        <f t="shared" si="14"/>
        <v>Delregion Fyrbodal</v>
      </c>
    </row>
    <row r="687" spans="1:5">
      <c r="A687" s="64">
        <v>42509</v>
      </c>
      <c r="B687" s="65" t="s">
        <v>104</v>
      </c>
      <c r="C687" s="65" t="s">
        <v>129</v>
      </c>
      <c r="D687" s="65" t="s">
        <v>126</v>
      </c>
      <c r="E687" t="str">
        <f t="shared" si="14"/>
        <v>Delregion SIMBA</v>
      </c>
    </row>
    <row r="688" spans="1:5">
      <c r="A688" s="64">
        <v>42510</v>
      </c>
      <c r="B688" s="65" t="s">
        <v>73</v>
      </c>
      <c r="C688" s="65" t="s">
        <v>85</v>
      </c>
      <c r="D688" s="65" t="s">
        <v>75</v>
      </c>
      <c r="E688" t="str">
        <f t="shared" si="14"/>
        <v>Delregion Göteborg</v>
      </c>
    </row>
    <row r="689" spans="1:5">
      <c r="A689" s="64">
        <v>42513</v>
      </c>
      <c r="B689" s="65" t="s">
        <v>95</v>
      </c>
      <c r="C689" s="65" t="s">
        <v>96</v>
      </c>
      <c r="D689" s="65" t="s">
        <v>75</v>
      </c>
      <c r="E689" t="str">
        <f t="shared" si="14"/>
        <v>Delregion Södra Älvsborg</v>
      </c>
    </row>
    <row r="690" spans="1:5">
      <c r="A690" s="64">
        <v>42514</v>
      </c>
      <c r="B690" s="65" t="s">
        <v>113</v>
      </c>
      <c r="C690" s="65" t="s">
        <v>96</v>
      </c>
      <c r="D690" s="65" t="s">
        <v>75</v>
      </c>
      <c r="E690" t="str">
        <f t="shared" si="14"/>
        <v>Delregion Skaraborg</v>
      </c>
    </row>
    <row r="691" spans="1:5">
      <c r="A691" s="64">
        <v>42516</v>
      </c>
      <c r="B691" s="65" t="s">
        <v>73</v>
      </c>
      <c r="C691" s="65" t="s">
        <v>85</v>
      </c>
      <c r="D691" s="65" t="s">
        <v>75</v>
      </c>
      <c r="E691" t="str">
        <f t="shared" si="14"/>
        <v>Delregion Göteborg</v>
      </c>
    </row>
    <row r="692" spans="1:5">
      <c r="A692" s="64">
        <v>42516</v>
      </c>
      <c r="B692" s="65" t="s">
        <v>89</v>
      </c>
      <c r="C692" s="65" t="s">
        <v>127</v>
      </c>
      <c r="D692" s="65" t="s">
        <v>126</v>
      </c>
      <c r="E692" t="str">
        <f t="shared" si="14"/>
        <v>Delregion Skaraborg</v>
      </c>
    </row>
    <row r="693" spans="1:5">
      <c r="A693" s="64">
        <v>42517</v>
      </c>
      <c r="B693" s="65" t="s">
        <v>86</v>
      </c>
      <c r="C693" s="65" t="s">
        <v>85</v>
      </c>
      <c r="D693" s="65" t="s">
        <v>75</v>
      </c>
      <c r="E693" t="str">
        <f t="shared" si="14"/>
        <v>Delregion Fyrbodal</v>
      </c>
    </row>
    <row r="694" spans="1:5">
      <c r="A694" s="64">
        <v>42517</v>
      </c>
      <c r="B694" s="65" t="s">
        <v>84</v>
      </c>
      <c r="C694" s="65" t="s">
        <v>96</v>
      </c>
      <c r="D694" s="65" t="s">
        <v>75</v>
      </c>
      <c r="E694" t="str">
        <f t="shared" si="14"/>
        <v>Delregion Skaraborg</v>
      </c>
    </row>
    <row r="695" spans="1:5">
      <c r="A695" s="64">
        <v>42517</v>
      </c>
      <c r="B695" s="65" t="s">
        <v>73</v>
      </c>
      <c r="C695" s="65" t="s">
        <v>74</v>
      </c>
      <c r="D695" s="65" t="s">
        <v>75</v>
      </c>
      <c r="E695" t="str">
        <f t="shared" si="14"/>
        <v>Delregion Göteborg</v>
      </c>
    </row>
    <row r="696" spans="1:5">
      <c r="A696" s="64">
        <v>42517</v>
      </c>
      <c r="B696" s="65" t="s">
        <v>120</v>
      </c>
      <c r="C696" s="65" t="s">
        <v>129</v>
      </c>
      <c r="D696" s="65" t="s">
        <v>126</v>
      </c>
      <c r="E696" t="str">
        <f t="shared" si="14"/>
        <v>Delregion Södra Älvsborg</v>
      </c>
    </row>
    <row r="697" spans="1:5">
      <c r="A697" s="64">
        <v>42520</v>
      </c>
      <c r="B697" s="65" t="s">
        <v>116</v>
      </c>
      <c r="C697" s="65" t="s">
        <v>127</v>
      </c>
      <c r="D697" s="65" t="s">
        <v>126</v>
      </c>
      <c r="E697" t="str">
        <f t="shared" si="14"/>
        <v>Delregion Södra Älvsborg</v>
      </c>
    </row>
    <row r="698" spans="1:5">
      <c r="A698" s="64">
        <v>42521</v>
      </c>
      <c r="B698" s="65" t="s">
        <v>86</v>
      </c>
      <c r="C698" s="65" t="s">
        <v>85</v>
      </c>
      <c r="D698" s="65" t="s">
        <v>75</v>
      </c>
      <c r="E698" t="str">
        <f t="shared" si="14"/>
        <v>Delregion Fyrbodal</v>
      </c>
    </row>
    <row r="699" spans="1:5">
      <c r="A699" s="64">
        <v>42521</v>
      </c>
      <c r="B699" s="65" t="s">
        <v>89</v>
      </c>
      <c r="C699" s="65" t="s">
        <v>85</v>
      </c>
      <c r="D699" s="65" t="s">
        <v>75</v>
      </c>
      <c r="E699" t="str">
        <f t="shared" si="14"/>
        <v>Delregion Skaraborg</v>
      </c>
    </row>
    <row r="700" spans="1:5">
      <c r="A700" s="64">
        <v>42521</v>
      </c>
      <c r="B700" s="65" t="s">
        <v>92</v>
      </c>
      <c r="C700" s="65" t="s">
        <v>91</v>
      </c>
      <c r="D700" s="65" t="s">
        <v>75</v>
      </c>
      <c r="E700" t="str">
        <f t="shared" si="14"/>
        <v>Delregion Södra Älvsborg</v>
      </c>
    </row>
    <row r="701" spans="1:5">
      <c r="A701" s="64">
        <v>42523</v>
      </c>
      <c r="B701" s="65" t="s">
        <v>73</v>
      </c>
      <c r="C701" s="65" t="s">
        <v>127</v>
      </c>
      <c r="D701" s="65" t="s">
        <v>126</v>
      </c>
      <c r="E701" t="str">
        <f t="shared" si="14"/>
        <v>Delregion Göteborg</v>
      </c>
    </row>
    <row r="702" spans="1:5">
      <c r="A702" s="64">
        <v>42523</v>
      </c>
      <c r="B702" s="65" t="s">
        <v>73</v>
      </c>
      <c r="C702" s="65" t="s">
        <v>127</v>
      </c>
      <c r="D702" s="65" t="s">
        <v>126</v>
      </c>
      <c r="E702" t="str">
        <f t="shared" si="14"/>
        <v>Delregion Göteborg</v>
      </c>
    </row>
    <row r="703" spans="1:5">
      <c r="A703" s="64">
        <v>42528</v>
      </c>
      <c r="B703" s="65" t="s">
        <v>94</v>
      </c>
      <c r="C703" s="65" t="s">
        <v>85</v>
      </c>
      <c r="D703" s="65" t="s">
        <v>75</v>
      </c>
      <c r="E703" t="str">
        <f t="shared" si="14"/>
        <v>Delregion Fyrbodal</v>
      </c>
    </row>
    <row r="704" spans="1:5">
      <c r="A704" s="64">
        <v>42528</v>
      </c>
      <c r="B704" s="65" t="s">
        <v>121</v>
      </c>
      <c r="C704" s="65" t="s">
        <v>85</v>
      </c>
      <c r="D704" s="65" t="s">
        <v>75</v>
      </c>
      <c r="E704" t="str">
        <f t="shared" si="14"/>
        <v>Delregion Södra Älvsborg</v>
      </c>
    </row>
    <row r="705" spans="1:5">
      <c r="A705" s="64">
        <v>42528</v>
      </c>
      <c r="B705" s="65" t="s">
        <v>99</v>
      </c>
      <c r="C705" s="65" t="s">
        <v>131</v>
      </c>
      <c r="D705" s="65" t="s">
        <v>126</v>
      </c>
      <c r="E705" t="str">
        <f t="shared" si="14"/>
        <v>Delregion Skaraborg</v>
      </c>
    </row>
    <row r="706" spans="1:5">
      <c r="A706" s="64">
        <v>42529</v>
      </c>
      <c r="B706" s="65" t="s">
        <v>86</v>
      </c>
      <c r="C706" s="65" t="s">
        <v>85</v>
      </c>
      <c r="D706" s="65" t="s">
        <v>75</v>
      </c>
      <c r="E706" t="str">
        <f t="shared" si="14"/>
        <v>Delregion Fyrbodal</v>
      </c>
    </row>
    <row r="707" spans="1:5">
      <c r="A707" s="64">
        <v>42529</v>
      </c>
      <c r="B707" s="65" t="s">
        <v>103</v>
      </c>
      <c r="C707" s="65" t="s">
        <v>83</v>
      </c>
      <c r="D707" s="65" t="s">
        <v>75</v>
      </c>
      <c r="E707" t="str">
        <f t="shared" si="14"/>
        <v>Delregion Göteborg</v>
      </c>
    </row>
    <row r="708" spans="1:5">
      <c r="A708" s="64">
        <v>42529</v>
      </c>
      <c r="B708" s="65" t="s">
        <v>80</v>
      </c>
      <c r="C708" s="65" t="s">
        <v>91</v>
      </c>
      <c r="D708" s="65" t="s">
        <v>75</v>
      </c>
      <c r="E708" t="str">
        <f t="shared" si="14"/>
        <v>Delregion Södra Älvsborg</v>
      </c>
    </row>
    <row r="709" spans="1:5">
      <c r="A709" s="64">
        <v>42530</v>
      </c>
      <c r="B709" s="65" t="s">
        <v>115</v>
      </c>
      <c r="C709" s="65" t="s">
        <v>83</v>
      </c>
      <c r="D709" s="65" t="s">
        <v>75</v>
      </c>
      <c r="E709" t="str">
        <f t="shared" si="14"/>
        <v>Delregion Göteborg</v>
      </c>
    </row>
    <row r="710" spans="1:5">
      <c r="A710" s="64">
        <v>42530</v>
      </c>
      <c r="B710" s="65" t="s">
        <v>78</v>
      </c>
      <c r="C710" s="65" t="s">
        <v>129</v>
      </c>
      <c r="D710" s="65" t="s">
        <v>126</v>
      </c>
      <c r="E710" t="str">
        <f t="shared" si="14"/>
        <v>Delregion SIMBA</v>
      </c>
    </row>
    <row r="711" spans="1:5">
      <c r="A711" s="64">
        <v>42530</v>
      </c>
      <c r="B711" s="65" t="s">
        <v>87</v>
      </c>
      <c r="C711" s="65" t="s">
        <v>129</v>
      </c>
      <c r="D711" s="65" t="s">
        <v>126</v>
      </c>
      <c r="E711" t="str">
        <f t="shared" si="14"/>
        <v>Delregion Skaraborg</v>
      </c>
    </row>
    <row r="712" spans="1:5">
      <c r="A712" s="64">
        <v>42530</v>
      </c>
      <c r="B712" s="65" t="s">
        <v>73</v>
      </c>
      <c r="C712" s="65" t="s">
        <v>131</v>
      </c>
      <c r="D712" s="65" t="s">
        <v>126</v>
      </c>
      <c r="E712" t="str">
        <f t="shared" si="14"/>
        <v>Delregion Göteborg</v>
      </c>
    </row>
    <row r="713" spans="1:5">
      <c r="A713" s="64">
        <v>42531</v>
      </c>
      <c r="B713" s="65" t="s">
        <v>73</v>
      </c>
      <c r="C713" s="65" t="s">
        <v>85</v>
      </c>
      <c r="D713" s="65" t="s">
        <v>75</v>
      </c>
      <c r="E713" t="str">
        <f t="shared" si="14"/>
        <v>Delregion Göteborg</v>
      </c>
    </row>
    <row r="714" spans="1:5">
      <c r="A714" s="64">
        <v>42531</v>
      </c>
      <c r="B714" s="65" t="s">
        <v>78</v>
      </c>
      <c r="C714" s="65" t="s">
        <v>85</v>
      </c>
      <c r="D714" s="65" t="s">
        <v>75</v>
      </c>
      <c r="E714" t="str">
        <f t="shared" si="14"/>
        <v>Delregion SIMBA</v>
      </c>
    </row>
    <row r="715" spans="1:5">
      <c r="A715" s="64">
        <v>42531</v>
      </c>
      <c r="B715" s="65" t="s">
        <v>123</v>
      </c>
      <c r="C715" s="65" t="s">
        <v>85</v>
      </c>
      <c r="D715" s="65" t="s">
        <v>75</v>
      </c>
      <c r="E715" t="str">
        <f t="shared" si="14"/>
        <v>Delregion Södra Älvsborg</v>
      </c>
    </row>
    <row r="716" spans="1:5">
      <c r="A716" s="64">
        <v>42534</v>
      </c>
      <c r="B716" s="65" t="s">
        <v>107</v>
      </c>
      <c r="C716" s="65" t="s">
        <v>85</v>
      </c>
      <c r="D716" s="65" t="s">
        <v>75</v>
      </c>
      <c r="E716" t="str">
        <f t="shared" si="14"/>
        <v>Delregion Skaraborg</v>
      </c>
    </row>
    <row r="717" spans="1:5">
      <c r="A717" s="64">
        <v>42534</v>
      </c>
      <c r="B717" s="65" t="s">
        <v>105</v>
      </c>
      <c r="C717" s="65" t="s">
        <v>85</v>
      </c>
      <c r="D717" s="65" t="s">
        <v>75</v>
      </c>
      <c r="E717" t="str">
        <f t="shared" ref="E717:E780" si="15">VLOOKUP(B717,$Q$14:$R$62,2,FALSE)</f>
        <v>Delregion Skaraborg</v>
      </c>
    </row>
    <row r="718" spans="1:5">
      <c r="A718" s="64">
        <v>42534</v>
      </c>
      <c r="B718" s="65" t="s">
        <v>73</v>
      </c>
      <c r="C718" s="65" t="s">
        <v>83</v>
      </c>
      <c r="D718" s="65" t="s">
        <v>75</v>
      </c>
      <c r="E718" t="str">
        <f t="shared" si="15"/>
        <v>Delregion Göteborg</v>
      </c>
    </row>
    <row r="719" spans="1:5">
      <c r="A719" s="64">
        <v>42534</v>
      </c>
      <c r="B719" s="65" t="s">
        <v>120</v>
      </c>
      <c r="C719" s="65" t="s">
        <v>127</v>
      </c>
      <c r="D719" s="65" t="s">
        <v>126</v>
      </c>
      <c r="E719" t="str">
        <f t="shared" si="15"/>
        <v>Delregion Södra Älvsborg</v>
      </c>
    </row>
    <row r="720" spans="1:5">
      <c r="A720" s="64">
        <v>42534</v>
      </c>
      <c r="B720" s="65" t="s">
        <v>94</v>
      </c>
      <c r="C720" s="65" t="s">
        <v>129</v>
      </c>
      <c r="D720" s="65" t="s">
        <v>126</v>
      </c>
      <c r="E720" t="str">
        <f t="shared" si="15"/>
        <v>Delregion Fyrbodal</v>
      </c>
    </row>
    <row r="721" spans="1:5">
      <c r="A721" s="64">
        <v>42535</v>
      </c>
      <c r="B721" s="65" t="s">
        <v>84</v>
      </c>
      <c r="C721" s="65" t="s">
        <v>85</v>
      </c>
      <c r="D721" s="65" t="s">
        <v>75</v>
      </c>
      <c r="E721" t="str">
        <f t="shared" si="15"/>
        <v>Delregion Skaraborg</v>
      </c>
    </row>
    <row r="722" spans="1:5">
      <c r="A722" s="64">
        <v>42536</v>
      </c>
      <c r="B722" s="65" t="s">
        <v>104</v>
      </c>
      <c r="C722" s="65" t="s">
        <v>85</v>
      </c>
      <c r="D722" s="65" t="s">
        <v>75</v>
      </c>
      <c r="E722" t="str">
        <f t="shared" si="15"/>
        <v>Delregion SIMBA</v>
      </c>
    </row>
    <row r="723" spans="1:5">
      <c r="A723" s="64">
        <v>42536</v>
      </c>
      <c r="B723" s="65" t="s">
        <v>92</v>
      </c>
      <c r="C723" s="65" t="s">
        <v>85</v>
      </c>
      <c r="D723" s="65" t="s">
        <v>75</v>
      </c>
      <c r="E723" t="str">
        <f t="shared" si="15"/>
        <v>Delregion Södra Älvsborg</v>
      </c>
    </row>
    <row r="724" spans="1:5">
      <c r="A724" s="64">
        <v>42536</v>
      </c>
      <c r="B724" s="65" t="s">
        <v>78</v>
      </c>
      <c r="C724" s="65" t="s">
        <v>85</v>
      </c>
      <c r="D724" s="65" t="s">
        <v>75</v>
      </c>
      <c r="E724" t="str">
        <f t="shared" si="15"/>
        <v>Delregion SIMBA</v>
      </c>
    </row>
    <row r="725" spans="1:5">
      <c r="A725" s="64">
        <v>42538</v>
      </c>
      <c r="B725" s="65" t="s">
        <v>73</v>
      </c>
      <c r="C725" s="65" t="s">
        <v>118</v>
      </c>
      <c r="D725" s="65" t="s">
        <v>75</v>
      </c>
      <c r="E725" t="str">
        <f t="shared" si="15"/>
        <v>Delregion Göteborg</v>
      </c>
    </row>
    <row r="726" spans="1:5">
      <c r="A726" s="64">
        <v>42541</v>
      </c>
      <c r="B726" s="65" t="s">
        <v>120</v>
      </c>
      <c r="C726" s="65" t="s">
        <v>85</v>
      </c>
      <c r="D726" s="65" t="s">
        <v>75</v>
      </c>
      <c r="E726" t="str">
        <f t="shared" si="15"/>
        <v>Delregion Södra Älvsborg</v>
      </c>
    </row>
    <row r="727" spans="1:5">
      <c r="A727" s="64">
        <v>42541</v>
      </c>
      <c r="B727" s="65" t="s">
        <v>73</v>
      </c>
      <c r="C727" s="65" t="s">
        <v>127</v>
      </c>
      <c r="D727" s="65" t="s">
        <v>126</v>
      </c>
      <c r="E727" t="str">
        <f t="shared" si="15"/>
        <v>Delregion Göteborg</v>
      </c>
    </row>
    <row r="728" spans="1:5">
      <c r="A728" s="64">
        <v>42541</v>
      </c>
      <c r="B728" s="65" t="s">
        <v>120</v>
      </c>
      <c r="C728" s="65" t="s">
        <v>127</v>
      </c>
      <c r="D728" s="65" t="s">
        <v>126</v>
      </c>
      <c r="E728" t="str">
        <f t="shared" si="15"/>
        <v>Delregion Södra Älvsborg</v>
      </c>
    </row>
    <row r="729" spans="1:5">
      <c r="A729" s="64">
        <v>42541</v>
      </c>
      <c r="B729" s="65" t="s">
        <v>73</v>
      </c>
      <c r="C729" s="65" t="s">
        <v>129</v>
      </c>
      <c r="D729" s="65" t="s">
        <v>126</v>
      </c>
      <c r="E729" t="str">
        <f t="shared" si="15"/>
        <v>Delregion Göteborg</v>
      </c>
    </row>
    <row r="730" spans="1:5">
      <c r="A730" s="64">
        <v>42542</v>
      </c>
      <c r="B730" s="65" t="s">
        <v>109</v>
      </c>
      <c r="C730" s="65" t="s">
        <v>85</v>
      </c>
      <c r="D730" s="65" t="s">
        <v>75</v>
      </c>
      <c r="E730" t="str">
        <f t="shared" si="15"/>
        <v>Delregion Fyrbodal</v>
      </c>
    </row>
    <row r="731" spans="1:5">
      <c r="A731" s="64">
        <v>42542</v>
      </c>
      <c r="B731" s="65" t="s">
        <v>78</v>
      </c>
      <c r="C731" s="65" t="s">
        <v>83</v>
      </c>
      <c r="D731" s="65" t="s">
        <v>75</v>
      </c>
      <c r="E731" t="str">
        <f t="shared" si="15"/>
        <v>Delregion SIMBA</v>
      </c>
    </row>
    <row r="732" spans="1:5">
      <c r="A732" s="64">
        <v>42542</v>
      </c>
      <c r="B732" s="65" t="s">
        <v>97</v>
      </c>
      <c r="C732" s="65" t="s">
        <v>88</v>
      </c>
      <c r="D732" s="65" t="s">
        <v>75</v>
      </c>
      <c r="E732" t="str">
        <f t="shared" si="15"/>
        <v>Delregion Fyrbodal</v>
      </c>
    </row>
    <row r="733" spans="1:5">
      <c r="A733" s="64">
        <v>42543</v>
      </c>
      <c r="B733" s="65" t="s">
        <v>108</v>
      </c>
      <c r="C733" s="65" t="s">
        <v>85</v>
      </c>
      <c r="D733" s="65" t="s">
        <v>75</v>
      </c>
      <c r="E733" t="str">
        <f t="shared" si="15"/>
        <v>Delregion Fyrbodal</v>
      </c>
    </row>
    <row r="734" spans="1:5">
      <c r="A734" s="64">
        <v>42543</v>
      </c>
      <c r="B734" s="65" t="s">
        <v>97</v>
      </c>
      <c r="C734" s="65" t="s">
        <v>85</v>
      </c>
      <c r="D734" s="65" t="s">
        <v>75</v>
      </c>
      <c r="E734" t="str">
        <f t="shared" si="15"/>
        <v>Delregion Fyrbodal</v>
      </c>
    </row>
    <row r="735" spans="1:5">
      <c r="A735" s="64">
        <v>42543</v>
      </c>
      <c r="B735" s="65" t="s">
        <v>89</v>
      </c>
      <c r="C735" s="65" t="s">
        <v>85</v>
      </c>
      <c r="D735" s="65" t="s">
        <v>75</v>
      </c>
      <c r="E735" t="str">
        <f t="shared" si="15"/>
        <v>Delregion Skaraborg</v>
      </c>
    </row>
    <row r="736" spans="1:5">
      <c r="A736" s="64">
        <v>42544</v>
      </c>
      <c r="B736" s="65" t="s">
        <v>101</v>
      </c>
      <c r="C736" s="65" t="s">
        <v>100</v>
      </c>
      <c r="D736" s="65" t="s">
        <v>75</v>
      </c>
      <c r="E736" t="str">
        <f t="shared" si="15"/>
        <v>Delregion SIMBA</v>
      </c>
    </row>
    <row r="737" spans="1:5">
      <c r="A737" s="64">
        <v>42544</v>
      </c>
      <c r="B737" s="65" t="s">
        <v>102</v>
      </c>
      <c r="C737" s="65" t="s">
        <v>100</v>
      </c>
      <c r="D737" s="65" t="s">
        <v>75</v>
      </c>
      <c r="E737" t="str">
        <f t="shared" si="15"/>
        <v>Delregion Södra Älvsborg</v>
      </c>
    </row>
    <row r="738" spans="1:5">
      <c r="A738" s="64">
        <v>42544</v>
      </c>
      <c r="B738" s="65" t="s">
        <v>73</v>
      </c>
      <c r="C738" s="65" t="s">
        <v>132</v>
      </c>
      <c r="D738" s="65" t="s">
        <v>126</v>
      </c>
      <c r="E738" t="str">
        <f t="shared" si="15"/>
        <v>Delregion Göteborg</v>
      </c>
    </row>
    <row r="739" spans="1:5">
      <c r="A739" s="64">
        <v>42548</v>
      </c>
      <c r="B739" s="65" t="s">
        <v>107</v>
      </c>
      <c r="C739" s="65" t="s">
        <v>85</v>
      </c>
      <c r="D739" s="65" t="s">
        <v>75</v>
      </c>
      <c r="E739" t="str">
        <f t="shared" si="15"/>
        <v>Delregion Skaraborg</v>
      </c>
    </row>
    <row r="740" spans="1:5">
      <c r="A740" s="64">
        <v>42549</v>
      </c>
      <c r="B740" s="65" t="s">
        <v>97</v>
      </c>
      <c r="C740" s="65" t="s">
        <v>131</v>
      </c>
      <c r="D740" s="65" t="s">
        <v>126</v>
      </c>
      <c r="E740" t="str">
        <f t="shared" si="15"/>
        <v>Delregion Fyrbodal</v>
      </c>
    </row>
    <row r="741" spans="1:5">
      <c r="A741" s="64">
        <v>42550</v>
      </c>
      <c r="B741" s="65" t="s">
        <v>110</v>
      </c>
      <c r="C741" s="65" t="s">
        <v>85</v>
      </c>
      <c r="D741" s="65" t="s">
        <v>75</v>
      </c>
      <c r="E741" t="str">
        <f t="shared" si="15"/>
        <v>Delregion Fyrbodal</v>
      </c>
    </row>
    <row r="742" spans="1:5">
      <c r="A742" s="64">
        <v>42552</v>
      </c>
      <c r="B742" s="65" t="s">
        <v>115</v>
      </c>
      <c r="C742" s="65" t="s">
        <v>83</v>
      </c>
      <c r="D742" s="65" t="s">
        <v>75</v>
      </c>
      <c r="E742" t="str">
        <f t="shared" si="15"/>
        <v>Delregion Göteborg</v>
      </c>
    </row>
    <row r="743" spans="1:5">
      <c r="A743" s="64">
        <v>42552</v>
      </c>
      <c r="B743" s="65" t="s">
        <v>86</v>
      </c>
      <c r="C743" s="65" t="s">
        <v>88</v>
      </c>
      <c r="D743" s="65" t="s">
        <v>75</v>
      </c>
      <c r="E743" t="str">
        <f t="shared" si="15"/>
        <v>Delregion Fyrbodal</v>
      </c>
    </row>
    <row r="744" spans="1:5">
      <c r="A744" s="64">
        <v>42552</v>
      </c>
      <c r="B744" s="65" t="s">
        <v>73</v>
      </c>
      <c r="C744" s="65" t="s">
        <v>88</v>
      </c>
      <c r="D744" s="65" t="s">
        <v>75</v>
      </c>
      <c r="E744" t="str">
        <f t="shared" si="15"/>
        <v>Delregion Göteborg</v>
      </c>
    </row>
    <row r="745" spans="1:5">
      <c r="A745" s="64">
        <v>42555</v>
      </c>
      <c r="B745" s="65" t="s">
        <v>73</v>
      </c>
      <c r="C745" s="65" t="s">
        <v>131</v>
      </c>
      <c r="D745" s="65" t="s">
        <v>126</v>
      </c>
      <c r="E745" t="str">
        <f t="shared" si="15"/>
        <v>Delregion Göteborg</v>
      </c>
    </row>
    <row r="746" spans="1:5">
      <c r="A746" s="64">
        <v>42557</v>
      </c>
      <c r="B746" s="65" t="s">
        <v>120</v>
      </c>
      <c r="C746" s="65" t="s">
        <v>129</v>
      </c>
      <c r="D746" s="65" t="s">
        <v>126</v>
      </c>
      <c r="E746" t="str">
        <f t="shared" si="15"/>
        <v>Delregion Södra Älvsborg</v>
      </c>
    </row>
    <row r="747" spans="1:5">
      <c r="A747" s="64">
        <v>42559</v>
      </c>
      <c r="B747" s="65" t="s">
        <v>73</v>
      </c>
      <c r="C747" s="65" t="s">
        <v>85</v>
      </c>
      <c r="D747" s="65" t="s">
        <v>75</v>
      </c>
      <c r="E747" t="str">
        <f t="shared" si="15"/>
        <v>Delregion Göteborg</v>
      </c>
    </row>
    <row r="748" spans="1:5">
      <c r="A748" s="64">
        <v>42559</v>
      </c>
      <c r="B748" s="65" t="s">
        <v>73</v>
      </c>
      <c r="C748" s="65" t="s">
        <v>131</v>
      </c>
      <c r="D748" s="65" t="s">
        <v>126</v>
      </c>
      <c r="E748" t="str">
        <f t="shared" si="15"/>
        <v>Delregion Göteborg</v>
      </c>
    </row>
    <row r="749" spans="1:5">
      <c r="A749" s="64">
        <v>42565</v>
      </c>
      <c r="B749" s="65" t="s">
        <v>73</v>
      </c>
      <c r="C749" s="65" t="s">
        <v>132</v>
      </c>
      <c r="D749" s="65" t="s">
        <v>126</v>
      </c>
      <c r="E749" t="str">
        <f t="shared" si="15"/>
        <v>Delregion Göteborg</v>
      </c>
    </row>
    <row r="750" spans="1:5">
      <c r="A750" s="64">
        <v>42566</v>
      </c>
      <c r="B750" s="65" t="s">
        <v>78</v>
      </c>
      <c r="C750" s="65" t="s">
        <v>85</v>
      </c>
      <c r="D750" s="65" t="s">
        <v>75</v>
      </c>
      <c r="E750" t="str">
        <f t="shared" si="15"/>
        <v>Delregion SIMBA</v>
      </c>
    </row>
    <row r="751" spans="1:5">
      <c r="A751" s="64">
        <v>42566</v>
      </c>
      <c r="B751" s="65" t="s">
        <v>116</v>
      </c>
      <c r="C751" s="65" t="s">
        <v>85</v>
      </c>
      <c r="D751" s="65" t="s">
        <v>75</v>
      </c>
      <c r="E751" t="str">
        <f t="shared" si="15"/>
        <v>Delregion Södra Älvsborg</v>
      </c>
    </row>
    <row r="752" spans="1:5">
      <c r="A752" s="64">
        <v>42566</v>
      </c>
      <c r="B752" s="65" t="s">
        <v>78</v>
      </c>
      <c r="C752" s="65" t="s">
        <v>85</v>
      </c>
      <c r="D752" s="65" t="s">
        <v>75</v>
      </c>
      <c r="E752" t="str">
        <f t="shared" si="15"/>
        <v>Delregion SIMBA</v>
      </c>
    </row>
    <row r="753" spans="1:5">
      <c r="A753" s="64">
        <v>42569</v>
      </c>
      <c r="B753" s="65" t="s">
        <v>92</v>
      </c>
      <c r="C753" s="65" t="s">
        <v>85</v>
      </c>
      <c r="D753" s="65" t="s">
        <v>75</v>
      </c>
      <c r="E753" t="str">
        <f t="shared" si="15"/>
        <v>Delregion Södra Älvsborg</v>
      </c>
    </row>
    <row r="754" spans="1:5">
      <c r="A754" s="64">
        <v>42571</v>
      </c>
      <c r="B754" s="65" t="s">
        <v>124</v>
      </c>
      <c r="C754" s="65" t="s">
        <v>91</v>
      </c>
      <c r="D754" s="65" t="s">
        <v>75</v>
      </c>
      <c r="E754" t="str">
        <f t="shared" si="15"/>
        <v>Delregion Fyrbodal</v>
      </c>
    </row>
    <row r="755" spans="1:5">
      <c r="A755" s="64">
        <v>42571</v>
      </c>
      <c r="B755" s="65" t="s">
        <v>113</v>
      </c>
      <c r="C755" s="65" t="s">
        <v>127</v>
      </c>
      <c r="D755" s="65" t="s">
        <v>126</v>
      </c>
      <c r="E755" t="str">
        <f t="shared" si="15"/>
        <v>Delregion Skaraborg</v>
      </c>
    </row>
    <row r="756" spans="1:5">
      <c r="A756" s="64">
        <v>42573</v>
      </c>
      <c r="B756" s="65" t="s">
        <v>115</v>
      </c>
      <c r="C756" s="65" t="s">
        <v>134</v>
      </c>
      <c r="D756" s="65" t="s">
        <v>126</v>
      </c>
      <c r="E756" t="str">
        <f t="shared" si="15"/>
        <v>Delregion Göteborg</v>
      </c>
    </row>
    <row r="757" spans="1:5">
      <c r="A757" s="64">
        <v>42573</v>
      </c>
      <c r="B757" s="65" t="s">
        <v>86</v>
      </c>
      <c r="C757" s="65" t="s">
        <v>127</v>
      </c>
      <c r="D757" s="65" t="s">
        <v>126</v>
      </c>
      <c r="E757" t="str">
        <f t="shared" si="15"/>
        <v>Delregion Fyrbodal</v>
      </c>
    </row>
    <row r="758" spans="1:5">
      <c r="A758" s="64">
        <v>42573</v>
      </c>
      <c r="B758" s="65" t="s">
        <v>94</v>
      </c>
      <c r="C758" s="65" t="s">
        <v>131</v>
      </c>
      <c r="D758" s="65" t="s">
        <v>126</v>
      </c>
      <c r="E758" t="str">
        <f t="shared" si="15"/>
        <v>Delregion Fyrbodal</v>
      </c>
    </row>
    <row r="759" spans="1:5">
      <c r="A759" s="64">
        <v>42576</v>
      </c>
      <c r="B759" s="65" t="s">
        <v>82</v>
      </c>
      <c r="C759" s="65" t="s">
        <v>83</v>
      </c>
      <c r="D759" s="65" t="s">
        <v>75</v>
      </c>
      <c r="E759" t="str">
        <f t="shared" si="15"/>
        <v>Delregion Fyrbodal</v>
      </c>
    </row>
    <row r="760" spans="1:5">
      <c r="A760" s="64">
        <v>42577</v>
      </c>
      <c r="B760" s="65" t="s">
        <v>73</v>
      </c>
      <c r="C760" s="65" t="s">
        <v>91</v>
      </c>
      <c r="D760" s="65" t="s">
        <v>75</v>
      </c>
      <c r="E760" t="str">
        <f t="shared" si="15"/>
        <v>Delregion Göteborg</v>
      </c>
    </row>
    <row r="761" spans="1:5">
      <c r="A761" s="64">
        <v>42578</v>
      </c>
      <c r="B761" s="65" t="s">
        <v>78</v>
      </c>
      <c r="C761" s="65" t="s">
        <v>127</v>
      </c>
      <c r="D761" s="65" t="s">
        <v>126</v>
      </c>
      <c r="E761" t="str">
        <f t="shared" si="15"/>
        <v>Delregion SIMBA</v>
      </c>
    </row>
    <row r="762" spans="1:5">
      <c r="A762" s="64">
        <v>42578</v>
      </c>
      <c r="B762" s="65" t="s">
        <v>99</v>
      </c>
      <c r="C762" s="65" t="s">
        <v>131</v>
      </c>
      <c r="D762" s="65" t="s">
        <v>126</v>
      </c>
      <c r="E762" t="str">
        <f t="shared" si="15"/>
        <v>Delregion Skaraborg</v>
      </c>
    </row>
    <row r="763" spans="1:5">
      <c r="A763" s="64">
        <v>42579</v>
      </c>
      <c r="B763" s="65" t="s">
        <v>111</v>
      </c>
      <c r="C763" s="65" t="s">
        <v>85</v>
      </c>
      <c r="D763" s="65" t="s">
        <v>75</v>
      </c>
      <c r="E763" t="str">
        <f t="shared" si="15"/>
        <v>Delregion Skaraborg</v>
      </c>
    </row>
    <row r="764" spans="1:5">
      <c r="A764" s="64">
        <v>42579</v>
      </c>
      <c r="B764" s="65" t="s">
        <v>78</v>
      </c>
      <c r="C764" s="65" t="s">
        <v>91</v>
      </c>
      <c r="D764" s="65" t="s">
        <v>75</v>
      </c>
      <c r="E764" t="str">
        <f t="shared" si="15"/>
        <v>Delregion SIMBA</v>
      </c>
    </row>
    <row r="765" spans="1:5">
      <c r="A765" s="64">
        <v>42583</v>
      </c>
      <c r="B765" s="65" t="s">
        <v>73</v>
      </c>
      <c r="C765" s="65" t="s">
        <v>131</v>
      </c>
      <c r="D765" s="65" t="s">
        <v>126</v>
      </c>
      <c r="E765" t="str">
        <f t="shared" si="15"/>
        <v>Delregion Göteborg</v>
      </c>
    </row>
    <row r="766" spans="1:5">
      <c r="A766" s="64">
        <v>42584</v>
      </c>
      <c r="B766" s="65" t="s">
        <v>73</v>
      </c>
      <c r="C766" s="65" t="s">
        <v>131</v>
      </c>
      <c r="D766" s="65" t="s">
        <v>126</v>
      </c>
      <c r="E766" t="str">
        <f t="shared" si="15"/>
        <v>Delregion Göteborg</v>
      </c>
    </row>
    <row r="767" spans="1:5">
      <c r="A767" s="64">
        <v>42585</v>
      </c>
      <c r="B767" s="65" t="s">
        <v>86</v>
      </c>
      <c r="C767" s="65" t="s">
        <v>127</v>
      </c>
      <c r="D767" s="65" t="s">
        <v>126</v>
      </c>
      <c r="E767" t="str">
        <f t="shared" si="15"/>
        <v>Delregion Fyrbodal</v>
      </c>
    </row>
    <row r="768" spans="1:5">
      <c r="A768" s="64">
        <v>42586</v>
      </c>
      <c r="B768" s="65" t="s">
        <v>73</v>
      </c>
      <c r="C768" s="65" t="s">
        <v>129</v>
      </c>
      <c r="D768" s="65" t="s">
        <v>126</v>
      </c>
      <c r="E768" t="str">
        <f t="shared" si="15"/>
        <v>Delregion Göteborg</v>
      </c>
    </row>
    <row r="769" spans="1:5">
      <c r="A769" s="64">
        <v>42586</v>
      </c>
      <c r="B769" s="65" t="s">
        <v>114</v>
      </c>
      <c r="C769" s="65" t="s">
        <v>74</v>
      </c>
      <c r="D769" s="65" t="s">
        <v>126</v>
      </c>
      <c r="E769" t="str">
        <f t="shared" si="15"/>
        <v>Delregion Fyrbodal</v>
      </c>
    </row>
    <row r="770" spans="1:5">
      <c r="A770" s="64">
        <v>42593</v>
      </c>
      <c r="B770" s="65" t="s">
        <v>123</v>
      </c>
      <c r="C770" s="65" t="s">
        <v>83</v>
      </c>
      <c r="D770" s="65" t="s">
        <v>75</v>
      </c>
      <c r="E770" t="str">
        <f t="shared" si="15"/>
        <v>Delregion Södra Älvsborg</v>
      </c>
    </row>
    <row r="771" spans="1:5">
      <c r="A771" s="64">
        <v>42594</v>
      </c>
      <c r="B771" s="65" t="s">
        <v>80</v>
      </c>
      <c r="C771" s="65" t="s">
        <v>79</v>
      </c>
      <c r="D771" s="65" t="s">
        <v>75</v>
      </c>
      <c r="E771" t="str">
        <f t="shared" si="15"/>
        <v>Delregion Södra Älvsborg</v>
      </c>
    </row>
    <row r="772" spans="1:5">
      <c r="A772" s="64">
        <v>42594</v>
      </c>
      <c r="B772" s="65" t="s">
        <v>95</v>
      </c>
      <c r="C772" s="65" t="s">
        <v>129</v>
      </c>
      <c r="D772" s="65" t="s">
        <v>126</v>
      </c>
      <c r="E772" t="str">
        <f t="shared" si="15"/>
        <v>Delregion Södra Älvsborg</v>
      </c>
    </row>
    <row r="773" spans="1:5">
      <c r="A773" s="64">
        <v>42594</v>
      </c>
      <c r="B773" s="65" t="s">
        <v>87</v>
      </c>
      <c r="C773" s="65" t="s">
        <v>129</v>
      </c>
      <c r="D773" s="65" t="s">
        <v>126</v>
      </c>
      <c r="E773" t="str">
        <f t="shared" si="15"/>
        <v>Delregion Skaraborg</v>
      </c>
    </row>
    <row r="774" spans="1:5">
      <c r="A774" s="64">
        <v>42594</v>
      </c>
      <c r="B774" s="65" t="s">
        <v>115</v>
      </c>
      <c r="C774" s="65" t="s">
        <v>74</v>
      </c>
      <c r="D774" s="65" t="s">
        <v>126</v>
      </c>
      <c r="E774" t="str">
        <f t="shared" si="15"/>
        <v>Delregion Göteborg</v>
      </c>
    </row>
    <row r="775" spans="1:5">
      <c r="A775" s="64">
        <v>42597</v>
      </c>
      <c r="B775" s="65" t="s">
        <v>73</v>
      </c>
      <c r="C775" s="65" t="s">
        <v>83</v>
      </c>
      <c r="D775" s="65" t="s">
        <v>75</v>
      </c>
      <c r="E775" t="str">
        <f t="shared" si="15"/>
        <v>Delregion Göteborg</v>
      </c>
    </row>
    <row r="776" spans="1:5">
      <c r="A776" s="64">
        <v>42598</v>
      </c>
      <c r="B776" s="65" t="s">
        <v>80</v>
      </c>
      <c r="C776" s="65" t="s">
        <v>85</v>
      </c>
      <c r="D776" s="65" t="s">
        <v>75</v>
      </c>
      <c r="E776" t="str">
        <f t="shared" si="15"/>
        <v>Delregion Södra Älvsborg</v>
      </c>
    </row>
    <row r="777" spans="1:5">
      <c r="A777" s="64">
        <v>42599</v>
      </c>
      <c r="B777" s="65" t="s">
        <v>73</v>
      </c>
      <c r="C777" s="65" t="s">
        <v>85</v>
      </c>
      <c r="D777" s="65" t="s">
        <v>75</v>
      </c>
      <c r="E777" t="str">
        <f t="shared" si="15"/>
        <v>Delregion Göteborg</v>
      </c>
    </row>
    <row r="778" spans="1:5">
      <c r="A778" s="64">
        <v>42599</v>
      </c>
      <c r="B778" s="65" t="s">
        <v>86</v>
      </c>
      <c r="C778" s="65" t="s">
        <v>125</v>
      </c>
      <c r="D778" s="65" t="s">
        <v>126</v>
      </c>
      <c r="E778" t="str">
        <f t="shared" si="15"/>
        <v>Delregion Fyrbodal</v>
      </c>
    </row>
    <row r="779" spans="1:5">
      <c r="A779" s="64">
        <v>42601</v>
      </c>
      <c r="B779" s="65" t="s">
        <v>97</v>
      </c>
      <c r="C779" s="65" t="s">
        <v>96</v>
      </c>
      <c r="D779" s="65" t="s">
        <v>75</v>
      </c>
      <c r="E779" t="str">
        <f t="shared" si="15"/>
        <v>Delregion Fyrbodal</v>
      </c>
    </row>
    <row r="780" spans="1:5">
      <c r="A780" s="64">
        <v>42604</v>
      </c>
      <c r="B780" s="65" t="s">
        <v>120</v>
      </c>
      <c r="C780" s="65" t="s">
        <v>83</v>
      </c>
      <c r="D780" s="65" t="s">
        <v>75</v>
      </c>
      <c r="E780" t="str">
        <f t="shared" si="15"/>
        <v>Delregion Södra Älvsborg</v>
      </c>
    </row>
    <row r="781" spans="1:5">
      <c r="A781" s="64">
        <v>42604</v>
      </c>
      <c r="B781" s="65" t="s">
        <v>97</v>
      </c>
      <c r="C781" s="65" t="s">
        <v>127</v>
      </c>
      <c r="D781" s="65" t="s">
        <v>126</v>
      </c>
      <c r="E781" t="str">
        <f t="shared" ref="E781:E844" si="16">VLOOKUP(B781,$Q$14:$R$62,2,FALSE)</f>
        <v>Delregion Fyrbodal</v>
      </c>
    </row>
    <row r="782" spans="1:5">
      <c r="A782" s="64">
        <v>42605</v>
      </c>
      <c r="B782" s="65" t="s">
        <v>112</v>
      </c>
      <c r="C782" s="65" t="s">
        <v>85</v>
      </c>
      <c r="D782" s="65" t="s">
        <v>75</v>
      </c>
      <c r="E782" t="str">
        <f t="shared" si="16"/>
        <v>Delregion Göteborg</v>
      </c>
    </row>
    <row r="783" spans="1:5">
      <c r="A783" s="64">
        <v>42605</v>
      </c>
      <c r="B783" s="65" t="s">
        <v>73</v>
      </c>
      <c r="C783" s="65" t="s">
        <v>83</v>
      </c>
      <c r="D783" s="65" t="s">
        <v>75</v>
      </c>
      <c r="E783" t="str">
        <f t="shared" si="16"/>
        <v>Delregion Göteborg</v>
      </c>
    </row>
    <row r="784" spans="1:5">
      <c r="A784" s="64">
        <v>42605</v>
      </c>
      <c r="B784" s="65" t="s">
        <v>107</v>
      </c>
      <c r="C784" s="65" t="s">
        <v>83</v>
      </c>
      <c r="D784" s="65" t="s">
        <v>75</v>
      </c>
      <c r="E784" t="str">
        <f t="shared" si="16"/>
        <v>Delregion Skaraborg</v>
      </c>
    </row>
    <row r="785" spans="1:5">
      <c r="A785" s="64">
        <v>42606</v>
      </c>
      <c r="B785" s="65" t="s">
        <v>73</v>
      </c>
      <c r="C785" s="65" t="s">
        <v>85</v>
      </c>
      <c r="D785" s="65" t="s">
        <v>75</v>
      </c>
      <c r="E785" t="str">
        <f t="shared" si="16"/>
        <v>Delregion Göteborg</v>
      </c>
    </row>
    <row r="786" spans="1:5">
      <c r="A786" s="64">
        <v>42606</v>
      </c>
      <c r="B786" s="65" t="s">
        <v>112</v>
      </c>
      <c r="C786" s="65" t="s">
        <v>85</v>
      </c>
      <c r="D786" s="65" t="s">
        <v>75</v>
      </c>
      <c r="E786" t="str">
        <f t="shared" si="16"/>
        <v>Delregion Göteborg</v>
      </c>
    </row>
    <row r="787" spans="1:5">
      <c r="A787" s="64">
        <v>42607</v>
      </c>
      <c r="B787" s="65" t="s">
        <v>73</v>
      </c>
      <c r="C787" s="65" t="s">
        <v>91</v>
      </c>
      <c r="D787" s="65" t="s">
        <v>75</v>
      </c>
      <c r="E787" t="str">
        <f t="shared" si="16"/>
        <v>Delregion Göteborg</v>
      </c>
    </row>
    <row r="788" spans="1:5">
      <c r="A788" s="64">
        <v>42608</v>
      </c>
      <c r="B788" s="65" t="s">
        <v>94</v>
      </c>
      <c r="C788" s="65" t="s">
        <v>85</v>
      </c>
      <c r="D788" s="65" t="s">
        <v>75</v>
      </c>
      <c r="E788" t="str">
        <f t="shared" si="16"/>
        <v>Delregion Fyrbodal</v>
      </c>
    </row>
    <row r="789" spans="1:5">
      <c r="A789" s="64">
        <v>42611</v>
      </c>
      <c r="B789" s="65" t="s">
        <v>116</v>
      </c>
      <c r="C789" s="65" t="s">
        <v>83</v>
      </c>
      <c r="D789" s="65" t="s">
        <v>75</v>
      </c>
      <c r="E789" t="str">
        <f t="shared" si="16"/>
        <v>Delregion Södra Älvsborg</v>
      </c>
    </row>
    <row r="790" spans="1:5">
      <c r="A790" s="64">
        <v>42612</v>
      </c>
      <c r="B790" s="65" t="s">
        <v>99</v>
      </c>
      <c r="C790" s="65" t="s">
        <v>131</v>
      </c>
      <c r="D790" s="65" t="s">
        <v>126</v>
      </c>
      <c r="E790" t="str">
        <f t="shared" si="16"/>
        <v>Delregion Skaraborg</v>
      </c>
    </row>
    <row r="791" spans="1:5">
      <c r="A791" s="64">
        <v>42613</v>
      </c>
      <c r="B791" s="65" t="s">
        <v>81</v>
      </c>
      <c r="C791" s="65" t="s">
        <v>79</v>
      </c>
      <c r="D791" s="65" t="s">
        <v>75</v>
      </c>
      <c r="E791" t="str">
        <f t="shared" si="16"/>
        <v>Delregion Fyrbodal</v>
      </c>
    </row>
    <row r="792" spans="1:5">
      <c r="A792" s="64">
        <v>42613</v>
      </c>
      <c r="B792" s="65" t="s">
        <v>73</v>
      </c>
      <c r="C792" s="65" t="s">
        <v>127</v>
      </c>
      <c r="D792" s="65" t="s">
        <v>126</v>
      </c>
      <c r="E792" t="str">
        <f t="shared" si="16"/>
        <v>Delregion Göteborg</v>
      </c>
    </row>
    <row r="793" spans="1:5">
      <c r="A793" s="64">
        <v>42613</v>
      </c>
      <c r="B793" s="65" t="s">
        <v>73</v>
      </c>
      <c r="C793" s="65" t="s">
        <v>129</v>
      </c>
      <c r="D793" s="65" t="s">
        <v>126</v>
      </c>
      <c r="E793" t="str">
        <f t="shared" si="16"/>
        <v>Delregion Göteborg</v>
      </c>
    </row>
    <row r="794" spans="1:5">
      <c r="A794" s="64">
        <v>42614</v>
      </c>
      <c r="B794" s="65" t="s">
        <v>73</v>
      </c>
      <c r="C794" s="65" t="s">
        <v>85</v>
      </c>
      <c r="D794" s="65" t="s">
        <v>75</v>
      </c>
      <c r="E794" t="str">
        <f t="shared" si="16"/>
        <v>Delregion Göteborg</v>
      </c>
    </row>
    <row r="795" spans="1:5">
      <c r="A795" s="64">
        <v>42614</v>
      </c>
      <c r="B795" s="65" t="s">
        <v>90</v>
      </c>
      <c r="C795" s="65" t="s">
        <v>130</v>
      </c>
      <c r="D795" s="65" t="s">
        <v>126</v>
      </c>
      <c r="E795" t="str">
        <f t="shared" si="16"/>
        <v>Delregion Skaraborg</v>
      </c>
    </row>
    <row r="796" spans="1:5">
      <c r="A796" s="64">
        <v>42614</v>
      </c>
      <c r="B796" s="65" t="s">
        <v>94</v>
      </c>
      <c r="C796" s="65" t="s">
        <v>127</v>
      </c>
      <c r="D796" s="65" t="s">
        <v>126</v>
      </c>
      <c r="E796" t="str">
        <f t="shared" si="16"/>
        <v>Delregion Fyrbodal</v>
      </c>
    </row>
    <row r="797" spans="1:5">
      <c r="A797" s="64">
        <v>42614</v>
      </c>
      <c r="B797" s="65" t="s">
        <v>73</v>
      </c>
      <c r="C797" s="65" t="s">
        <v>127</v>
      </c>
      <c r="D797" s="65" t="s">
        <v>126</v>
      </c>
      <c r="E797" t="str">
        <f t="shared" si="16"/>
        <v>Delregion Göteborg</v>
      </c>
    </row>
    <row r="798" spans="1:5">
      <c r="A798" s="64">
        <v>42614</v>
      </c>
      <c r="B798" s="65" t="s">
        <v>109</v>
      </c>
      <c r="C798" s="65" t="s">
        <v>129</v>
      </c>
      <c r="D798" s="65" t="s">
        <v>126</v>
      </c>
      <c r="E798" t="str">
        <f t="shared" si="16"/>
        <v>Delregion Fyrbodal</v>
      </c>
    </row>
    <row r="799" spans="1:5">
      <c r="A799" s="64">
        <v>42615</v>
      </c>
      <c r="B799" s="65" t="s">
        <v>102</v>
      </c>
      <c r="C799" s="65" t="s">
        <v>85</v>
      </c>
      <c r="D799" s="65" t="s">
        <v>75</v>
      </c>
      <c r="E799" t="str">
        <f t="shared" si="16"/>
        <v>Delregion Södra Älvsborg</v>
      </c>
    </row>
    <row r="800" spans="1:5">
      <c r="A800" s="64">
        <v>42615</v>
      </c>
      <c r="B800" s="65" t="s">
        <v>95</v>
      </c>
      <c r="C800" s="65" t="s">
        <v>74</v>
      </c>
      <c r="D800" s="65" t="s">
        <v>126</v>
      </c>
      <c r="E800" t="str">
        <f t="shared" si="16"/>
        <v>Delregion Södra Älvsborg</v>
      </c>
    </row>
    <row r="801" spans="1:5">
      <c r="A801" s="64">
        <v>42618</v>
      </c>
      <c r="B801" s="65" t="s">
        <v>73</v>
      </c>
      <c r="C801" s="65" t="s">
        <v>85</v>
      </c>
      <c r="D801" s="65" t="s">
        <v>75</v>
      </c>
      <c r="E801" t="str">
        <f t="shared" si="16"/>
        <v>Delregion Göteborg</v>
      </c>
    </row>
    <row r="802" spans="1:5">
      <c r="A802" s="64">
        <v>42618</v>
      </c>
      <c r="B802" s="65" t="s">
        <v>73</v>
      </c>
      <c r="C802" s="65" t="s">
        <v>85</v>
      </c>
      <c r="D802" s="65" t="s">
        <v>75</v>
      </c>
      <c r="E802" t="str">
        <f t="shared" si="16"/>
        <v>Delregion Göteborg</v>
      </c>
    </row>
    <row r="803" spans="1:5">
      <c r="A803" s="64">
        <v>42618</v>
      </c>
      <c r="B803" s="65" t="s">
        <v>73</v>
      </c>
      <c r="C803" s="65" t="s">
        <v>85</v>
      </c>
      <c r="D803" s="65" t="s">
        <v>75</v>
      </c>
      <c r="E803" t="str">
        <f t="shared" si="16"/>
        <v>Delregion Göteborg</v>
      </c>
    </row>
    <row r="804" spans="1:5">
      <c r="A804" s="64">
        <v>42618</v>
      </c>
      <c r="B804" s="65" t="s">
        <v>73</v>
      </c>
      <c r="C804" s="65" t="s">
        <v>85</v>
      </c>
      <c r="D804" s="65" t="s">
        <v>75</v>
      </c>
      <c r="E804" t="str">
        <f t="shared" si="16"/>
        <v>Delregion Göteborg</v>
      </c>
    </row>
    <row r="805" spans="1:5">
      <c r="A805" s="64">
        <v>42618</v>
      </c>
      <c r="B805" s="65" t="s">
        <v>92</v>
      </c>
      <c r="C805" s="65" t="s">
        <v>88</v>
      </c>
      <c r="D805" s="65" t="s">
        <v>75</v>
      </c>
      <c r="E805" t="str">
        <f t="shared" si="16"/>
        <v>Delregion Södra Älvsborg</v>
      </c>
    </row>
    <row r="806" spans="1:5">
      <c r="A806" s="64">
        <v>42618</v>
      </c>
      <c r="B806" s="65" t="s">
        <v>94</v>
      </c>
      <c r="C806" s="65" t="s">
        <v>129</v>
      </c>
      <c r="D806" s="65" t="s">
        <v>126</v>
      </c>
      <c r="E806" t="str">
        <f t="shared" si="16"/>
        <v>Delregion Fyrbodal</v>
      </c>
    </row>
    <row r="807" spans="1:5">
      <c r="A807" s="64">
        <v>42618</v>
      </c>
      <c r="B807" s="65" t="s">
        <v>95</v>
      </c>
      <c r="C807" s="65" t="s">
        <v>131</v>
      </c>
      <c r="D807" s="65" t="s">
        <v>126</v>
      </c>
      <c r="E807" t="str">
        <f t="shared" si="16"/>
        <v>Delregion Södra Älvsborg</v>
      </c>
    </row>
    <row r="808" spans="1:5">
      <c r="A808" s="64">
        <v>42619</v>
      </c>
      <c r="B808" s="65" t="s">
        <v>73</v>
      </c>
      <c r="C808" s="65" t="s">
        <v>85</v>
      </c>
      <c r="D808" s="65" t="s">
        <v>75</v>
      </c>
      <c r="E808" t="str">
        <f t="shared" si="16"/>
        <v>Delregion Göteborg</v>
      </c>
    </row>
    <row r="809" spans="1:5">
      <c r="A809" s="64">
        <v>42620</v>
      </c>
      <c r="B809" s="65" t="s">
        <v>73</v>
      </c>
      <c r="C809" s="65" t="s">
        <v>127</v>
      </c>
      <c r="D809" s="65" t="s">
        <v>126</v>
      </c>
      <c r="E809" t="str">
        <f t="shared" si="16"/>
        <v>Delregion Göteborg</v>
      </c>
    </row>
    <row r="810" spans="1:5">
      <c r="A810" s="64">
        <v>42620</v>
      </c>
      <c r="B810" s="65" t="s">
        <v>73</v>
      </c>
      <c r="C810" s="65" t="s">
        <v>139</v>
      </c>
      <c r="D810" s="65" t="s">
        <v>126</v>
      </c>
      <c r="E810" t="str">
        <f t="shared" si="16"/>
        <v>Delregion Göteborg</v>
      </c>
    </row>
    <row r="811" spans="1:5">
      <c r="A811" s="64">
        <v>42620</v>
      </c>
      <c r="B811" s="65" t="s">
        <v>73</v>
      </c>
      <c r="C811" s="65" t="s">
        <v>125</v>
      </c>
      <c r="D811" s="65" t="s">
        <v>126</v>
      </c>
      <c r="E811" t="str">
        <f t="shared" si="16"/>
        <v>Delregion Göteborg</v>
      </c>
    </row>
    <row r="812" spans="1:5">
      <c r="A812" s="64">
        <v>42621</v>
      </c>
      <c r="B812" s="65" t="s">
        <v>92</v>
      </c>
      <c r="C812" s="65" t="s">
        <v>85</v>
      </c>
      <c r="D812" s="65" t="s">
        <v>75</v>
      </c>
      <c r="E812" t="str">
        <f t="shared" si="16"/>
        <v>Delregion Södra Älvsborg</v>
      </c>
    </row>
    <row r="813" spans="1:5">
      <c r="A813" s="64">
        <v>42621</v>
      </c>
      <c r="B813" s="65" t="s">
        <v>73</v>
      </c>
      <c r="C813" s="65" t="s">
        <v>134</v>
      </c>
      <c r="D813" s="65" t="s">
        <v>126</v>
      </c>
      <c r="E813" t="str">
        <f t="shared" si="16"/>
        <v>Delregion Göteborg</v>
      </c>
    </row>
    <row r="814" spans="1:5">
      <c r="A814" s="64">
        <v>42625</v>
      </c>
      <c r="B814" s="65" t="s">
        <v>94</v>
      </c>
      <c r="C814" s="65" t="s">
        <v>85</v>
      </c>
      <c r="D814" s="65" t="s">
        <v>75</v>
      </c>
      <c r="E814" t="str">
        <f t="shared" si="16"/>
        <v>Delregion Fyrbodal</v>
      </c>
    </row>
    <row r="815" spans="1:5">
      <c r="A815" s="64">
        <v>42625</v>
      </c>
      <c r="B815" s="65" t="s">
        <v>92</v>
      </c>
      <c r="C815" s="65" t="s">
        <v>85</v>
      </c>
      <c r="D815" s="65" t="s">
        <v>75</v>
      </c>
      <c r="E815" t="str">
        <f t="shared" si="16"/>
        <v>Delregion Södra Älvsborg</v>
      </c>
    </row>
    <row r="816" spans="1:5">
      <c r="A816" s="64">
        <v>42625</v>
      </c>
      <c r="B816" s="65" t="s">
        <v>87</v>
      </c>
      <c r="C816" s="65" t="s">
        <v>88</v>
      </c>
      <c r="D816" s="65" t="s">
        <v>75</v>
      </c>
      <c r="E816" t="str">
        <f t="shared" si="16"/>
        <v>Delregion Skaraborg</v>
      </c>
    </row>
    <row r="817" spans="1:5">
      <c r="A817" s="64">
        <v>42625</v>
      </c>
      <c r="B817" s="65" t="s">
        <v>87</v>
      </c>
      <c r="C817" s="65" t="s">
        <v>88</v>
      </c>
      <c r="D817" s="65" t="s">
        <v>75</v>
      </c>
      <c r="E817" t="str">
        <f t="shared" si="16"/>
        <v>Delregion Skaraborg</v>
      </c>
    </row>
    <row r="818" spans="1:5">
      <c r="A818" s="64">
        <v>42626</v>
      </c>
      <c r="B818" s="65" t="s">
        <v>115</v>
      </c>
      <c r="C818" s="65" t="s">
        <v>85</v>
      </c>
      <c r="D818" s="65" t="s">
        <v>75</v>
      </c>
      <c r="E818" t="str">
        <f t="shared" si="16"/>
        <v>Delregion Göteborg</v>
      </c>
    </row>
    <row r="819" spans="1:5">
      <c r="A819" s="64">
        <v>42626</v>
      </c>
      <c r="B819" s="65" t="s">
        <v>73</v>
      </c>
      <c r="C819" s="65" t="s">
        <v>85</v>
      </c>
      <c r="D819" s="65" t="s">
        <v>75</v>
      </c>
      <c r="E819" t="str">
        <f t="shared" si="16"/>
        <v>Delregion Göteborg</v>
      </c>
    </row>
    <row r="820" spans="1:5">
      <c r="A820" s="64">
        <v>42626</v>
      </c>
      <c r="B820" s="65" t="s">
        <v>97</v>
      </c>
      <c r="C820" s="65" t="s">
        <v>85</v>
      </c>
      <c r="D820" s="65" t="s">
        <v>75</v>
      </c>
      <c r="E820" t="str">
        <f t="shared" si="16"/>
        <v>Delregion Fyrbodal</v>
      </c>
    </row>
    <row r="821" spans="1:5">
      <c r="A821" s="64">
        <v>42626</v>
      </c>
      <c r="B821" s="65" t="s">
        <v>119</v>
      </c>
      <c r="C821" s="65" t="s">
        <v>83</v>
      </c>
      <c r="D821" s="65" t="s">
        <v>75</v>
      </c>
      <c r="E821" t="str">
        <f t="shared" si="16"/>
        <v>Delregion Skaraborg</v>
      </c>
    </row>
    <row r="822" spans="1:5">
      <c r="A822" s="64">
        <v>42626</v>
      </c>
      <c r="B822" s="65" t="s">
        <v>73</v>
      </c>
      <c r="C822" s="65" t="s">
        <v>96</v>
      </c>
      <c r="D822" s="65" t="s">
        <v>75</v>
      </c>
      <c r="E822" t="str">
        <f t="shared" si="16"/>
        <v>Delregion Göteborg</v>
      </c>
    </row>
    <row r="823" spans="1:5">
      <c r="A823" s="64">
        <v>42626</v>
      </c>
      <c r="B823" s="65" t="s">
        <v>117</v>
      </c>
      <c r="C823" s="65" t="s">
        <v>127</v>
      </c>
      <c r="D823" s="65" t="s">
        <v>126</v>
      </c>
      <c r="E823" t="str">
        <f t="shared" si="16"/>
        <v>Delregion Skaraborg</v>
      </c>
    </row>
    <row r="824" spans="1:5">
      <c r="A824" s="64">
        <v>42627</v>
      </c>
      <c r="B824" s="65" t="s">
        <v>98</v>
      </c>
      <c r="C824" s="65" t="s">
        <v>91</v>
      </c>
      <c r="D824" s="65" t="s">
        <v>75</v>
      </c>
      <c r="E824" t="str">
        <f t="shared" si="16"/>
        <v>Delregion Göteborg</v>
      </c>
    </row>
    <row r="825" spans="1:5">
      <c r="A825" s="64">
        <v>42627</v>
      </c>
      <c r="B825" s="65" t="s">
        <v>95</v>
      </c>
      <c r="C825" s="65" t="s">
        <v>131</v>
      </c>
      <c r="D825" s="65" t="s">
        <v>126</v>
      </c>
      <c r="E825" t="str">
        <f t="shared" si="16"/>
        <v>Delregion Södra Älvsborg</v>
      </c>
    </row>
    <row r="826" spans="1:5">
      <c r="A826" s="64">
        <v>42629</v>
      </c>
      <c r="B826" s="65" t="s">
        <v>78</v>
      </c>
      <c r="C826" s="65" t="s">
        <v>85</v>
      </c>
      <c r="D826" s="65" t="s">
        <v>75</v>
      </c>
      <c r="E826" t="str">
        <f t="shared" si="16"/>
        <v>Delregion SIMBA</v>
      </c>
    </row>
    <row r="827" spans="1:5">
      <c r="A827" s="64">
        <v>42629</v>
      </c>
      <c r="B827" s="65" t="s">
        <v>78</v>
      </c>
      <c r="C827" s="65" t="s">
        <v>128</v>
      </c>
      <c r="D827" s="65" t="s">
        <v>126</v>
      </c>
      <c r="E827" t="str">
        <f t="shared" si="16"/>
        <v>Delregion SIMBA</v>
      </c>
    </row>
    <row r="828" spans="1:5">
      <c r="A828" s="64">
        <v>42633</v>
      </c>
      <c r="B828" s="65" t="s">
        <v>113</v>
      </c>
      <c r="C828" s="65" t="s">
        <v>85</v>
      </c>
      <c r="D828" s="65" t="s">
        <v>75</v>
      </c>
      <c r="E828" t="str">
        <f t="shared" si="16"/>
        <v>Delregion Skaraborg</v>
      </c>
    </row>
    <row r="829" spans="1:5">
      <c r="A829" s="64">
        <v>42634</v>
      </c>
      <c r="B829" s="65" t="s">
        <v>73</v>
      </c>
      <c r="C829" s="65" t="s">
        <v>135</v>
      </c>
      <c r="D829" s="65" t="s">
        <v>126</v>
      </c>
      <c r="E829" t="str">
        <f t="shared" si="16"/>
        <v>Delregion Göteborg</v>
      </c>
    </row>
    <row r="830" spans="1:5">
      <c r="A830" s="64">
        <v>42635</v>
      </c>
      <c r="B830" s="65" t="s">
        <v>73</v>
      </c>
      <c r="C830" s="65" t="s">
        <v>83</v>
      </c>
      <c r="D830" s="65" t="s">
        <v>75</v>
      </c>
      <c r="E830" t="str">
        <f t="shared" si="16"/>
        <v>Delregion Göteborg</v>
      </c>
    </row>
    <row r="831" spans="1:5">
      <c r="A831" s="64">
        <v>42639</v>
      </c>
      <c r="B831" s="65" t="s">
        <v>97</v>
      </c>
      <c r="C831" s="65" t="s">
        <v>85</v>
      </c>
      <c r="D831" s="65" t="s">
        <v>75</v>
      </c>
      <c r="E831" t="str">
        <f t="shared" si="16"/>
        <v>Delregion Fyrbodal</v>
      </c>
    </row>
    <row r="832" spans="1:5">
      <c r="A832" s="64">
        <v>42639</v>
      </c>
      <c r="B832" s="65" t="s">
        <v>95</v>
      </c>
      <c r="C832" s="65" t="s">
        <v>127</v>
      </c>
      <c r="D832" s="65" t="s">
        <v>126</v>
      </c>
      <c r="E832" t="str">
        <f t="shared" si="16"/>
        <v>Delregion Södra Älvsborg</v>
      </c>
    </row>
    <row r="833" spans="1:5">
      <c r="A833" s="64">
        <v>42640</v>
      </c>
      <c r="B833" s="65" t="s">
        <v>89</v>
      </c>
      <c r="C833" s="65" t="s">
        <v>85</v>
      </c>
      <c r="D833" s="65" t="s">
        <v>75</v>
      </c>
      <c r="E833" t="str">
        <f t="shared" si="16"/>
        <v>Delregion Skaraborg</v>
      </c>
    </row>
    <row r="834" spans="1:5">
      <c r="A834" s="64">
        <v>42641</v>
      </c>
      <c r="B834" s="65" t="s">
        <v>73</v>
      </c>
      <c r="C834" s="65" t="s">
        <v>85</v>
      </c>
      <c r="D834" s="65" t="s">
        <v>75</v>
      </c>
      <c r="E834" t="str">
        <f t="shared" si="16"/>
        <v>Delregion Göteborg</v>
      </c>
    </row>
    <row r="835" spans="1:5">
      <c r="A835" s="64">
        <v>42641</v>
      </c>
      <c r="B835" s="65" t="s">
        <v>120</v>
      </c>
      <c r="C835" s="65" t="s">
        <v>85</v>
      </c>
      <c r="D835" s="65" t="s">
        <v>75</v>
      </c>
      <c r="E835" t="str">
        <f t="shared" si="16"/>
        <v>Delregion Södra Älvsborg</v>
      </c>
    </row>
    <row r="836" spans="1:5">
      <c r="A836" s="64">
        <v>42642</v>
      </c>
      <c r="B836" s="65" t="s">
        <v>114</v>
      </c>
      <c r="C836" s="65" t="s">
        <v>85</v>
      </c>
      <c r="D836" s="65" t="s">
        <v>75</v>
      </c>
      <c r="E836" t="str">
        <f t="shared" si="16"/>
        <v>Delregion Fyrbodal</v>
      </c>
    </row>
    <row r="837" spans="1:5">
      <c r="A837" s="64">
        <v>42642</v>
      </c>
      <c r="B837" s="65" t="s">
        <v>73</v>
      </c>
      <c r="C837" s="65" t="s">
        <v>74</v>
      </c>
      <c r="D837" s="65" t="s">
        <v>126</v>
      </c>
      <c r="E837" t="str">
        <f t="shared" si="16"/>
        <v>Delregion Göteborg</v>
      </c>
    </row>
    <row r="838" spans="1:5">
      <c r="A838" s="64">
        <v>42643</v>
      </c>
      <c r="B838" s="65" t="s">
        <v>80</v>
      </c>
      <c r="C838" s="65" t="s">
        <v>74</v>
      </c>
      <c r="D838" s="65" t="s">
        <v>126</v>
      </c>
      <c r="E838" t="str">
        <f t="shared" si="16"/>
        <v>Delregion Södra Älvsborg</v>
      </c>
    </row>
    <row r="839" spans="1:5">
      <c r="A839" s="64">
        <v>42646</v>
      </c>
      <c r="B839" s="65" t="s">
        <v>73</v>
      </c>
      <c r="C839" s="65" t="s">
        <v>79</v>
      </c>
      <c r="D839" s="65" t="s">
        <v>75</v>
      </c>
      <c r="E839" t="str">
        <f t="shared" si="16"/>
        <v>Delregion Göteborg</v>
      </c>
    </row>
    <row r="840" spans="1:5">
      <c r="A840" s="64">
        <v>42646</v>
      </c>
      <c r="B840" s="65" t="s">
        <v>73</v>
      </c>
      <c r="C840" s="65" t="s">
        <v>131</v>
      </c>
      <c r="D840" s="65" t="s">
        <v>126</v>
      </c>
      <c r="E840" t="str">
        <f t="shared" si="16"/>
        <v>Delregion Göteborg</v>
      </c>
    </row>
    <row r="841" spans="1:5">
      <c r="A841" s="64">
        <v>42648</v>
      </c>
      <c r="B841" s="65" t="s">
        <v>133</v>
      </c>
      <c r="C841" s="65" t="s">
        <v>130</v>
      </c>
      <c r="D841" s="65" t="s">
        <v>126</v>
      </c>
      <c r="E841" t="str">
        <f t="shared" si="16"/>
        <v>Delregion Skaraborg</v>
      </c>
    </row>
    <row r="842" spans="1:5">
      <c r="A842" s="64">
        <v>42648</v>
      </c>
      <c r="B842" s="65" t="s">
        <v>73</v>
      </c>
      <c r="C842" s="65" t="s">
        <v>129</v>
      </c>
      <c r="D842" s="65" t="s">
        <v>126</v>
      </c>
      <c r="E842" t="str">
        <f t="shared" si="16"/>
        <v>Delregion Göteborg</v>
      </c>
    </row>
    <row r="843" spans="1:5">
      <c r="A843" s="64">
        <v>42648</v>
      </c>
      <c r="B843" s="65" t="s">
        <v>73</v>
      </c>
      <c r="C843" s="65" t="s">
        <v>125</v>
      </c>
      <c r="D843" s="65" t="s">
        <v>126</v>
      </c>
      <c r="E843" t="str">
        <f t="shared" si="16"/>
        <v>Delregion Göteborg</v>
      </c>
    </row>
    <row r="844" spans="1:5">
      <c r="A844" s="64">
        <v>42648</v>
      </c>
      <c r="B844" s="65" t="s">
        <v>73</v>
      </c>
      <c r="C844" s="65" t="s">
        <v>132</v>
      </c>
      <c r="D844" s="65" t="s">
        <v>126</v>
      </c>
      <c r="E844" t="str">
        <f t="shared" si="16"/>
        <v>Delregion Göteborg</v>
      </c>
    </row>
    <row r="845" spans="1:5">
      <c r="A845" s="64">
        <v>42649</v>
      </c>
      <c r="B845" s="65" t="s">
        <v>116</v>
      </c>
      <c r="C845" s="65" t="s">
        <v>85</v>
      </c>
      <c r="D845" s="65" t="s">
        <v>75</v>
      </c>
      <c r="E845" t="str">
        <f t="shared" ref="E845:E908" si="17">VLOOKUP(B845,$Q$14:$R$62,2,FALSE)</f>
        <v>Delregion Södra Älvsborg</v>
      </c>
    </row>
    <row r="846" spans="1:5">
      <c r="A846" s="64">
        <v>42649</v>
      </c>
      <c r="B846" s="65" t="s">
        <v>73</v>
      </c>
      <c r="C846" s="65" t="s">
        <v>85</v>
      </c>
      <c r="D846" s="65" t="s">
        <v>75</v>
      </c>
      <c r="E846" t="str">
        <f t="shared" si="17"/>
        <v>Delregion Göteborg</v>
      </c>
    </row>
    <row r="847" spans="1:5">
      <c r="A847" s="64">
        <v>42649</v>
      </c>
      <c r="B847" s="65" t="s">
        <v>78</v>
      </c>
      <c r="C847" s="65" t="s">
        <v>129</v>
      </c>
      <c r="D847" s="65" t="s">
        <v>126</v>
      </c>
      <c r="E847" t="str">
        <f t="shared" si="17"/>
        <v>Delregion SIMBA</v>
      </c>
    </row>
    <row r="848" spans="1:5">
      <c r="A848" s="64">
        <v>42650</v>
      </c>
      <c r="B848" s="65" t="s">
        <v>87</v>
      </c>
      <c r="C848" s="65" t="s">
        <v>85</v>
      </c>
      <c r="D848" s="65" t="s">
        <v>75</v>
      </c>
      <c r="E848" t="str">
        <f t="shared" si="17"/>
        <v>Delregion Skaraborg</v>
      </c>
    </row>
    <row r="849" spans="1:5">
      <c r="A849" s="64">
        <v>42650</v>
      </c>
      <c r="B849" s="65" t="s">
        <v>82</v>
      </c>
      <c r="C849" s="65" t="s">
        <v>85</v>
      </c>
      <c r="D849" s="65" t="s">
        <v>75</v>
      </c>
      <c r="E849" t="str">
        <f t="shared" si="17"/>
        <v>Delregion Fyrbodal</v>
      </c>
    </row>
    <row r="850" spans="1:5">
      <c r="A850" s="64">
        <v>42650</v>
      </c>
      <c r="B850" s="65" t="s">
        <v>77</v>
      </c>
      <c r="C850" s="65" t="s">
        <v>85</v>
      </c>
      <c r="D850" s="65" t="s">
        <v>75</v>
      </c>
      <c r="E850" t="str">
        <f t="shared" si="17"/>
        <v>Delregion SIMBA</v>
      </c>
    </row>
    <row r="851" spans="1:5">
      <c r="A851" s="64">
        <v>42650</v>
      </c>
      <c r="B851" s="65" t="s">
        <v>86</v>
      </c>
      <c r="C851" s="65" t="s">
        <v>85</v>
      </c>
      <c r="D851" s="65" t="s">
        <v>75</v>
      </c>
      <c r="E851" t="str">
        <f t="shared" si="17"/>
        <v>Delregion Fyrbodal</v>
      </c>
    </row>
    <row r="852" spans="1:5">
      <c r="A852" s="64">
        <v>42650</v>
      </c>
      <c r="B852" s="65" t="s">
        <v>73</v>
      </c>
      <c r="C852" s="65" t="s">
        <v>83</v>
      </c>
      <c r="D852" s="65" t="s">
        <v>75</v>
      </c>
      <c r="E852" t="str">
        <f t="shared" si="17"/>
        <v>Delregion Göteborg</v>
      </c>
    </row>
    <row r="853" spans="1:5">
      <c r="A853" s="64">
        <v>42650</v>
      </c>
      <c r="B853" s="65" t="s">
        <v>73</v>
      </c>
      <c r="C853" s="65" t="s">
        <v>79</v>
      </c>
      <c r="D853" s="65" t="s">
        <v>75</v>
      </c>
      <c r="E853" t="str">
        <f t="shared" si="17"/>
        <v>Delregion Göteborg</v>
      </c>
    </row>
    <row r="854" spans="1:5">
      <c r="A854" s="64">
        <v>42650</v>
      </c>
      <c r="B854" s="65" t="s">
        <v>73</v>
      </c>
      <c r="C854" s="65" t="s">
        <v>127</v>
      </c>
      <c r="D854" s="65" t="s">
        <v>126</v>
      </c>
      <c r="E854" t="str">
        <f t="shared" si="17"/>
        <v>Delregion Göteborg</v>
      </c>
    </row>
    <row r="855" spans="1:5">
      <c r="A855" s="64">
        <v>42650</v>
      </c>
      <c r="B855" s="65" t="s">
        <v>97</v>
      </c>
      <c r="C855" s="65" t="s">
        <v>131</v>
      </c>
      <c r="D855" s="65" t="s">
        <v>126</v>
      </c>
      <c r="E855" t="str">
        <f t="shared" si="17"/>
        <v>Delregion Fyrbodal</v>
      </c>
    </row>
    <row r="856" spans="1:5">
      <c r="A856" s="64">
        <v>42653</v>
      </c>
      <c r="B856" s="65" t="s">
        <v>94</v>
      </c>
      <c r="C856" s="65" t="s">
        <v>129</v>
      </c>
      <c r="D856" s="65" t="s">
        <v>126</v>
      </c>
      <c r="E856" t="str">
        <f t="shared" si="17"/>
        <v>Delregion Fyrbodal</v>
      </c>
    </row>
    <row r="857" spans="1:5">
      <c r="A857" s="64">
        <v>42653</v>
      </c>
      <c r="B857" s="65" t="s">
        <v>73</v>
      </c>
      <c r="C857" s="65" t="s">
        <v>129</v>
      </c>
      <c r="D857" s="65" t="s">
        <v>126</v>
      </c>
      <c r="E857" t="str">
        <f t="shared" si="17"/>
        <v>Delregion Göteborg</v>
      </c>
    </row>
    <row r="858" spans="1:5">
      <c r="A858" s="64">
        <v>42653</v>
      </c>
      <c r="B858" s="65" t="s">
        <v>95</v>
      </c>
      <c r="C858" s="65" t="s">
        <v>129</v>
      </c>
      <c r="D858" s="65" t="s">
        <v>126</v>
      </c>
      <c r="E858" t="str">
        <f t="shared" si="17"/>
        <v>Delregion Södra Älvsborg</v>
      </c>
    </row>
    <row r="859" spans="1:5">
      <c r="A859" s="64">
        <v>42653</v>
      </c>
      <c r="B859" s="65" t="s">
        <v>98</v>
      </c>
      <c r="C859" s="65" t="s">
        <v>74</v>
      </c>
      <c r="D859" s="65" t="s">
        <v>126</v>
      </c>
      <c r="E859" t="str">
        <f t="shared" si="17"/>
        <v>Delregion Göteborg</v>
      </c>
    </row>
    <row r="860" spans="1:5">
      <c r="A860" s="64">
        <v>42654</v>
      </c>
      <c r="B860" s="65" t="s">
        <v>112</v>
      </c>
      <c r="C860" s="65" t="s">
        <v>85</v>
      </c>
      <c r="D860" s="65" t="s">
        <v>75</v>
      </c>
      <c r="E860" t="str">
        <f t="shared" si="17"/>
        <v>Delregion Göteborg</v>
      </c>
    </row>
    <row r="861" spans="1:5">
      <c r="A861" s="64">
        <v>42654</v>
      </c>
      <c r="B861" s="65" t="s">
        <v>93</v>
      </c>
      <c r="C861" s="65" t="s">
        <v>91</v>
      </c>
      <c r="D861" s="65" t="s">
        <v>75</v>
      </c>
      <c r="E861" t="str">
        <f t="shared" si="17"/>
        <v>Delregion Södra Älvsborg</v>
      </c>
    </row>
    <row r="862" spans="1:5">
      <c r="A862" s="64">
        <v>42654</v>
      </c>
      <c r="B862" s="65" t="s">
        <v>73</v>
      </c>
      <c r="C862" s="65" t="s">
        <v>91</v>
      </c>
      <c r="D862" s="65" t="s">
        <v>75</v>
      </c>
      <c r="E862" t="str">
        <f t="shared" si="17"/>
        <v>Delregion Göteborg</v>
      </c>
    </row>
    <row r="863" spans="1:5">
      <c r="A863" s="64">
        <v>42654</v>
      </c>
      <c r="B863" s="65" t="s">
        <v>73</v>
      </c>
      <c r="C863" s="65" t="s">
        <v>130</v>
      </c>
      <c r="D863" s="65" t="s">
        <v>126</v>
      </c>
      <c r="E863" t="str">
        <f t="shared" si="17"/>
        <v>Delregion Göteborg</v>
      </c>
    </row>
    <row r="864" spans="1:5">
      <c r="A864" s="64">
        <v>42654</v>
      </c>
      <c r="B864" s="65" t="s">
        <v>80</v>
      </c>
      <c r="C864" s="65" t="s">
        <v>127</v>
      </c>
      <c r="D864" s="65" t="s">
        <v>126</v>
      </c>
      <c r="E864" t="str">
        <f t="shared" si="17"/>
        <v>Delregion Södra Älvsborg</v>
      </c>
    </row>
    <row r="865" spans="1:5">
      <c r="A865" s="64">
        <v>42654</v>
      </c>
      <c r="B865" s="65" t="s">
        <v>73</v>
      </c>
      <c r="C865" s="65" t="s">
        <v>127</v>
      </c>
      <c r="D865" s="65" t="s">
        <v>126</v>
      </c>
      <c r="E865" t="str">
        <f t="shared" si="17"/>
        <v>Delregion Göteborg</v>
      </c>
    </row>
    <row r="866" spans="1:5">
      <c r="A866" s="64">
        <v>42654</v>
      </c>
      <c r="B866" s="65" t="s">
        <v>104</v>
      </c>
      <c r="C866" s="65" t="s">
        <v>129</v>
      </c>
      <c r="D866" s="65" t="s">
        <v>126</v>
      </c>
      <c r="E866" t="str">
        <f t="shared" si="17"/>
        <v>Delregion SIMBA</v>
      </c>
    </row>
    <row r="867" spans="1:5">
      <c r="A867" s="64">
        <v>42657</v>
      </c>
      <c r="B867" s="65" t="s">
        <v>92</v>
      </c>
      <c r="C867" s="65" t="s">
        <v>85</v>
      </c>
      <c r="D867" s="65" t="s">
        <v>75</v>
      </c>
      <c r="E867" t="str">
        <f t="shared" si="17"/>
        <v>Delregion Södra Älvsborg</v>
      </c>
    </row>
    <row r="868" spans="1:5">
      <c r="A868" s="64">
        <v>42657</v>
      </c>
      <c r="B868" s="65" t="s">
        <v>82</v>
      </c>
      <c r="C868" s="65" t="s">
        <v>83</v>
      </c>
      <c r="D868" s="65" t="s">
        <v>75</v>
      </c>
      <c r="E868" t="str">
        <f t="shared" si="17"/>
        <v>Delregion Fyrbodal</v>
      </c>
    </row>
    <row r="869" spans="1:5">
      <c r="A869" s="64">
        <v>42657</v>
      </c>
      <c r="B869" s="65" t="s">
        <v>76</v>
      </c>
      <c r="C869" s="65" t="s">
        <v>74</v>
      </c>
      <c r="D869" s="65" t="s">
        <v>75</v>
      </c>
      <c r="E869" t="str">
        <f t="shared" si="17"/>
        <v>Delregion Skaraborg</v>
      </c>
    </row>
    <row r="870" spans="1:5">
      <c r="A870" s="64">
        <v>42661</v>
      </c>
      <c r="B870" s="65" t="s">
        <v>73</v>
      </c>
      <c r="C870" s="65" t="s">
        <v>91</v>
      </c>
      <c r="D870" s="65" t="s">
        <v>75</v>
      </c>
      <c r="E870" t="str">
        <f t="shared" si="17"/>
        <v>Delregion Göteborg</v>
      </c>
    </row>
    <row r="871" spans="1:5">
      <c r="A871" s="64">
        <v>42663</v>
      </c>
      <c r="B871" s="65" t="s">
        <v>95</v>
      </c>
      <c r="C871" s="65" t="s">
        <v>85</v>
      </c>
      <c r="D871" s="65" t="s">
        <v>75</v>
      </c>
      <c r="E871" t="str">
        <f t="shared" si="17"/>
        <v>Delregion Södra Älvsborg</v>
      </c>
    </row>
    <row r="872" spans="1:5">
      <c r="A872" s="64">
        <v>42663</v>
      </c>
      <c r="B872" s="65" t="s">
        <v>81</v>
      </c>
      <c r="C872" s="65" t="s">
        <v>79</v>
      </c>
      <c r="D872" s="65" t="s">
        <v>75</v>
      </c>
      <c r="E872" t="str">
        <f t="shared" si="17"/>
        <v>Delregion Fyrbodal</v>
      </c>
    </row>
    <row r="873" spans="1:5">
      <c r="A873" s="64">
        <v>42664</v>
      </c>
      <c r="B873" s="65" t="s">
        <v>86</v>
      </c>
      <c r="C873" s="65" t="s">
        <v>85</v>
      </c>
      <c r="D873" s="65" t="s">
        <v>75</v>
      </c>
      <c r="E873" t="str">
        <f t="shared" si="17"/>
        <v>Delregion Fyrbodal</v>
      </c>
    </row>
    <row r="874" spans="1:5">
      <c r="A874" s="64">
        <v>42664</v>
      </c>
      <c r="B874" s="65" t="s">
        <v>107</v>
      </c>
      <c r="C874" s="65" t="s">
        <v>85</v>
      </c>
      <c r="D874" s="65" t="s">
        <v>75</v>
      </c>
      <c r="E874" t="str">
        <f t="shared" si="17"/>
        <v>Delregion Skaraborg</v>
      </c>
    </row>
    <row r="875" spans="1:5">
      <c r="A875" s="64">
        <v>42664</v>
      </c>
      <c r="B875" s="65" t="s">
        <v>73</v>
      </c>
      <c r="C875" s="65" t="s">
        <v>83</v>
      </c>
      <c r="D875" s="65" t="s">
        <v>75</v>
      </c>
      <c r="E875" t="str">
        <f t="shared" si="17"/>
        <v>Delregion Göteborg</v>
      </c>
    </row>
    <row r="876" spans="1:5">
      <c r="A876" s="64">
        <v>42664</v>
      </c>
      <c r="B876" s="65" t="s">
        <v>73</v>
      </c>
      <c r="C876" s="65" t="s">
        <v>129</v>
      </c>
      <c r="D876" s="65" t="s">
        <v>126</v>
      </c>
      <c r="E876" t="str">
        <f t="shared" si="17"/>
        <v>Delregion Göteborg</v>
      </c>
    </row>
    <row r="877" spans="1:5">
      <c r="A877" s="64">
        <v>42667</v>
      </c>
      <c r="B877" s="65" t="s">
        <v>95</v>
      </c>
      <c r="C877" s="65" t="s">
        <v>85</v>
      </c>
      <c r="D877" s="65" t="s">
        <v>75</v>
      </c>
      <c r="E877" t="str">
        <f t="shared" si="17"/>
        <v>Delregion Södra Älvsborg</v>
      </c>
    </row>
    <row r="878" spans="1:5">
      <c r="A878" s="64">
        <v>42668</v>
      </c>
      <c r="B878" s="65" t="s">
        <v>101</v>
      </c>
      <c r="C878" s="65" t="s">
        <v>131</v>
      </c>
      <c r="D878" s="65" t="s">
        <v>126</v>
      </c>
      <c r="E878" t="str">
        <f t="shared" si="17"/>
        <v>Delregion SIMBA</v>
      </c>
    </row>
    <row r="879" spans="1:5">
      <c r="A879" s="64">
        <v>42675</v>
      </c>
      <c r="B879" s="65" t="s">
        <v>117</v>
      </c>
      <c r="C879" s="65" t="s">
        <v>85</v>
      </c>
      <c r="D879" s="65" t="s">
        <v>75</v>
      </c>
      <c r="E879" t="str">
        <f t="shared" si="17"/>
        <v>Delregion Skaraborg</v>
      </c>
    </row>
    <row r="880" spans="1:5">
      <c r="A880" s="64">
        <v>42675</v>
      </c>
      <c r="B880" s="65" t="s">
        <v>73</v>
      </c>
      <c r="C880" s="65" t="s">
        <v>83</v>
      </c>
      <c r="D880" s="65" t="s">
        <v>75</v>
      </c>
      <c r="E880" t="str">
        <f t="shared" si="17"/>
        <v>Delregion Göteborg</v>
      </c>
    </row>
    <row r="881" spans="1:5">
      <c r="A881" s="64">
        <v>42675</v>
      </c>
      <c r="B881" s="65" t="s">
        <v>115</v>
      </c>
      <c r="C881" s="65" t="s">
        <v>131</v>
      </c>
      <c r="D881" s="65" t="s">
        <v>126</v>
      </c>
      <c r="E881" t="str">
        <f t="shared" si="17"/>
        <v>Delregion Göteborg</v>
      </c>
    </row>
    <row r="882" spans="1:5">
      <c r="A882" s="64">
        <v>42677</v>
      </c>
      <c r="B882" s="65" t="s">
        <v>87</v>
      </c>
      <c r="C882" s="65" t="s">
        <v>85</v>
      </c>
      <c r="D882" s="65" t="s">
        <v>75</v>
      </c>
      <c r="E882" t="str">
        <f t="shared" si="17"/>
        <v>Delregion Skaraborg</v>
      </c>
    </row>
    <row r="883" spans="1:5">
      <c r="A883" s="64">
        <v>42677</v>
      </c>
      <c r="B883" s="65" t="s">
        <v>86</v>
      </c>
      <c r="C883" s="65" t="s">
        <v>85</v>
      </c>
      <c r="D883" s="65" t="s">
        <v>75</v>
      </c>
      <c r="E883" t="str">
        <f t="shared" si="17"/>
        <v>Delregion Fyrbodal</v>
      </c>
    </row>
    <row r="884" spans="1:5">
      <c r="A884" s="64">
        <v>42677</v>
      </c>
      <c r="B884" s="65" t="s">
        <v>94</v>
      </c>
      <c r="C884" s="65" t="s">
        <v>85</v>
      </c>
      <c r="D884" s="65" t="s">
        <v>75</v>
      </c>
      <c r="E884" t="str">
        <f t="shared" si="17"/>
        <v>Delregion Fyrbodal</v>
      </c>
    </row>
    <row r="885" spans="1:5">
      <c r="A885" s="64">
        <v>42681</v>
      </c>
      <c r="B885" s="65" t="s">
        <v>122</v>
      </c>
      <c r="C885" s="65" t="s">
        <v>85</v>
      </c>
      <c r="D885" s="65" t="s">
        <v>75</v>
      </c>
      <c r="E885" t="str">
        <f t="shared" si="17"/>
        <v>Delregion Fyrbodal</v>
      </c>
    </row>
    <row r="886" spans="1:5">
      <c r="A886" s="64">
        <v>42681</v>
      </c>
      <c r="B886" s="65" t="s">
        <v>73</v>
      </c>
      <c r="C886" s="65" t="s">
        <v>129</v>
      </c>
      <c r="D886" s="65" t="s">
        <v>126</v>
      </c>
      <c r="E886" t="str">
        <f t="shared" si="17"/>
        <v>Delregion Göteborg</v>
      </c>
    </row>
    <row r="887" spans="1:5">
      <c r="A887" s="64">
        <v>42681</v>
      </c>
      <c r="B887" s="65" t="s">
        <v>107</v>
      </c>
      <c r="C887" s="65" t="s">
        <v>129</v>
      </c>
      <c r="D887" s="65" t="s">
        <v>126</v>
      </c>
      <c r="E887" t="str">
        <f t="shared" si="17"/>
        <v>Delregion Skaraborg</v>
      </c>
    </row>
    <row r="888" spans="1:5">
      <c r="A888" s="64">
        <v>42683</v>
      </c>
      <c r="B888" s="65" t="s">
        <v>76</v>
      </c>
      <c r="C888" s="65" t="s">
        <v>127</v>
      </c>
      <c r="D888" s="65" t="s">
        <v>126</v>
      </c>
      <c r="E888" t="str">
        <f t="shared" si="17"/>
        <v>Delregion Skaraborg</v>
      </c>
    </row>
    <row r="889" spans="1:5">
      <c r="A889" s="64">
        <v>42683</v>
      </c>
      <c r="B889" s="65" t="s">
        <v>78</v>
      </c>
      <c r="C889" s="65" t="s">
        <v>129</v>
      </c>
      <c r="D889" s="65" t="s">
        <v>126</v>
      </c>
      <c r="E889" t="str">
        <f t="shared" si="17"/>
        <v>Delregion SIMBA</v>
      </c>
    </row>
    <row r="890" spans="1:5">
      <c r="A890" s="64">
        <v>42684</v>
      </c>
      <c r="B890" s="65" t="s">
        <v>73</v>
      </c>
      <c r="C890" s="65" t="s">
        <v>127</v>
      </c>
      <c r="D890" s="65" t="s">
        <v>126</v>
      </c>
      <c r="E890" t="str">
        <f t="shared" si="17"/>
        <v>Delregion Göteborg</v>
      </c>
    </row>
    <row r="891" spans="1:5">
      <c r="A891" s="64">
        <v>42684</v>
      </c>
      <c r="B891" s="65" t="s">
        <v>115</v>
      </c>
      <c r="C891" s="65" t="s">
        <v>127</v>
      </c>
      <c r="D891" s="65" t="s">
        <v>126</v>
      </c>
      <c r="E891" t="str">
        <f t="shared" si="17"/>
        <v>Delregion Göteborg</v>
      </c>
    </row>
    <row r="892" spans="1:5">
      <c r="A892" s="64">
        <v>42684</v>
      </c>
      <c r="B892" s="65" t="s">
        <v>115</v>
      </c>
      <c r="C892" s="65" t="s">
        <v>131</v>
      </c>
      <c r="D892" s="65" t="s">
        <v>126</v>
      </c>
      <c r="E892" t="str">
        <f t="shared" si="17"/>
        <v>Delregion Göteborg</v>
      </c>
    </row>
    <row r="893" spans="1:5">
      <c r="A893" s="64">
        <v>42685</v>
      </c>
      <c r="B893" s="65" t="s">
        <v>94</v>
      </c>
      <c r="C893" s="65" t="s">
        <v>85</v>
      </c>
      <c r="D893" s="65" t="s">
        <v>75</v>
      </c>
      <c r="E893" t="str">
        <f t="shared" si="17"/>
        <v>Delregion Fyrbodal</v>
      </c>
    </row>
    <row r="894" spans="1:5">
      <c r="A894" s="64">
        <v>42685</v>
      </c>
      <c r="B894" s="65" t="s">
        <v>73</v>
      </c>
      <c r="C894" s="65" t="s">
        <v>85</v>
      </c>
      <c r="D894" s="65" t="s">
        <v>75</v>
      </c>
      <c r="E894" t="str">
        <f t="shared" si="17"/>
        <v>Delregion Göteborg</v>
      </c>
    </row>
    <row r="895" spans="1:5">
      <c r="A895" s="64">
        <v>42685</v>
      </c>
      <c r="B895" s="65" t="s">
        <v>76</v>
      </c>
      <c r="C895" s="65" t="s">
        <v>91</v>
      </c>
      <c r="D895" s="65" t="s">
        <v>75</v>
      </c>
      <c r="E895" t="str">
        <f t="shared" si="17"/>
        <v>Delregion Skaraborg</v>
      </c>
    </row>
    <row r="896" spans="1:5">
      <c r="A896" s="64">
        <v>42685</v>
      </c>
      <c r="B896" s="65" t="s">
        <v>73</v>
      </c>
      <c r="C896" s="65" t="s">
        <v>130</v>
      </c>
      <c r="D896" s="65" t="s">
        <v>126</v>
      </c>
      <c r="E896" t="str">
        <f t="shared" si="17"/>
        <v>Delregion Göteborg</v>
      </c>
    </row>
    <row r="897" spans="1:5">
      <c r="A897" s="64">
        <v>42688</v>
      </c>
      <c r="B897" s="65" t="s">
        <v>73</v>
      </c>
      <c r="C897" s="65" t="s">
        <v>130</v>
      </c>
      <c r="D897" s="65" t="s">
        <v>126</v>
      </c>
      <c r="E897" t="str">
        <f t="shared" si="17"/>
        <v>Delregion Göteborg</v>
      </c>
    </row>
    <row r="898" spans="1:5">
      <c r="A898" s="64">
        <v>42688</v>
      </c>
      <c r="B898" s="65" t="s">
        <v>73</v>
      </c>
      <c r="C898" s="65" t="s">
        <v>127</v>
      </c>
      <c r="D898" s="65" t="s">
        <v>126</v>
      </c>
      <c r="E898" t="str">
        <f t="shared" si="17"/>
        <v>Delregion Göteborg</v>
      </c>
    </row>
    <row r="899" spans="1:5">
      <c r="A899" s="64">
        <v>42688</v>
      </c>
      <c r="B899" s="65" t="s">
        <v>73</v>
      </c>
      <c r="C899" s="65" t="s">
        <v>131</v>
      </c>
      <c r="D899" s="65" t="s">
        <v>126</v>
      </c>
      <c r="E899" t="str">
        <f t="shared" si="17"/>
        <v>Delregion Göteborg</v>
      </c>
    </row>
    <row r="900" spans="1:5">
      <c r="A900" s="64">
        <v>42689</v>
      </c>
      <c r="B900" s="65" t="s">
        <v>73</v>
      </c>
      <c r="C900" s="65" t="s">
        <v>125</v>
      </c>
      <c r="D900" s="65" t="s">
        <v>126</v>
      </c>
      <c r="E900" t="str">
        <f t="shared" si="17"/>
        <v>Delregion Göteborg</v>
      </c>
    </row>
    <row r="901" spans="1:5">
      <c r="A901" s="64">
        <v>42689</v>
      </c>
      <c r="B901" s="65" t="s">
        <v>115</v>
      </c>
      <c r="C901" s="65" t="s">
        <v>131</v>
      </c>
      <c r="D901" s="65" t="s">
        <v>126</v>
      </c>
      <c r="E901" t="str">
        <f t="shared" si="17"/>
        <v>Delregion Göteborg</v>
      </c>
    </row>
    <row r="902" spans="1:5">
      <c r="A902" s="64">
        <v>42690</v>
      </c>
      <c r="B902" s="65" t="s">
        <v>95</v>
      </c>
      <c r="C902" s="65" t="s">
        <v>85</v>
      </c>
      <c r="D902" s="65" t="s">
        <v>75</v>
      </c>
      <c r="E902" t="str">
        <f t="shared" si="17"/>
        <v>Delregion Södra Älvsborg</v>
      </c>
    </row>
    <row r="903" spans="1:5">
      <c r="A903" s="64">
        <v>42691</v>
      </c>
      <c r="B903" s="65" t="s">
        <v>73</v>
      </c>
      <c r="C903" s="65" t="s">
        <v>131</v>
      </c>
      <c r="D903" s="65" t="s">
        <v>126</v>
      </c>
      <c r="E903" t="str">
        <f t="shared" si="17"/>
        <v>Delregion Göteborg</v>
      </c>
    </row>
    <row r="904" spans="1:5">
      <c r="A904" s="64">
        <v>42695</v>
      </c>
      <c r="B904" s="65" t="s">
        <v>77</v>
      </c>
      <c r="C904" s="65" t="s">
        <v>85</v>
      </c>
      <c r="D904" s="65" t="s">
        <v>75</v>
      </c>
      <c r="E904" t="str">
        <f t="shared" si="17"/>
        <v>Delregion SIMBA</v>
      </c>
    </row>
    <row r="905" spans="1:5">
      <c r="A905" s="64">
        <v>42695</v>
      </c>
      <c r="B905" s="65" t="s">
        <v>86</v>
      </c>
      <c r="C905" s="65" t="s">
        <v>85</v>
      </c>
      <c r="D905" s="65" t="s">
        <v>75</v>
      </c>
      <c r="E905" t="str">
        <f t="shared" si="17"/>
        <v>Delregion Fyrbodal</v>
      </c>
    </row>
    <row r="906" spans="1:5">
      <c r="A906" s="64">
        <v>42696</v>
      </c>
      <c r="B906" s="65" t="s">
        <v>80</v>
      </c>
      <c r="C906" s="65" t="s">
        <v>85</v>
      </c>
      <c r="D906" s="65" t="s">
        <v>75</v>
      </c>
      <c r="E906" t="str">
        <f t="shared" si="17"/>
        <v>Delregion Södra Älvsborg</v>
      </c>
    </row>
    <row r="907" spans="1:5">
      <c r="A907" s="64">
        <v>42698</v>
      </c>
      <c r="B907" s="65" t="s">
        <v>106</v>
      </c>
      <c r="C907" s="65" t="s">
        <v>85</v>
      </c>
      <c r="D907" s="65" t="s">
        <v>75</v>
      </c>
      <c r="E907" t="str">
        <f t="shared" si="17"/>
        <v>Delregion Fyrbodal</v>
      </c>
    </row>
    <row r="908" spans="1:5">
      <c r="A908" s="64">
        <v>42699</v>
      </c>
      <c r="B908" s="65" t="s">
        <v>73</v>
      </c>
      <c r="C908" s="65" t="s">
        <v>125</v>
      </c>
      <c r="D908" s="65" t="s">
        <v>126</v>
      </c>
      <c r="E908" t="str">
        <f t="shared" si="17"/>
        <v>Delregion Göteborg</v>
      </c>
    </row>
    <row r="909" spans="1:5">
      <c r="A909" s="64">
        <v>42699</v>
      </c>
      <c r="B909" s="65" t="s">
        <v>73</v>
      </c>
      <c r="C909" s="65" t="s">
        <v>125</v>
      </c>
      <c r="D909" s="65" t="s">
        <v>126</v>
      </c>
      <c r="E909" t="str">
        <f t="shared" ref="E909:E972" si="18">VLOOKUP(B909,$Q$14:$R$62,2,FALSE)</f>
        <v>Delregion Göteborg</v>
      </c>
    </row>
    <row r="910" spans="1:5">
      <c r="A910" s="64">
        <v>42702</v>
      </c>
      <c r="B910" s="65" t="s">
        <v>104</v>
      </c>
      <c r="C910" s="65" t="s">
        <v>85</v>
      </c>
      <c r="D910" s="65" t="s">
        <v>75</v>
      </c>
      <c r="E910" t="str">
        <f t="shared" si="18"/>
        <v>Delregion SIMBA</v>
      </c>
    </row>
    <row r="911" spans="1:5">
      <c r="A911" s="64">
        <v>42702</v>
      </c>
      <c r="B911" s="65" t="s">
        <v>73</v>
      </c>
      <c r="C911" s="65" t="s">
        <v>83</v>
      </c>
      <c r="D911" s="65" t="s">
        <v>75</v>
      </c>
      <c r="E911" t="str">
        <f t="shared" si="18"/>
        <v>Delregion Göteborg</v>
      </c>
    </row>
    <row r="912" spans="1:5">
      <c r="A912" s="64">
        <v>42703</v>
      </c>
      <c r="B912" s="65" t="s">
        <v>73</v>
      </c>
      <c r="C912" s="65" t="s">
        <v>134</v>
      </c>
      <c r="D912" s="65" t="s">
        <v>126</v>
      </c>
      <c r="E912" t="str">
        <f t="shared" si="18"/>
        <v>Delregion Göteborg</v>
      </c>
    </row>
    <row r="913" spans="1:5">
      <c r="A913" s="64">
        <v>42703</v>
      </c>
      <c r="B913" s="65" t="s">
        <v>76</v>
      </c>
      <c r="C913" s="65" t="s">
        <v>129</v>
      </c>
      <c r="D913" s="65" t="s">
        <v>126</v>
      </c>
      <c r="E913" t="str">
        <f t="shared" si="18"/>
        <v>Delregion Skaraborg</v>
      </c>
    </row>
    <row r="914" spans="1:5">
      <c r="A914" s="64">
        <v>42704</v>
      </c>
      <c r="B914" s="65" t="s">
        <v>113</v>
      </c>
      <c r="C914" s="65" t="s">
        <v>127</v>
      </c>
      <c r="D914" s="65" t="s">
        <v>126</v>
      </c>
      <c r="E914" t="str">
        <f t="shared" si="18"/>
        <v>Delregion Skaraborg</v>
      </c>
    </row>
    <row r="915" spans="1:5">
      <c r="A915" s="64">
        <v>42706</v>
      </c>
      <c r="B915" s="65" t="s">
        <v>99</v>
      </c>
      <c r="C915" s="65" t="s">
        <v>85</v>
      </c>
      <c r="D915" s="65" t="s">
        <v>75</v>
      </c>
      <c r="E915" t="str">
        <f t="shared" si="18"/>
        <v>Delregion Skaraborg</v>
      </c>
    </row>
    <row r="916" spans="1:5">
      <c r="A916" s="64">
        <v>42706</v>
      </c>
      <c r="B916" s="65" t="s">
        <v>82</v>
      </c>
      <c r="C916" s="65" t="s">
        <v>85</v>
      </c>
      <c r="D916" s="65" t="s">
        <v>75</v>
      </c>
      <c r="E916" t="str">
        <f t="shared" si="18"/>
        <v>Delregion Fyrbodal</v>
      </c>
    </row>
    <row r="917" spans="1:5">
      <c r="A917" s="64">
        <v>42706</v>
      </c>
      <c r="B917" s="65" t="s">
        <v>81</v>
      </c>
      <c r="C917" s="65" t="s">
        <v>83</v>
      </c>
      <c r="D917" s="65" t="s">
        <v>75</v>
      </c>
      <c r="E917" t="str">
        <f t="shared" si="18"/>
        <v>Delregion Fyrbodal</v>
      </c>
    </row>
    <row r="918" spans="1:5">
      <c r="A918" s="64">
        <v>42709</v>
      </c>
      <c r="B918" s="65" t="s">
        <v>97</v>
      </c>
      <c r="C918" s="65" t="s">
        <v>83</v>
      </c>
      <c r="D918" s="65" t="s">
        <v>75</v>
      </c>
      <c r="E918" t="str">
        <f t="shared" si="18"/>
        <v>Delregion Fyrbodal</v>
      </c>
    </row>
    <row r="919" spans="1:5">
      <c r="A919" s="64">
        <v>42709</v>
      </c>
      <c r="B919" s="65" t="s">
        <v>97</v>
      </c>
      <c r="C919" s="65" t="s">
        <v>129</v>
      </c>
      <c r="D919" s="65" t="s">
        <v>126</v>
      </c>
      <c r="E919" t="str">
        <f t="shared" si="18"/>
        <v>Delregion Fyrbodal</v>
      </c>
    </row>
    <row r="920" spans="1:5">
      <c r="A920" s="64">
        <v>42710</v>
      </c>
      <c r="B920" s="65" t="s">
        <v>103</v>
      </c>
      <c r="C920" s="65" t="s">
        <v>83</v>
      </c>
      <c r="D920" s="65" t="s">
        <v>75</v>
      </c>
      <c r="E920" t="str">
        <f t="shared" si="18"/>
        <v>Delregion Göteborg</v>
      </c>
    </row>
    <row r="921" spans="1:5">
      <c r="A921" s="64">
        <v>42711</v>
      </c>
      <c r="B921" s="65" t="s">
        <v>97</v>
      </c>
      <c r="C921" s="65" t="s">
        <v>85</v>
      </c>
      <c r="D921" s="65" t="s">
        <v>75</v>
      </c>
      <c r="E921" t="str">
        <f t="shared" si="18"/>
        <v>Delregion Fyrbodal</v>
      </c>
    </row>
    <row r="922" spans="1:5">
      <c r="A922" s="64">
        <v>42712</v>
      </c>
      <c r="B922" s="65" t="s">
        <v>98</v>
      </c>
      <c r="C922" s="65" t="s">
        <v>96</v>
      </c>
      <c r="D922" s="65" t="s">
        <v>75</v>
      </c>
      <c r="E922" t="str">
        <f t="shared" si="18"/>
        <v>Delregion Göteborg</v>
      </c>
    </row>
    <row r="923" spans="1:5">
      <c r="A923" s="64">
        <v>42713</v>
      </c>
      <c r="B923" s="65" t="s">
        <v>73</v>
      </c>
      <c r="C923" s="65" t="s">
        <v>85</v>
      </c>
      <c r="D923" s="65" t="s">
        <v>75</v>
      </c>
      <c r="E923" t="str">
        <f t="shared" si="18"/>
        <v>Delregion Göteborg</v>
      </c>
    </row>
    <row r="924" spans="1:5">
      <c r="A924" s="64">
        <v>42713</v>
      </c>
      <c r="B924" s="65" t="s">
        <v>115</v>
      </c>
      <c r="C924" s="65" t="s">
        <v>131</v>
      </c>
      <c r="D924" s="65" t="s">
        <v>126</v>
      </c>
      <c r="E924" t="str">
        <f t="shared" si="18"/>
        <v>Delregion Göteborg</v>
      </c>
    </row>
    <row r="925" spans="1:5">
      <c r="A925" s="64">
        <v>42713</v>
      </c>
      <c r="B925" s="65" t="s">
        <v>115</v>
      </c>
      <c r="C925" s="65" t="s">
        <v>131</v>
      </c>
      <c r="D925" s="65" t="s">
        <v>126</v>
      </c>
      <c r="E925" t="str">
        <f t="shared" si="18"/>
        <v>Delregion Göteborg</v>
      </c>
    </row>
    <row r="926" spans="1:5">
      <c r="A926" s="64">
        <v>42716</v>
      </c>
      <c r="B926" s="65" t="s">
        <v>73</v>
      </c>
      <c r="C926" s="65" t="s">
        <v>83</v>
      </c>
      <c r="D926" s="65" t="s">
        <v>75</v>
      </c>
      <c r="E926" t="str">
        <f t="shared" si="18"/>
        <v>Delregion Göteborg</v>
      </c>
    </row>
    <row r="927" spans="1:5">
      <c r="A927" s="64">
        <v>42716</v>
      </c>
      <c r="B927" s="65" t="s">
        <v>73</v>
      </c>
      <c r="C927" s="65" t="s">
        <v>83</v>
      </c>
      <c r="D927" s="65" t="s">
        <v>75</v>
      </c>
      <c r="E927" t="str">
        <f t="shared" si="18"/>
        <v>Delregion Göteborg</v>
      </c>
    </row>
    <row r="928" spans="1:5">
      <c r="A928" s="64">
        <v>42717</v>
      </c>
      <c r="B928" s="65" t="s">
        <v>95</v>
      </c>
      <c r="C928" s="65" t="s">
        <v>134</v>
      </c>
      <c r="D928" s="65" t="s">
        <v>126</v>
      </c>
      <c r="E928" t="str">
        <f t="shared" si="18"/>
        <v>Delregion Södra Älvsborg</v>
      </c>
    </row>
    <row r="929" spans="1:5">
      <c r="A929" s="64">
        <v>42718</v>
      </c>
      <c r="B929" s="65" t="s">
        <v>73</v>
      </c>
      <c r="C929" s="65" t="s">
        <v>85</v>
      </c>
      <c r="D929" s="65" t="s">
        <v>75</v>
      </c>
      <c r="E929" t="str">
        <f t="shared" si="18"/>
        <v>Delregion Göteborg</v>
      </c>
    </row>
    <row r="930" spans="1:5">
      <c r="A930" s="64">
        <v>42718</v>
      </c>
      <c r="B930" s="65" t="s">
        <v>93</v>
      </c>
      <c r="C930" s="65" t="s">
        <v>96</v>
      </c>
      <c r="D930" s="65" t="s">
        <v>75</v>
      </c>
      <c r="E930" t="str">
        <f t="shared" si="18"/>
        <v>Delregion Södra Älvsborg</v>
      </c>
    </row>
    <row r="931" spans="1:5">
      <c r="A931" s="64">
        <v>42718</v>
      </c>
      <c r="B931" s="65" t="s">
        <v>77</v>
      </c>
      <c r="C931" s="65" t="s">
        <v>118</v>
      </c>
      <c r="D931" s="65" t="s">
        <v>75</v>
      </c>
      <c r="E931" t="str">
        <f t="shared" si="18"/>
        <v>Delregion SIMBA</v>
      </c>
    </row>
    <row r="932" spans="1:5">
      <c r="A932" s="64">
        <v>42718</v>
      </c>
      <c r="B932" s="65" t="s">
        <v>115</v>
      </c>
      <c r="C932" s="65" t="s">
        <v>130</v>
      </c>
      <c r="D932" s="65" t="s">
        <v>126</v>
      </c>
      <c r="E932" t="str">
        <f t="shared" si="18"/>
        <v>Delregion Göteborg</v>
      </c>
    </row>
    <row r="933" spans="1:5">
      <c r="A933" s="64">
        <v>42718</v>
      </c>
      <c r="B933" s="65" t="s">
        <v>73</v>
      </c>
      <c r="C933" s="65" t="s">
        <v>125</v>
      </c>
      <c r="D933" s="65" t="s">
        <v>126</v>
      </c>
      <c r="E933" t="str">
        <f t="shared" si="18"/>
        <v>Delregion Göteborg</v>
      </c>
    </row>
    <row r="934" spans="1:5">
      <c r="A934" s="64">
        <v>42719</v>
      </c>
      <c r="B934" s="65" t="s">
        <v>73</v>
      </c>
      <c r="C934" s="65" t="s">
        <v>118</v>
      </c>
      <c r="D934" s="65" t="s">
        <v>75</v>
      </c>
      <c r="E934" t="str">
        <f t="shared" si="18"/>
        <v>Delregion Göteborg</v>
      </c>
    </row>
    <row r="935" spans="1:5">
      <c r="A935" s="64">
        <v>42719</v>
      </c>
      <c r="B935" s="65" t="s">
        <v>115</v>
      </c>
      <c r="C935" s="65" t="s">
        <v>127</v>
      </c>
      <c r="D935" s="65" t="s">
        <v>126</v>
      </c>
      <c r="E935" t="str">
        <f t="shared" si="18"/>
        <v>Delregion Göteborg</v>
      </c>
    </row>
    <row r="936" spans="1:5">
      <c r="A936" s="64">
        <v>42719</v>
      </c>
      <c r="B936" s="65" t="s">
        <v>116</v>
      </c>
      <c r="C936" s="65" t="s">
        <v>127</v>
      </c>
      <c r="D936" s="65" t="s">
        <v>126</v>
      </c>
      <c r="E936" t="str">
        <f t="shared" si="18"/>
        <v>Delregion Södra Älvsborg</v>
      </c>
    </row>
    <row r="937" spans="1:5">
      <c r="A937" s="64">
        <v>42720</v>
      </c>
      <c r="B937" s="65" t="s">
        <v>98</v>
      </c>
      <c r="C937" s="65" t="s">
        <v>127</v>
      </c>
      <c r="D937" s="65" t="s">
        <v>126</v>
      </c>
      <c r="E937" t="str">
        <f t="shared" si="18"/>
        <v>Delregion Göteborg</v>
      </c>
    </row>
    <row r="938" spans="1:5">
      <c r="A938" s="64">
        <v>42723</v>
      </c>
      <c r="B938" s="65" t="s">
        <v>73</v>
      </c>
      <c r="C938" s="65" t="s">
        <v>85</v>
      </c>
      <c r="D938" s="65" t="s">
        <v>75</v>
      </c>
      <c r="E938" t="str">
        <f t="shared" si="18"/>
        <v>Delregion Göteborg</v>
      </c>
    </row>
    <row r="939" spans="1:5">
      <c r="A939" s="64">
        <v>42723</v>
      </c>
      <c r="B939" s="65" t="s">
        <v>73</v>
      </c>
      <c r="C939" s="65" t="s">
        <v>83</v>
      </c>
      <c r="D939" s="65" t="s">
        <v>75</v>
      </c>
      <c r="E939" t="str">
        <f t="shared" si="18"/>
        <v>Delregion Göteborg</v>
      </c>
    </row>
    <row r="940" spans="1:5">
      <c r="A940" s="64">
        <v>42724</v>
      </c>
      <c r="B940" s="65" t="s">
        <v>73</v>
      </c>
      <c r="C940" s="65" t="s">
        <v>118</v>
      </c>
      <c r="D940" s="65" t="s">
        <v>75</v>
      </c>
      <c r="E940" t="str">
        <f t="shared" si="18"/>
        <v>Delregion Göteborg</v>
      </c>
    </row>
    <row r="941" spans="1:5">
      <c r="A941" s="64">
        <v>42725</v>
      </c>
      <c r="B941" s="65" t="s">
        <v>77</v>
      </c>
      <c r="C941" s="65" t="s">
        <v>100</v>
      </c>
      <c r="D941" s="65" t="s">
        <v>75</v>
      </c>
      <c r="E941" t="str">
        <f t="shared" si="18"/>
        <v>Delregion SIMBA</v>
      </c>
    </row>
    <row r="942" spans="1:5">
      <c r="A942" s="64">
        <v>42726</v>
      </c>
      <c r="B942" s="65" t="s">
        <v>76</v>
      </c>
      <c r="C942" s="65" t="s">
        <v>85</v>
      </c>
      <c r="D942" s="65" t="s">
        <v>75</v>
      </c>
      <c r="E942" t="str">
        <f t="shared" si="18"/>
        <v>Delregion Skaraborg</v>
      </c>
    </row>
    <row r="943" spans="1:5">
      <c r="A943" s="64">
        <v>42726</v>
      </c>
      <c r="B943" s="65" t="s">
        <v>76</v>
      </c>
      <c r="C943" s="65" t="s">
        <v>85</v>
      </c>
      <c r="D943" s="65" t="s">
        <v>75</v>
      </c>
      <c r="E943" t="str">
        <f t="shared" si="18"/>
        <v>Delregion Skaraborg</v>
      </c>
    </row>
    <row r="944" spans="1:5">
      <c r="A944" s="64">
        <v>42726</v>
      </c>
      <c r="B944" s="65" t="s">
        <v>99</v>
      </c>
      <c r="C944" s="65" t="s">
        <v>83</v>
      </c>
      <c r="D944" s="65" t="s">
        <v>75</v>
      </c>
      <c r="E944" t="str">
        <f t="shared" si="18"/>
        <v>Delregion Skaraborg</v>
      </c>
    </row>
    <row r="945" spans="1:5">
      <c r="A945" s="64">
        <v>42731</v>
      </c>
      <c r="B945" s="65" t="s">
        <v>73</v>
      </c>
      <c r="C945" s="65" t="s">
        <v>85</v>
      </c>
      <c r="D945" s="65" t="s">
        <v>75</v>
      </c>
      <c r="E945" t="str">
        <f t="shared" si="18"/>
        <v>Delregion Göteborg</v>
      </c>
    </row>
    <row r="946" spans="1:5">
      <c r="A946" s="64">
        <v>42731</v>
      </c>
      <c r="B946" s="65" t="s">
        <v>73</v>
      </c>
      <c r="C946" s="65" t="s">
        <v>85</v>
      </c>
      <c r="D946" s="65" t="s">
        <v>75</v>
      </c>
      <c r="E946" t="str">
        <f t="shared" si="18"/>
        <v>Delregion Göteborg</v>
      </c>
    </row>
    <row r="947" spans="1:5">
      <c r="A947" s="64">
        <v>42731</v>
      </c>
      <c r="B947" s="65" t="s">
        <v>73</v>
      </c>
      <c r="C947" s="65" t="s">
        <v>127</v>
      </c>
      <c r="D947" s="65" t="s">
        <v>126</v>
      </c>
      <c r="E947" t="str">
        <f t="shared" si="18"/>
        <v>Delregion Göteborg</v>
      </c>
    </row>
    <row r="948" spans="1:5">
      <c r="A948" s="64">
        <v>42732</v>
      </c>
      <c r="B948" s="65" t="s">
        <v>111</v>
      </c>
      <c r="C948" s="65" t="s">
        <v>118</v>
      </c>
      <c r="D948" s="65" t="s">
        <v>75</v>
      </c>
      <c r="E948" t="str">
        <f t="shared" si="18"/>
        <v>Delregion Skaraborg</v>
      </c>
    </row>
    <row r="949" spans="1:5">
      <c r="A949" s="64">
        <v>42732</v>
      </c>
      <c r="B949" s="65" t="s">
        <v>73</v>
      </c>
      <c r="C949" s="65" t="s">
        <v>91</v>
      </c>
      <c r="D949" s="65" t="s">
        <v>75</v>
      </c>
      <c r="E949" t="str">
        <f t="shared" si="18"/>
        <v>Delregion Göteborg</v>
      </c>
    </row>
    <row r="950" spans="1:5">
      <c r="A950" s="64">
        <v>42733</v>
      </c>
      <c r="B950" s="65" t="s">
        <v>95</v>
      </c>
      <c r="C950" s="65" t="s">
        <v>85</v>
      </c>
      <c r="D950" s="65" t="s">
        <v>75</v>
      </c>
      <c r="E950" t="str">
        <f t="shared" si="18"/>
        <v>Delregion Södra Älvsborg</v>
      </c>
    </row>
    <row r="951" spans="1:5">
      <c r="A951" s="64">
        <v>42734</v>
      </c>
      <c r="B951" s="65" t="s">
        <v>120</v>
      </c>
      <c r="C951" s="65" t="s">
        <v>129</v>
      </c>
      <c r="D951" s="65" t="s">
        <v>126</v>
      </c>
      <c r="E951" t="str">
        <f t="shared" si="18"/>
        <v>Delregion Södra Älvsborg</v>
      </c>
    </row>
    <row r="952" spans="1:5">
      <c r="A952" s="64">
        <v>42734</v>
      </c>
      <c r="B952" s="65" t="s">
        <v>87</v>
      </c>
      <c r="C952" s="65" t="s">
        <v>129</v>
      </c>
      <c r="D952" s="65" t="s">
        <v>126</v>
      </c>
      <c r="E952" t="str">
        <f t="shared" si="18"/>
        <v>Delregion Skaraborg</v>
      </c>
    </row>
    <row r="953" spans="1:5">
      <c r="A953" s="64"/>
      <c r="B953" s="65"/>
      <c r="C953" s="65"/>
      <c r="D953" s="65"/>
      <c r="E953" t="e">
        <f t="shared" si="18"/>
        <v>#N/A</v>
      </c>
    </row>
    <row r="954" spans="1:5">
      <c r="A954" s="64"/>
      <c r="B954" s="65"/>
      <c r="C954" s="65"/>
      <c r="D954" s="65"/>
      <c r="E954" t="e">
        <f t="shared" si="18"/>
        <v>#N/A</v>
      </c>
    </row>
    <row r="955" spans="1:5">
      <c r="A955" s="64"/>
      <c r="B955" s="65"/>
      <c r="C955" s="65"/>
      <c r="D955" s="65"/>
      <c r="E955" t="e">
        <f t="shared" si="18"/>
        <v>#N/A</v>
      </c>
    </row>
    <row r="956" spans="1:5">
      <c r="A956" s="64"/>
      <c r="B956" s="65"/>
      <c r="C956" s="65"/>
      <c r="D956" s="65"/>
      <c r="E956" t="e">
        <f t="shared" si="18"/>
        <v>#N/A</v>
      </c>
    </row>
    <row r="957" spans="1:5">
      <c r="A957" s="64"/>
      <c r="B957" s="65"/>
      <c r="C957" s="65"/>
      <c r="D957" s="65"/>
      <c r="E957" t="e">
        <f t="shared" si="18"/>
        <v>#N/A</v>
      </c>
    </row>
    <row r="958" spans="1:5">
      <c r="A958" s="64"/>
      <c r="B958" s="65"/>
      <c r="C958" s="65"/>
      <c r="D958" s="65"/>
      <c r="E958" t="e">
        <f t="shared" si="18"/>
        <v>#N/A</v>
      </c>
    </row>
    <row r="959" spans="1:5">
      <c r="A959" s="64"/>
      <c r="E959" t="e">
        <f t="shared" si="18"/>
        <v>#N/A</v>
      </c>
    </row>
    <row r="960" spans="1:5">
      <c r="A960" s="64"/>
      <c r="E960" t="e">
        <f t="shared" si="18"/>
        <v>#N/A</v>
      </c>
    </row>
    <row r="961" spans="1:5">
      <c r="A961" s="64"/>
      <c r="E961" t="e">
        <f t="shared" si="18"/>
        <v>#N/A</v>
      </c>
    </row>
    <row r="962" spans="1:5">
      <c r="A962" s="64"/>
      <c r="E962" t="e">
        <f t="shared" si="18"/>
        <v>#N/A</v>
      </c>
    </row>
    <row r="963" spans="1:5">
      <c r="A963" s="64"/>
      <c r="E963" t="e">
        <f t="shared" si="18"/>
        <v>#N/A</v>
      </c>
    </row>
    <row r="964" spans="1:5">
      <c r="A964" s="64"/>
      <c r="E964" t="e">
        <f t="shared" si="18"/>
        <v>#N/A</v>
      </c>
    </row>
    <row r="965" spans="1:5">
      <c r="A965" s="64"/>
      <c r="E965" t="e">
        <f t="shared" si="18"/>
        <v>#N/A</v>
      </c>
    </row>
    <row r="966" spans="1:5">
      <c r="A966" s="64"/>
      <c r="E966" t="e">
        <f t="shared" si="18"/>
        <v>#N/A</v>
      </c>
    </row>
    <row r="967" spans="1:5">
      <c r="A967" s="64"/>
      <c r="E967" t="e">
        <f t="shared" si="18"/>
        <v>#N/A</v>
      </c>
    </row>
    <row r="968" spans="1:5">
      <c r="A968" s="64"/>
      <c r="E968" t="e">
        <f t="shared" si="18"/>
        <v>#N/A</v>
      </c>
    </row>
    <row r="969" spans="1:5">
      <c r="A969" s="64"/>
      <c r="E969" t="e">
        <f t="shared" si="18"/>
        <v>#N/A</v>
      </c>
    </row>
    <row r="970" spans="1:5">
      <c r="A970" s="64"/>
      <c r="E970" t="e">
        <f t="shared" si="18"/>
        <v>#N/A</v>
      </c>
    </row>
    <row r="971" spans="1:5">
      <c r="A971" s="64"/>
      <c r="E971" t="e">
        <f t="shared" si="18"/>
        <v>#N/A</v>
      </c>
    </row>
    <row r="972" spans="1:5">
      <c r="A972" s="64"/>
      <c r="E972" t="e">
        <f t="shared" si="18"/>
        <v>#N/A</v>
      </c>
    </row>
    <row r="973" spans="1:5">
      <c r="A973" s="64"/>
      <c r="E973" t="e">
        <f t="shared" ref="E973:E1036" si="19">VLOOKUP(B973,$Q$14:$R$62,2,FALSE)</f>
        <v>#N/A</v>
      </c>
    </row>
    <row r="974" spans="1:5">
      <c r="A974" s="64"/>
      <c r="E974" t="e">
        <f t="shared" si="19"/>
        <v>#N/A</v>
      </c>
    </row>
    <row r="975" spans="1:5">
      <c r="A975" s="64"/>
      <c r="E975" t="e">
        <f t="shared" si="19"/>
        <v>#N/A</v>
      </c>
    </row>
    <row r="976" spans="1:5">
      <c r="A976" s="64"/>
      <c r="E976" t="e">
        <f t="shared" si="19"/>
        <v>#N/A</v>
      </c>
    </row>
    <row r="977" spans="1:5">
      <c r="A977" s="64"/>
      <c r="E977" t="e">
        <f t="shared" si="19"/>
        <v>#N/A</v>
      </c>
    </row>
    <row r="978" spans="1:5">
      <c r="A978" s="64"/>
      <c r="E978" t="e">
        <f t="shared" si="19"/>
        <v>#N/A</v>
      </c>
    </row>
    <row r="979" spans="1:5">
      <c r="A979" s="64"/>
      <c r="E979" t="e">
        <f t="shared" si="19"/>
        <v>#N/A</v>
      </c>
    </row>
    <row r="980" spans="1:5">
      <c r="A980" s="64"/>
      <c r="E980" t="e">
        <f t="shared" si="19"/>
        <v>#N/A</v>
      </c>
    </row>
    <row r="981" spans="1:5">
      <c r="A981" s="64"/>
      <c r="E981" t="e">
        <f t="shared" si="19"/>
        <v>#N/A</v>
      </c>
    </row>
    <row r="982" spans="1:5">
      <c r="A982" s="64"/>
      <c r="E982" t="e">
        <f t="shared" si="19"/>
        <v>#N/A</v>
      </c>
    </row>
    <row r="983" spans="1:5">
      <c r="A983" s="64"/>
      <c r="E983" t="e">
        <f t="shared" si="19"/>
        <v>#N/A</v>
      </c>
    </row>
    <row r="984" spans="1:5">
      <c r="A984" s="64"/>
      <c r="E984" t="e">
        <f t="shared" si="19"/>
        <v>#N/A</v>
      </c>
    </row>
    <row r="985" spans="1:5">
      <c r="A985" s="64"/>
      <c r="E985" t="e">
        <f t="shared" si="19"/>
        <v>#N/A</v>
      </c>
    </row>
    <row r="986" spans="1:5">
      <c r="A986" s="64"/>
      <c r="E986" t="e">
        <f t="shared" si="19"/>
        <v>#N/A</v>
      </c>
    </row>
    <row r="987" spans="1:5">
      <c r="A987" s="64"/>
      <c r="E987" t="e">
        <f t="shared" si="19"/>
        <v>#N/A</v>
      </c>
    </row>
    <row r="988" spans="1:5">
      <c r="A988" s="64"/>
      <c r="E988" t="e">
        <f t="shared" si="19"/>
        <v>#N/A</v>
      </c>
    </row>
    <row r="989" spans="1:5">
      <c r="A989" s="64"/>
      <c r="E989" t="e">
        <f t="shared" si="19"/>
        <v>#N/A</v>
      </c>
    </row>
    <row r="990" spans="1:5">
      <c r="A990" s="64"/>
      <c r="E990" t="e">
        <f t="shared" si="19"/>
        <v>#N/A</v>
      </c>
    </row>
    <row r="991" spans="1:5">
      <c r="A991" s="64"/>
      <c r="E991" t="e">
        <f t="shared" si="19"/>
        <v>#N/A</v>
      </c>
    </row>
    <row r="992" spans="1:5">
      <c r="A992" s="64"/>
      <c r="E992" t="e">
        <f t="shared" si="19"/>
        <v>#N/A</v>
      </c>
    </row>
    <row r="993" spans="1:5">
      <c r="A993" s="64"/>
      <c r="E993" t="e">
        <f t="shared" si="19"/>
        <v>#N/A</v>
      </c>
    </row>
    <row r="994" spans="1:5">
      <c r="A994" s="64"/>
      <c r="E994" t="e">
        <f t="shared" si="19"/>
        <v>#N/A</v>
      </c>
    </row>
    <row r="995" spans="1:5">
      <c r="A995" s="64"/>
      <c r="E995" t="e">
        <f t="shared" si="19"/>
        <v>#N/A</v>
      </c>
    </row>
    <row r="996" spans="1:5">
      <c r="A996" s="64"/>
      <c r="E996" t="e">
        <f t="shared" si="19"/>
        <v>#N/A</v>
      </c>
    </row>
    <row r="997" spans="1:5">
      <c r="A997" s="64"/>
      <c r="E997" t="e">
        <f t="shared" si="19"/>
        <v>#N/A</v>
      </c>
    </row>
    <row r="998" spans="1:5">
      <c r="A998" s="64"/>
      <c r="E998" t="e">
        <f t="shared" si="19"/>
        <v>#N/A</v>
      </c>
    </row>
    <row r="999" spans="1:5">
      <c r="A999" s="64"/>
      <c r="E999" t="e">
        <f t="shared" si="19"/>
        <v>#N/A</v>
      </c>
    </row>
    <row r="1000" spans="1:5">
      <c r="A1000" s="64"/>
      <c r="E1000" t="e">
        <f t="shared" si="19"/>
        <v>#N/A</v>
      </c>
    </row>
    <row r="1001" spans="1:5">
      <c r="A1001" s="64"/>
      <c r="E1001" t="e">
        <f t="shared" si="19"/>
        <v>#N/A</v>
      </c>
    </row>
    <row r="1002" spans="1:5">
      <c r="A1002" s="64"/>
      <c r="E1002" t="e">
        <f t="shared" si="19"/>
        <v>#N/A</v>
      </c>
    </row>
    <row r="1003" spans="1:5">
      <c r="A1003" s="64"/>
      <c r="E1003" t="e">
        <f t="shared" si="19"/>
        <v>#N/A</v>
      </c>
    </row>
    <row r="1004" spans="1:5">
      <c r="A1004" s="64"/>
      <c r="E1004" t="e">
        <f t="shared" si="19"/>
        <v>#N/A</v>
      </c>
    </row>
    <row r="1005" spans="1:5">
      <c r="A1005" s="64"/>
      <c r="E1005" t="e">
        <f t="shared" si="19"/>
        <v>#N/A</v>
      </c>
    </row>
    <row r="1006" spans="1:5">
      <c r="A1006" s="64"/>
      <c r="E1006" t="e">
        <f t="shared" si="19"/>
        <v>#N/A</v>
      </c>
    </row>
    <row r="1007" spans="1:5">
      <c r="A1007" s="64"/>
      <c r="E1007" t="e">
        <f t="shared" si="19"/>
        <v>#N/A</v>
      </c>
    </row>
    <row r="1008" spans="1:5">
      <c r="A1008" s="64"/>
      <c r="E1008" t="e">
        <f t="shared" si="19"/>
        <v>#N/A</v>
      </c>
    </row>
    <row r="1009" spans="1:5">
      <c r="A1009" s="64"/>
      <c r="E1009" t="e">
        <f t="shared" si="19"/>
        <v>#N/A</v>
      </c>
    </row>
    <row r="1010" spans="1:5">
      <c r="A1010" s="64"/>
      <c r="E1010" t="e">
        <f t="shared" si="19"/>
        <v>#N/A</v>
      </c>
    </row>
    <row r="1011" spans="1:5">
      <c r="A1011" s="64"/>
      <c r="E1011" t="e">
        <f t="shared" si="19"/>
        <v>#N/A</v>
      </c>
    </row>
    <row r="1012" spans="1:5">
      <c r="A1012" s="64"/>
      <c r="E1012" t="e">
        <f t="shared" si="19"/>
        <v>#N/A</v>
      </c>
    </row>
    <row r="1013" spans="1:5">
      <c r="A1013" s="64"/>
      <c r="E1013" t="e">
        <f t="shared" si="19"/>
        <v>#N/A</v>
      </c>
    </row>
    <row r="1014" spans="1:5">
      <c r="A1014" s="64"/>
      <c r="E1014" t="e">
        <f t="shared" si="19"/>
        <v>#N/A</v>
      </c>
    </row>
    <row r="1015" spans="1:5">
      <c r="A1015" s="64"/>
      <c r="E1015" t="e">
        <f t="shared" si="19"/>
        <v>#N/A</v>
      </c>
    </row>
    <row r="1016" spans="1:5">
      <c r="A1016" s="64"/>
      <c r="E1016" t="e">
        <f t="shared" si="19"/>
        <v>#N/A</v>
      </c>
    </row>
    <row r="1017" spans="1:5">
      <c r="A1017" s="64"/>
      <c r="E1017" t="e">
        <f t="shared" si="19"/>
        <v>#N/A</v>
      </c>
    </row>
    <row r="1018" spans="1:5">
      <c r="A1018" s="64"/>
      <c r="E1018" t="e">
        <f t="shared" si="19"/>
        <v>#N/A</v>
      </c>
    </row>
    <row r="1019" spans="1:5">
      <c r="A1019" s="64"/>
      <c r="E1019" t="e">
        <f t="shared" si="19"/>
        <v>#N/A</v>
      </c>
    </row>
    <row r="1020" spans="1:5">
      <c r="A1020" s="64"/>
      <c r="E1020" t="e">
        <f t="shared" si="19"/>
        <v>#N/A</v>
      </c>
    </row>
    <row r="1021" spans="1:5">
      <c r="A1021" s="64"/>
      <c r="E1021" t="e">
        <f t="shared" si="19"/>
        <v>#N/A</v>
      </c>
    </row>
    <row r="1022" spans="1:5">
      <c r="A1022" s="64"/>
      <c r="E1022" t="e">
        <f t="shared" si="19"/>
        <v>#N/A</v>
      </c>
    </row>
    <row r="1023" spans="1:5">
      <c r="A1023" s="64"/>
      <c r="E1023" t="e">
        <f t="shared" si="19"/>
        <v>#N/A</v>
      </c>
    </row>
    <row r="1024" spans="1:5">
      <c r="A1024" s="64"/>
      <c r="E1024" t="e">
        <f t="shared" si="19"/>
        <v>#N/A</v>
      </c>
    </row>
    <row r="1025" spans="1:5">
      <c r="A1025" s="64"/>
      <c r="E1025" t="e">
        <f t="shared" si="19"/>
        <v>#N/A</v>
      </c>
    </row>
    <row r="1026" spans="1:5">
      <c r="A1026" s="64"/>
      <c r="E1026" t="e">
        <f t="shared" si="19"/>
        <v>#N/A</v>
      </c>
    </row>
    <row r="1027" spans="1:5">
      <c r="A1027" s="64"/>
      <c r="E1027" t="e">
        <f t="shared" si="19"/>
        <v>#N/A</v>
      </c>
    </row>
    <row r="1028" spans="1:5">
      <c r="A1028" s="64"/>
      <c r="E1028" t="e">
        <f t="shared" si="19"/>
        <v>#N/A</v>
      </c>
    </row>
    <row r="1029" spans="1:5">
      <c r="A1029" s="64"/>
      <c r="E1029" t="e">
        <f t="shared" si="19"/>
        <v>#N/A</v>
      </c>
    </row>
    <row r="1030" spans="1:5">
      <c r="A1030" s="64"/>
      <c r="E1030" t="e">
        <f t="shared" si="19"/>
        <v>#N/A</v>
      </c>
    </row>
    <row r="1031" spans="1:5">
      <c r="A1031" s="64"/>
      <c r="E1031" t="e">
        <f t="shared" si="19"/>
        <v>#N/A</v>
      </c>
    </row>
    <row r="1032" spans="1:5">
      <c r="A1032" s="64"/>
      <c r="E1032" t="e">
        <f t="shared" si="19"/>
        <v>#N/A</v>
      </c>
    </row>
    <row r="1033" spans="1:5">
      <c r="A1033" s="64"/>
      <c r="E1033" t="e">
        <f t="shared" si="19"/>
        <v>#N/A</v>
      </c>
    </row>
    <row r="1034" spans="1:5">
      <c r="A1034" s="64"/>
      <c r="E1034" t="e">
        <f t="shared" si="19"/>
        <v>#N/A</v>
      </c>
    </row>
    <row r="1035" spans="1:5">
      <c r="A1035" s="64"/>
      <c r="E1035" t="e">
        <f t="shared" si="19"/>
        <v>#N/A</v>
      </c>
    </row>
    <row r="1036" spans="1:5">
      <c r="A1036" s="64"/>
      <c r="E1036" t="e">
        <f t="shared" si="19"/>
        <v>#N/A</v>
      </c>
    </row>
    <row r="1037" spans="1:5">
      <c r="A1037" s="64"/>
      <c r="E1037" t="e">
        <f t="shared" ref="E1037:E1100" si="20">VLOOKUP(B1037,$Q$14:$R$62,2,FALSE)</f>
        <v>#N/A</v>
      </c>
    </row>
    <row r="1038" spans="1:5">
      <c r="A1038" s="64"/>
      <c r="E1038" t="e">
        <f t="shared" si="20"/>
        <v>#N/A</v>
      </c>
    </row>
    <row r="1039" spans="1:5">
      <c r="A1039" s="64"/>
      <c r="E1039" t="e">
        <f t="shared" si="20"/>
        <v>#N/A</v>
      </c>
    </row>
    <row r="1040" spans="1:5">
      <c r="A1040" s="64"/>
      <c r="E1040" t="e">
        <f t="shared" si="20"/>
        <v>#N/A</v>
      </c>
    </row>
    <row r="1041" spans="1:5">
      <c r="A1041" s="64"/>
      <c r="E1041" t="e">
        <f t="shared" si="20"/>
        <v>#N/A</v>
      </c>
    </row>
    <row r="1042" spans="1:5">
      <c r="A1042" s="64"/>
      <c r="E1042" t="e">
        <f t="shared" si="20"/>
        <v>#N/A</v>
      </c>
    </row>
    <row r="1043" spans="1:5">
      <c r="A1043" s="64"/>
      <c r="E1043" t="e">
        <f t="shared" si="20"/>
        <v>#N/A</v>
      </c>
    </row>
    <row r="1044" spans="1:5">
      <c r="A1044" s="64"/>
      <c r="E1044" t="e">
        <f t="shared" si="20"/>
        <v>#N/A</v>
      </c>
    </row>
    <row r="1045" spans="1:5">
      <c r="A1045" s="64"/>
      <c r="E1045" t="e">
        <f t="shared" si="20"/>
        <v>#N/A</v>
      </c>
    </row>
    <row r="1046" spans="1:5">
      <c r="A1046" s="64"/>
      <c r="E1046" t="e">
        <f t="shared" si="20"/>
        <v>#N/A</v>
      </c>
    </row>
    <row r="1047" spans="1:5">
      <c r="A1047" s="64"/>
      <c r="E1047" t="e">
        <f t="shared" si="20"/>
        <v>#N/A</v>
      </c>
    </row>
    <row r="1048" spans="1:5">
      <c r="A1048" s="64"/>
      <c r="E1048" t="e">
        <f t="shared" si="20"/>
        <v>#N/A</v>
      </c>
    </row>
    <row r="1049" spans="1:5">
      <c r="A1049" s="64"/>
      <c r="E1049" t="e">
        <f t="shared" si="20"/>
        <v>#N/A</v>
      </c>
    </row>
    <row r="1050" spans="1:5">
      <c r="A1050" s="64"/>
      <c r="E1050" t="e">
        <f t="shared" si="20"/>
        <v>#N/A</v>
      </c>
    </row>
    <row r="1051" spans="1:5">
      <c r="A1051" s="64"/>
      <c r="E1051" t="e">
        <f t="shared" si="20"/>
        <v>#N/A</v>
      </c>
    </row>
    <row r="1052" spans="1:5">
      <c r="A1052" s="64"/>
      <c r="E1052" t="e">
        <f t="shared" si="20"/>
        <v>#N/A</v>
      </c>
    </row>
    <row r="1053" spans="1:5">
      <c r="A1053" s="64"/>
      <c r="E1053" t="e">
        <f t="shared" si="20"/>
        <v>#N/A</v>
      </c>
    </row>
    <row r="1054" spans="1:5">
      <c r="A1054" s="64"/>
      <c r="E1054" t="e">
        <f t="shared" si="20"/>
        <v>#N/A</v>
      </c>
    </row>
    <row r="1055" spans="1:5">
      <c r="A1055" s="64"/>
      <c r="E1055" t="e">
        <f t="shared" si="20"/>
        <v>#N/A</v>
      </c>
    </row>
    <row r="1056" spans="1:5">
      <c r="A1056" s="64"/>
      <c r="E1056" t="e">
        <f t="shared" si="20"/>
        <v>#N/A</v>
      </c>
    </row>
    <row r="1057" spans="1:5">
      <c r="A1057" s="64"/>
      <c r="E1057" t="e">
        <f t="shared" si="20"/>
        <v>#N/A</v>
      </c>
    </row>
    <row r="1058" spans="1:5">
      <c r="A1058" s="64"/>
      <c r="E1058" t="e">
        <f t="shared" si="20"/>
        <v>#N/A</v>
      </c>
    </row>
    <row r="1059" spans="1:5">
      <c r="A1059" s="64"/>
      <c r="E1059" t="e">
        <f t="shared" si="20"/>
        <v>#N/A</v>
      </c>
    </row>
    <row r="1060" spans="1:5">
      <c r="A1060" s="64"/>
      <c r="E1060" t="e">
        <f t="shared" si="20"/>
        <v>#N/A</v>
      </c>
    </row>
    <row r="1061" spans="1:5">
      <c r="A1061" s="64"/>
      <c r="E1061" t="e">
        <f t="shared" si="20"/>
        <v>#N/A</v>
      </c>
    </row>
    <row r="1062" spans="1:5">
      <c r="A1062" s="64"/>
      <c r="E1062" t="e">
        <f t="shared" si="20"/>
        <v>#N/A</v>
      </c>
    </row>
    <row r="1063" spans="1:5">
      <c r="A1063" s="64"/>
      <c r="E1063" t="e">
        <f t="shared" si="20"/>
        <v>#N/A</v>
      </c>
    </row>
    <row r="1064" spans="1:5">
      <c r="A1064" s="64"/>
      <c r="E1064" t="e">
        <f t="shared" si="20"/>
        <v>#N/A</v>
      </c>
    </row>
    <row r="1065" spans="1:5">
      <c r="A1065" s="64"/>
      <c r="E1065" t="e">
        <f t="shared" si="20"/>
        <v>#N/A</v>
      </c>
    </row>
    <row r="1066" spans="1:5">
      <c r="A1066" s="64"/>
      <c r="E1066" t="e">
        <f t="shared" si="20"/>
        <v>#N/A</v>
      </c>
    </row>
    <row r="1067" spans="1:5">
      <c r="A1067" s="64"/>
      <c r="E1067" t="e">
        <f t="shared" si="20"/>
        <v>#N/A</v>
      </c>
    </row>
    <row r="1068" spans="1:5">
      <c r="A1068" s="64"/>
      <c r="E1068" t="e">
        <f t="shared" si="20"/>
        <v>#N/A</v>
      </c>
    </row>
    <row r="1069" spans="1:5">
      <c r="A1069" s="64"/>
      <c r="E1069" t="e">
        <f t="shared" si="20"/>
        <v>#N/A</v>
      </c>
    </row>
    <row r="1070" spans="1:5">
      <c r="A1070" s="64"/>
      <c r="E1070" t="e">
        <f t="shared" si="20"/>
        <v>#N/A</v>
      </c>
    </row>
    <row r="1071" spans="1:5">
      <c r="A1071" s="64"/>
      <c r="E1071" t="e">
        <f t="shared" si="20"/>
        <v>#N/A</v>
      </c>
    </row>
    <row r="1072" spans="1:5">
      <c r="A1072" s="64"/>
      <c r="E1072" t="e">
        <f t="shared" si="20"/>
        <v>#N/A</v>
      </c>
    </row>
    <row r="1073" spans="1:5">
      <c r="A1073" s="64"/>
      <c r="E1073" t="e">
        <f t="shared" si="20"/>
        <v>#N/A</v>
      </c>
    </row>
    <row r="1074" spans="1:5">
      <c r="A1074" s="64"/>
      <c r="E1074" t="e">
        <f t="shared" si="20"/>
        <v>#N/A</v>
      </c>
    </row>
    <row r="1075" spans="1:5">
      <c r="A1075" s="64"/>
      <c r="E1075" t="e">
        <f t="shared" si="20"/>
        <v>#N/A</v>
      </c>
    </row>
    <row r="1076" spans="1:5">
      <c r="A1076" s="64"/>
      <c r="E1076" t="e">
        <f t="shared" si="20"/>
        <v>#N/A</v>
      </c>
    </row>
    <row r="1077" spans="1:5">
      <c r="A1077" s="64"/>
      <c r="E1077" t="e">
        <f t="shared" si="20"/>
        <v>#N/A</v>
      </c>
    </row>
    <row r="1078" spans="1:5">
      <c r="A1078" s="64"/>
      <c r="E1078" t="e">
        <f t="shared" si="20"/>
        <v>#N/A</v>
      </c>
    </row>
    <row r="1079" spans="1:5">
      <c r="A1079" s="64"/>
      <c r="E1079" t="e">
        <f t="shared" si="20"/>
        <v>#N/A</v>
      </c>
    </row>
    <row r="1080" spans="1:5">
      <c r="A1080" s="64"/>
      <c r="E1080" t="e">
        <f t="shared" si="20"/>
        <v>#N/A</v>
      </c>
    </row>
    <row r="1081" spans="1:5">
      <c r="A1081" s="64"/>
      <c r="E1081" t="e">
        <f t="shared" si="20"/>
        <v>#N/A</v>
      </c>
    </row>
    <row r="1082" spans="1:5">
      <c r="A1082" s="64"/>
      <c r="E1082" t="e">
        <f t="shared" si="20"/>
        <v>#N/A</v>
      </c>
    </row>
    <row r="1083" spans="1:5">
      <c r="A1083" s="64"/>
      <c r="E1083" t="e">
        <f t="shared" si="20"/>
        <v>#N/A</v>
      </c>
    </row>
    <row r="1084" spans="1:5">
      <c r="A1084" s="64"/>
      <c r="E1084" t="e">
        <f t="shared" si="20"/>
        <v>#N/A</v>
      </c>
    </row>
    <row r="1085" spans="1:5">
      <c r="A1085" s="64"/>
      <c r="E1085" t="e">
        <f t="shared" si="20"/>
        <v>#N/A</v>
      </c>
    </row>
    <row r="1086" spans="1:5">
      <c r="A1086" s="64"/>
      <c r="E1086" t="e">
        <f t="shared" si="20"/>
        <v>#N/A</v>
      </c>
    </row>
    <row r="1087" spans="1:5">
      <c r="A1087" s="64"/>
      <c r="E1087" t="e">
        <f t="shared" si="20"/>
        <v>#N/A</v>
      </c>
    </row>
    <row r="1088" spans="1:5">
      <c r="A1088" s="64"/>
      <c r="E1088" t="e">
        <f t="shared" si="20"/>
        <v>#N/A</v>
      </c>
    </row>
    <row r="1089" spans="1:5">
      <c r="A1089" s="64"/>
      <c r="E1089" t="e">
        <f t="shared" si="20"/>
        <v>#N/A</v>
      </c>
    </row>
    <row r="1090" spans="1:5">
      <c r="A1090" s="64"/>
      <c r="E1090" t="e">
        <f t="shared" si="20"/>
        <v>#N/A</v>
      </c>
    </row>
    <row r="1091" spans="1:5">
      <c r="A1091" s="64"/>
      <c r="E1091" t="e">
        <f t="shared" si="20"/>
        <v>#N/A</v>
      </c>
    </row>
    <row r="1092" spans="1:5">
      <c r="A1092" s="64"/>
      <c r="E1092" t="e">
        <f t="shared" si="20"/>
        <v>#N/A</v>
      </c>
    </row>
    <row r="1093" spans="1:5">
      <c r="A1093" s="64"/>
      <c r="E1093" t="e">
        <f t="shared" si="20"/>
        <v>#N/A</v>
      </c>
    </row>
    <row r="1094" spans="1:5">
      <c r="A1094" s="64"/>
      <c r="E1094" t="e">
        <f t="shared" si="20"/>
        <v>#N/A</v>
      </c>
    </row>
    <row r="1095" spans="1:5">
      <c r="A1095" s="64"/>
      <c r="E1095" t="e">
        <f t="shared" si="20"/>
        <v>#N/A</v>
      </c>
    </row>
    <row r="1096" spans="1:5">
      <c r="A1096" s="64"/>
      <c r="E1096" t="e">
        <f t="shared" si="20"/>
        <v>#N/A</v>
      </c>
    </row>
    <row r="1097" spans="1:5">
      <c r="A1097" s="64"/>
      <c r="E1097" t="e">
        <f t="shared" si="20"/>
        <v>#N/A</v>
      </c>
    </row>
    <row r="1098" spans="1:5">
      <c r="A1098" s="64"/>
      <c r="E1098" t="e">
        <f t="shared" si="20"/>
        <v>#N/A</v>
      </c>
    </row>
    <row r="1099" spans="1:5">
      <c r="A1099" s="64"/>
      <c r="E1099" t="e">
        <f t="shared" si="20"/>
        <v>#N/A</v>
      </c>
    </row>
    <row r="1100" spans="1:5">
      <c r="A1100" s="64"/>
      <c r="E1100" t="e">
        <f t="shared" si="20"/>
        <v>#N/A</v>
      </c>
    </row>
    <row r="1101" spans="1:5">
      <c r="A1101" s="64"/>
      <c r="E1101" t="e">
        <f t="shared" ref="E1101:E1164" si="21">VLOOKUP(B1101,$Q$14:$R$62,2,FALSE)</f>
        <v>#N/A</v>
      </c>
    </row>
    <row r="1102" spans="1:5">
      <c r="A1102" s="64"/>
      <c r="E1102" t="e">
        <f t="shared" si="21"/>
        <v>#N/A</v>
      </c>
    </row>
    <row r="1103" spans="1:5">
      <c r="A1103" s="64"/>
      <c r="E1103" t="e">
        <f t="shared" si="21"/>
        <v>#N/A</v>
      </c>
    </row>
    <row r="1104" spans="1:5">
      <c r="A1104" s="64"/>
      <c r="E1104" t="e">
        <f t="shared" si="21"/>
        <v>#N/A</v>
      </c>
    </row>
    <row r="1105" spans="1:5">
      <c r="A1105" s="64"/>
      <c r="E1105" t="e">
        <f t="shared" si="21"/>
        <v>#N/A</v>
      </c>
    </row>
    <row r="1106" spans="1:5">
      <c r="A1106" s="64"/>
      <c r="E1106" t="e">
        <f t="shared" si="21"/>
        <v>#N/A</v>
      </c>
    </row>
    <row r="1107" spans="1:5">
      <c r="A1107" s="64"/>
      <c r="E1107" t="e">
        <f t="shared" si="21"/>
        <v>#N/A</v>
      </c>
    </row>
    <row r="1108" spans="1:5">
      <c r="A1108" s="64"/>
      <c r="E1108" t="e">
        <f t="shared" si="21"/>
        <v>#N/A</v>
      </c>
    </row>
    <row r="1109" spans="1:5">
      <c r="A1109" s="64"/>
      <c r="E1109" t="e">
        <f t="shared" si="21"/>
        <v>#N/A</v>
      </c>
    </row>
    <row r="1110" spans="1:5">
      <c r="A1110" s="64"/>
      <c r="E1110" t="e">
        <f t="shared" si="21"/>
        <v>#N/A</v>
      </c>
    </row>
    <row r="1111" spans="1:5">
      <c r="A1111" s="64"/>
      <c r="E1111" t="e">
        <f t="shared" si="21"/>
        <v>#N/A</v>
      </c>
    </row>
    <row r="1112" spans="1:5">
      <c r="A1112" s="64"/>
      <c r="E1112" t="e">
        <f t="shared" si="21"/>
        <v>#N/A</v>
      </c>
    </row>
    <row r="1113" spans="1:5">
      <c r="A1113" s="64"/>
      <c r="E1113" t="e">
        <f t="shared" si="21"/>
        <v>#N/A</v>
      </c>
    </row>
    <row r="1114" spans="1:5">
      <c r="A1114" s="64"/>
      <c r="E1114" t="e">
        <f t="shared" si="21"/>
        <v>#N/A</v>
      </c>
    </row>
    <row r="1115" spans="1:5">
      <c r="A1115" s="64"/>
      <c r="E1115" t="e">
        <f t="shared" si="21"/>
        <v>#N/A</v>
      </c>
    </row>
    <row r="1116" spans="1:5">
      <c r="A1116" s="64"/>
      <c r="E1116" t="e">
        <f t="shared" si="21"/>
        <v>#N/A</v>
      </c>
    </row>
    <row r="1117" spans="1:5">
      <c r="A1117" s="64"/>
      <c r="E1117" t="e">
        <f t="shared" si="21"/>
        <v>#N/A</v>
      </c>
    </row>
    <row r="1118" spans="1:5">
      <c r="A1118" s="64"/>
      <c r="E1118" t="e">
        <f t="shared" si="21"/>
        <v>#N/A</v>
      </c>
    </row>
    <row r="1119" spans="1:5">
      <c r="A1119" s="64"/>
      <c r="E1119" t="e">
        <f t="shared" si="21"/>
        <v>#N/A</v>
      </c>
    </row>
    <row r="1120" spans="1:5">
      <c r="A1120" s="64"/>
      <c r="E1120" t="e">
        <f t="shared" si="21"/>
        <v>#N/A</v>
      </c>
    </row>
    <row r="1121" spans="1:5">
      <c r="A1121" s="64"/>
      <c r="E1121" t="e">
        <f t="shared" si="21"/>
        <v>#N/A</v>
      </c>
    </row>
    <row r="1122" spans="1:5">
      <c r="A1122" s="64"/>
      <c r="E1122" t="e">
        <f t="shared" si="21"/>
        <v>#N/A</v>
      </c>
    </row>
    <row r="1123" spans="1:5">
      <c r="A1123" s="64"/>
      <c r="E1123" t="e">
        <f t="shared" si="21"/>
        <v>#N/A</v>
      </c>
    </row>
    <row r="1124" spans="1:5">
      <c r="A1124" s="64"/>
      <c r="E1124" t="e">
        <f t="shared" si="21"/>
        <v>#N/A</v>
      </c>
    </row>
    <row r="1125" spans="1:5">
      <c r="A1125" s="64"/>
      <c r="E1125" t="e">
        <f t="shared" si="21"/>
        <v>#N/A</v>
      </c>
    </row>
    <row r="1126" spans="1:5">
      <c r="A1126" s="64"/>
      <c r="E1126" t="e">
        <f t="shared" si="21"/>
        <v>#N/A</v>
      </c>
    </row>
    <row r="1127" spans="1:5">
      <c r="A1127" s="64"/>
      <c r="E1127" t="e">
        <f t="shared" si="21"/>
        <v>#N/A</v>
      </c>
    </row>
    <row r="1128" spans="1:5">
      <c r="A1128" s="64"/>
      <c r="E1128" t="e">
        <f t="shared" si="21"/>
        <v>#N/A</v>
      </c>
    </row>
    <row r="1129" spans="1:5">
      <c r="A1129" s="64"/>
      <c r="E1129" t="e">
        <f t="shared" si="21"/>
        <v>#N/A</v>
      </c>
    </row>
    <row r="1130" spans="1:5">
      <c r="A1130" s="64"/>
      <c r="E1130" t="e">
        <f t="shared" si="21"/>
        <v>#N/A</v>
      </c>
    </row>
    <row r="1131" spans="1:5">
      <c r="A1131" s="64"/>
      <c r="E1131" t="e">
        <f t="shared" si="21"/>
        <v>#N/A</v>
      </c>
    </row>
    <row r="1132" spans="1:5">
      <c r="A1132" s="64"/>
      <c r="E1132" t="e">
        <f t="shared" si="21"/>
        <v>#N/A</v>
      </c>
    </row>
    <row r="1133" spans="1:5">
      <c r="A1133" s="64"/>
      <c r="E1133" t="e">
        <f t="shared" si="21"/>
        <v>#N/A</v>
      </c>
    </row>
    <row r="1134" spans="1:5">
      <c r="A1134" s="64"/>
      <c r="E1134" t="e">
        <f t="shared" si="21"/>
        <v>#N/A</v>
      </c>
    </row>
    <row r="1135" spans="1:5">
      <c r="A1135" s="64"/>
      <c r="E1135" t="e">
        <f t="shared" si="21"/>
        <v>#N/A</v>
      </c>
    </row>
    <row r="1136" spans="1:5">
      <c r="A1136" s="64"/>
      <c r="E1136" t="e">
        <f t="shared" si="21"/>
        <v>#N/A</v>
      </c>
    </row>
    <row r="1137" spans="1:5">
      <c r="A1137" s="64"/>
      <c r="E1137" t="e">
        <f t="shared" si="21"/>
        <v>#N/A</v>
      </c>
    </row>
    <row r="1138" spans="1:5">
      <c r="A1138" s="64"/>
      <c r="E1138" t="e">
        <f t="shared" si="21"/>
        <v>#N/A</v>
      </c>
    </row>
    <row r="1139" spans="1:5">
      <c r="A1139" s="64"/>
      <c r="E1139" t="e">
        <f t="shared" si="21"/>
        <v>#N/A</v>
      </c>
    </row>
    <row r="1140" spans="1:5">
      <c r="A1140" s="64"/>
      <c r="E1140" t="e">
        <f t="shared" si="21"/>
        <v>#N/A</v>
      </c>
    </row>
    <row r="1141" spans="1:5">
      <c r="A1141" s="64"/>
      <c r="E1141" t="e">
        <f t="shared" si="21"/>
        <v>#N/A</v>
      </c>
    </row>
    <row r="1142" spans="1:5">
      <c r="A1142" s="64"/>
      <c r="E1142" t="e">
        <f t="shared" si="21"/>
        <v>#N/A</v>
      </c>
    </row>
    <row r="1143" spans="1:5">
      <c r="A1143" s="64"/>
      <c r="E1143" t="e">
        <f t="shared" si="21"/>
        <v>#N/A</v>
      </c>
    </row>
    <row r="1144" spans="1:5">
      <c r="A1144" s="64"/>
      <c r="E1144" t="e">
        <f t="shared" si="21"/>
        <v>#N/A</v>
      </c>
    </row>
    <row r="1145" spans="1:5">
      <c r="A1145" s="64"/>
      <c r="E1145" t="e">
        <f t="shared" si="21"/>
        <v>#N/A</v>
      </c>
    </row>
    <row r="1146" spans="1:5">
      <c r="A1146" s="64"/>
      <c r="E1146" t="e">
        <f t="shared" si="21"/>
        <v>#N/A</v>
      </c>
    </row>
    <row r="1147" spans="1:5">
      <c r="A1147" s="64"/>
      <c r="E1147" t="e">
        <f t="shared" si="21"/>
        <v>#N/A</v>
      </c>
    </row>
    <row r="1148" spans="1:5">
      <c r="A1148" s="64"/>
      <c r="E1148" t="e">
        <f t="shared" si="21"/>
        <v>#N/A</v>
      </c>
    </row>
    <row r="1149" spans="1:5">
      <c r="A1149" s="64"/>
      <c r="E1149" t="e">
        <f t="shared" si="21"/>
        <v>#N/A</v>
      </c>
    </row>
    <row r="1150" spans="1:5">
      <c r="A1150" s="64"/>
      <c r="E1150" t="e">
        <f t="shared" si="21"/>
        <v>#N/A</v>
      </c>
    </row>
    <row r="1151" spans="1:5">
      <c r="A1151" s="64"/>
      <c r="E1151" t="e">
        <f t="shared" si="21"/>
        <v>#N/A</v>
      </c>
    </row>
    <row r="1152" spans="1:5">
      <c r="A1152" s="64"/>
      <c r="E1152" t="e">
        <f t="shared" si="21"/>
        <v>#N/A</v>
      </c>
    </row>
    <row r="1153" spans="1:5">
      <c r="A1153" s="64"/>
      <c r="E1153" t="e">
        <f t="shared" si="21"/>
        <v>#N/A</v>
      </c>
    </row>
    <row r="1154" spans="1:5">
      <c r="A1154" s="64"/>
      <c r="E1154" t="e">
        <f t="shared" si="21"/>
        <v>#N/A</v>
      </c>
    </row>
    <row r="1155" spans="1:5">
      <c r="A1155" s="64"/>
      <c r="E1155" t="e">
        <f t="shared" si="21"/>
        <v>#N/A</v>
      </c>
    </row>
    <row r="1156" spans="1:5">
      <c r="A1156" s="64"/>
      <c r="E1156" t="e">
        <f t="shared" si="21"/>
        <v>#N/A</v>
      </c>
    </row>
    <row r="1157" spans="1:5">
      <c r="A1157" s="64"/>
      <c r="E1157" t="e">
        <f t="shared" si="21"/>
        <v>#N/A</v>
      </c>
    </row>
    <row r="1158" spans="1:5">
      <c r="A1158" s="64"/>
      <c r="E1158" t="e">
        <f t="shared" si="21"/>
        <v>#N/A</v>
      </c>
    </row>
    <row r="1159" spans="1:5">
      <c r="A1159" s="64"/>
      <c r="E1159" t="e">
        <f t="shared" si="21"/>
        <v>#N/A</v>
      </c>
    </row>
    <row r="1160" spans="1:5">
      <c r="A1160" s="64"/>
      <c r="E1160" t="e">
        <f t="shared" si="21"/>
        <v>#N/A</v>
      </c>
    </row>
    <row r="1161" spans="1:5">
      <c r="A1161" s="64"/>
      <c r="E1161" t="e">
        <f t="shared" si="21"/>
        <v>#N/A</v>
      </c>
    </row>
    <row r="1162" spans="1:5">
      <c r="A1162" s="64"/>
      <c r="E1162" t="e">
        <f t="shared" si="21"/>
        <v>#N/A</v>
      </c>
    </row>
    <row r="1163" spans="1:5">
      <c r="A1163" s="64"/>
      <c r="E1163" t="e">
        <f t="shared" si="21"/>
        <v>#N/A</v>
      </c>
    </row>
    <row r="1164" spans="1:5">
      <c r="A1164" s="64"/>
      <c r="E1164" t="e">
        <f t="shared" si="21"/>
        <v>#N/A</v>
      </c>
    </row>
    <row r="1165" spans="1:5">
      <c r="A1165" s="64"/>
      <c r="E1165" t="e">
        <f t="shared" ref="E1165:E1228" si="22">VLOOKUP(B1165,$Q$14:$R$62,2,FALSE)</f>
        <v>#N/A</v>
      </c>
    </row>
    <row r="1166" spans="1:5">
      <c r="A1166" s="64"/>
      <c r="E1166" t="e">
        <f t="shared" si="22"/>
        <v>#N/A</v>
      </c>
    </row>
    <row r="1167" spans="1:5">
      <c r="A1167" s="64"/>
      <c r="E1167" t="e">
        <f t="shared" si="22"/>
        <v>#N/A</v>
      </c>
    </row>
    <row r="1168" spans="1:5">
      <c r="A1168" s="64"/>
      <c r="E1168" t="e">
        <f t="shared" si="22"/>
        <v>#N/A</v>
      </c>
    </row>
    <row r="1169" spans="1:5">
      <c r="A1169" s="64"/>
      <c r="E1169" t="e">
        <f t="shared" si="22"/>
        <v>#N/A</v>
      </c>
    </row>
    <row r="1170" spans="1:5">
      <c r="A1170" s="64"/>
      <c r="E1170" t="e">
        <f t="shared" si="22"/>
        <v>#N/A</v>
      </c>
    </row>
    <row r="1171" spans="1:5">
      <c r="A1171" s="64"/>
      <c r="E1171" t="e">
        <f t="shared" si="22"/>
        <v>#N/A</v>
      </c>
    </row>
    <row r="1172" spans="1:5">
      <c r="A1172" s="64"/>
      <c r="E1172" t="e">
        <f t="shared" si="22"/>
        <v>#N/A</v>
      </c>
    </row>
    <row r="1173" spans="1:5">
      <c r="A1173" s="64"/>
      <c r="E1173" t="e">
        <f t="shared" si="22"/>
        <v>#N/A</v>
      </c>
    </row>
    <row r="1174" spans="1:5">
      <c r="A1174" s="64"/>
      <c r="E1174" t="e">
        <f t="shared" si="22"/>
        <v>#N/A</v>
      </c>
    </row>
    <row r="1175" spans="1:5">
      <c r="A1175" s="64"/>
      <c r="E1175" t="e">
        <f t="shared" si="22"/>
        <v>#N/A</v>
      </c>
    </row>
    <row r="1176" spans="1:5">
      <c r="A1176" s="64"/>
      <c r="E1176" t="e">
        <f t="shared" si="22"/>
        <v>#N/A</v>
      </c>
    </row>
    <row r="1177" spans="1:5">
      <c r="A1177" s="64"/>
      <c r="E1177" t="e">
        <f t="shared" si="22"/>
        <v>#N/A</v>
      </c>
    </row>
    <row r="1178" spans="1:5">
      <c r="A1178" s="64"/>
      <c r="E1178" t="e">
        <f t="shared" si="22"/>
        <v>#N/A</v>
      </c>
    </row>
    <row r="1179" spans="1:5">
      <c r="A1179" s="64"/>
      <c r="E1179" t="e">
        <f t="shared" si="22"/>
        <v>#N/A</v>
      </c>
    </row>
    <row r="1180" spans="1:5">
      <c r="A1180" s="64"/>
      <c r="E1180" t="e">
        <f t="shared" si="22"/>
        <v>#N/A</v>
      </c>
    </row>
    <row r="1181" spans="1:5">
      <c r="A1181" s="64"/>
      <c r="E1181" t="e">
        <f t="shared" si="22"/>
        <v>#N/A</v>
      </c>
    </row>
    <row r="1182" spans="1:5">
      <c r="A1182" s="64"/>
      <c r="E1182" t="e">
        <f t="shared" si="22"/>
        <v>#N/A</v>
      </c>
    </row>
    <row r="1183" spans="1:5">
      <c r="A1183" s="64"/>
      <c r="E1183" t="e">
        <f t="shared" si="22"/>
        <v>#N/A</v>
      </c>
    </row>
    <row r="1184" spans="1:5">
      <c r="A1184" s="64"/>
      <c r="E1184" t="e">
        <f t="shared" si="22"/>
        <v>#N/A</v>
      </c>
    </row>
    <row r="1185" spans="1:5">
      <c r="A1185" s="64"/>
      <c r="E1185" t="e">
        <f t="shared" si="22"/>
        <v>#N/A</v>
      </c>
    </row>
    <row r="1186" spans="1:5">
      <c r="A1186" s="64"/>
      <c r="E1186" t="e">
        <f t="shared" si="22"/>
        <v>#N/A</v>
      </c>
    </row>
    <row r="1187" spans="1:5">
      <c r="A1187" s="64"/>
      <c r="E1187" t="e">
        <f t="shared" si="22"/>
        <v>#N/A</v>
      </c>
    </row>
    <row r="1188" spans="1:5">
      <c r="A1188" s="64"/>
      <c r="E1188" t="e">
        <f t="shared" si="22"/>
        <v>#N/A</v>
      </c>
    </row>
    <row r="1189" spans="1:5">
      <c r="A1189" s="64"/>
      <c r="E1189" t="e">
        <f t="shared" si="22"/>
        <v>#N/A</v>
      </c>
    </row>
    <row r="1190" spans="1:5">
      <c r="A1190" s="64"/>
      <c r="E1190" t="e">
        <f t="shared" si="22"/>
        <v>#N/A</v>
      </c>
    </row>
    <row r="1191" spans="1:5">
      <c r="A1191" s="64"/>
      <c r="E1191" t="e">
        <f t="shared" si="22"/>
        <v>#N/A</v>
      </c>
    </row>
    <row r="1192" spans="1:5">
      <c r="A1192" s="64"/>
      <c r="E1192" t="e">
        <f t="shared" si="22"/>
        <v>#N/A</v>
      </c>
    </row>
    <row r="1193" spans="1:5">
      <c r="A1193" s="64"/>
      <c r="E1193" t="e">
        <f t="shared" si="22"/>
        <v>#N/A</v>
      </c>
    </row>
    <row r="1194" spans="1:5">
      <c r="A1194" s="64"/>
      <c r="E1194" t="e">
        <f t="shared" si="22"/>
        <v>#N/A</v>
      </c>
    </row>
    <row r="1195" spans="1:5">
      <c r="A1195" s="64"/>
      <c r="E1195" t="e">
        <f t="shared" si="22"/>
        <v>#N/A</v>
      </c>
    </row>
    <row r="1196" spans="1:5">
      <c r="A1196" s="64"/>
      <c r="E1196" t="e">
        <f t="shared" si="22"/>
        <v>#N/A</v>
      </c>
    </row>
    <row r="1197" spans="1:5">
      <c r="A1197" s="64"/>
      <c r="E1197" t="e">
        <f t="shared" si="22"/>
        <v>#N/A</v>
      </c>
    </row>
    <row r="1198" spans="1:5">
      <c r="A1198" s="64"/>
      <c r="E1198" t="e">
        <f t="shared" si="22"/>
        <v>#N/A</v>
      </c>
    </row>
    <row r="1199" spans="1:5">
      <c r="A1199" s="64"/>
      <c r="E1199" t="e">
        <f t="shared" si="22"/>
        <v>#N/A</v>
      </c>
    </row>
    <row r="1200" spans="1:5">
      <c r="A1200" s="64"/>
      <c r="E1200" t="e">
        <f t="shared" si="22"/>
        <v>#N/A</v>
      </c>
    </row>
    <row r="1201" spans="1:5">
      <c r="A1201" s="64"/>
      <c r="E1201" t="e">
        <f t="shared" si="22"/>
        <v>#N/A</v>
      </c>
    </row>
    <row r="1202" spans="1:5">
      <c r="A1202" s="64"/>
      <c r="E1202" t="e">
        <f t="shared" si="22"/>
        <v>#N/A</v>
      </c>
    </row>
    <row r="1203" spans="1:5">
      <c r="A1203" s="64"/>
      <c r="E1203" t="e">
        <f t="shared" si="22"/>
        <v>#N/A</v>
      </c>
    </row>
    <row r="1204" spans="1:5">
      <c r="A1204" s="64"/>
      <c r="E1204" t="e">
        <f t="shared" si="22"/>
        <v>#N/A</v>
      </c>
    </row>
    <row r="1205" spans="1:5">
      <c r="A1205" s="64"/>
      <c r="E1205" t="e">
        <f t="shared" si="22"/>
        <v>#N/A</v>
      </c>
    </row>
    <row r="1206" spans="1:5">
      <c r="A1206" s="64"/>
      <c r="E1206" t="e">
        <f t="shared" si="22"/>
        <v>#N/A</v>
      </c>
    </row>
    <row r="1207" spans="1:5">
      <c r="A1207" s="64"/>
      <c r="E1207" t="e">
        <f t="shared" si="22"/>
        <v>#N/A</v>
      </c>
    </row>
    <row r="1208" spans="1:5">
      <c r="A1208" s="64"/>
      <c r="E1208" t="e">
        <f t="shared" si="22"/>
        <v>#N/A</v>
      </c>
    </row>
    <row r="1209" spans="1:5">
      <c r="A1209" s="64"/>
      <c r="E1209" t="e">
        <f t="shared" si="22"/>
        <v>#N/A</v>
      </c>
    </row>
    <row r="1210" spans="1:5">
      <c r="A1210" s="64"/>
      <c r="E1210" t="e">
        <f t="shared" si="22"/>
        <v>#N/A</v>
      </c>
    </row>
    <row r="1211" spans="1:5">
      <c r="A1211" s="64"/>
      <c r="E1211" t="e">
        <f t="shared" si="22"/>
        <v>#N/A</v>
      </c>
    </row>
    <row r="1212" spans="1:5">
      <c r="A1212" s="64"/>
      <c r="E1212" t="e">
        <f t="shared" si="22"/>
        <v>#N/A</v>
      </c>
    </row>
    <row r="1213" spans="1:5">
      <c r="A1213" s="64"/>
      <c r="E1213" t="e">
        <f t="shared" si="22"/>
        <v>#N/A</v>
      </c>
    </row>
    <row r="1214" spans="1:5">
      <c r="A1214" s="64"/>
      <c r="E1214" t="e">
        <f t="shared" si="22"/>
        <v>#N/A</v>
      </c>
    </row>
    <row r="1215" spans="1:5">
      <c r="A1215" s="64"/>
      <c r="E1215" t="e">
        <f t="shared" si="22"/>
        <v>#N/A</v>
      </c>
    </row>
    <row r="1216" spans="1:5">
      <c r="A1216" s="64"/>
      <c r="E1216" t="e">
        <f t="shared" si="22"/>
        <v>#N/A</v>
      </c>
    </row>
    <row r="1217" spans="1:5">
      <c r="A1217" s="64"/>
      <c r="E1217" t="e">
        <f t="shared" si="22"/>
        <v>#N/A</v>
      </c>
    </row>
    <row r="1218" spans="1:5">
      <c r="A1218" s="64"/>
      <c r="E1218" t="e">
        <f t="shared" si="22"/>
        <v>#N/A</v>
      </c>
    </row>
    <row r="1219" spans="1:5">
      <c r="A1219" s="64"/>
      <c r="E1219" t="e">
        <f t="shared" si="22"/>
        <v>#N/A</v>
      </c>
    </row>
    <row r="1220" spans="1:5">
      <c r="A1220" s="64"/>
      <c r="E1220" t="e">
        <f t="shared" si="22"/>
        <v>#N/A</v>
      </c>
    </row>
    <row r="1221" spans="1:5">
      <c r="A1221" s="64"/>
      <c r="E1221" t="e">
        <f t="shared" si="22"/>
        <v>#N/A</v>
      </c>
    </row>
    <row r="1222" spans="1:5">
      <c r="A1222" s="64"/>
      <c r="E1222" t="e">
        <f t="shared" si="22"/>
        <v>#N/A</v>
      </c>
    </row>
    <row r="1223" spans="1:5">
      <c r="A1223" s="64"/>
      <c r="E1223" t="e">
        <f t="shared" si="22"/>
        <v>#N/A</v>
      </c>
    </row>
    <row r="1224" spans="1:5">
      <c r="A1224" s="64"/>
      <c r="E1224" t="e">
        <f t="shared" si="22"/>
        <v>#N/A</v>
      </c>
    </row>
    <row r="1225" spans="1:5">
      <c r="A1225" s="64"/>
      <c r="E1225" t="e">
        <f t="shared" si="22"/>
        <v>#N/A</v>
      </c>
    </row>
    <row r="1226" spans="1:5">
      <c r="A1226" s="64"/>
      <c r="E1226" t="e">
        <f t="shared" si="22"/>
        <v>#N/A</v>
      </c>
    </row>
    <row r="1227" spans="1:5">
      <c r="A1227" s="64"/>
      <c r="E1227" t="e">
        <f t="shared" si="22"/>
        <v>#N/A</v>
      </c>
    </row>
    <row r="1228" spans="1:5">
      <c r="A1228" s="64"/>
      <c r="E1228" t="e">
        <f t="shared" si="22"/>
        <v>#N/A</v>
      </c>
    </row>
    <row r="1229" spans="1:5">
      <c r="A1229" s="64"/>
      <c r="E1229" t="e">
        <f t="shared" ref="E1229:E1292" si="23">VLOOKUP(B1229,$Q$14:$R$62,2,FALSE)</f>
        <v>#N/A</v>
      </c>
    </row>
    <row r="1230" spans="1:5">
      <c r="A1230" s="64"/>
      <c r="E1230" t="e">
        <f t="shared" si="23"/>
        <v>#N/A</v>
      </c>
    </row>
    <row r="1231" spans="1:5">
      <c r="A1231" s="64"/>
      <c r="E1231" t="e">
        <f t="shared" si="23"/>
        <v>#N/A</v>
      </c>
    </row>
    <row r="1232" spans="1:5">
      <c r="A1232" s="64"/>
      <c r="E1232" t="e">
        <f t="shared" si="23"/>
        <v>#N/A</v>
      </c>
    </row>
    <row r="1233" spans="1:5">
      <c r="A1233" s="64"/>
      <c r="E1233" t="e">
        <f t="shared" si="23"/>
        <v>#N/A</v>
      </c>
    </row>
    <row r="1234" spans="1:5">
      <c r="A1234" s="64"/>
      <c r="E1234" t="e">
        <f t="shared" si="23"/>
        <v>#N/A</v>
      </c>
    </row>
    <row r="1235" spans="1:5">
      <c r="A1235" s="64"/>
      <c r="E1235" t="e">
        <f t="shared" si="23"/>
        <v>#N/A</v>
      </c>
    </row>
    <row r="1236" spans="1:5">
      <c r="A1236" s="64"/>
      <c r="E1236" t="e">
        <f t="shared" si="23"/>
        <v>#N/A</v>
      </c>
    </row>
    <row r="1237" spans="1:5">
      <c r="A1237" s="64"/>
      <c r="E1237" t="e">
        <f t="shared" si="23"/>
        <v>#N/A</v>
      </c>
    </row>
    <row r="1238" spans="1:5">
      <c r="A1238" s="64"/>
      <c r="E1238" t="e">
        <f t="shared" si="23"/>
        <v>#N/A</v>
      </c>
    </row>
    <row r="1239" spans="1:5">
      <c r="A1239" s="64"/>
      <c r="E1239" t="e">
        <f t="shared" si="23"/>
        <v>#N/A</v>
      </c>
    </row>
    <row r="1240" spans="1:5">
      <c r="A1240" s="64"/>
      <c r="E1240" t="e">
        <f t="shared" si="23"/>
        <v>#N/A</v>
      </c>
    </row>
    <row r="1241" spans="1:5">
      <c r="A1241" s="64"/>
      <c r="E1241" t="e">
        <f t="shared" si="23"/>
        <v>#N/A</v>
      </c>
    </row>
    <row r="1242" spans="1:5">
      <c r="A1242" s="64"/>
      <c r="E1242" t="e">
        <f t="shared" si="23"/>
        <v>#N/A</v>
      </c>
    </row>
    <row r="1243" spans="1:5">
      <c r="A1243" s="64"/>
      <c r="E1243" t="e">
        <f t="shared" si="23"/>
        <v>#N/A</v>
      </c>
    </row>
    <row r="1244" spans="1:5">
      <c r="A1244" s="64"/>
      <c r="E1244" t="e">
        <f t="shared" si="23"/>
        <v>#N/A</v>
      </c>
    </row>
    <row r="1245" spans="1:5">
      <c r="A1245" s="64"/>
      <c r="E1245" t="e">
        <f t="shared" si="23"/>
        <v>#N/A</v>
      </c>
    </row>
    <row r="1246" spans="1:5">
      <c r="A1246" s="64"/>
      <c r="E1246" t="e">
        <f t="shared" si="23"/>
        <v>#N/A</v>
      </c>
    </row>
    <row r="1247" spans="1:5">
      <c r="A1247" s="64"/>
      <c r="E1247" t="e">
        <f t="shared" si="23"/>
        <v>#N/A</v>
      </c>
    </row>
    <row r="1248" spans="1:5">
      <c r="A1248" s="64"/>
      <c r="E1248" t="e">
        <f t="shared" si="23"/>
        <v>#N/A</v>
      </c>
    </row>
    <row r="1249" spans="1:5">
      <c r="A1249" s="64"/>
      <c r="E1249" t="e">
        <f t="shared" si="23"/>
        <v>#N/A</v>
      </c>
    </row>
    <row r="1250" spans="1:5">
      <c r="A1250" s="64"/>
      <c r="E1250" t="e">
        <f t="shared" si="23"/>
        <v>#N/A</v>
      </c>
    </row>
    <row r="1251" spans="1:5">
      <c r="A1251" s="64"/>
      <c r="E1251" t="e">
        <f t="shared" si="23"/>
        <v>#N/A</v>
      </c>
    </row>
    <row r="1252" spans="1:5">
      <c r="A1252" s="64"/>
      <c r="E1252" t="e">
        <f t="shared" si="23"/>
        <v>#N/A</v>
      </c>
    </row>
    <row r="1253" spans="1:5">
      <c r="A1253" s="64"/>
      <c r="E1253" t="e">
        <f t="shared" si="23"/>
        <v>#N/A</v>
      </c>
    </row>
    <row r="1254" spans="1:5">
      <c r="A1254" s="64"/>
      <c r="E1254" t="e">
        <f t="shared" si="23"/>
        <v>#N/A</v>
      </c>
    </row>
    <row r="1255" spans="1:5">
      <c r="A1255" s="64"/>
      <c r="E1255" t="e">
        <f t="shared" si="23"/>
        <v>#N/A</v>
      </c>
    </row>
    <row r="1256" spans="1:5">
      <c r="A1256" s="64"/>
      <c r="E1256" t="e">
        <f t="shared" si="23"/>
        <v>#N/A</v>
      </c>
    </row>
    <row r="1257" spans="1:5">
      <c r="A1257" s="64"/>
      <c r="E1257" t="e">
        <f t="shared" si="23"/>
        <v>#N/A</v>
      </c>
    </row>
    <row r="1258" spans="1:5">
      <c r="A1258" s="64"/>
      <c r="E1258" t="e">
        <f t="shared" si="23"/>
        <v>#N/A</v>
      </c>
    </row>
    <row r="1259" spans="1:5">
      <c r="A1259" s="64"/>
      <c r="E1259" t="e">
        <f t="shared" si="23"/>
        <v>#N/A</v>
      </c>
    </row>
    <row r="1260" spans="1:5">
      <c r="A1260" s="64"/>
      <c r="E1260" t="e">
        <f t="shared" si="23"/>
        <v>#N/A</v>
      </c>
    </row>
    <row r="1261" spans="1:5">
      <c r="A1261" s="64"/>
      <c r="E1261" t="e">
        <f t="shared" si="23"/>
        <v>#N/A</v>
      </c>
    </row>
    <row r="1262" spans="1:5">
      <c r="A1262" s="64"/>
      <c r="E1262" t="e">
        <f t="shared" si="23"/>
        <v>#N/A</v>
      </c>
    </row>
    <row r="1263" spans="1:5">
      <c r="A1263" s="64"/>
      <c r="E1263" t="e">
        <f t="shared" si="23"/>
        <v>#N/A</v>
      </c>
    </row>
    <row r="1264" spans="1:5">
      <c r="A1264" s="64"/>
      <c r="E1264" t="e">
        <f t="shared" si="23"/>
        <v>#N/A</v>
      </c>
    </row>
    <row r="1265" spans="1:5">
      <c r="A1265" s="64"/>
      <c r="E1265" t="e">
        <f t="shared" si="23"/>
        <v>#N/A</v>
      </c>
    </row>
    <row r="1266" spans="1:5">
      <c r="A1266" s="64"/>
      <c r="E1266" t="e">
        <f t="shared" si="23"/>
        <v>#N/A</v>
      </c>
    </row>
    <row r="1267" spans="1:5">
      <c r="A1267" s="64"/>
      <c r="E1267" t="e">
        <f t="shared" si="23"/>
        <v>#N/A</v>
      </c>
    </row>
    <row r="1268" spans="1:5">
      <c r="A1268" s="64"/>
      <c r="E1268" t="e">
        <f t="shared" si="23"/>
        <v>#N/A</v>
      </c>
    </row>
    <row r="1269" spans="1:5">
      <c r="A1269" s="64"/>
      <c r="E1269" t="e">
        <f t="shared" si="23"/>
        <v>#N/A</v>
      </c>
    </row>
    <row r="1270" spans="1:5">
      <c r="A1270" s="64"/>
      <c r="E1270" t="e">
        <f t="shared" si="23"/>
        <v>#N/A</v>
      </c>
    </row>
    <row r="1271" spans="1:5">
      <c r="A1271" s="64"/>
      <c r="E1271" t="e">
        <f t="shared" si="23"/>
        <v>#N/A</v>
      </c>
    </row>
    <row r="1272" spans="1:5">
      <c r="A1272" s="64"/>
      <c r="E1272" t="e">
        <f t="shared" si="23"/>
        <v>#N/A</v>
      </c>
    </row>
    <row r="1273" spans="1:5">
      <c r="A1273" s="64"/>
      <c r="E1273" t="e">
        <f t="shared" si="23"/>
        <v>#N/A</v>
      </c>
    </row>
    <row r="1274" spans="1:5">
      <c r="A1274" s="64"/>
      <c r="E1274" t="e">
        <f t="shared" si="23"/>
        <v>#N/A</v>
      </c>
    </row>
    <row r="1275" spans="1:5">
      <c r="A1275" s="64"/>
      <c r="E1275" t="e">
        <f t="shared" si="23"/>
        <v>#N/A</v>
      </c>
    </row>
    <row r="1276" spans="1:5">
      <c r="A1276" s="64"/>
      <c r="E1276" t="e">
        <f t="shared" si="23"/>
        <v>#N/A</v>
      </c>
    </row>
    <row r="1277" spans="1:5">
      <c r="A1277" s="64"/>
      <c r="E1277" t="e">
        <f t="shared" si="23"/>
        <v>#N/A</v>
      </c>
    </row>
    <row r="1278" spans="1:5">
      <c r="A1278" s="64"/>
      <c r="E1278" t="e">
        <f t="shared" si="23"/>
        <v>#N/A</v>
      </c>
    </row>
    <row r="1279" spans="1:5">
      <c r="A1279" s="64"/>
      <c r="E1279" t="e">
        <f t="shared" si="23"/>
        <v>#N/A</v>
      </c>
    </row>
    <row r="1280" spans="1:5">
      <c r="A1280" s="64"/>
      <c r="E1280" t="e">
        <f t="shared" si="23"/>
        <v>#N/A</v>
      </c>
    </row>
    <row r="1281" spans="1:5">
      <c r="A1281" s="64"/>
      <c r="E1281" t="e">
        <f t="shared" si="23"/>
        <v>#N/A</v>
      </c>
    </row>
    <row r="1282" spans="1:5">
      <c r="A1282" s="64"/>
      <c r="E1282" t="e">
        <f t="shared" si="23"/>
        <v>#N/A</v>
      </c>
    </row>
    <row r="1283" spans="1:5">
      <c r="A1283" s="64"/>
      <c r="E1283" t="e">
        <f t="shared" si="23"/>
        <v>#N/A</v>
      </c>
    </row>
    <row r="1284" spans="1:5">
      <c r="A1284" s="64"/>
      <c r="E1284" t="e">
        <f t="shared" si="23"/>
        <v>#N/A</v>
      </c>
    </row>
    <row r="1285" spans="1:5">
      <c r="A1285" s="64"/>
      <c r="E1285" t="e">
        <f t="shared" si="23"/>
        <v>#N/A</v>
      </c>
    </row>
    <row r="1286" spans="1:5">
      <c r="A1286" s="64"/>
      <c r="E1286" t="e">
        <f t="shared" si="23"/>
        <v>#N/A</v>
      </c>
    </row>
    <row r="1287" spans="1:5">
      <c r="A1287" s="64"/>
      <c r="E1287" t="e">
        <f t="shared" si="23"/>
        <v>#N/A</v>
      </c>
    </row>
    <row r="1288" spans="1:5">
      <c r="A1288" s="64"/>
      <c r="E1288" t="e">
        <f t="shared" si="23"/>
        <v>#N/A</v>
      </c>
    </row>
    <row r="1289" spans="1:5">
      <c r="A1289" s="64"/>
      <c r="E1289" t="e">
        <f t="shared" si="23"/>
        <v>#N/A</v>
      </c>
    </row>
    <row r="1290" spans="1:5">
      <c r="A1290" s="64"/>
      <c r="E1290" t="e">
        <f t="shared" si="23"/>
        <v>#N/A</v>
      </c>
    </row>
    <row r="1291" spans="1:5">
      <c r="A1291" s="64"/>
      <c r="E1291" t="e">
        <f t="shared" si="23"/>
        <v>#N/A</v>
      </c>
    </row>
    <row r="1292" spans="1:5">
      <c r="A1292" s="64"/>
      <c r="E1292" t="e">
        <f t="shared" si="23"/>
        <v>#N/A</v>
      </c>
    </row>
    <row r="1293" spans="1:5">
      <c r="A1293" s="64"/>
      <c r="E1293" t="e">
        <f t="shared" ref="E1293:E1356" si="24">VLOOKUP(B1293,$Q$14:$R$62,2,FALSE)</f>
        <v>#N/A</v>
      </c>
    </row>
    <row r="1294" spans="1:5">
      <c r="A1294" s="64"/>
      <c r="E1294" t="e">
        <f t="shared" si="24"/>
        <v>#N/A</v>
      </c>
    </row>
    <row r="1295" spans="1:5">
      <c r="A1295" s="64"/>
      <c r="E1295" t="e">
        <f t="shared" si="24"/>
        <v>#N/A</v>
      </c>
    </row>
    <row r="1296" spans="1:5">
      <c r="A1296" s="64"/>
      <c r="E1296" t="e">
        <f t="shared" si="24"/>
        <v>#N/A</v>
      </c>
    </row>
    <row r="1297" spans="1:5">
      <c r="A1297" s="64"/>
      <c r="E1297" t="e">
        <f t="shared" si="24"/>
        <v>#N/A</v>
      </c>
    </row>
    <row r="1298" spans="1:5">
      <c r="A1298" s="64"/>
      <c r="E1298" t="e">
        <f t="shared" si="24"/>
        <v>#N/A</v>
      </c>
    </row>
    <row r="1299" spans="1:5">
      <c r="A1299" s="64"/>
      <c r="E1299" t="e">
        <f t="shared" si="24"/>
        <v>#N/A</v>
      </c>
    </row>
    <row r="1300" spans="1:5">
      <c r="A1300" s="64"/>
      <c r="E1300" t="e">
        <f t="shared" si="24"/>
        <v>#N/A</v>
      </c>
    </row>
    <row r="1301" spans="1:5">
      <c r="A1301" s="64"/>
      <c r="E1301" t="e">
        <f t="shared" si="24"/>
        <v>#N/A</v>
      </c>
    </row>
    <row r="1302" spans="1:5">
      <c r="A1302" s="64"/>
      <c r="E1302" t="e">
        <f t="shared" si="24"/>
        <v>#N/A</v>
      </c>
    </row>
    <row r="1303" spans="1:5">
      <c r="A1303" s="64"/>
      <c r="E1303" t="e">
        <f t="shared" si="24"/>
        <v>#N/A</v>
      </c>
    </row>
    <row r="1304" spans="1:5">
      <c r="A1304" s="64"/>
      <c r="E1304" t="e">
        <f t="shared" si="24"/>
        <v>#N/A</v>
      </c>
    </row>
    <row r="1305" spans="1:5">
      <c r="A1305" s="64"/>
      <c r="E1305" t="e">
        <f t="shared" si="24"/>
        <v>#N/A</v>
      </c>
    </row>
    <row r="1306" spans="1:5">
      <c r="A1306" s="64"/>
      <c r="E1306" t="e">
        <f t="shared" si="24"/>
        <v>#N/A</v>
      </c>
    </row>
    <row r="1307" spans="1:5">
      <c r="A1307" s="64"/>
      <c r="E1307" t="e">
        <f t="shared" si="24"/>
        <v>#N/A</v>
      </c>
    </row>
    <row r="1308" spans="1:5">
      <c r="A1308" s="64"/>
      <c r="E1308" t="e">
        <f t="shared" si="24"/>
        <v>#N/A</v>
      </c>
    </row>
    <row r="1309" spans="1:5">
      <c r="A1309" s="64"/>
      <c r="E1309" t="e">
        <f t="shared" si="24"/>
        <v>#N/A</v>
      </c>
    </row>
    <row r="1310" spans="1:5">
      <c r="A1310" s="64"/>
      <c r="E1310" t="e">
        <f t="shared" si="24"/>
        <v>#N/A</v>
      </c>
    </row>
    <row r="1311" spans="1:5">
      <c r="A1311" s="64"/>
      <c r="E1311" t="e">
        <f t="shared" si="24"/>
        <v>#N/A</v>
      </c>
    </row>
    <row r="1312" spans="1:5">
      <c r="A1312" s="64"/>
      <c r="E1312" t="e">
        <f t="shared" si="24"/>
        <v>#N/A</v>
      </c>
    </row>
    <row r="1313" spans="1:5">
      <c r="A1313" s="64"/>
      <c r="E1313" t="e">
        <f t="shared" si="24"/>
        <v>#N/A</v>
      </c>
    </row>
    <row r="1314" spans="1:5">
      <c r="A1314" s="64"/>
      <c r="E1314" t="e">
        <f t="shared" si="24"/>
        <v>#N/A</v>
      </c>
    </row>
    <row r="1315" spans="1:5">
      <c r="A1315" s="64"/>
      <c r="E1315" t="e">
        <f t="shared" si="24"/>
        <v>#N/A</v>
      </c>
    </row>
    <row r="1316" spans="1:5">
      <c r="A1316" s="64"/>
      <c r="E1316" t="e">
        <f t="shared" si="24"/>
        <v>#N/A</v>
      </c>
    </row>
    <row r="1317" spans="1:5">
      <c r="A1317" s="64"/>
      <c r="E1317" t="e">
        <f t="shared" si="24"/>
        <v>#N/A</v>
      </c>
    </row>
    <row r="1318" spans="1:5">
      <c r="A1318" s="64"/>
      <c r="E1318" t="e">
        <f t="shared" si="24"/>
        <v>#N/A</v>
      </c>
    </row>
    <row r="1319" spans="1:5">
      <c r="A1319" s="64"/>
      <c r="E1319" t="e">
        <f t="shared" si="24"/>
        <v>#N/A</v>
      </c>
    </row>
    <row r="1320" spans="1:5">
      <c r="A1320" s="64"/>
      <c r="E1320" t="e">
        <f t="shared" si="24"/>
        <v>#N/A</v>
      </c>
    </row>
    <row r="1321" spans="1:5">
      <c r="A1321" s="64"/>
      <c r="E1321" t="e">
        <f t="shared" si="24"/>
        <v>#N/A</v>
      </c>
    </row>
    <row r="1322" spans="1:5">
      <c r="A1322" s="64"/>
      <c r="E1322" t="e">
        <f t="shared" si="24"/>
        <v>#N/A</v>
      </c>
    </row>
    <row r="1323" spans="1:5">
      <c r="A1323" s="64"/>
      <c r="E1323" t="e">
        <f t="shared" si="24"/>
        <v>#N/A</v>
      </c>
    </row>
    <row r="1324" spans="1:5">
      <c r="A1324" s="64"/>
      <c r="E1324" t="e">
        <f t="shared" si="24"/>
        <v>#N/A</v>
      </c>
    </row>
    <row r="1325" spans="1:5">
      <c r="A1325" s="64"/>
      <c r="E1325" t="e">
        <f t="shared" si="24"/>
        <v>#N/A</v>
      </c>
    </row>
    <row r="1326" spans="1:5">
      <c r="A1326" s="64"/>
      <c r="E1326" t="e">
        <f t="shared" si="24"/>
        <v>#N/A</v>
      </c>
    </row>
    <row r="1327" spans="1:5">
      <c r="A1327" s="64"/>
      <c r="E1327" t="e">
        <f t="shared" si="24"/>
        <v>#N/A</v>
      </c>
    </row>
    <row r="1328" spans="1:5">
      <c r="A1328" s="64"/>
      <c r="E1328" t="e">
        <f t="shared" si="24"/>
        <v>#N/A</v>
      </c>
    </row>
    <row r="1329" spans="1:5">
      <c r="A1329" s="64"/>
      <c r="E1329" t="e">
        <f t="shared" si="24"/>
        <v>#N/A</v>
      </c>
    </row>
    <row r="1330" spans="1:5">
      <c r="A1330" s="64"/>
      <c r="E1330" t="e">
        <f t="shared" si="24"/>
        <v>#N/A</v>
      </c>
    </row>
    <row r="1331" spans="1:5">
      <c r="A1331" s="64"/>
      <c r="E1331" t="e">
        <f t="shared" si="24"/>
        <v>#N/A</v>
      </c>
    </row>
    <row r="1332" spans="1:5">
      <c r="A1332" s="64"/>
      <c r="E1332" t="e">
        <f t="shared" si="24"/>
        <v>#N/A</v>
      </c>
    </row>
    <row r="1333" spans="1:5">
      <c r="A1333" s="64"/>
      <c r="E1333" t="e">
        <f t="shared" si="24"/>
        <v>#N/A</v>
      </c>
    </row>
    <row r="1334" spans="1:5">
      <c r="A1334" s="64"/>
      <c r="E1334" t="e">
        <f t="shared" si="24"/>
        <v>#N/A</v>
      </c>
    </row>
    <row r="1335" spans="1:5">
      <c r="A1335" s="64"/>
      <c r="E1335" t="e">
        <f t="shared" si="24"/>
        <v>#N/A</v>
      </c>
    </row>
    <row r="1336" spans="1:5">
      <c r="A1336" s="64"/>
      <c r="E1336" t="e">
        <f t="shared" si="24"/>
        <v>#N/A</v>
      </c>
    </row>
    <row r="1337" spans="1:5">
      <c r="A1337" s="64"/>
      <c r="E1337" t="e">
        <f t="shared" si="24"/>
        <v>#N/A</v>
      </c>
    </row>
    <row r="1338" spans="1:5">
      <c r="A1338" s="64"/>
      <c r="E1338" t="e">
        <f t="shared" si="24"/>
        <v>#N/A</v>
      </c>
    </row>
    <row r="1339" spans="1:5">
      <c r="A1339" s="64"/>
      <c r="E1339" t="e">
        <f t="shared" si="24"/>
        <v>#N/A</v>
      </c>
    </row>
    <row r="1340" spans="1:5">
      <c r="A1340" s="64"/>
      <c r="E1340" t="e">
        <f t="shared" si="24"/>
        <v>#N/A</v>
      </c>
    </row>
    <row r="1341" spans="1:5">
      <c r="A1341" s="64"/>
      <c r="E1341" t="e">
        <f t="shared" si="24"/>
        <v>#N/A</v>
      </c>
    </row>
    <row r="1342" spans="1:5">
      <c r="A1342" s="64"/>
      <c r="E1342" t="e">
        <f t="shared" si="24"/>
        <v>#N/A</v>
      </c>
    </row>
    <row r="1343" spans="1:5">
      <c r="A1343" s="64"/>
      <c r="E1343" t="e">
        <f t="shared" si="24"/>
        <v>#N/A</v>
      </c>
    </row>
    <row r="1344" spans="1:5">
      <c r="A1344" s="64"/>
      <c r="E1344" t="e">
        <f t="shared" si="24"/>
        <v>#N/A</v>
      </c>
    </row>
    <row r="1345" spans="1:5">
      <c r="A1345" s="64"/>
      <c r="E1345" t="e">
        <f t="shared" si="24"/>
        <v>#N/A</v>
      </c>
    </row>
    <row r="1346" spans="1:5">
      <c r="A1346" s="64"/>
      <c r="E1346" t="e">
        <f t="shared" si="24"/>
        <v>#N/A</v>
      </c>
    </row>
    <row r="1347" spans="1:5">
      <c r="A1347" s="64"/>
      <c r="E1347" t="e">
        <f t="shared" si="24"/>
        <v>#N/A</v>
      </c>
    </row>
    <row r="1348" spans="1:5">
      <c r="A1348" s="64"/>
      <c r="E1348" t="e">
        <f t="shared" si="24"/>
        <v>#N/A</v>
      </c>
    </row>
    <row r="1349" spans="1:5">
      <c r="A1349" s="64"/>
      <c r="E1349" t="e">
        <f t="shared" si="24"/>
        <v>#N/A</v>
      </c>
    </row>
    <row r="1350" spans="1:5">
      <c r="A1350" s="64"/>
      <c r="E1350" t="e">
        <f t="shared" si="24"/>
        <v>#N/A</v>
      </c>
    </row>
    <row r="1351" spans="1:5">
      <c r="A1351" s="64"/>
      <c r="E1351" t="e">
        <f t="shared" si="24"/>
        <v>#N/A</v>
      </c>
    </row>
    <row r="1352" spans="1:5">
      <c r="A1352" s="64"/>
      <c r="E1352" t="e">
        <f t="shared" si="24"/>
        <v>#N/A</v>
      </c>
    </row>
    <row r="1353" spans="1:5">
      <c r="A1353" s="64"/>
      <c r="E1353" t="e">
        <f t="shared" si="24"/>
        <v>#N/A</v>
      </c>
    </row>
    <row r="1354" spans="1:5">
      <c r="A1354" s="64"/>
      <c r="E1354" t="e">
        <f t="shared" si="24"/>
        <v>#N/A</v>
      </c>
    </row>
    <row r="1355" spans="1:5">
      <c r="A1355" s="64"/>
      <c r="E1355" t="e">
        <f t="shared" si="24"/>
        <v>#N/A</v>
      </c>
    </row>
    <row r="1356" spans="1:5">
      <c r="A1356" s="64"/>
      <c r="E1356" t="e">
        <f t="shared" si="24"/>
        <v>#N/A</v>
      </c>
    </row>
    <row r="1357" spans="1:5">
      <c r="A1357" s="64"/>
      <c r="E1357" t="e">
        <f t="shared" ref="E1357:E1420" si="25">VLOOKUP(B1357,$Q$14:$R$62,2,FALSE)</f>
        <v>#N/A</v>
      </c>
    </row>
    <row r="1358" spans="1:5">
      <c r="A1358" s="64"/>
      <c r="E1358" t="e">
        <f t="shared" si="25"/>
        <v>#N/A</v>
      </c>
    </row>
    <row r="1359" spans="1:5">
      <c r="A1359" s="64"/>
      <c r="E1359" t="e">
        <f t="shared" si="25"/>
        <v>#N/A</v>
      </c>
    </row>
    <row r="1360" spans="1:5">
      <c r="A1360" s="64"/>
      <c r="E1360" t="e">
        <f t="shared" si="25"/>
        <v>#N/A</v>
      </c>
    </row>
    <row r="1361" spans="1:5">
      <c r="A1361" s="64"/>
      <c r="E1361" t="e">
        <f t="shared" si="25"/>
        <v>#N/A</v>
      </c>
    </row>
    <row r="1362" spans="1:5">
      <c r="A1362" s="64"/>
      <c r="E1362" t="e">
        <f t="shared" si="25"/>
        <v>#N/A</v>
      </c>
    </row>
    <row r="1363" spans="1:5">
      <c r="A1363" s="64"/>
      <c r="E1363" t="e">
        <f t="shared" si="25"/>
        <v>#N/A</v>
      </c>
    </row>
    <row r="1364" spans="1:5">
      <c r="A1364" s="64"/>
      <c r="E1364" t="e">
        <f t="shared" si="25"/>
        <v>#N/A</v>
      </c>
    </row>
    <row r="1365" spans="1:5">
      <c r="A1365" s="64"/>
      <c r="E1365" t="e">
        <f t="shared" si="25"/>
        <v>#N/A</v>
      </c>
    </row>
    <row r="1366" spans="1:5">
      <c r="A1366" s="64"/>
      <c r="E1366" t="e">
        <f t="shared" si="25"/>
        <v>#N/A</v>
      </c>
    </row>
    <row r="1367" spans="1:5">
      <c r="A1367" s="64"/>
      <c r="E1367" t="e">
        <f t="shared" si="25"/>
        <v>#N/A</v>
      </c>
    </row>
    <row r="1368" spans="1:5">
      <c r="A1368" s="64"/>
      <c r="E1368" t="e">
        <f t="shared" si="25"/>
        <v>#N/A</v>
      </c>
    </row>
    <row r="1369" spans="1:5">
      <c r="A1369" s="64"/>
      <c r="E1369" t="e">
        <f t="shared" si="25"/>
        <v>#N/A</v>
      </c>
    </row>
    <row r="1370" spans="1:5">
      <c r="A1370" s="64"/>
      <c r="E1370" t="e">
        <f t="shared" si="25"/>
        <v>#N/A</v>
      </c>
    </row>
    <row r="1371" spans="1:5">
      <c r="A1371" s="64"/>
      <c r="E1371" t="e">
        <f t="shared" si="25"/>
        <v>#N/A</v>
      </c>
    </row>
    <row r="1372" spans="1:5">
      <c r="A1372" s="64"/>
      <c r="E1372" t="e">
        <f t="shared" si="25"/>
        <v>#N/A</v>
      </c>
    </row>
    <row r="1373" spans="1:5">
      <c r="A1373" s="64"/>
      <c r="E1373" t="e">
        <f t="shared" si="25"/>
        <v>#N/A</v>
      </c>
    </row>
    <row r="1374" spans="1:5">
      <c r="A1374" s="64"/>
      <c r="E1374" t="e">
        <f t="shared" si="25"/>
        <v>#N/A</v>
      </c>
    </row>
    <row r="1375" spans="1:5">
      <c r="A1375" s="64"/>
      <c r="E1375" t="e">
        <f t="shared" si="25"/>
        <v>#N/A</v>
      </c>
    </row>
    <row r="1376" spans="1:5">
      <c r="A1376" s="64"/>
      <c r="E1376" t="e">
        <f t="shared" si="25"/>
        <v>#N/A</v>
      </c>
    </row>
    <row r="1377" spans="1:5">
      <c r="A1377" s="64"/>
      <c r="E1377" t="e">
        <f t="shared" si="25"/>
        <v>#N/A</v>
      </c>
    </row>
    <row r="1378" spans="1:5">
      <c r="A1378" s="64"/>
      <c r="E1378" t="e">
        <f t="shared" si="25"/>
        <v>#N/A</v>
      </c>
    </row>
    <row r="1379" spans="1:5">
      <c r="A1379" s="64"/>
      <c r="E1379" t="e">
        <f t="shared" si="25"/>
        <v>#N/A</v>
      </c>
    </row>
    <row r="1380" spans="1:5">
      <c r="A1380" s="64"/>
      <c r="E1380" t="e">
        <f t="shared" si="25"/>
        <v>#N/A</v>
      </c>
    </row>
    <row r="1381" spans="1:5">
      <c r="A1381" s="64"/>
      <c r="E1381" t="e">
        <f t="shared" si="25"/>
        <v>#N/A</v>
      </c>
    </row>
    <row r="1382" spans="1:5">
      <c r="A1382" s="64"/>
      <c r="E1382" t="e">
        <f t="shared" si="25"/>
        <v>#N/A</v>
      </c>
    </row>
    <row r="1383" spans="1:5">
      <c r="A1383" s="64"/>
      <c r="E1383" t="e">
        <f t="shared" si="25"/>
        <v>#N/A</v>
      </c>
    </row>
    <row r="1384" spans="1:5">
      <c r="A1384" s="64"/>
      <c r="E1384" t="e">
        <f t="shared" si="25"/>
        <v>#N/A</v>
      </c>
    </row>
    <row r="1385" spans="1:5">
      <c r="A1385" s="64"/>
      <c r="E1385" t="e">
        <f t="shared" si="25"/>
        <v>#N/A</v>
      </c>
    </row>
    <row r="1386" spans="1:5">
      <c r="A1386" s="64"/>
      <c r="E1386" t="e">
        <f t="shared" si="25"/>
        <v>#N/A</v>
      </c>
    </row>
    <row r="1387" spans="1:5">
      <c r="A1387" s="64"/>
      <c r="E1387" t="e">
        <f t="shared" si="25"/>
        <v>#N/A</v>
      </c>
    </row>
    <row r="1388" spans="1:5">
      <c r="A1388" s="64"/>
      <c r="E1388" t="e">
        <f t="shared" si="25"/>
        <v>#N/A</v>
      </c>
    </row>
    <row r="1389" spans="1:5">
      <c r="A1389" s="64"/>
      <c r="E1389" t="e">
        <f t="shared" si="25"/>
        <v>#N/A</v>
      </c>
    </row>
    <row r="1390" spans="1:5">
      <c r="A1390" s="64"/>
      <c r="E1390" t="e">
        <f t="shared" si="25"/>
        <v>#N/A</v>
      </c>
    </row>
    <row r="1391" spans="1:5">
      <c r="A1391" s="64"/>
      <c r="E1391" t="e">
        <f t="shared" si="25"/>
        <v>#N/A</v>
      </c>
    </row>
    <row r="1392" spans="1:5">
      <c r="A1392" s="64"/>
      <c r="E1392" t="e">
        <f t="shared" si="25"/>
        <v>#N/A</v>
      </c>
    </row>
    <row r="1393" spans="1:5">
      <c r="A1393" s="64"/>
      <c r="E1393" t="e">
        <f t="shared" si="25"/>
        <v>#N/A</v>
      </c>
    </row>
    <row r="1394" spans="1:5">
      <c r="A1394" s="64"/>
      <c r="E1394" t="e">
        <f t="shared" si="25"/>
        <v>#N/A</v>
      </c>
    </row>
    <row r="1395" spans="1:5">
      <c r="A1395" s="64"/>
      <c r="E1395" t="e">
        <f t="shared" si="25"/>
        <v>#N/A</v>
      </c>
    </row>
    <row r="1396" spans="1:5">
      <c r="A1396" s="64"/>
      <c r="E1396" t="e">
        <f t="shared" si="25"/>
        <v>#N/A</v>
      </c>
    </row>
    <row r="1397" spans="1:5">
      <c r="A1397" s="64"/>
      <c r="E1397" t="e">
        <f t="shared" si="25"/>
        <v>#N/A</v>
      </c>
    </row>
    <row r="1398" spans="1:5">
      <c r="A1398" s="64"/>
      <c r="E1398" t="e">
        <f t="shared" si="25"/>
        <v>#N/A</v>
      </c>
    </row>
    <row r="1399" spans="1:5">
      <c r="A1399" s="64"/>
      <c r="E1399" t="e">
        <f t="shared" si="25"/>
        <v>#N/A</v>
      </c>
    </row>
    <row r="1400" spans="1:5">
      <c r="A1400" s="64"/>
      <c r="E1400" t="e">
        <f t="shared" si="25"/>
        <v>#N/A</v>
      </c>
    </row>
    <row r="1401" spans="1:5">
      <c r="A1401" s="64"/>
      <c r="E1401" t="e">
        <f t="shared" si="25"/>
        <v>#N/A</v>
      </c>
    </row>
    <row r="1402" spans="1:5">
      <c r="A1402" s="64"/>
      <c r="E1402" t="e">
        <f t="shared" si="25"/>
        <v>#N/A</v>
      </c>
    </row>
    <row r="1403" spans="1:5">
      <c r="A1403" s="64"/>
      <c r="E1403" t="e">
        <f t="shared" si="25"/>
        <v>#N/A</v>
      </c>
    </row>
    <row r="1404" spans="1:5">
      <c r="A1404" s="64"/>
      <c r="E1404" t="e">
        <f t="shared" si="25"/>
        <v>#N/A</v>
      </c>
    </row>
    <row r="1405" spans="1:5">
      <c r="A1405" s="64"/>
      <c r="E1405" t="e">
        <f t="shared" si="25"/>
        <v>#N/A</v>
      </c>
    </row>
    <row r="1406" spans="1:5">
      <c r="A1406" s="64"/>
      <c r="E1406" t="e">
        <f t="shared" si="25"/>
        <v>#N/A</v>
      </c>
    </row>
    <row r="1407" spans="1:5">
      <c r="A1407" s="64"/>
      <c r="E1407" t="e">
        <f t="shared" si="25"/>
        <v>#N/A</v>
      </c>
    </row>
    <row r="1408" spans="1:5">
      <c r="A1408" s="64"/>
      <c r="E1408" t="e">
        <f t="shared" si="25"/>
        <v>#N/A</v>
      </c>
    </row>
    <row r="1409" spans="1:5">
      <c r="A1409" s="64"/>
      <c r="E1409" t="e">
        <f t="shared" si="25"/>
        <v>#N/A</v>
      </c>
    </row>
    <row r="1410" spans="1:5">
      <c r="A1410" s="64"/>
      <c r="E1410" t="e">
        <f t="shared" si="25"/>
        <v>#N/A</v>
      </c>
    </row>
    <row r="1411" spans="1:5">
      <c r="A1411" s="64"/>
      <c r="E1411" t="e">
        <f t="shared" si="25"/>
        <v>#N/A</v>
      </c>
    </row>
    <row r="1412" spans="1:5">
      <c r="A1412" s="64"/>
      <c r="E1412" t="e">
        <f t="shared" si="25"/>
        <v>#N/A</v>
      </c>
    </row>
    <row r="1413" spans="1:5">
      <c r="A1413" s="64"/>
      <c r="E1413" t="e">
        <f t="shared" si="25"/>
        <v>#N/A</v>
      </c>
    </row>
    <row r="1414" spans="1:5">
      <c r="A1414" s="64"/>
      <c r="E1414" t="e">
        <f t="shared" si="25"/>
        <v>#N/A</v>
      </c>
    </row>
    <row r="1415" spans="1:5">
      <c r="A1415" s="64"/>
      <c r="E1415" t="e">
        <f t="shared" si="25"/>
        <v>#N/A</v>
      </c>
    </row>
    <row r="1416" spans="1:5">
      <c r="A1416" s="64"/>
      <c r="E1416" t="e">
        <f t="shared" si="25"/>
        <v>#N/A</v>
      </c>
    </row>
    <row r="1417" spans="1:5">
      <c r="A1417" s="64"/>
      <c r="E1417" t="e">
        <f t="shared" si="25"/>
        <v>#N/A</v>
      </c>
    </row>
    <row r="1418" spans="1:5">
      <c r="A1418" s="64"/>
      <c r="E1418" t="e">
        <f t="shared" si="25"/>
        <v>#N/A</v>
      </c>
    </row>
    <row r="1419" spans="1:5">
      <c r="A1419" s="64"/>
      <c r="E1419" t="e">
        <f t="shared" si="25"/>
        <v>#N/A</v>
      </c>
    </row>
    <row r="1420" spans="1:5">
      <c r="A1420" s="64"/>
      <c r="E1420" t="e">
        <f t="shared" si="25"/>
        <v>#N/A</v>
      </c>
    </row>
    <row r="1421" spans="1:5">
      <c r="A1421" s="64"/>
      <c r="E1421" t="e">
        <f t="shared" ref="E1421:E1484" si="26">VLOOKUP(B1421,$Q$14:$R$62,2,FALSE)</f>
        <v>#N/A</v>
      </c>
    </row>
    <row r="1422" spans="1:5">
      <c r="A1422" s="64"/>
      <c r="E1422" t="e">
        <f t="shared" si="26"/>
        <v>#N/A</v>
      </c>
    </row>
    <row r="1423" spans="1:5">
      <c r="A1423" s="64"/>
      <c r="E1423" t="e">
        <f t="shared" si="26"/>
        <v>#N/A</v>
      </c>
    </row>
    <row r="1424" spans="1:5">
      <c r="A1424" s="64"/>
      <c r="E1424" t="e">
        <f t="shared" si="26"/>
        <v>#N/A</v>
      </c>
    </row>
    <row r="1425" spans="1:5">
      <c r="A1425" s="64"/>
      <c r="E1425" t="e">
        <f t="shared" si="26"/>
        <v>#N/A</v>
      </c>
    </row>
    <row r="1426" spans="1:5">
      <c r="A1426" s="64"/>
      <c r="E1426" t="e">
        <f t="shared" si="26"/>
        <v>#N/A</v>
      </c>
    </row>
    <row r="1427" spans="1:5">
      <c r="A1427" s="64"/>
      <c r="E1427" t="e">
        <f t="shared" si="26"/>
        <v>#N/A</v>
      </c>
    </row>
    <row r="1428" spans="1:5">
      <c r="A1428" s="64"/>
      <c r="E1428" t="e">
        <f t="shared" si="26"/>
        <v>#N/A</v>
      </c>
    </row>
    <row r="1429" spans="1:5">
      <c r="A1429" s="64"/>
      <c r="E1429" t="e">
        <f t="shared" si="26"/>
        <v>#N/A</v>
      </c>
    </row>
    <row r="1430" spans="1:5">
      <c r="A1430" s="64"/>
      <c r="E1430" t="e">
        <f t="shared" si="26"/>
        <v>#N/A</v>
      </c>
    </row>
    <row r="1431" spans="1:5">
      <c r="A1431" s="64"/>
      <c r="E1431" t="e">
        <f t="shared" si="26"/>
        <v>#N/A</v>
      </c>
    </row>
    <row r="1432" spans="1:5">
      <c r="A1432" s="64"/>
      <c r="E1432" t="e">
        <f t="shared" si="26"/>
        <v>#N/A</v>
      </c>
    </row>
    <row r="1433" spans="1:5">
      <c r="A1433" s="64"/>
      <c r="E1433" t="e">
        <f t="shared" si="26"/>
        <v>#N/A</v>
      </c>
    </row>
    <row r="1434" spans="1:5">
      <c r="A1434" s="64"/>
      <c r="E1434" t="e">
        <f t="shared" si="26"/>
        <v>#N/A</v>
      </c>
    </row>
    <row r="1435" spans="1:5">
      <c r="A1435" s="64"/>
      <c r="E1435" t="e">
        <f t="shared" si="26"/>
        <v>#N/A</v>
      </c>
    </row>
    <row r="1436" spans="1:5">
      <c r="A1436" s="64"/>
      <c r="E1436" t="e">
        <f t="shared" si="26"/>
        <v>#N/A</v>
      </c>
    </row>
    <row r="1437" spans="1:5">
      <c r="A1437" s="64"/>
      <c r="E1437" t="e">
        <f t="shared" si="26"/>
        <v>#N/A</v>
      </c>
    </row>
    <row r="1438" spans="1:5">
      <c r="A1438" s="64"/>
      <c r="E1438" t="e">
        <f t="shared" si="26"/>
        <v>#N/A</v>
      </c>
    </row>
    <row r="1439" spans="1:5">
      <c r="A1439" s="64"/>
      <c r="E1439" t="e">
        <f t="shared" si="26"/>
        <v>#N/A</v>
      </c>
    </row>
    <row r="1440" spans="1:5">
      <c r="A1440" s="64"/>
      <c r="E1440" t="e">
        <f t="shared" si="26"/>
        <v>#N/A</v>
      </c>
    </row>
    <row r="1441" spans="1:5">
      <c r="A1441" s="64"/>
      <c r="E1441" t="e">
        <f t="shared" si="26"/>
        <v>#N/A</v>
      </c>
    </row>
    <row r="1442" spans="1:5">
      <c r="A1442" s="64"/>
      <c r="E1442" t="e">
        <f t="shared" si="26"/>
        <v>#N/A</v>
      </c>
    </row>
    <row r="1443" spans="1:5">
      <c r="A1443" s="64"/>
      <c r="E1443" t="e">
        <f t="shared" si="26"/>
        <v>#N/A</v>
      </c>
    </row>
    <row r="1444" spans="1:5">
      <c r="A1444" s="64"/>
      <c r="E1444" t="e">
        <f t="shared" si="26"/>
        <v>#N/A</v>
      </c>
    </row>
    <row r="1445" spans="1:5">
      <c r="A1445" s="64"/>
      <c r="E1445" t="e">
        <f t="shared" si="26"/>
        <v>#N/A</v>
      </c>
    </row>
    <row r="1446" spans="1:5">
      <c r="A1446" s="64"/>
      <c r="E1446" t="e">
        <f t="shared" si="26"/>
        <v>#N/A</v>
      </c>
    </row>
    <row r="1447" spans="1:5">
      <c r="A1447" s="64"/>
      <c r="E1447" t="e">
        <f t="shared" si="26"/>
        <v>#N/A</v>
      </c>
    </row>
    <row r="1448" spans="1:5">
      <c r="A1448" s="64"/>
      <c r="E1448" t="e">
        <f t="shared" si="26"/>
        <v>#N/A</v>
      </c>
    </row>
    <row r="1449" spans="1:5">
      <c r="A1449" s="64"/>
      <c r="E1449" t="e">
        <f t="shared" si="26"/>
        <v>#N/A</v>
      </c>
    </row>
    <row r="1450" spans="1:5">
      <c r="A1450" s="64"/>
      <c r="E1450" t="e">
        <f t="shared" si="26"/>
        <v>#N/A</v>
      </c>
    </row>
    <row r="1451" spans="1:5">
      <c r="A1451" s="64"/>
      <c r="E1451" t="e">
        <f t="shared" si="26"/>
        <v>#N/A</v>
      </c>
    </row>
    <row r="1452" spans="1:5">
      <c r="A1452" s="64"/>
      <c r="E1452" t="e">
        <f t="shared" si="26"/>
        <v>#N/A</v>
      </c>
    </row>
    <row r="1453" spans="1:5">
      <c r="A1453" s="64"/>
      <c r="E1453" t="e">
        <f t="shared" si="26"/>
        <v>#N/A</v>
      </c>
    </row>
    <row r="1454" spans="1:5">
      <c r="A1454" s="64"/>
      <c r="E1454" t="e">
        <f t="shared" si="26"/>
        <v>#N/A</v>
      </c>
    </row>
    <row r="1455" spans="1:5">
      <c r="A1455" s="64"/>
      <c r="E1455" t="e">
        <f t="shared" si="26"/>
        <v>#N/A</v>
      </c>
    </row>
    <row r="1456" spans="1:5">
      <c r="A1456" s="64"/>
      <c r="E1456" t="e">
        <f t="shared" si="26"/>
        <v>#N/A</v>
      </c>
    </row>
    <row r="1457" spans="1:5">
      <c r="A1457" s="64"/>
      <c r="E1457" t="e">
        <f t="shared" si="26"/>
        <v>#N/A</v>
      </c>
    </row>
    <row r="1458" spans="1:5">
      <c r="A1458" s="64"/>
      <c r="E1458" t="e">
        <f t="shared" si="26"/>
        <v>#N/A</v>
      </c>
    </row>
    <row r="1459" spans="1:5">
      <c r="A1459" s="64"/>
      <c r="E1459" t="e">
        <f t="shared" si="26"/>
        <v>#N/A</v>
      </c>
    </row>
    <row r="1460" spans="1:5">
      <c r="A1460" s="64"/>
      <c r="E1460" t="e">
        <f t="shared" si="26"/>
        <v>#N/A</v>
      </c>
    </row>
    <row r="1461" spans="1:5">
      <c r="A1461" s="64"/>
      <c r="E1461" t="e">
        <f t="shared" si="26"/>
        <v>#N/A</v>
      </c>
    </row>
    <row r="1462" spans="1:5">
      <c r="A1462" s="64"/>
      <c r="E1462" t="e">
        <f t="shared" si="26"/>
        <v>#N/A</v>
      </c>
    </row>
    <row r="1463" spans="1:5">
      <c r="A1463" s="64"/>
      <c r="E1463" t="e">
        <f t="shared" si="26"/>
        <v>#N/A</v>
      </c>
    </row>
    <row r="1464" spans="1:5">
      <c r="A1464" s="64"/>
      <c r="E1464" t="e">
        <f t="shared" si="26"/>
        <v>#N/A</v>
      </c>
    </row>
    <row r="1465" spans="1:5">
      <c r="A1465" s="64"/>
      <c r="E1465" t="e">
        <f t="shared" si="26"/>
        <v>#N/A</v>
      </c>
    </row>
    <row r="1466" spans="1:5">
      <c r="A1466" s="64"/>
      <c r="E1466" t="e">
        <f t="shared" si="26"/>
        <v>#N/A</v>
      </c>
    </row>
    <row r="1467" spans="1:5">
      <c r="A1467" s="64"/>
      <c r="E1467" t="e">
        <f t="shared" si="26"/>
        <v>#N/A</v>
      </c>
    </row>
    <row r="1468" spans="1:5">
      <c r="A1468" s="64"/>
      <c r="E1468" t="e">
        <f t="shared" si="26"/>
        <v>#N/A</v>
      </c>
    </row>
    <row r="1469" spans="1:5">
      <c r="A1469" s="64"/>
      <c r="E1469" t="e">
        <f t="shared" si="26"/>
        <v>#N/A</v>
      </c>
    </row>
    <row r="1470" spans="1:5">
      <c r="A1470" s="64"/>
      <c r="E1470" t="e">
        <f t="shared" si="26"/>
        <v>#N/A</v>
      </c>
    </row>
    <row r="1471" spans="1:5">
      <c r="A1471" s="64"/>
      <c r="E1471" t="e">
        <f t="shared" si="26"/>
        <v>#N/A</v>
      </c>
    </row>
    <row r="1472" spans="1:5">
      <c r="A1472" s="64"/>
      <c r="E1472" t="e">
        <f t="shared" si="26"/>
        <v>#N/A</v>
      </c>
    </row>
    <row r="1473" spans="1:5">
      <c r="A1473" s="64"/>
      <c r="E1473" t="e">
        <f t="shared" si="26"/>
        <v>#N/A</v>
      </c>
    </row>
    <row r="1474" spans="1:5">
      <c r="A1474" s="64"/>
      <c r="E1474" t="e">
        <f t="shared" si="26"/>
        <v>#N/A</v>
      </c>
    </row>
    <row r="1475" spans="1:5">
      <c r="A1475" s="64"/>
      <c r="E1475" t="e">
        <f t="shared" si="26"/>
        <v>#N/A</v>
      </c>
    </row>
    <row r="1476" spans="1:5">
      <c r="A1476" s="64"/>
      <c r="E1476" t="e">
        <f t="shared" si="26"/>
        <v>#N/A</v>
      </c>
    </row>
    <row r="1477" spans="1:5">
      <c r="A1477" s="64"/>
      <c r="E1477" t="e">
        <f t="shared" si="26"/>
        <v>#N/A</v>
      </c>
    </row>
    <row r="1478" spans="1:5">
      <c r="A1478" s="64"/>
      <c r="E1478" t="e">
        <f t="shared" si="26"/>
        <v>#N/A</v>
      </c>
    </row>
    <row r="1479" spans="1:5">
      <c r="A1479" s="64"/>
      <c r="E1479" t="e">
        <f t="shared" si="26"/>
        <v>#N/A</v>
      </c>
    </row>
    <row r="1480" spans="1:5">
      <c r="A1480" s="64"/>
      <c r="E1480" t="e">
        <f t="shared" si="26"/>
        <v>#N/A</v>
      </c>
    </row>
    <row r="1481" spans="1:5">
      <c r="A1481" s="64"/>
      <c r="E1481" t="e">
        <f t="shared" si="26"/>
        <v>#N/A</v>
      </c>
    </row>
    <row r="1482" spans="1:5">
      <c r="A1482" s="64"/>
      <c r="E1482" t="e">
        <f t="shared" si="26"/>
        <v>#N/A</v>
      </c>
    </row>
    <row r="1483" spans="1:5">
      <c r="A1483" s="64"/>
      <c r="E1483" t="e">
        <f t="shared" si="26"/>
        <v>#N/A</v>
      </c>
    </row>
    <row r="1484" spans="1:5">
      <c r="A1484" s="64"/>
      <c r="E1484" t="e">
        <f t="shared" si="26"/>
        <v>#N/A</v>
      </c>
    </row>
    <row r="1485" spans="1:5">
      <c r="A1485" s="64"/>
      <c r="E1485" t="e">
        <f t="shared" ref="E1485:E1548" si="27">VLOOKUP(B1485,$Q$14:$R$62,2,FALSE)</f>
        <v>#N/A</v>
      </c>
    </row>
    <row r="1486" spans="1:5">
      <c r="A1486" s="64"/>
      <c r="E1486" t="e">
        <f t="shared" si="27"/>
        <v>#N/A</v>
      </c>
    </row>
    <row r="1487" spans="1:5">
      <c r="A1487" s="64"/>
      <c r="E1487" t="e">
        <f t="shared" si="27"/>
        <v>#N/A</v>
      </c>
    </row>
    <row r="1488" spans="1:5">
      <c r="A1488" s="64"/>
      <c r="E1488" t="e">
        <f t="shared" si="27"/>
        <v>#N/A</v>
      </c>
    </row>
    <row r="1489" spans="1:5">
      <c r="A1489" s="64"/>
      <c r="E1489" t="e">
        <f t="shared" si="27"/>
        <v>#N/A</v>
      </c>
    </row>
    <row r="1490" spans="1:5">
      <c r="A1490" s="64"/>
      <c r="E1490" t="e">
        <f t="shared" si="27"/>
        <v>#N/A</v>
      </c>
    </row>
    <row r="1491" spans="1:5">
      <c r="A1491" s="64"/>
      <c r="E1491" t="e">
        <f t="shared" si="27"/>
        <v>#N/A</v>
      </c>
    </row>
    <row r="1492" spans="1:5">
      <c r="A1492" s="64"/>
      <c r="E1492" t="e">
        <f t="shared" si="27"/>
        <v>#N/A</v>
      </c>
    </row>
    <row r="1493" spans="1:5">
      <c r="A1493" s="64"/>
      <c r="E1493" t="e">
        <f t="shared" si="27"/>
        <v>#N/A</v>
      </c>
    </row>
    <row r="1494" spans="1:5">
      <c r="A1494" s="64"/>
      <c r="E1494" t="e">
        <f t="shared" si="27"/>
        <v>#N/A</v>
      </c>
    </row>
    <row r="1495" spans="1:5">
      <c r="A1495" s="64"/>
      <c r="E1495" t="e">
        <f t="shared" si="27"/>
        <v>#N/A</v>
      </c>
    </row>
    <row r="1496" spans="1:5">
      <c r="A1496" s="64"/>
      <c r="E1496" t="e">
        <f t="shared" si="27"/>
        <v>#N/A</v>
      </c>
    </row>
    <row r="1497" spans="1:5">
      <c r="A1497" s="64"/>
      <c r="E1497" t="e">
        <f t="shared" si="27"/>
        <v>#N/A</v>
      </c>
    </row>
    <row r="1498" spans="1:5">
      <c r="A1498" s="64"/>
      <c r="E1498" t="e">
        <f t="shared" si="27"/>
        <v>#N/A</v>
      </c>
    </row>
    <row r="1499" spans="1:5">
      <c r="A1499" s="64"/>
      <c r="E1499" t="e">
        <f t="shared" si="27"/>
        <v>#N/A</v>
      </c>
    </row>
    <row r="1500" spans="1:5">
      <c r="A1500" s="64"/>
      <c r="E1500" t="e">
        <f t="shared" si="27"/>
        <v>#N/A</v>
      </c>
    </row>
    <row r="1501" spans="1:5">
      <c r="A1501" s="64"/>
      <c r="E1501" t="e">
        <f t="shared" si="27"/>
        <v>#N/A</v>
      </c>
    </row>
    <row r="1502" spans="1:5">
      <c r="A1502" s="64"/>
      <c r="E1502" t="e">
        <f t="shared" si="27"/>
        <v>#N/A</v>
      </c>
    </row>
    <row r="1503" spans="1:5">
      <c r="A1503" s="64"/>
      <c r="E1503" t="e">
        <f t="shared" si="27"/>
        <v>#N/A</v>
      </c>
    </row>
    <row r="1504" spans="1:5">
      <c r="A1504" s="64"/>
      <c r="E1504" t="e">
        <f t="shared" si="27"/>
        <v>#N/A</v>
      </c>
    </row>
    <row r="1505" spans="1:5">
      <c r="A1505" s="64"/>
      <c r="E1505" t="e">
        <f t="shared" si="27"/>
        <v>#N/A</v>
      </c>
    </row>
    <row r="1506" spans="1:5">
      <c r="A1506" s="64"/>
      <c r="E1506" t="e">
        <f t="shared" si="27"/>
        <v>#N/A</v>
      </c>
    </row>
    <row r="1507" spans="1:5">
      <c r="A1507" s="64"/>
      <c r="E1507" t="e">
        <f t="shared" si="27"/>
        <v>#N/A</v>
      </c>
    </row>
    <row r="1508" spans="1:5">
      <c r="A1508" s="64"/>
      <c r="E1508" t="e">
        <f t="shared" si="27"/>
        <v>#N/A</v>
      </c>
    </row>
    <row r="1509" spans="1:5">
      <c r="A1509" s="64"/>
      <c r="E1509" t="e">
        <f t="shared" si="27"/>
        <v>#N/A</v>
      </c>
    </row>
    <row r="1510" spans="1:5">
      <c r="A1510" s="64"/>
      <c r="E1510" t="e">
        <f t="shared" si="27"/>
        <v>#N/A</v>
      </c>
    </row>
    <row r="1511" spans="1:5">
      <c r="A1511" s="64"/>
      <c r="E1511" t="e">
        <f t="shared" si="27"/>
        <v>#N/A</v>
      </c>
    </row>
    <row r="1512" spans="1:5">
      <c r="A1512" s="64"/>
      <c r="E1512" t="e">
        <f t="shared" si="27"/>
        <v>#N/A</v>
      </c>
    </row>
    <row r="1513" spans="1:5">
      <c r="A1513" s="64"/>
      <c r="E1513" t="e">
        <f t="shared" si="27"/>
        <v>#N/A</v>
      </c>
    </row>
    <row r="1514" spans="1:5">
      <c r="A1514" s="64"/>
      <c r="E1514" t="e">
        <f t="shared" si="27"/>
        <v>#N/A</v>
      </c>
    </row>
    <row r="1515" spans="1:5">
      <c r="A1515" s="64"/>
      <c r="E1515" t="e">
        <f t="shared" si="27"/>
        <v>#N/A</v>
      </c>
    </row>
    <row r="1516" spans="1:5">
      <c r="A1516" s="64"/>
      <c r="E1516" t="e">
        <f t="shared" si="27"/>
        <v>#N/A</v>
      </c>
    </row>
    <row r="1517" spans="1:5">
      <c r="A1517" s="64"/>
      <c r="E1517" t="e">
        <f t="shared" si="27"/>
        <v>#N/A</v>
      </c>
    </row>
    <row r="1518" spans="1:5">
      <c r="A1518" s="64"/>
      <c r="E1518" t="e">
        <f t="shared" si="27"/>
        <v>#N/A</v>
      </c>
    </row>
    <row r="1519" spans="1:5">
      <c r="A1519" s="64"/>
      <c r="E1519" t="e">
        <f t="shared" si="27"/>
        <v>#N/A</v>
      </c>
    </row>
    <row r="1520" spans="1:5">
      <c r="A1520" s="64"/>
      <c r="E1520" t="e">
        <f t="shared" si="27"/>
        <v>#N/A</v>
      </c>
    </row>
    <row r="1521" spans="1:5">
      <c r="A1521" s="64"/>
      <c r="E1521" t="e">
        <f t="shared" si="27"/>
        <v>#N/A</v>
      </c>
    </row>
    <row r="1522" spans="1:5">
      <c r="A1522" s="64"/>
      <c r="E1522" t="e">
        <f t="shared" si="27"/>
        <v>#N/A</v>
      </c>
    </row>
    <row r="1523" spans="1:5">
      <c r="A1523" s="64"/>
      <c r="E1523" t="e">
        <f t="shared" si="27"/>
        <v>#N/A</v>
      </c>
    </row>
    <row r="1524" spans="1:5">
      <c r="A1524" s="64"/>
      <c r="E1524" t="e">
        <f t="shared" si="27"/>
        <v>#N/A</v>
      </c>
    </row>
    <row r="1525" spans="1:5">
      <c r="A1525" s="64"/>
      <c r="E1525" t="e">
        <f t="shared" si="27"/>
        <v>#N/A</v>
      </c>
    </row>
    <row r="1526" spans="1:5">
      <c r="A1526" s="64"/>
      <c r="E1526" t="e">
        <f t="shared" si="27"/>
        <v>#N/A</v>
      </c>
    </row>
    <row r="1527" spans="1:5">
      <c r="A1527" s="64"/>
      <c r="E1527" t="e">
        <f t="shared" si="27"/>
        <v>#N/A</v>
      </c>
    </row>
    <row r="1528" spans="1:5">
      <c r="A1528" s="64"/>
      <c r="E1528" t="e">
        <f t="shared" si="27"/>
        <v>#N/A</v>
      </c>
    </row>
    <row r="1529" spans="1:5">
      <c r="A1529" s="64"/>
      <c r="E1529" t="e">
        <f t="shared" si="27"/>
        <v>#N/A</v>
      </c>
    </row>
    <row r="1530" spans="1:5">
      <c r="A1530" s="64"/>
      <c r="E1530" t="e">
        <f t="shared" si="27"/>
        <v>#N/A</v>
      </c>
    </row>
    <row r="1531" spans="1:5">
      <c r="A1531" s="64"/>
      <c r="E1531" t="e">
        <f t="shared" si="27"/>
        <v>#N/A</v>
      </c>
    </row>
    <row r="1532" spans="1:5">
      <c r="A1532" s="64"/>
      <c r="E1532" t="e">
        <f t="shared" si="27"/>
        <v>#N/A</v>
      </c>
    </row>
    <row r="1533" spans="1:5">
      <c r="A1533" s="64"/>
      <c r="E1533" t="e">
        <f t="shared" si="27"/>
        <v>#N/A</v>
      </c>
    </row>
    <row r="1534" spans="1:5">
      <c r="A1534" s="64"/>
      <c r="E1534" t="e">
        <f t="shared" si="27"/>
        <v>#N/A</v>
      </c>
    </row>
    <row r="1535" spans="1:5">
      <c r="A1535" s="64"/>
      <c r="E1535" t="e">
        <f t="shared" si="27"/>
        <v>#N/A</v>
      </c>
    </row>
    <row r="1536" spans="1:5">
      <c r="A1536" s="64"/>
      <c r="E1536" t="e">
        <f t="shared" si="27"/>
        <v>#N/A</v>
      </c>
    </row>
    <row r="1537" spans="1:5">
      <c r="A1537" s="64"/>
      <c r="E1537" t="e">
        <f t="shared" si="27"/>
        <v>#N/A</v>
      </c>
    </row>
    <row r="1538" spans="1:5">
      <c r="A1538" s="64"/>
      <c r="E1538" t="e">
        <f t="shared" si="27"/>
        <v>#N/A</v>
      </c>
    </row>
    <row r="1539" spans="1:5">
      <c r="A1539" s="64"/>
      <c r="E1539" t="e">
        <f t="shared" si="27"/>
        <v>#N/A</v>
      </c>
    </row>
    <row r="1540" spans="1:5">
      <c r="A1540" s="64"/>
      <c r="E1540" t="e">
        <f t="shared" si="27"/>
        <v>#N/A</v>
      </c>
    </row>
    <row r="1541" spans="1:5">
      <c r="A1541" s="64"/>
      <c r="E1541" t="e">
        <f t="shared" si="27"/>
        <v>#N/A</v>
      </c>
    </row>
    <row r="1542" spans="1:5">
      <c r="A1542" s="64"/>
      <c r="E1542" t="e">
        <f t="shared" si="27"/>
        <v>#N/A</v>
      </c>
    </row>
    <row r="1543" spans="1:5">
      <c r="A1543" s="64"/>
      <c r="E1543" t="e">
        <f t="shared" si="27"/>
        <v>#N/A</v>
      </c>
    </row>
    <row r="1544" spans="1:5">
      <c r="A1544" s="64"/>
      <c r="E1544" t="e">
        <f t="shared" si="27"/>
        <v>#N/A</v>
      </c>
    </row>
    <row r="1545" spans="1:5">
      <c r="A1545" s="64"/>
      <c r="E1545" t="e">
        <f t="shared" si="27"/>
        <v>#N/A</v>
      </c>
    </row>
    <row r="1546" spans="1:5">
      <c r="A1546" s="64"/>
      <c r="E1546" t="e">
        <f t="shared" si="27"/>
        <v>#N/A</v>
      </c>
    </row>
    <row r="1547" spans="1:5">
      <c r="A1547" s="64"/>
      <c r="E1547" t="e">
        <f t="shared" si="27"/>
        <v>#N/A</v>
      </c>
    </row>
    <row r="1548" spans="1:5">
      <c r="A1548" s="64"/>
      <c r="E1548" t="e">
        <f t="shared" si="27"/>
        <v>#N/A</v>
      </c>
    </row>
    <row r="1549" spans="1:5">
      <c r="A1549" s="64"/>
      <c r="E1549" t="e">
        <f t="shared" ref="E1549:E1612" si="28">VLOOKUP(B1549,$Q$14:$R$62,2,FALSE)</f>
        <v>#N/A</v>
      </c>
    </row>
    <row r="1550" spans="1:5">
      <c r="A1550" s="64"/>
      <c r="E1550" t="e">
        <f t="shared" si="28"/>
        <v>#N/A</v>
      </c>
    </row>
    <row r="1551" spans="1:5">
      <c r="A1551" s="64"/>
      <c r="E1551" t="e">
        <f t="shared" si="28"/>
        <v>#N/A</v>
      </c>
    </row>
    <row r="1552" spans="1:5">
      <c r="A1552" s="64"/>
      <c r="E1552" t="e">
        <f t="shared" si="28"/>
        <v>#N/A</v>
      </c>
    </row>
    <row r="1553" spans="1:5">
      <c r="A1553" s="64"/>
      <c r="E1553" t="e">
        <f t="shared" si="28"/>
        <v>#N/A</v>
      </c>
    </row>
    <row r="1554" spans="1:5">
      <c r="A1554" s="64"/>
      <c r="E1554" t="e">
        <f t="shared" si="28"/>
        <v>#N/A</v>
      </c>
    </row>
    <row r="1555" spans="1:5">
      <c r="A1555" s="64"/>
      <c r="E1555" t="e">
        <f t="shared" si="28"/>
        <v>#N/A</v>
      </c>
    </row>
    <row r="1556" spans="1:5">
      <c r="A1556" s="64"/>
      <c r="E1556" t="e">
        <f t="shared" si="28"/>
        <v>#N/A</v>
      </c>
    </row>
    <row r="1557" spans="1:5">
      <c r="A1557" s="64"/>
      <c r="E1557" t="e">
        <f t="shared" si="28"/>
        <v>#N/A</v>
      </c>
    </row>
    <row r="1558" spans="1:5">
      <c r="A1558" s="64"/>
      <c r="E1558" t="e">
        <f t="shared" si="28"/>
        <v>#N/A</v>
      </c>
    </row>
    <row r="1559" spans="1:5">
      <c r="A1559" s="64"/>
      <c r="E1559" t="e">
        <f t="shared" si="28"/>
        <v>#N/A</v>
      </c>
    </row>
    <row r="1560" spans="1:5">
      <c r="A1560" s="64"/>
      <c r="E1560" t="e">
        <f t="shared" si="28"/>
        <v>#N/A</v>
      </c>
    </row>
    <row r="1561" spans="1:5">
      <c r="A1561" s="64"/>
      <c r="E1561" t="e">
        <f t="shared" si="28"/>
        <v>#N/A</v>
      </c>
    </row>
    <row r="1562" spans="1:5">
      <c r="A1562" s="64"/>
      <c r="E1562" t="e">
        <f t="shared" si="28"/>
        <v>#N/A</v>
      </c>
    </row>
    <row r="1563" spans="1:5">
      <c r="A1563" s="64"/>
      <c r="E1563" t="e">
        <f t="shared" si="28"/>
        <v>#N/A</v>
      </c>
    </row>
    <row r="1564" spans="1:5">
      <c r="A1564" s="64"/>
      <c r="E1564" t="e">
        <f t="shared" si="28"/>
        <v>#N/A</v>
      </c>
    </row>
    <row r="1565" spans="1:5">
      <c r="A1565" s="64"/>
      <c r="E1565" t="e">
        <f t="shared" si="28"/>
        <v>#N/A</v>
      </c>
    </row>
    <row r="1566" spans="1:5">
      <c r="A1566" s="64"/>
      <c r="E1566" t="e">
        <f t="shared" si="28"/>
        <v>#N/A</v>
      </c>
    </row>
    <row r="1567" spans="1:5">
      <c r="A1567" s="64"/>
      <c r="E1567" t="e">
        <f t="shared" si="28"/>
        <v>#N/A</v>
      </c>
    </row>
    <row r="1568" spans="1:5">
      <c r="A1568" s="64"/>
      <c r="E1568" t="e">
        <f t="shared" si="28"/>
        <v>#N/A</v>
      </c>
    </row>
    <row r="1569" spans="1:5">
      <c r="A1569" s="64"/>
      <c r="E1569" t="e">
        <f t="shared" si="28"/>
        <v>#N/A</v>
      </c>
    </row>
    <row r="1570" spans="1:5">
      <c r="A1570" s="64"/>
      <c r="E1570" t="e">
        <f t="shared" si="28"/>
        <v>#N/A</v>
      </c>
    </row>
    <row r="1571" spans="1:5">
      <c r="A1571" s="64"/>
      <c r="E1571" t="e">
        <f t="shared" si="28"/>
        <v>#N/A</v>
      </c>
    </row>
    <row r="1572" spans="1:5">
      <c r="A1572" s="64"/>
      <c r="E1572" t="e">
        <f t="shared" si="28"/>
        <v>#N/A</v>
      </c>
    </row>
    <row r="1573" spans="1:5">
      <c r="A1573" s="64"/>
      <c r="E1573" t="e">
        <f t="shared" si="28"/>
        <v>#N/A</v>
      </c>
    </row>
    <row r="1574" spans="1:5">
      <c r="A1574" s="64"/>
      <c r="E1574" t="e">
        <f t="shared" si="28"/>
        <v>#N/A</v>
      </c>
    </row>
    <row r="1575" spans="1:5">
      <c r="A1575" s="64"/>
      <c r="E1575" t="e">
        <f t="shared" si="28"/>
        <v>#N/A</v>
      </c>
    </row>
    <row r="1576" spans="1:5">
      <c r="A1576" s="64"/>
      <c r="E1576" t="e">
        <f t="shared" si="28"/>
        <v>#N/A</v>
      </c>
    </row>
    <row r="1577" spans="1:5">
      <c r="A1577" s="64"/>
      <c r="E1577" t="e">
        <f t="shared" si="28"/>
        <v>#N/A</v>
      </c>
    </row>
    <row r="1578" spans="1:5">
      <c r="A1578" s="64"/>
      <c r="E1578" t="e">
        <f t="shared" si="28"/>
        <v>#N/A</v>
      </c>
    </row>
    <row r="1579" spans="1:5">
      <c r="A1579" s="64"/>
      <c r="E1579" t="e">
        <f t="shared" si="28"/>
        <v>#N/A</v>
      </c>
    </row>
    <row r="1580" spans="1:5">
      <c r="A1580" s="64"/>
      <c r="E1580" t="e">
        <f t="shared" si="28"/>
        <v>#N/A</v>
      </c>
    </row>
    <row r="1581" spans="1:5">
      <c r="A1581" s="64"/>
      <c r="E1581" t="e">
        <f t="shared" si="28"/>
        <v>#N/A</v>
      </c>
    </row>
    <row r="1582" spans="1:5">
      <c r="A1582" s="64"/>
      <c r="E1582" t="e">
        <f t="shared" si="28"/>
        <v>#N/A</v>
      </c>
    </row>
    <row r="1583" spans="1:5">
      <c r="A1583" s="64"/>
      <c r="E1583" t="e">
        <f t="shared" si="28"/>
        <v>#N/A</v>
      </c>
    </row>
    <row r="1584" spans="1:5">
      <c r="A1584" s="64"/>
      <c r="E1584" t="e">
        <f t="shared" si="28"/>
        <v>#N/A</v>
      </c>
    </row>
    <row r="1585" spans="1:5">
      <c r="A1585" s="64"/>
      <c r="E1585" t="e">
        <f t="shared" si="28"/>
        <v>#N/A</v>
      </c>
    </row>
    <row r="1586" spans="1:5">
      <c r="A1586" s="64"/>
      <c r="E1586" t="e">
        <f t="shared" si="28"/>
        <v>#N/A</v>
      </c>
    </row>
    <row r="1587" spans="1:5">
      <c r="A1587" s="64"/>
      <c r="E1587" t="e">
        <f t="shared" si="28"/>
        <v>#N/A</v>
      </c>
    </row>
    <row r="1588" spans="1:5">
      <c r="A1588" s="64"/>
      <c r="E1588" t="e">
        <f t="shared" si="28"/>
        <v>#N/A</v>
      </c>
    </row>
    <row r="1589" spans="1:5">
      <c r="A1589" s="64"/>
      <c r="E1589" t="e">
        <f t="shared" si="28"/>
        <v>#N/A</v>
      </c>
    </row>
    <row r="1590" spans="1:5">
      <c r="A1590" s="64"/>
      <c r="E1590" t="e">
        <f t="shared" si="28"/>
        <v>#N/A</v>
      </c>
    </row>
    <row r="1591" spans="1:5">
      <c r="A1591" s="64"/>
      <c r="E1591" t="e">
        <f t="shared" si="28"/>
        <v>#N/A</v>
      </c>
    </row>
    <row r="1592" spans="1:5">
      <c r="A1592" s="64"/>
      <c r="E1592" t="e">
        <f t="shared" si="28"/>
        <v>#N/A</v>
      </c>
    </row>
    <row r="1593" spans="1:5">
      <c r="A1593" s="64"/>
      <c r="E1593" t="e">
        <f t="shared" si="28"/>
        <v>#N/A</v>
      </c>
    </row>
    <row r="1594" spans="1:5">
      <c r="A1594" s="64"/>
      <c r="E1594" t="e">
        <f t="shared" si="28"/>
        <v>#N/A</v>
      </c>
    </row>
    <row r="1595" spans="1:5">
      <c r="A1595" s="64"/>
      <c r="E1595" t="e">
        <f t="shared" si="28"/>
        <v>#N/A</v>
      </c>
    </row>
    <row r="1596" spans="1:5">
      <c r="A1596" s="64"/>
      <c r="E1596" t="e">
        <f t="shared" si="28"/>
        <v>#N/A</v>
      </c>
    </row>
    <row r="1597" spans="1:5">
      <c r="A1597" s="64"/>
      <c r="E1597" t="e">
        <f t="shared" si="28"/>
        <v>#N/A</v>
      </c>
    </row>
    <row r="1598" spans="1:5">
      <c r="A1598" s="64"/>
      <c r="E1598" t="e">
        <f t="shared" si="28"/>
        <v>#N/A</v>
      </c>
    </row>
    <row r="1599" spans="1:5">
      <c r="A1599" s="64"/>
      <c r="E1599" t="e">
        <f t="shared" si="28"/>
        <v>#N/A</v>
      </c>
    </row>
    <row r="1600" spans="1:5">
      <c r="A1600" s="64"/>
      <c r="E1600" t="e">
        <f t="shared" si="28"/>
        <v>#N/A</v>
      </c>
    </row>
    <row r="1601" spans="1:5">
      <c r="A1601" s="64"/>
      <c r="E1601" t="e">
        <f t="shared" si="28"/>
        <v>#N/A</v>
      </c>
    </row>
    <row r="1602" spans="1:5">
      <c r="A1602" s="64"/>
      <c r="E1602" t="e">
        <f t="shared" si="28"/>
        <v>#N/A</v>
      </c>
    </row>
    <row r="1603" spans="1:5">
      <c r="A1603" s="64"/>
      <c r="E1603" t="e">
        <f t="shared" si="28"/>
        <v>#N/A</v>
      </c>
    </row>
    <row r="1604" spans="1:5">
      <c r="A1604" s="64"/>
      <c r="E1604" t="e">
        <f t="shared" si="28"/>
        <v>#N/A</v>
      </c>
    </row>
    <row r="1605" spans="1:5">
      <c r="A1605" s="64"/>
      <c r="E1605" t="e">
        <f t="shared" si="28"/>
        <v>#N/A</v>
      </c>
    </row>
    <row r="1606" spans="1:5">
      <c r="A1606" s="64"/>
      <c r="E1606" t="e">
        <f t="shared" si="28"/>
        <v>#N/A</v>
      </c>
    </row>
    <row r="1607" spans="1:5">
      <c r="A1607" s="64"/>
      <c r="E1607" t="e">
        <f t="shared" si="28"/>
        <v>#N/A</v>
      </c>
    </row>
    <row r="1608" spans="1:5">
      <c r="A1608" s="64"/>
      <c r="E1608" t="e">
        <f t="shared" si="28"/>
        <v>#N/A</v>
      </c>
    </row>
    <row r="1609" spans="1:5">
      <c r="A1609" s="64"/>
      <c r="E1609" t="e">
        <f t="shared" si="28"/>
        <v>#N/A</v>
      </c>
    </row>
    <row r="1610" spans="1:5">
      <c r="A1610" s="64"/>
      <c r="E1610" t="e">
        <f t="shared" si="28"/>
        <v>#N/A</v>
      </c>
    </row>
    <row r="1611" spans="1:5">
      <c r="A1611" s="64"/>
      <c r="E1611" t="e">
        <f t="shared" si="28"/>
        <v>#N/A</v>
      </c>
    </row>
    <row r="1612" spans="1:5">
      <c r="A1612" s="64"/>
      <c r="E1612" t="e">
        <f t="shared" si="28"/>
        <v>#N/A</v>
      </c>
    </row>
    <row r="1613" spans="1:5">
      <c r="A1613" s="64"/>
      <c r="E1613" t="e">
        <f t="shared" ref="E1613:E1676" si="29">VLOOKUP(B1613,$Q$14:$R$62,2,FALSE)</f>
        <v>#N/A</v>
      </c>
    </row>
    <row r="1614" spans="1:5">
      <c r="A1614" s="64"/>
      <c r="E1614" t="e">
        <f t="shared" si="29"/>
        <v>#N/A</v>
      </c>
    </row>
    <row r="1615" spans="1:5">
      <c r="A1615" s="64"/>
      <c r="E1615" t="e">
        <f t="shared" si="29"/>
        <v>#N/A</v>
      </c>
    </row>
    <row r="1616" spans="1:5">
      <c r="A1616" s="64"/>
      <c r="E1616" t="e">
        <f t="shared" si="29"/>
        <v>#N/A</v>
      </c>
    </row>
    <row r="1617" spans="1:5">
      <c r="A1617" s="64"/>
      <c r="E1617" t="e">
        <f t="shared" si="29"/>
        <v>#N/A</v>
      </c>
    </row>
    <row r="1618" spans="1:5">
      <c r="A1618" s="64"/>
      <c r="E1618" t="e">
        <f t="shared" si="29"/>
        <v>#N/A</v>
      </c>
    </row>
    <row r="1619" spans="1:5">
      <c r="A1619" s="64"/>
      <c r="E1619" t="e">
        <f t="shared" si="29"/>
        <v>#N/A</v>
      </c>
    </row>
    <row r="1620" spans="1:5">
      <c r="A1620" s="64"/>
      <c r="E1620" t="e">
        <f t="shared" si="29"/>
        <v>#N/A</v>
      </c>
    </row>
    <row r="1621" spans="1:5">
      <c r="A1621" s="64"/>
      <c r="E1621" t="e">
        <f t="shared" si="29"/>
        <v>#N/A</v>
      </c>
    </row>
    <row r="1622" spans="1:5">
      <c r="A1622" s="64"/>
      <c r="E1622" t="e">
        <f t="shared" si="29"/>
        <v>#N/A</v>
      </c>
    </row>
    <row r="1623" spans="1:5">
      <c r="A1623" s="64"/>
      <c r="E1623" t="e">
        <f t="shared" si="29"/>
        <v>#N/A</v>
      </c>
    </row>
    <row r="1624" spans="1:5">
      <c r="A1624" s="64"/>
      <c r="E1624" t="e">
        <f t="shared" si="29"/>
        <v>#N/A</v>
      </c>
    </row>
    <row r="1625" spans="1:5">
      <c r="A1625" s="64"/>
      <c r="E1625" t="e">
        <f t="shared" si="29"/>
        <v>#N/A</v>
      </c>
    </row>
    <row r="1626" spans="1:5">
      <c r="A1626" s="64"/>
      <c r="E1626" t="e">
        <f t="shared" si="29"/>
        <v>#N/A</v>
      </c>
    </row>
    <row r="1627" spans="1:5">
      <c r="A1627" s="64"/>
      <c r="E1627" t="e">
        <f t="shared" si="29"/>
        <v>#N/A</v>
      </c>
    </row>
    <row r="1628" spans="1:5">
      <c r="A1628" s="64"/>
      <c r="E1628" t="e">
        <f t="shared" si="29"/>
        <v>#N/A</v>
      </c>
    </row>
    <row r="1629" spans="1:5">
      <c r="A1629" s="64"/>
      <c r="E1629" t="e">
        <f t="shared" si="29"/>
        <v>#N/A</v>
      </c>
    </row>
    <row r="1630" spans="1:5">
      <c r="A1630" s="64"/>
      <c r="E1630" t="e">
        <f t="shared" si="29"/>
        <v>#N/A</v>
      </c>
    </row>
    <row r="1631" spans="1:5">
      <c r="A1631" s="64"/>
      <c r="E1631" t="e">
        <f t="shared" si="29"/>
        <v>#N/A</v>
      </c>
    </row>
    <row r="1632" spans="1:5">
      <c r="A1632" s="64"/>
      <c r="E1632" t="e">
        <f t="shared" si="29"/>
        <v>#N/A</v>
      </c>
    </row>
    <row r="1633" spans="1:5">
      <c r="A1633" s="64"/>
      <c r="E1633" t="e">
        <f t="shared" si="29"/>
        <v>#N/A</v>
      </c>
    </row>
    <row r="1634" spans="1:5">
      <c r="A1634" s="64"/>
      <c r="E1634" t="e">
        <f t="shared" si="29"/>
        <v>#N/A</v>
      </c>
    </row>
    <row r="1635" spans="1:5">
      <c r="A1635" s="64"/>
      <c r="E1635" t="e">
        <f t="shared" si="29"/>
        <v>#N/A</v>
      </c>
    </row>
    <row r="1636" spans="1:5">
      <c r="A1636" s="64"/>
      <c r="E1636" t="e">
        <f t="shared" si="29"/>
        <v>#N/A</v>
      </c>
    </row>
    <row r="1637" spans="1:5">
      <c r="A1637" s="64"/>
      <c r="E1637" t="e">
        <f t="shared" si="29"/>
        <v>#N/A</v>
      </c>
    </row>
    <row r="1638" spans="1:5">
      <c r="A1638" s="64"/>
      <c r="E1638" t="e">
        <f t="shared" si="29"/>
        <v>#N/A</v>
      </c>
    </row>
    <row r="1639" spans="1:5">
      <c r="A1639" s="64"/>
      <c r="E1639" t="e">
        <f t="shared" si="29"/>
        <v>#N/A</v>
      </c>
    </row>
    <row r="1640" spans="1:5">
      <c r="A1640" s="64"/>
      <c r="E1640" t="e">
        <f t="shared" si="29"/>
        <v>#N/A</v>
      </c>
    </row>
    <row r="1641" spans="1:5">
      <c r="A1641" s="64"/>
      <c r="E1641" t="e">
        <f t="shared" si="29"/>
        <v>#N/A</v>
      </c>
    </row>
    <row r="1642" spans="1:5">
      <c r="A1642" s="64"/>
      <c r="E1642" t="e">
        <f t="shared" si="29"/>
        <v>#N/A</v>
      </c>
    </row>
    <row r="1643" spans="1:5">
      <c r="A1643" s="64"/>
      <c r="E1643" t="e">
        <f t="shared" si="29"/>
        <v>#N/A</v>
      </c>
    </row>
    <row r="1644" spans="1:5">
      <c r="A1644" s="64"/>
      <c r="E1644" t="e">
        <f t="shared" si="29"/>
        <v>#N/A</v>
      </c>
    </row>
    <row r="1645" spans="1:5">
      <c r="A1645" s="64"/>
      <c r="E1645" t="e">
        <f t="shared" si="29"/>
        <v>#N/A</v>
      </c>
    </row>
    <row r="1646" spans="1:5">
      <c r="A1646" s="64"/>
      <c r="E1646" t="e">
        <f t="shared" si="29"/>
        <v>#N/A</v>
      </c>
    </row>
    <row r="1647" spans="1:5">
      <c r="A1647" s="64"/>
      <c r="E1647" t="e">
        <f t="shared" si="29"/>
        <v>#N/A</v>
      </c>
    </row>
    <row r="1648" spans="1:5">
      <c r="A1648" s="64"/>
      <c r="E1648" t="e">
        <f t="shared" si="29"/>
        <v>#N/A</v>
      </c>
    </row>
    <row r="1649" spans="1:5">
      <c r="A1649" s="64"/>
      <c r="E1649" t="e">
        <f t="shared" si="29"/>
        <v>#N/A</v>
      </c>
    </row>
    <row r="1650" spans="1:5">
      <c r="A1650" s="64"/>
      <c r="E1650" t="e">
        <f t="shared" si="29"/>
        <v>#N/A</v>
      </c>
    </row>
    <row r="1651" spans="1:5">
      <c r="A1651" s="64"/>
      <c r="E1651" t="e">
        <f t="shared" si="29"/>
        <v>#N/A</v>
      </c>
    </row>
    <row r="1652" spans="1:5">
      <c r="A1652" s="64"/>
      <c r="E1652" t="e">
        <f t="shared" si="29"/>
        <v>#N/A</v>
      </c>
    </row>
    <row r="1653" spans="1:5">
      <c r="A1653" s="64"/>
      <c r="E1653" t="e">
        <f t="shared" si="29"/>
        <v>#N/A</v>
      </c>
    </row>
    <row r="1654" spans="1:5">
      <c r="A1654" s="64"/>
      <c r="E1654" t="e">
        <f t="shared" si="29"/>
        <v>#N/A</v>
      </c>
    </row>
    <row r="1655" spans="1:5">
      <c r="A1655" s="64"/>
      <c r="E1655" t="e">
        <f t="shared" si="29"/>
        <v>#N/A</v>
      </c>
    </row>
    <row r="1656" spans="1:5">
      <c r="A1656" s="64"/>
      <c r="E1656" t="e">
        <f t="shared" si="29"/>
        <v>#N/A</v>
      </c>
    </row>
    <row r="1657" spans="1:5">
      <c r="A1657" s="64"/>
      <c r="E1657" t="e">
        <f t="shared" si="29"/>
        <v>#N/A</v>
      </c>
    </row>
    <row r="1658" spans="1:5">
      <c r="A1658" s="64"/>
      <c r="E1658" t="e">
        <f t="shared" si="29"/>
        <v>#N/A</v>
      </c>
    </row>
    <row r="1659" spans="1:5">
      <c r="A1659" s="64"/>
      <c r="E1659" t="e">
        <f t="shared" si="29"/>
        <v>#N/A</v>
      </c>
    </row>
    <row r="1660" spans="1:5">
      <c r="A1660" s="64"/>
      <c r="E1660" t="e">
        <f t="shared" si="29"/>
        <v>#N/A</v>
      </c>
    </row>
    <row r="1661" spans="1:5">
      <c r="A1661" s="64"/>
      <c r="E1661" t="e">
        <f t="shared" si="29"/>
        <v>#N/A</v>
      </c>
    </row>
    <row r="1662" spans="1:5">
      <c r="A1662" s="64"/>
      <c r="E1662" t="e">
        <f t="shared" si="29"/>
        <v>#N/A</v>
      </c>
    </row>
    <row r="1663" spans="1:5">
      <c r="A1663" s="64"/>
      <c r="E1663" t="e">
        <f t="shared" si="29"/>
        <v>#N/A</v>
      </c>
    </row>
    <row r="1664" spans="1:5">
      <c r="A1664" s="64"/>
      <c r="E1664" t="e">
        <f t="shared" si="29"/>
        <v>#N/A</v>
      </c>
    </row>
    <row r="1665" spans="1:5">
      <c r="A1665" s="64"/>
      <c r="E1665" t="e">
        <f t="shared" si="29"/>
        <v>#N/A</v>
      </c>
    </row>
    <row r="1666" spans="1:5">
      <c r="A1666" s="64"/>
      <c r="E1666" t="e">
        <f t="shared" si="29"/>
        <v>#N/A</v>
      </c>
    </row>
    <row r="1667" spans="1:5">
      <c r="A1667" s="64"/>
      <c r="E1667" t="e">
        <f t="shared" si="29"/>
        <v>#N/A</v>
      </c>
    </row>
    <row r="1668" spans="1:5">
      <c r="A1668" s="64"/>
      <c r="E1668" t="e">
        <f t="shared" si="29"/>
        <v>#N/A</v>
      </c>
    </row>
    <row r="1669" spans="1:5">
      <c r="A1669" s="64"/>
      <c r="E1669" t="e">
        <f t="shared" si="29"/>
        <v>#N/A</v>
      </c>
    </row>
    <row r="1670" spans="1:5">
      <c r="A1670" s="64"/>
      <c r="E1670" t="e">
        <f t="shared" si="29"/>
        <v>#N/A</v>
      </c>
    </row>
    <row r="1671" spans="1:5">
      <c r="A1671" s="64"/>
      <c r="E1671" t="e">
        <f t="shared" si="29"/>
        <v>#N/A</v>
      </c>
    </row>
    <row r="1672" spans="1:5">
      <c r="A1672" s="64"/>
      <c r="E1672" t="e">
        <f t="shared" si="29"/>
        <v>#N/A</v>
      </c>
    </row>
    <row r="1673" spans="1:5">
      <c r="A1673" s="64"/>
      <c r="E1673" t="e">
        <f t="shared" si="29"/>
        <v>#N/A</v>
      </c>
    </row>
    <row r="1674" spans="1:5">
      <c r="A1674" s="64"/>
      <c r="E1674" t="e">
        <f t="shared" si="29"/>
        <v>#N/A</v>
      </c>
    </row>
    <row r="1675" spans="1:5">
      <c r="A1675" s="64"/>
      <c r="E1675" t="e">
        <f t="shared" si="29"/>
        <v>#N/A</v>
      </c>
    </row>
    <row r="1676" spans="1:5">
      <c r="A1676" s="64"/>
      <c r="E1676" t="e">
        <f t="shared" si="29"/>
        <v>#N/A</v>
      </c>
    </row>
    <row r="1677" spans="1:5">
      <c r="A1677" s="64"/>
      <c r="E1677" t="e">
        <f t="shared" ref="E1677:E1740" si="30">VLOOKUP(B1677,$Q$14:$R$62,2,FALSE)</f>
        <v>#N/A</v>
      </c>
    </row>
    <row r="1678" spans="1:5">
      <c r="A1678" s="64"/>
      <c r="E1678" t="e">
        <f t="shared" si="30"/>
        <v>#N/A</v>
      </c>
    </row>
    <row r="1679" spans="1:5">
      <c r="A1679" s="64"/>
      <c r="E1679" t="e">
        <f t="shared" si="30"/>
        <v>#N/A</v>
      </c>
    </row>
    <row r="1680" spans="1:5">
      <c r="A1680" s="64"/>
      <c r="E1680" t="e">
        <f t="shared" si="30"/>
        <v>#N/A</v>
      </c>
    </row>
    <row r="1681" spans="1:5">
      <c r="A1681" s="64"/>
      <c r="E1681" t="e">
        <f t="shared" si="30"/>
        <v>#N/A</v>
      </c>
    </row>
    <row r="1682" spans="1:5">
      <c r="A1682" s="64"/>
      <c r="E1682" t="e">
        <f t="shared" si="30"/>
        <v>#N/A</v>
      </c>
    </row>
    <row r="1683" spans="1:5">
      <c r="A1683" s="64"/>
      <c r="E1683" t="e">
        <f t="shared" si="30"/>
        <v>#N/A</v>
      </c>
    </row>
    <row r="1684" spans="1:5">
      <c r="A1684" s="64"/>
      <c r="E1684" t="e">
        <f t="shared" si="30"/>
        <v>#N/A</v>
      </c>
    </row>
    <row r="1685" spans="1:5">
      <c r="A1685" s="64"/>
      <c r="E1685" t="e">
        <f t="shared" si="30"/>
        <v>#N/A</v>
      </c>
    </row>
    <row r="1686" spans="1:5">
      <c r="A1686" s="64"/>
      <c r="E1686" t="e">
        <f t="shared" si="30"/>
        <v>#N/A</v>
      </c>
    </row>
    <row r="1687" spans="1:5">
      <c r="A1687" s="64"/>
      <c r="E1687" t="e">
        <f t="shared" si="30"/>
        <v>#N/A</v>
      </c>
    </row>
    <row r="1688" spans="1:5">
      <c r="A1688" s="64"/>
      <c r="E1688" t="e">
        <f t="shared" si="30"/>
        <v>#N/A</v>
      </c>
    </row>
    <row r="1689" spans="1:5">
      <c r="A1689" s="64"/>
      <c r="E1689" t="e">
        <f t="shared" si="30"/>
        <v>#N/A</v>
      </c>
    </row>
    <row r="1690" spans="1:5">
      <c r="A1690" s="64"/>
      <c r="E1690" t="e">
        <f t="shared" si="30"/>
        <v>#N/A</v>
      </c>
    </row>
    <row r="1691" spans="1:5">
      <c r="A1691" s="64"/>
      <c r="E1691" t="e">
        <f t="shared" si="30"/>
        <v>#N/A</v>
      </c>
    </row>
    <row r="1692" spans="1:5">
      <c r="A1692" s="64"/>
      <c r="E1692" t="e">
        <f t="shared" si="30"/>
        <v>#N/A</v>
      </c>
    </row>
    <row r="1693" spans="1:5">
      <c r="A1693" s="64"/>
      <c r="E1693" t="e">
        <f t="shared" si="30"/>
        <v>#N/A</v>
      </c>
    </row>
    <row r="1694" spans="1:5">
      <c r="A1694" s="64"/>
      <c r="E1694" t="e">
        <f t="shared" si="30"/>
        <v>#N/A</v>
      </c>
    </row>
    <row r="1695" spans="1:5">
      <c r="A1695" s="64"/>
      <c r="E1695" t="e">
        <f t="shared" si="30"/>
        <v>#N/A</v>
      </c>
    </row>
    <row r="1696" spans="1:5">
      <c r="A1696" s="64"/>
      <c r="E1696" t="e">
        <f t="shared" si="30"/>
        <v>#N/A</v>
      </c>
    </row>
    <row r="1697" spans="1:5">
      <c r="A1697" s="64"/>
      <c r="E1697" t="e">
        <f t="shared" si="30"/>
        <v>#N/A</v>
      </c>
    </row>
    <row r="1698" spans="1:5">
      <c r="A1698" s="64"/>
      <c r="E1698" t="e">
        <f t="shared" si="30"/>
        <v>#N/A</v>
      </c>
    </row>
    <row r="1699" spans="1:5">
      <c r="A1699" s="64"/>
      <c r="E1699" t="e">
        <f t="shared" si="30"/>
        <v>#N/A</v>
      </c>
    </row>
    <row r="1700" spans="1:5">
      <c r="A1700" s="64"/>
      <c r="E1700" t="e">
        <f t="shared" si="30"/>
        <v>#N/A</v>
      </c>
    </row>
    <row r="1701" spans="1:5">
      <c r="A1701" s="64"/>
      <c r="E1701" t="e">
        <f t="shared" si="30"/>
        <v>#N/A</v>
      </c>
    </row>
    <row r="1702" spans="1:5">
      <c r="A1702" s="64"/>
      <c r="E1702" t="e">
        <f t="shared" si="30"/>
        <v>#N/A</v>
      </c>
    </row>
    <row r="1703" spans="1:5">
      <c r="A1703" s="64"/>
      <c r="E1703" t="e">
        <f t="shared" si="30"/>
        <v>#N/A</v>
      </c>
    </row>
    <row r="1704" spans="1:5">
      <c r="A1704" s="64"/>
      <c r="E1704" t="e">
        <f t="shared" si="30"/>
        <v>#N/A</v>
      </c>
    </row>
    <row r="1705" spans="1:5">
      <c r="A1705" s="64"/>
      <c r="E1705" t="e">
        <f t="shared" si="30"/>
        <v>#N/A</v>
      </c>
    </row>
    <row r="1706" spans="1:5">
      <c r="A1706" s="64"/>
      <c r="E1706" t="e">
        <f t="shared" si="30"/>
        <v>#N/A</v>
      </c>
    </row>
    <row r="1707" spans="1:5">
      <c r="A1707" s="64"/>
      <c r="E1707" t="e">
        <f t="shared" si="30"/>
        <v>#N/A</v>
      </c>
    </row>
    <row r="1708" spans="1:5">
      <c r="A1708" s="64"/>
      <c r="E1708" t="e">
        <f t="shared" si="30"/>
        <v>#N/A</v>
      </c>
    </row>
    <row r="1709" spans="1:5">
      <c r="A1709" s="64"/>
      <c r="E1709" t="e">
        <f t="shared" si="30"/>
        <v>#N/A</v>
      </c>
    </row>
    <row r="1710" spans="1:5">
      <c r="A1710" s="64"/>
      <c r="E1710" t="e">
        <f t="shared" si="30"/>
        <v>#N/A</v>
      </c>
    </row>
    <row r="1711" spans="1:5">
      <c r="A1711" s="64"/>
      <c r="E1711" t="e">
        <f t="shared" si="30"/>
        <v>#N/A</v>
      </c>
    </row>
    <row r="1712" spans="1:5">
      <c r="A1712" s="64"/>
      <c r="E1712" t="e">
        <f t="shared" si="30"/>
        <v>#N/A</v>
      </c>
    </row>
    <row r="1713" spans="1:5">
      <c r="A1713" s="64"/>
      <c r="E1713" t="e">
        <f t="shared" si="30"/>
        <v>#N/A</v>
      </c>
    </row>
    <row r="1714" spans="1:5">
      <c r="A1714" s="64"/>
      <c r="E1714" t="e">
        <f t="shared" si="30"/>
        <v>#N/A</v>
      </c>
    </row>
    <row r="1715" spans="1:5">
      <c r="A1715" s="64"/>
      <c r="E1715" t="e">
        <f t="shared" si="30"/>
        <v>#N/A</v>
      </c>
    </row>
    <row r="1716" spans="1:5">
      <c r="A1716" s="64"/>
      <c r="E1716" t="e">
        <f t="shared" si="30"/>
        <v>#N/A</v>
      </c>
    </row>
    <row r="1717" spans="1:5">
      <c r="A1717" s="64"/>
      <c r="E1717" t="e">
        <f t="shared" si="30"/>
        <v>#N/A</v>
      </c>
    </row>
    <row r="1718" spans="1:5">
      <c r="A1718" s="64"/>
      <c r="E1718" t="e">
        <f t="shared" si="30"/>
        <v>#N/A</v>
      </c>
    </row>
    <row r="1719" spans="1:5">
      <c r="A1719" s="64"/>
      <c r="E1719" t="e">
        <f t="shared" si="30"/>
        <v>#N/A</v>
      </c>
    </row>
    <row r="1720" spans="1:5">
      <c r="A1720" s="64"/>
      <c r="E1720" t="e">
        <f t="shared" si="30"/>
        <v>#N/A</v>
      </c>
    </row>
    <row r="1721" spans="1:5">
      <c r="A1721" s="64"/>
      <c r="E1721" t="e">
        <f t="shared" si="30"/>
        <v>#N/A</v>
      </c>
    </row>
    <row r="1722" spans="1:5">
      <c r="A1722" s="64"/>
      <c r="E1722" t="e">
        <f t="shared" si="30"/>
        <v>#N/A</v>
      </c>
    </row>
    <row r="1723" spans="1:5">
      <c r="A1723" s="64"/>
      <c r="E1723" t="e">
        <f t="shared" si="30"/>
        <v>#N/A</v>
      </c>
    </row>
    <row r="1724" spans="1:5">
      <c r="A1724" s="64"/>
      <c r="E1724" t="e">
        <f t="shared" si="30"/>
        <v>#N/A</v>
      </c>
    </row>
    <row r="1725" spans="1:5">
      <c r="A1725" s="64"/>
      <c r="E1725" t="e">
        <f t="shared" si="30"/>
        <v>#N/A</v>
      </c>
    </row>
    <row r="1726" spans="1:5">
      <c r="A1726" s="64"/>
      <c r="E1726" t="e">
        <f t="shared" si="30"/>
        <v>#N/A</v>
      </c>
    </row>
    <row r="1727" spans="1:5">
      <c r="A1727" s="64"/>
      <c r="E1727" t="e">
        <f t="shared" si="30"/>
        <v>#N/A</v>
      </c>
    </row>
    <row r="1728" spans="1:5">
      <c r="A1728" s="64"/>
      <c r="E1728" t="e">
        <f t="shared" si="30"/>
        <v>#N/A</v>
      </c>
    </row>
    <row r="1729" spans="1:5">
      <c r="A1729" s="64"/>
      <c r="E1729" t="e">
        <f t="shared" si="30"/>
        <v>#N/A</v>
      </c>
    </row>
    <row r="1730" spans="1:5">
      <c r="A1730" s="64"/>
      <c r="E1730" t="e">
        <f t="shared" si="30"/>
        <v>#N/A</v>
      </c>
    </row>
    <row r="1731" spans="1:5">
      <c r="A1731" s="64"/>
      <c r="E1731" t="e">
        <f t="shared" si="30"/>
        <v>#N/A</v>
      </c>
    </row>
    <row r="1732" spans="1:5">
      <c r="A1732" s="64"/>
      <c r="E1732" t="e">
        <f t="shared" si="30"/>
        <v>#N/A</v>
      </c>
    </row>
    <row r="1733" spans="1:5">
      <c r="A1733" s="64"/>
      <c r="E1733" t="e">
        <f t="shared" si="30"/>
        <v>#N/A</v>
      </c>
    </row>
    <row r="1734" spans="1:5">
      <c r="A1734" s="64"/>
      <c r="E1734" t="e">
        <f t="shared" si="30"/>
        <v>#N/A</v>
      </c>
    </row>
    <row r="1735" spans="1:5">
      <c r="A1735" s="64"/>
      <c r="E1735" t="e">
        <f t="shared" si="30"/>
        <v>#N/A</v>
      </c>
    </row>
    <row r="1736" spans="1:5">
      <c r="A1736" s="64"/>
      <c r="E1736" t="e">
        <f t="shared" si="30"/>
        <v>#N/A</v>
      </c>
    </row>
    <row r="1737" spans="1:5">
      <c r="A1737" s="64"/>
      <c r="E1737" t="e">
        <f t="shared" si="30"/>
        <v>#N/A</v>
      </c>
    </row>
    <row r="1738" spans="1:5">
      <c r="A1738" s="64"/>
      <c r="E1738" t="e">
        <f t="shared" si="30"/>
        <v>#N/A</v>
      </c>
    </row>
    <row r="1739" spans="1:5">
      <c r="A1739" s="64"/>
      <c r="E1739" t="e">
        <f t="shared" si="30"/>
        <v>#N/A</v>
      </c>
    </row>
    <row r="1740" spans="1:5">
      <c r="A1740" s="64"/>
      <c r="E1740" t="e">
        <f t="shared" si="30"/>
        <v>#N/A</v>
      </c>
    </row>
    <row r="1741" spans="1:5">
      <c r="A1741" s="64"/>
      <c r="E1741" t="e">
        <f t="shared" ref="E1741:E1804" si="31">VLOOKUP(B1741,$Q$14:$R$62,2,FALSE)</f>
        <v>#N/A</v>
      </c>
    </row>
    <row r="1742" spans="1:5">
      <c r="A1742" s="64"/>
      <c r="E1742" t="e">
        <f t="shared" si="31"/>
        <v>#N/A</v>
      </c>
    </row>
    <row r="1743" spans="1:5">
      <c r="A1743" s="64"/>
      <c r="E1743" t="e">
        <f t="shared" si="31"/>
        <v>#N/A</v>
      </c>
    </row>
    <row r="1744" spans="1:5">
      <c r="A1744" s="64"/>
      <c r="E1744" t="e">
        <f t="shared" si="31"/>
        <v>#N/A</v>
      </c>
    </row>
    <row r="1745" spans="1:5">
      <c r="A1745" s="64"/>
      <c r="E1745" t="e">
        <f t="shared" si="31"/>
        <v>#N/A</v>
      </c>
    </row>
    <row r="1746" spans="1:5">
      <c r="A1746" s="64"/>
      <c r="E1746" t="e">
        <f t="shared" si="31"/>
        <v>#N/A</v>
      </c>
    </row>
    <row r="1747" spans="1:5">
      <c r="A1747" s="64"/>
      <c r="E1747" t="e">
        <f t="shared" si="31"/>
        <v>#N/A</v>
      </c>
    </row>
    <row r="1748" spans="1:5">
      <c r="A1748" s="64"/>
      <c r="E1748" t="e">
        <f t="shared" si="31"/>
        <v>#N/A</v>
      </c>
    </row>
    <row r="1749" spans="1:5">
      <c r="A1749" s="64"/>
      <c r="E1749" t="e">
        <f t="shared" si="31"/>
        <v>#N/A</v>
      </c>
    </row>
    <row r="1750" spans="1:5">
      <c r="A1750" s="64"/>
      <c r="E1750" t="e">
        <f t="shared" si="31"/>
        <v>#N/A</v>
      </c>
    </row>
    <row r="1751" spans="1:5">
      <c r="A1751" s="64"/>
      <c r="E1751" t="e">
        <f t="shared" si="31"/>
        <v>#N/A</v>
      </c>
    </row>
    <row r="1752" spans="1:5">
      <c r="A1752" s="64"/>
      <c r="E1752" t="e">
        <f t="shared" si="31"/>
        <v>#N/A</v>
      </c>
    </row>
    <row r="1753" spans="1:5">
      <c r="A1753" s="64"/>
      <c r="E1753" t="e">
        <f t="shared" si="31"/>
        <v>#N/A</v>
      </c>
    </row>
    <row r="1754" spans="1:5">
      <c r="A1754" s="64"/>
      <c r="E1754" t="e">
        <f t="shared" si="31"/>
        <v>#N/A</v>
      </c>
    </row>
    <row r="1755" spans="1:5">
      <c r="A1755" s="64"/>
      <c r="E1755" t="e">
        <f t="shared" si="31"/>
        <v>#N/A</v>
      </c>
    </row>
    <row r="1756" spans="1:5">
      <c r="A1756" s="64"/>
      <c r="E1756" t="e">
        <f t="shared" si="31"/>
        <v>#N/A</v>
      </c>
    </row>
    <row r="1757" spans="1:5">
      <c r="A1757" s="64"/>
      <c r="E1757" t="e">
        <f t="shared" si="31"/>
        <v>#N/A</v>
      </c>
    </row>
    <row r="1758" spans="1:5">
      <c r="A1758" s="64"/>
      <c r="E1758" t="e">
        <f t="shared" si="31"/>
        <v>#N/A</v>
      </c>
    </row>
    <row r="1759" spans="1:5">
      <c r="A1759" s="64"/>
      <c r="E1759" t="e">
        <f t="shared" si="31"/>
        <v>#N/A</v>
      </c>
    </row>
    <row r="1760" spans="1:5">
      <c r="A1760" s="64"/>
      <c r="E1760" t="e">
        <f t="shared" si="31"/>
        <v>#N/A</v>
      </c>
    </row>
    <row r="1761" spans="1:5">
      <c r="A1761" s="64"/>
      <c r="E1761" t="e">
        <f t="shared" si="31"/>
        <v>#N/A</v>
      </c>
    </row>
    <row r="1762" spans="1:5">
      <c r="A1762" s="64"/>
      <c r="E1762" t="e">
        <f t="shared" si="31"/>
        <v>#N/A</v>
      </c>
    </row>
    <row r="1763" spans="1:5">
      <c r="A1763" s="64"/>
      <c r="E1763" t="e">
        <f t="shared" si="31"/>
        <v>#N/A</v>
      </c>
    </row>
    <row r="1764" spans="1:5">
      <c r="A1764" s="64"/>
      <c r="E1764" t="e">
        <f t="shared" si="31"/>
        <v>#N/A</v>
      </c>
    </row>
    <row r="1765" spans="1:5">
      <c r="A1765" s="64"/>
      <c r="E1765" t="e">
        <f t="shared" si="31"/>
        <v>#N/A</v>
      </c>
    </row>
    <row r="1766" spans="1:5">
      <c r="A1766" s="64"/>
      <c r="E1766" t="e">
        <f t="shared" si="31"/>
        <v>#N/A</v>
      </c>
    </row>
    <row r="1767" spans="1:5">
      <c r="A1767" s="64"/>
      <c r="E1767" t="e">
        <f t="shared" si="31"/>
        <v>#N/A</v>
      </c>
    </row>
    <row r="1768" spans="1:5">
      <c r="A1768" s="64"/>
      <c r="E1768" t="e">
        <f t="shared" si="31"/>
        <v>#N/A</v>
      </c>
    </row>
    <row r="1769" spans="1:5">
      <c r="A1769" s="64"/>
      <c r="E1769" t="e">
        <f t="shared" si="31"/>
        <v>#N/A</v>
      </c>
    </row>
    <row r="1770" spans="1:5">
      <c r="A1770" s="64"/>
      <c r="E1770" t="e">
        <f t="shared" si="31"/>
        <v>#N/A</v>
      </c>
    </row>
    <row r="1771" spans="1:5">
      <c r="A1771" s="64"/>
      <c r="E1771" t="e">
        <f t="shared" si="31"/>
        <v>#N/A</v>
      </c>
    </row>
    <row r="1772" spans="1:5">
      <c r="A1772" s="64"/>
      <c r="E1772" t="e">
        <f t="shared" si="31"/>
        <v>#N/A</v>
      </c>
    </row>
    <row r="1773" spans="1:5">
      <c r="A1773" s="64"/>
      <c r="E1773" t="e">
        <f t="shared" si="31"/>
        <v>#N/A</v>
      </c>
    </row>
    <row r="1774" spans="1:5">
      <c r="A1774" s="64"/>
      <c r="E1774" t="e">
        <f t="shared" si="31"/>
        <v>#N/A</v>
      </c>
    </row>
    <row r="1775" spans="1:5">
      <c r="A1775" s="64"/>
      <c r="E1775" t="e">
        <f t="shared" si="31"/>
        <v>#N/A</v>
      </c>
    </row>
    <row r="1776" spans="1:5">
      <c r="A1776" s="64"/>
      <c r="E1776" t="e">
        <f t="shared" si="31"/>
        <v>#N/A</v>
      </c>
    </row>
    <row r="1777" spans="1:5">
      <c r="A1777" s="64"/>
      <c r="E1777" t="e">
        <f t="shared" si="31"/>
        <v>#N/A</v>
      </c>
    </row>
    <row r="1778" spans="1:5">
      <c r="A1778" s="64"/>
      <c r="E1778" t="e">
        <f t="shared" si="31"/>
        <v>#N/A</v>
      </c>
    </row>
    <row r="1779" spans="1:5">
      <c r="A1779" s="64"/>
      <c r="E1779" t="e">
        <f t="shared" si="31"/>
        <v>#N/A</v>
      </c>
    </row>
    <row r="1780" spans="1:5">
      <c r="A1780" s="64"/>
      <c r="E1780" t="e">
        <f t="shared" si="31"/>
        <v>#N/A</v>
      </c>
    </row>
    <row r="1781" spans="1:5">
      <c r="A1781" s="64"/>
      <c r="E1781" t="e">
        <f t="shared" si="31"/>
        <v>#N/A</v>
      </c>
    </row>
    <row r="1782" spans="1:5">
      <c r="A1782" s="64"/>
      <c r="E1782" t="e">
        <f t="shared" si="31"/>
        <v>#N/A</v>
      </c>
    </row>
    <row r="1783" spans="1:5">
      <c r="A1783" s="64"/>
      <c r="E1783" t="e">
        <f t="shared" si="31"/>
        <v>#N/A</v>
      </c>
    </row>
    <row r="1784" spans="1:5">
      <c r="A1784" s="64"/>
      <c r="E1784" t="e">
        <f t="shared" si="31"/>
        <v>#N/A</v>
      </c>
    </row>
    <row r="1785" spans="1:5">
      <c r="A1785" s="64"/>
      <c r="E1785" t="e">
        <f t="shared" si="31"/>
        <v>#N/A</v>
      </c>
    </row>
    <row r="1786" spans="1:5">
      <c r="A1786" s="64"/>
      <c r="E1786" t="e">
        <f t="shared" si="31"/>
        <v>#N/A</v>
      </c>
    </row>
    <row r="1787" spans="1:5">
      <c r="A1787" s="64"/>
      <c r="E1787" t="e">
        <f t="shared" si="31"/>
        <v>#N/A</v>
      </c>
    </row>
    <row r="1788" spans="1:5">
      <c r="A1788" s="64"/>
      <c r="E1788" t="e">
        <f t="shared" si="31"/>
        <v>#N/A</v>
      </c>
    </row>
    <row r="1789" spans="1:5">
      <c r="A1789" s="64"/>
      <c r="E1789" t="e">
        <f t="shared" si="31"/>
        <v>#N/A</v>
      </c>
    </row>
    <row r="1790" spans="1:5">
      <c r="A1790" s="64"/>
      <c r="E1790" t="e">
        <f t="shared" si="31"/>
        <v>#N/A</v>
      </c>
    </row>
    <row r="1791" spans="1:5">
      <c r="A1791" s="64"/>
      <c r="E1791" t="e">
        <f t="shared" si="31"/>
        <v>#N/A</v>
      </c>
    </row>
    <row r="1792" spans="1:5">
      <c r="A1792" s="64"/>
      <c r="E1792" t="e">
        <f t="shared" si="31"/>
        <v>#N/A</v>
      </c>
    </row>
    <row r="1793" spans="1:5">
      <c r="A1793" s="64"/>
      <c r="E1793" t="e">
        <f t="shared" si="31"/>
        <v>#N/A</v>
      </c>
    </row>
    <row r="1794" spans="1:5">
      <c r="A1794" s="64"/>
      <c r="E1794" t="e">
        <f t="shared" si="31"/>
        <v>#N/A</v>
      </c>
    </row>
    <row r="1795" spans="1:5">
      <c r="A1795" s="64"/>
      <c r="E1795" t="e">
        <f t="shared" si="31"/>
        <v>#N/A</v>
      </c>
    </row>
    <row r="1796" spans="1:5">
      <c r="A1796" s="64"/>
      <c r="E1796" t="e">
        <f t="shared" si="31"/>
        <v>#N/A</v>
      </c>
    </row>
    <row r="1797" spans="1:5">
      <c r="A1797" s="64"/>
      <c r="E1797" t="e">
        <f t="shared" si="31"/>
        <v>#N/A</v>
      </c>
    </row>
    <row r="1798" spans="1:5">
      <c r="A1798" s="64"/>
      <c r="E1798" t="e">
        <f t="shared" si="31"/>
        <v>#N/A</v>
      </c>
    </row>
    <row r="1799" spans="1:5">
      <c r="A1799" s="64"/>
      <c r="E1799" t="e">
        <f t="shared" si="31"/>
        <v>#N/A</v>
      </c>
    </row>
    <row r="1800" spans="1:5">
      <c r="A1800" s="64"/>
      <c r="E1800" t="e">
        <f t="shared" si="31"/>
        <v>#N/A</v>
      </c>
    </row>
    <row r="1801" spans="1:5">
      <c r="A1801" s="64"/>
      <c r="E1801" t="e">
        <f t="shared" si="31"/>
        <v>#N/A</v>
      </c>
    </row>
    <row r="1802" spans="1:5">
      <c r="A1802" s="64"/>
      <c r="E1802" t="e">
        <f t="shared" si="31"/>
        <v>#N/A</v>
      </c>
    </row>
    <row r="1803" spans="1:5">
      <c r="A1803" s="64"/>
      <c r="E1803" t="e">
        <f t="shared" si="31"/>
        <v>#N/A</v>
      </c>
    </row>
    <row r="1804" spans="1:5">
      <c r="A1804" s="64"/>
      <c r="E1804" t="e">
        <f t="shared" si="31"/>
        <v>#N/A</v>
      </c>
    </row>
    <row r="1805" spans="1:5">
      <c r="A1805" s="64"/>
      <c r="E1805" t="e">
        <f t="shared" ref="E1805:E1868" si="32">VLOOKUP(B1805,$Q$14:$R$62,2,FALSE)</f>
        <v>#N/A</v>
      </c>
    </row>
    <row r="1806" spans="1:5">
      <c r="A1806" s="64"/>
      <c r="E1806" t="e">
        <f t="shared" si="32"/>
        <v>#N/A</v>
      </c>
    </row>
    <row r="1807" spans="1:5">
      <c r="A1807" s="64"/>
      <c r="E1807" t="e">
        <f t="shared" si="32"/>
        <v>#N/A</v>
      </c>
    </row>
    <row r="1808" spans="1:5">
      <c r="A1808" s="64"/>
      <c r="E1808" t="e">
        <f t="shared" si="32"/>
        <v>#N/A</v>
      </c>
    </row>
    <row r="1809" spans="1:5">
      <c r="A1809" s="64"/>
      <c r="E1809" t="e">
        <f t="shared" si="32"/>
        <v>#N/A</v>
      </c>
    </row>
    <row r="1810" spans="1:5">
      <c r="A1810" s="64"/>
      <c r="E1810" t="e">
        <f t="shared" si="32"/>
        <v>#N/A</v>
      </c>
    </row>
    <row r="1811" spans="1:5">
      <c r="A1811" s="64"/>
      <c r="E1811" t="e">
        <f t="shared" si="32"/>
        <v>#N/A</v>
      </c>
    </row>
    <row r="1812" spans="1:5">
      <c r="A1812" s="64"/>
      <c r="E1812" t="e">
        <f t="shared" si="32"/>
        <v>#N/A</v>
      </c>
    </row>
    <row r="1813" spans="1:5">
      <c r="A1813" s="64"/>
      <c r="E1813" t="e">
        <f t="shared" si="32"/>
        <v>#N/A</v>
      </c>
    </row>
    <row r="1814" spans="1:5">
      <c r="A1814" s="64"/>
      <c r="E1814" t="e">
        <f t="shared" si="32"/>
        <v>#N/A</v>
      </c>
    </row>
    <row r="1815" spans="1:5">
      <c r="A1815" s="64"/>
      <c r="E1815" t="e">
        <f t="shared" si="32"/>
        <v>#N/A</v>
      </c>
    </row>
    <row r="1816" spans="1:5">
      <c r="A1816" s="64"/>
      <c r="E1816" t="e">
        <f t="shared" si="32"/>
        <v>#N/A</v>
      </c>
    </row>
    <row r="1817" spans="1:5">
      <c r="A1817" s="64"/>
      <c r="E1817" t="e">
        <f t="shared" si="32"/>
        <v>#N/A</v>
      </c>
    </row>
    <row r="1818" spans="1:5">
      <c r="A1818" s="64"/>
      <c r="E1818" t="e">
        <f t="shared" si="32"/>
        <v>#N/A</v>
      </c>
    </row>
    <row r="1819" spans="1:5">
      <c r="A1819" s="64"/>
      <c r="E1819" t="e">
        <f t="shared" si="32"/>
        <v>#N/A</v>
      </c>
    </row>
    <row r="1820" spans="1:5">
      <c r="A1820" s="64"/>
      <c r="E1820" t="e">
        <f t="shared" si="32"/>
        <v>#N/A</v>
      </c>
    </row>
    <row r="1821" spans="1:5">
      <c r="A1821" s="64"/>
      <c r="E1821" t="e">
        <f t="shared" si="32"/>
        <v>#N/A</v>
      </c>
    </row>
    <row r="1822" spans="1:5">
      <c r="A1822" s="64"/>
      <c r="E1822" t="e">
        <f t="shared" si="32"/>
        <v>#N/A</v>
      </c>
    </row>
    <row r="1823" spans="1:5">
      <c r="A1823" s="64"/>
      <c r="E1823" t="e">
        <f t="shared" si="32"/>
        <v>#N/A</v>
      </c>
    </row>
    <row r="1824" spans="1:5">
      <c r="A1824" s="64"/>
      <c r="E1824" t="e">
        <f t="shared" si="32"/>
        <v>#N/A</v>
      </c>
    </row>
    <row r="1825" spans="1:5">
      <c r="A1825" s="64"/>
      <c r="E1825" t="e">
        <f t="shared" si="32"/>
        <v>#N/A</v>
      </c>
    </row>
    <row r="1826" spans="1:5">
      <c r="A1826" s="64"/>
      <c r="E1826" t="e">
        <f t="shared" si="32"/>
        <v>#N/A</v>
      </c>
    </row>
    <row r="1827" spans="1:5">
      <c r="A1827" s="64"/>
      <c r="E1827" t="e">
        <f t="shared" si="32"/>
        <v>#N/A</v>
      </c>
    </row>
    <row r="1828" spans="1:5">
      <c r="A1828" s="64"/>
      <c r="E1828" t="e">
        <f t="shared" si="32"/>
        <v>#N/A</v>
      </c>
    </row>
    <row r="1829" spans="1:5">
      <c r="A1829" s="64"/>
      <c r="E1829" t="e">
        <f t="shared" si="32"/>
        <v>#N/A</v>
      </c>
    </row>
    <row r="1830" spans="1:5">
      <c r="A1830" s="64"/>
      <c r="E1830" t="e">
        <f t="shared" si="32"/>
        <v>#N/A</v>
      </c>
    </row>
    <row r="1831" spans="1:5">
      <c r="A1831" s="64"/>
      <c r="E1831" t="e">
        <f t="shared" si="32"/>
        <v>#N/A</v>
      </c>
    </row>
    <row r="1832" spans="1:5">
      <c r="A1832" s="64"/>
      <c r="E1832" t="e">
        <f t="shared" si="32"/>
        <v>#N/A</v>
      </c>
    </row>
    <row r="1833" spans="1:5">
      <c r="A1833" s="64"/>
      <c r="E1833" t="e">
        <f t="shared" si="32"/>
        <v>#N/A</v>
      </c>
    </row>
    <row r="1834" spans="1:5">
      <c r="A1834" s="64"/>
      <c r="E1834" t="e">
        <f t="shared" si="32"/>
        <v>#N/A</v>
      </c>
    </row>
    <row r="1835" spans="1:5">
      <c r="A1835" s="64"/>
      <c r="E1835" t="e">
        <f t="shared" si="32"/>
        <v>#N/A</v>
      </c>
    </row>
    <row r="1836" spans="1:5">
      <c r="A1836" s="64"/>
      <c r="E1836" t="e">
        <f t="shared" si="32"/>
        <v>#N/A</v>
      </c>
    </row>
    <row r="1837" spans="1:5">
      <c r="A1837" s="64"/>
      <c r="E1837" t="e">
        <f t="shared" si="32"/>
        <v>#N/A</v>
      </c>
    </row>
    <row r="1838" spans="1:5">
      <c r="A1838" s="64"/>
      <c r="E1838" t="e">
        <f t="shared" si="32"/>
        <v>#N/A</v>
      </c>
    </row>
    <row r="1839" spans="1:5">
      <c r="A1839" s="64"/>
      <c r="E1839" t="e">
        <f t="shared" si="32"/>
        <v>#N/A</v>
      </c>
    </row>
    <row r="1840" spans="1:5">
      <c r="A1840" s="64"/>
      <c r="E1840" t="e">
        <f t="shared" si="32"/>
        <v>#N/A</v>
      </c>
    </row>
    <row r="1841" spans="1:5">
      <c r="A1841" s="64"/>
      <c r="E1841" t="e">
        <f t="shared" si="32"/>
        <v>#N/A</v>
      </c>
    </row>
    <row r="1842" spans="1:5">
      <c r="A1842" s="64"/>
      <c r="E1842" t="e">
        <f t="shared" si="32"/>
        <v>#N/A</v>
      </c>
    </row>
    <row r="1843" spans="1:5">
      <c r="A1843" s="64"/>
      <c r="E1843" t="e">
        <f t="shared" si="32"/>
        <v>#N/A</v>
      </c>
    </row>
    <row r="1844" spans="1:5">
      <c r="A1844" s="64"/>
      <c r="E1844" t="e">
        <f t="shared" si="32"/>
        <v>#N/A</v>
      </c>
    </row>
    <row r="1845" spans="1:5">
      <c r="A1845" s="64"/>
      <c r="E1845" t="e">
        <f t="shared" si="32"/>
        <v>#N/A</v>
      </c>
    </row>
    <row r="1846" spans="1:5">
      <c r="A1846" s="64"/>
      <c r="E1846" t="e">
        <f t="shared" si="32"/>
        <v>#N/A</v>
      </c>
    </row>
    <row r="1847" spans="1:5">
      <c r="A1847" s="64"/>
      <c r="E1847" t="e">
        <f t="shared" si="32"/>
        <v>#N/A</v>
      </c>
    </row>
    <row r="1848" spans="1:5">
      <c r="A1848" s="64"/>
      <c r="E1848" t="e">
        <f t="shared" si="32"/>
        <v>#N/A</v>
      </c>
    </row>
    <row r="1849" spans="1:5">
      <c r="A1849" s="64"/>
      <c r="E1849" t="e">
        <f t="shared" si="32"/>
        <v>#N/A</v>
      </c>
    </row>
    <row r="1850" spans="1:5">
      <c r="A1850" s="64"/>
      <c r="E1850" t="e">
        <f t="shared" si="32"/>
        <v>#N/A</v>
      </c>
    </row>
    <row r="1851" spans="1:5">
      <c r="A1851" s="64"/>
      <c r="E1851" t="e">
        <f t="shared" si="32"/>
        <v>#N/A</v>
      </c>
    </row>
    <row r="1852" spans="1:5">
      <c r="A1852" s="64"/>
      <c r="E1852" t="e">
        <f t="shared" si="32"/>
        <v>#N/A</v>
      </c>
    </row>
    <row r="1853" spans="1:5">
      <c r="A1853" s="64"/>
      <c r="E1853" t="e">
        <f t="shared" si="32"/>
        <v>#N/A</v>
      </c>
    </row>
    <row r="1854" spans="1:5">
      <c r="A1854" s="64"/>
      <c r="E1854" t="e">
        <f t="shared" si="32"/>
        <v>#N/A</v>
      </c>
    </row>
    <row r="1855" spans="1:5">
      <c r="A1855" s="64"/>
      <c r="E1855" t="e">
        <f t="shared" si="32"/>
        <v>#N/A</v>
      </c>
    </row>
    <row r="1856" spans="1:5">
      <c r="A1856" s="64"/>
      <c r="E1856" t="e">
        <f t="shared" si="32"/>
        <v>#N/A</v>
      </c>
    </row>
    <row r="1857" spans="1:5">
      <c r="A1857" s="64"/>
      <c r="E1857" t="e">
        <f t="shared" si="32"/>
        <v>#N/A</v>
      </c>
    </row>
    <row r="1858" spans="1:5">
      <c r="A1858" s="64"/>
      <c r="E1858" t="e">
        <f t="shared" si="32"/>
        <v>#N/A</v>
      </c>
    </row>
    <row r="1859" spans="1:5">
      <c r="A1859" s="64"/>
      <c r="E1859" t="e">
        <f t="shared" si="32"/>
        <v>#N/A</v>
      </c>
    </row>
    <row r="1860" spans="1:5">
      <c r="A1860" s="64"/>
      <c r="E1860" t="e">
        <f t="shared" si="32"/>
        <v>#N/A</v>
      </c>
    </row>
    <row r="1861" spans="1:5">
      <c r="A1861" s="64"/>
      <c r="E1861" t="e">
        <f t="shared" si="32"/>
        <v>#N/A</v>
      </c>
    </row>
    <row r="1862" spans="1:5">
      <c r="A1862" s="64"/>
      <c r="E1862" t="e">
        <f t="shared" si="32"/>
        <v>#N/A</v>
      </c>
    </row>
    <row r="1863" spans="1:5">
      <c r="A1863" s="64"/>
      <c r="E1863" t="e">
        <f t="shared" si="32"/>
        <v>#N/A</v>
      </c>
    </row>
    <row r="1864" spans="1:5">
      <c r="A1864" s="64"/>
      <c r="E1864" t="e">
        <f t="shared" si="32"/>
        <v>#N/A</v>
      </c>
    </row>
    <row r="1865" spans="1:5">
      <c r="A1865" s="64"/>
      <c r="E1865" t="e">
        <f t="shared" si="32"/>
        <v>#N/A</v>
      </c>
    </row>
    <row r="1866" spans="1:5">
      <c r="A1866" s="64"/>
      <c r="E1866" t="e">
        <f t="shared" si="32"/>
        <v>#N/A</v>
      </c>
    </row>
    <row r="1867" spans="1:5">
      <c r="A1867" s="64"/>
      <c r="E1867" t="e">
        <f t="shared" si="32"/>
        <v>#N/A</v>
      </c>
    </row>
    <row r="1868" spans="1:5">
      <c r="A1868" s="64"/>
      <c r="E1868" t="e">
        <f t="shared" si="32"/>
        <v>#N/A</v>
      </c>
    </row>
    <row r="1869" spans="1:5">
      <c r="A1869" s="64"/>
      <c r="E1869" t="e">
        <f t="shared" ref="E1869:E1932" si="33">VLOOKUP(B1869,$Q$14:$R$62,2,FALSE)</f>
        <v>#N/A</v>
      </c>
    </row>
    <row r="1870" spans="1:5">
      <c r="A1870" s="64"/>
      <c r="E1870" t="e">
        <f t="shared" si="33"/>
        <v>#N/A</v>
      </c>
    </row>
    <row r="1871" spans="1:5">
      <c r="A1871" s="64"/>
      <c r="E1871" t="e">
        <f t="shared" si="33"/>
        <v>#N/A</v>
      </c>
    </row>
    <row r="1872" spans="1:5">
      <c r="A1872" s="64"/>
      <c r="E1872" t="e">
        <f t="shared" si="33"/>
        <v>#N/A</v>
      </c>
    </row>
    <row r="1873" spans="1:5">
      <c r="A1873" s="64"/>
      <c r="E1873" t="e">
        <f t="shared" si="33"/>
        <v>#N/A</v>
      </c>
    </row>
    <row r="1874" spans="1:5">
      <c r="A1874" s="64"/>
      <c r="E1874" t="e">
        <f t="shared" si="33"/>
        <v>#N/A</v>
      </c>
    </row>
    <row r="1875" spans="1:5">
      <c r="A1875" s="64"/>
      <c r="E1875" t="e">
        <f t="shared" si="33"/>
        <v>#N/A</v>
      </c>
    </row>
    <row r="1876" spans="1:5">
      <c r="A1876" s="64"/>
      <c r="E1876" t="e">
        <f t="shared" si="33"/>
        <v>#N/A</v>
      </c>
    </row>
    <row r="1877" spans="1:5">
      <c r="A1877" s="64"/>
      <c r="E1877" t="e">
        <f t="shared" si="33"/>
        <v>#N/A</v>
      </c>
    </row>
    <row r="1878" spans="1:5">
      <c r="A1878" s="64"/>
      <c r="E1878" t="e">
        <f t="shared" si="33"/>
        <v>#N/A</v>
      </c>
    </row>
    <row r="1879" spans="1:5">
      <c r="A1879" s="64"/>
      <c r="E1879" t="e">
        <f t="shared" si="33"/>
        <v>#N/A</v>
      </c>
    </row>
    <row r="1880" spans="1:5">
      <c r="A1880" s="64"/>
      <c r="E1880" t="e">
        <f t="shared" si="33"/>
        <v>#N/A</v>
      </c>
    </row>
    <row r="1881" spans="1:5">
      <c r="A1881" s="64"/>
      <c r="E1881" t="e">
        <f t="shared" si="33"/>
        <v>#N/A</v>
      </c>
    </row>
    <row r="1882" spans="1:5">
      <c r="A1882" s="64"/>
      <c r="E1882" t="e">
        <f t="shared" si="33"/>
        <v>#N/A</v>
      </c>
    </row>
    <row r="1883" spans="1:5">
      <c r="A1883" s="64"/>
      <c r="E1883" t="e">
        <f t="shared" si="33"/>
        <v>#N/A</v>
      </c>
    </row>
    <row r="1884" spans="1:5">
      <c r="A1884" s="64"/>
      <c r="E1884" t="e">
        <f t="shared" si="33"/>
        <v>#N/A</v>
      </c>
    </row>
    <row r="1885" spans="1:5">
      <c r="A1885" s="64"/>
      <c r="E1885" t="e">
        <f t="shared" si="33"/>
        <v>#N/A</v>
      </c>
    </row>
    <row r="1886" spans="1:5">
      <c r="A1886" s="64"/>
      <c r="E1886" t="e">
        <f t="shared" si="33"/>
        <v>#N/A</v>
      </c>
    </row>
    <row r="1887" spans="1:5">
      <c r="A1887" s="64"/>
      <c r="E1887" t="e">
        <f t="shared" si="33"/>
        <v>#N/A</v>
      </c>
    </row>
    <row r="1888" spans="1:5">
      <c r="A1888" s="64"/>
      <c r="E1888" t="e">
        <f t="shared" si="33"/>
        <v>#N/A</v>
      </c>
    </row>
    <row r="1889" spans="1:5">
      <c r="A1889" s="64"/>
      <c r="E1889" t="e">
        <f t="shared" si="33"/>
        <v>#N/A</v>
      </c>
    </row>
    <row r="1890" spans="1:5">
      <c r="A1890" s="64"/>
      <c r="E1890" t="e">
        <f t="shared" si="33"/>
        <v>#N/A</v>
      </c>
    </row>
    <row r="1891" spans="1:5">
      <c r="A1891" s="64"/>
      <c r="E1891" t="e">
        <f t="shared" si="33"/>
        <v>#N/A</v>
      </c>
    </row>
    <row r="1892" spans="1:5">
      <c r="A1892" s="64"/>
      <c r="E1892" t="e">
        <f t="shared" si="33"/>
        <v>#N/A</v>
      </c>
    </row>
    <row r="1893" spans="1:5">
      <c r="A1893" s="64"/>
      <c r="E1893" t="e">
        <f t="shared" si="33"/>
        <v>#N/A</v>
      </c>
    </row>
    <row r="1894" spans="1:5">
      <c r="A1894" s="64"/>
      <c r="E1894" t="e">
        <f t="shared" si="33"/>
        <v>#N/A</v>
      </c>
    </row>
    <row r="1895" spans="1:5">
      <c r="A1895" s="64"/>
      <c r="E1895" t="e">
        <f t="shared" si="33"/>
        <v>#N/A</v>
      </c>
    </row>
    <row r="1896" spans="1:5">
      <c r="A1896" s="64"/>
      <c r="E1896" t="e">
        <f t="shared" si="33"/>
        <v>#N/A</v>
      </c>
    </row>
    <row r="1897" spans="1:5">
      <c r="A1897" s="64"/>
      <c r="E1897" t="e">
        <f t="shared" si="33"/>
        <v>#N/A</v>
      </c>
    </row>
    <row r="1898" spans="1:5">
      <c r="A1898" s="64"/>
      <c r="E1898" t="e">
        <f t="shared" si="33"/>
        <v>#N/A</v>
      </c>
    </row>
    <row r="1899" spans="1:5">
      <c r="A1899" s="64"/>
      <c r="E1899" t="e">
        <f t="shared" si="33"/>
        <v>#N/A</v>
      </c>
    </row>
    <row r="1900" spans="1:5">
      <c r="A1900" s="64"/>
      <c r="E1900" t="e">
        <f t="shared" si="33"/>
        <v>#N/A</v>
      </c>
    </row>
    <row r="1901" spans="1:5">
      <c r="A1901" s="64"/>
      <c r="E1901" t="e">
        <f t="shared" si="33"/>
        <v>#N/A</v>
      </c>
    </row>
    <row r="1902" spans="1:5">
      <c r="A1902" s="64"/>
      <c r="E1902" t="e">
        <f t="shared" si="33"/>
        <v>#N/A</v>
      </c>
    </row>
    <row r="1903" spans="1:5">
      <c r="A1903" s="64"/>
      <c r="E1903" t="e">
        <f t="shared" si="33"/>
        <v>#N/A</v>
      </c>
    </row>
    <row r="1904" spans="1:5">
      <c r="A1904" s="64"/>
      <c r="E1904" t="e">
        <f t="shared" si="33"/>
        <v>#N/A</v>
      </c>
    </row>
    <row r="1905" spans="1:5">
      <c r="A1905" s="64"/>
      <c r="E1905" t="e">
        <f t="shared" si="33"/>
        <v>#N/A</v>
      </c>
    </row>
    <row r="1906" spans="1:5">
      <c r="A1906" s="64"/>
      <c r="E1906" t="e">
        <f t="shared" si="33"/>
        <v>#N/A</v>
      </c>
    </row>
    <row r="1907" spans="1:5">
      <c r="A1907" s="64"/>
      <c r="E1907" t="e">
        <f t="shared" si="33"/>
        <v>#N/A</v>
      </c>
    </row>
    <row r="1908" spans="1:5">
      <c r="A1908" s="64"/>
      <c r="E1908" t="e">
        <f t="shared" si="33"/>
        <v>#N/A</v>
      </c>
    </row>
    <row r="1909" spans="1:5">
      <c r="A1909" s="64"/>
      <c r="E1909" t="e">
        <f t="shared" si="33"/>
        <v>#N/A</v>
      </c>
    </row>
    <row r="1910" spans="1:5">
      <c r="A1910" s="64"/>
      <c r="E1910" t="e">
        <f t="shared" si="33"/>
        <v>#N/A</v>
      </c>
    </row>
    <row r="1911" spans="1:5">
      <c r="A1911" s="64"/>
      <c r="E1911" t="e">
        <f t="shared" si="33"/>
        <v>#N/A</v>
      </c>
    </row>
    <row r="1912" spans="1:5">
      <c r="A1912" s="64"/>
      <c r="E1912" t="e">
        <f t="shared" si="33"/>
        <v>#N/A</v>
      </c>
    </row>
    <row r="1913" spans="1:5">
      <c r="A1913" s="64"/>
      <c r="E1913" t="e">
        <f t="shared" si="33"/>
        <v>#N/A</v>
      </c>
    </row>
    <row r="1914" spans="1:5">
      <c r="A1914" s="64"/>
      <c r="E1914" t="e">
        <f t="shared" si="33"/>
        <v>#N/A</v>
      </c>
    </row>
    <row r="1915" spans="1:5">
      <c r="A1915" s="64"/>
      <c r="E1915" t="e">
        <f t="shared" si="33"/>
        <v>#N/A</v>
      </c>
    </row>
    <row r="1916" spans="1:5">
      <c r="A1916" s="64"/>
      <c r="E1916" t="e">
        <f t="shared" si="33"/>
        <v>#N/A</v>
      </c>
    </row>
    <row r="1917" spans="1:5">
      <c r="A1917" s="64"/>
      <c r="E1917" t="e">
        <f t="shared" si="33"/>
        <v>#N/A</v>
      </c>
    </row>
    <row r="1918" spans="1:5">
      <c r="A1918" s="64"/>
      <c r="E1918" t="e">
        <f t="shared" si="33"/>
        <v>#N/A</v>
      </c>
    </row>
    <row r="1919" spans="1:5">
      <c r="A1919" s="64"/>
      <c r="E1919" t="e">
        <f t="shared" si="33"/>
        <v>#N/A</v>
      </c>
    </row>
    <row r="1920" spans="1:5">
      <c r="A1920" s="64"/>
      <c r="E1920" t="e">
        <f t="shared" si="33"/>
        <v>#N/A</v>
      </c>
    </row>
    <row r="1921" spans="1:5">
      <c r="A1921" s="64"/>
      <c r="E1921" t="e">
        <f t="shared" si="33"/>
        <v>#N/A</v>
      </c>
    </row>
    <row r="1922" spans="1:5">
      <c r="A1922" s="64"/>
      <c r="E1922" t="e">
        <f t="shared" si="33"/>
        <v>#N/A</v>
      </c>
    </row>
    <row r="1923" spans="1:5">
      <c r="A1923" s="64"/>
      <c r="E1923" t="e">
        <f t="shared" si="33"/>
        <v>#N/A</v>
      </c>
    </row>
    <row r="1924" spans="1:5">
      <c r="A1924" s="64"/>
      <c r="E1924" t="e">
        <f t="shared" si="33"/>
        <v>#N/A</v>
      </c>
    </row>
    <row r="1925" spans="1:5">
      <c r="A1925" s="64"/>
      <c r="E1925" t="e">
        <f t="shared" si="33"/>
        <v>#N/A</v>
      </c>
    </row>
    <row r="1926" spans="1:5">
      <c r="A1926" s="64"/>
      <c r="E1926" t="e">
        <f t="shared" si="33"/>
        <v>#N/A</v>
      </c>
    </row>
    <row r="1927" spans="1:5">
      <c r="A1927" s="64"/>
      <c r="E1927" t="e">
        <f t="shared" si="33"/>
        <v>#N/A</v>
      </c>
    </row>
    <row r="1928" spans="1:5">
      <c r="A1928" s="64"/>
      <c r="E1928" t="e">
        <f t="shared" si="33"/>
        <v>#N/A</v>
      </c>
    </row>
    <row r="1929" spans="1:5">
      <c r="A1929" s="64"/>
      <c r="E1929" t="e">
        <f t="shared" si="33"/>
        <v>#N/A</v>
      </c>
    </row>
    <row r="1930" spans="1:5">
      <c r="A1930" s="64"/>
      <c r="E1930" t="e">
        <f t="shared" si="33"/>
        <v>#N/A</v>
      </c>
    </row>
    <row r="1931" spans="1:5">
      <c r="A1931" s="64"/>
      <c r="E1931" t="e">
        <f t="shared" si="33"/>
        <v>#N/A</v>
      </c>
    </row>
    <row r="1932" spans="1:5">
      <c r="A1932" s="64"/>
      <c r="E1932" t="e">
        <f t="shared" si="33"/>
        <v>#N/A</v>
      </c>
    </row>
    <row r="1933" spans="1:5">
      <c r="A1933" s="64"/>
      <c r="E1933" t="e">
        <f t="shared" ref="E1933:E1996" si="34">VLOOKUP(B1933,$Q$14:$R$62,2,FALSE)</f>
        <v>#N/A</v>
      </c>
    </row>
    <row r="1934" spans="1:5">
      <c r="A1934" s="64"/>
      <c r="E1934" t="e">
        <f t="shared" si="34"/>
        <v>#N/A</v>
      </c>
    </row>
    <row r="1935" spans="1:5">
      <c r="A1935" s="64"/>
      <c r="E1935" t="e">
        <f t="shared" si="34"/>
        <v>#N/A</v>
      </c>
    </row>
    <row r="1936" spans="1:5">
      <c r="A1936" s="64"/>
      <c r="E1936" t="e">
        <f t="shared" si="34"/>
        <v>#N/A</v>
      </c>
    </row>
    <row r="1937" spans="1:5">
      <c r="A1937" s="64"/>
      <c r="E1937" t="e">
        <f t="shared" si="34"/>
        <v>#N/A</v>
      </c>
    </row>
    <row r="1938" spans="1:5">
      <c r="A1938" s="64"/>
      <c r="E1938" t="e">
        <f t="shared" si="34"/>
        <v>#N/A</v>
      </c>
    </row>
    <row r="1939" spans="1:5">
      <c r="A1939" s="64"/>
      <c r="E1939" t="e">
        <f t="shared" si="34"/>
        <v>#N/A</v>
      </c>
    </row>
    <row r="1940" spans="1:5">
      <c r="A1940" s="64"/>
      <c r="E1940" t="e">
        <f t="shared" si="34"/>
        <v>#N/A</v>
      </c>
    </row>
    <row r="1941" spans="1:5">
      <c r="A1941" s="64"/>
      <c r="E1941" t="e">
        <f t="shared" si="34"/>
        <v>#N/A</v>
      </c>
    </row>
    <row r="1942" spans="1:5">
      <c r="A1942" s="64"/>
      <c r="E1942" t="e">
        <f t="shared" si="34"/>
        <v>#N/A</v>
      </c>
    </row>
    <row r="1943" spans="1:5">
      <c r="A1943" s="64"/>
      <c r="E1943" t="e">
        <f t="shared" si="34"/>
        <v>#N/A</v>
      </c>
    </row>
    <row r="1944" spans="1:5">
      <c r="A1944" s="64"/>
      <c r="E1944" t="e">
        <f t="shared" si="34"/>
        <v>#N/A</v>
      </c>
    </row>
    <row r="1945" spans="1:5">
      <c r="A1945" s="64"/>
      <c r="E1945" t="e">
        <f t="shared" si="34"/>
        <v>#N/A</v>
      </c>
    </row>
    <row r="1946" spans="1:5">
      <c r="A1946" s="64"/>
      <c r="E1946" t="e">
        <f t="shared" si="34"/>
        <v>#N/A</v>
      </c>
    </row>
    <row r="1947" spans="1:5">
      <c r="A1947" s="64"/>
      <c r="E1947" t="e">
        <f t="shared" si="34"/>
        <v>#N/A</v>
      </c>
    </row>
    <row r="1948" spans="1:5">
      <c r="A1948" s="64"/>
      <c r="E1948" t="e">
        <f t="shared" si="34"/>
        <v>#N/A</v>
      </c>
    </row>
    <row r="1949" spans="1:5">
      <c r="A1949" s="64"/>
      <c r="E1949" t="e">
        <f t="shared" si="34"/>
        <v>#N/A</v>
      </c>
    </row>
    <row r="1950" spans="1:5">
      <c r="A1950" s="64"/>
      <c r="E1950" t="e">
        <f t="shared" si="34"/>
        <v>#N/A</v>
      </c>
    </row>
    <row r="1951" spans="1:5">
      <c r="A1951" s="64"/>
      <c r="E1951" t="e">
        <f t="shared" si="34"/>
        <v>#N/A</v>
      </c>
    </row>
    <row r="1952" spans="1:5">
      <c r="A1952" s="64"/>
      <c r="E1952" t="e">
        <f t="shared" si="34"/>
        <v>#N/A</v>
      </c>
    </row>
    <row r="1953" spans="1:5">
      <c r="A1953" s="64"/>
      <c r="E1953" t="e">
        <f t="shared" si="34"/>
        <v>#N/A</v>
      </c>
    </row>
    <row r="1954" spans="1:5">
      <c r="A1954" s="64"/>
      <c r="E1954" t="e">
        <f t="shared" si="34"/>
        <v>#N/A</v>
      </c>
    </row>
    <row r="1955" spans="1:5">
      <c r="A1955" s="64"/>
      <c r="E1955" t="e">
        <f t="shared" si="34"/>
        <v>#N/A</v>
      </c>
    </row>
    <row r="1956" spans="1:5">
      <c r="A1956" s="64"/>
      <c r="E1956" t="e">
        <f t="shared" si="34"/>
        <v>#N/A</v>
      </c>
    </row>
    <row r="1957" spans="1:5">
      <c r="A1957" s="64"/>
      <c r="E1957" t="e">
        <f t="shared" si="34"/>
        <v>#N/A</v>
      </c>
    </row>
    <row r="1958" spans="1:5">
      <c r="A1958" s="64"/>
      <c r="E1958" t="e">
        <f t="shared" si="34"/>
        <v>#N/A</v>
      </c>
    </row>
    <row r="1959" spans="1:5">
      <c r="A1959" s="64"/>
      <c r="E1959" t="e">
        <f t="shared" si="34"/>
        <v>#N/A</v>
      </c>
    </row>
    <row r="1960" spans="1:5">
      <c r="A1960" s="64"/>
      <c r="E1960" t="e">
        <f t="shared" si="34"/>
        <v>#N/A</v>
      </c>
    </row>
    <row r="1961" spans="1:5">
      <c r="A1961" s="64"/>
      <c r="E1961" t="e">
        <f t="shared" si="34"/>
        <v>#N/A</v>
      </c>
    </row>
    <row r="1962" spans="1:5">
      <c r="A1962" s="64"/>
      <c r="E1962" t="e">
        <f t="shared" si="34"/>
        <v>#N/A</v>
      </c>
    </row>
    <row r="1963" spans="1:5">
      <c r="A1963" s="64"/>
      <c r="E1963" t="e">
        <f t="shared" si="34"/>
        <v>#N/A</v>
      </c>
    </row>
    <row r="1964" spans="1:5">
      <c r="A1964" s="64"/>
      <c r="E1964" t="e">
        <f t="shared" si="34"/>
        <v>#N/A</v>
      </c>
    </row>
    <row r="1965" spans="1:5">
      <c r="A1965" s="64"/>
      <c r="E1965" t="e">
        <f t="shared" si="34"/>
        <v>#N/A</v>
      </c>
    </row>
    <row r="1966" spans="1:5">
      <c r="A1966" s="64"/>
      <c r="E1966" t="e">
        <f t="shared" si="34"/>
        <v>#N/A</v>
      </c>
    </row>
    <row r="1967" spans="1:5">
      <c r="A1967" s="64"/>
      <c r="E1967" t="e">
        <f t="shared" si="34"/>
        <v>#N/A</v>
      </c>
    </row>
    <row r="1968" spans="1:5">
      <c r="A1968" s="64"/>
      <c r="E1968" t="e">
        <f t="shared" si="34"/>
        <v>#N/A</v>
      </c>
    </row>
    <row r="1969" spans="1:5">
      <c r="A1969" s="64"/>
      <c r="E1969" t="e">
        <f t="shared" si="34"/>
        <v>#N/A</v>
      </c>
    </row>
    <row r="1970" spans="1:5">
      <c r="A1970" s="64"/>
      <c r="E1970" t="e">
        <f t="shared" si="34"/>
        <v>#N/A</v>
      </c>
    </row>
    <row r="1971" spans="1:5">
      <c r="A1971" s="64"/>
      <c r="E1971" t="e">
        <f t="shared" si="34"/>
        <v>#N/A</v>
      </c>
    </row>
    <row r="1972" spans="1:5">
      <c r="A1972" s="64"/>
      <c r="E1972" t="e">
        <f t="shared" si="34"/>
        <v>#N/A</v>
      </c>
    </row>
    <row r="1973" spans="1:5">
      <c r="A1973" s="64"/>
      <c r="E1973" t="e">
        <f t="shared" si="34"/>
        <v>#N/A</v>
      </c>
    </row>
    <row r="1974" spans="1:5">
      <c r="A1974" s="64"/>
      <c r="E1974" t="e">
        <f t="shared" si="34"/>
        <v>#N/A</v>
      </c>
    </row>
    <row r="1975" spans="1:5">
      <c r="A1975" s="64"/>
      <c r="E1975" t="e">
        <f t="shared" si="34"/>
        <v>#N/A</v>
      </c>
    </row>
    <row r="1976" spans="1:5">
      <c r="A1976" s="64"/>
      <c r="E1976" t="e">
        <f t="shared" si="34"/>
        <v>#N/A</v>
      </c>
    </row>
    <row r="1977" spans="1:5">
      <c r="A1977" s="64"/>
      <c r="E1977" t="e">
        <f t="shared" si="34"/>
        <v>#N/A</v>
      </c>
    </row>
    <row r="1978" spans="1:5">
      <c r="A1978" s="64"/>
      <c r="E1978" t="e">
        <f t="shared" si="34"/>
        <v>#N/A</v>
      </c>
    </row>
    <row r="1979" spans="1:5">
      <c r="A1979" s="64"/>
      <c r="E1979" t="e">
        <f t="shared" si="34"/>
        <v>#N/A</v>
      </c>
    </row>
    <row r="1980" spans="1:5">
      <c r="A1980" s="64"/>
      <c r="E1980" t="e">
        <f t="shared" si="34"/>
        <v>#N/A</v>
      </c>
    </row>
    <row r="1981" spans="1:5">
      <c r="A1981" s="64"/>
      <c r="E1981" t="e">
        <f t="shared" si="34"/>
        <v>#N/A</v>
      </c>
    </row>
    <row r="1982" spans="1:5">
      <c r="A1982" s="64"/>
      <c r="E1982" t="e">
        <f t="shared" si="34"/>
        <v>#N/A</v>
      </c>
    </row>
    <row r="1983" spans="1:5">
      <c r="A1983" s="64"/>
      <c r="E1983" t="e">
        <f t="shared" si="34"/>
        <v>#N/A</v>
      </c>
    </row>
    <row r="1984" spans="1:5">
      <c r="A1984" s="64"/>
      <c r="E1984" t="e">
        <f t="shared" si="34"/>
        <v>#N/A</v>
      </c>
    </row>
    <row r="1985" spans="1:5">
      <c r="A1985" s="64"/>
      <c r="E1985" t="e">
        <f t="shared" si="34"/>
        <v>#N/A</v>
      </c>
    </row>
    <row r="1986" spans="1:5">
      <c r="A1986" s="64"/>
      <c r="E1986" t="e">
        <f t="shared" si="34"/>
        <v>#N/A</v>
      </c>
    </row>
    <row r="1987" spans="1:5">
      <c r="A1987" s="64"/>
      <c r="E1987" t="e">
        <f t="shared" si="34"/>
        <v>#N/A</v>
      </c>
    </row>
    <row r="1988" spans="1:5">
      <c r="A1988" s="64"/>
      <c r="E1988" t="e">
        <f t="shared" si="34"/>
        <v>#N/A</v>
      </c>
    </row>
    <row r="1989" spans="1:5">
      <c r="A1989" s="64"/>
      <c r="E1989" t="e">
        <f t="shared" si="34"/>
        <v>#N/A</v>
      </c>
    </row>
    <row r="1990" spans="1:5">
      <c r="A1990" s="64"/>
      <c r="E1990" t="e">
        <f t="shared" si="34"/>
        <v>#N/A</v>
      </c>
    </row>
    <row r="1991" spans="1:5">
      <c r="A1991" s="64"/>
      <c r="E1991" t="e">
        <f t="shared" si="34"/>
        <v>#N/A</v>
      </c>
    </row>
    <row r="1992" spans="1:5">
      <c r="A1992" s="64"/>
      <c r="E1992" t="e">
        <f t="shared" si="34"/>
        <v>#N/A</v>
      </c>
    </row>
    <row r="1993" spans="1:5">
      <c r="A1993" s="64"/>
      <c r="E1993" t="e">
        <f t="shared" si="34"/>
        <v>#N/A</v>
      </c>
    </row>
    <row r="1994" spans="1:5">
      <c r="A1994" s="64"/>
      <c r="E1994" t="e">
        <f t="shared" si="34"/>
        <v>#N/A</v>
      </c>
    </row>
    <row r="1995" spans="1:5">
      <c r="A1995" s="64"/>
      <c r="E1995" t="e">
        <f t="shared" si="34"/>
        <v>#N/A</v>
      </c>
    </row>
    <row r="1996" spans="1:5">
      <c r="A1996" s="64"/>
      <c r="E1996" t="e">
        <f t="shared" si="34"/>
        <v>#N/A</v>
      </c>
    </row>
    <row r="1997" spans="1:5">
      <c r="A1997" s="64"/>
      <c r="E1997" t="e">
        <f t="shared" ref="E1997:E2060" si="35">VLOOKUP(B1997,$Q$14:$R$62,2,FALSE)</f>
        <v>#N/A</v>
      </c>
    </row>
    <row r="1998" spans="1:5">
      <c r="A1998" s="64"/>
      <c r="E1998" t="e">
        <f t="shared" si="35"/>
        <v>#N/A</v>
      </c>
    </row>
    <row r="1999" spans="1:5">
      <c r="A1999" s="64"/>
      <c r="E1999" t="e">
        <f t="shared" si="35"/>
        <v>#N/A</v>
      </c>
    </row>
    <row r="2000" spans="1:5">
      <c r="A2000" s="64"/>
      <c r="E2000" t="e">
        <f t="shared" si="35"/>
        <v>#N/A</v>
      </c>
    </row>
    <row r="2001" spans="1:5">
      <c r="A2001" s="64"/>
      <c r="E2001" t="e">
        <f t="shared" si="35"/>
        <v>#N/A</v>
      </c>
    </row>
    <row r="2002" spans="1:5">
      <c r="A2002" s="64"/>
      <c r="E2002" t="e">
        <f t="shared" si="35"/>
        <v>#N/A</v>
      </c>
    </row>
    <row r="2003" spans="1:5">
      <c r="A2003" s="64"/>
      <c r="E2003" t="e">
        <f t="shared" si="35"/>
        <v>#N/A</v>
      </c>
    </row>
    <row r="2004" spans="1:5">
      <c r="A2004" s="64"/>
      <c r="E2004" t="e">
        <f t="shared" si="35"/>
        <v>#N/A</v>
      </c>
    </row>
    <row r="2005" spans="1:5">
      <c r="A2005" s="64"/>
      <c r="E2005" t="e">
        <f t="shared" si="35"/>
        <v>#N/A</v>
      </c>
    </row>
    <row r="2006" spans="1:5">
      <c r="A2006" s="64"/>
      <c r="E2006" t="e">
        <f t="shared" si="35"/>
        <v>#N/A</v>
      </c>
    </row>
    <row r="2007" spans="1:5">
      <c r="A2007" s="64"/>
      <c r="E2007" t="e">
        <f t="shared" si="35"/>
        <v>#N/A</v>
      </c>
    </row>
    <row r="2008" spans="1:5">
      <c r="A2008" s="64"/>
      <c r="E2008" t="e">
        <f t="shared" si="35"/>
        <v>#N/A</v>
      </c>
    </row>
    <row r="2009" spans="1:5">
      <c r="A2009" s="64"/>
      <c r="E2009" t="e">
        <f t="shared" si="35"/>
        <v>#N/A</v>
      </c>
    </row>
    <row r="2010" spans="1:5">
      <c r="A2010" s="64"/>
      <c r="E2010" t="e">
        <f t="shared" si="35"/>
        <v>#N/A</v>
      </c>
    </row>
    <row r="2011" spans="1:5">
      <c r="A2011" s="64"/>
      <c r="E2011" t="e">
        <f t="shared" si="35"/>
        <v>#N/A</v>
      </c>
    </row>
    <row r="2012" spans="1:5">
      <c r="A2012" s="64"/>
      <c r="E2012" t="e">
        <f t="shared" si="35"/>
        <v>#N/A</v>
      </c>
    </row>
    <row r="2013" spans="1:5">
      <c r="A2013" s="64"/>
      <c r="E2013" t="e">
        <f t="shared" si="35"/>
        <v>#N/A</v>
      </c>
    </row>
    <row r="2014" spans="1:5">
      <c r="A2014" s="64"/>
      <c r="E2014" t="e">
        <f t="shared" si="35"/>
        <v>#N/A</v>
      </c>
    </row>
    <row r="2015" spans="1:5">
      <c r="A2015" s="64"/>
      <c r="E2015" t="e">
        <f t="shared" si="35"/>
        <v>#N/A</v>
      </c>
    </row>
    <row r="2016" spans="1:5">
      <c r="A2016" s="64"/>
      <c r="E2016" t="e">
        <f t="shared" si="35"/>
        <v>#N/A</v>
      </c>
    </row>
    <row r="2017" spans="1:5">
      <c r="A2017" s="64"/>
      <c r="E2017" t="e">
        <f t="shared" si="35"/>
        <v>#N/A</v>
      </c>
    </row>
    <row r="2018" spans="1:5">
      <c r="A2018" s="64"/>
      <c r="E2018" t="e">
        <f t="shared" si="35"/>
        <v>#N/A</v>
      </c>
    </row>
    <row r="2019" spans="1:5">
      <c r="A2019" s="64"/>
      <c r="E2019" t="e">
        <f t="shared" si="35"/>
        <v>#N/A</v>
      </c>
    </row>
    <row r="2020" spans="1:5">
      <c r="A2020" s="64"/>
      <c r="E2020" t="e">
        <f t="shared" si="35"/>
        <v>#N/A</v>
      </c>
    </row>
    <row r="2021" spans="1:5">
      <c r="A2021" s="64"/>
      <c r="E2021" t="e">
        <f t="shared" si="35"/>
        <v>#N/A</v>
      </c>
    </row>
    <row r="2022" spans="1:5">
      <c r="A2022" s="64"/>
      <c r="E2022" t="e">
        <f t="shared" si="35"/>
        <v>#N/A</v>
      </c>
    </row>
    <row r="2023" spans="1:5">
      <c r="A2023" s="64"/>
      <c r="E2023" t="e">
        <f t="shared" si="35"/>
        <v>#N/A</v>
      </c>
    </row>
    <row r="2024" spans="1:5">
      <c r="A2024" s="64"/>
      <c r="E2024" t="e">
        <f t="shared" si="35"/>
        <v>#N/A</v>
      </c>
    </row>
    <row r="2025" spans="1:5">
      <c r="A2025" s="64"/>
      <c r="E2025" t="e">
        <f t="shared" si="35"/>
        <v>#N/A</v>
      </c>
    </row>
    <row r="2026" spans="1:5">
      <c r="A2026" s="64"/>
      <c r="E2026" t="e">
        <f t="shared" si="35"/>
        <v>#N/A</v>
      </c>
    </row>
    <row r="2027" spans="1:5">
      <c r="A2027" s="64"/>
      <c r="E2027" t="e">
        <f t="shared" si="35"/>
        <v>#N/A</v>
      </c>
    </row>
    <row r="2028" spans="1:5">
      <c r="A2028" s="64"/>
      <c r="E2028" t="e">
        <f t="shared" si="35"/>
        <v>#N/A</v>
      </c>
    </row>
    <row r="2029" spans="1:5">
      <c r="A2029" s="64"/>
      <c r="E2029" t="e">
        <f t="shared" si="35"/>
        <v>#N/A</v>
      </c>
    </row>
    <row r="2030" spans="1:5">
      <c r="A2030" s="64"/>
      <c r="E2030" t="e">
        <f t="shared" si="35"/>
        <v>#N/A</v>
      </c>
    </row>
    <row r="2031" spans="1:5">
      <c r="A2031" s="64"/>
      <c r="E2031" t="e">
        <f t="shared" si="35"/>
        <v>#N/A</v>
      </c>
    </row>
    <row r="2032" spans="1:5">
      <c r="A2032" s="64"/>
      <c r="E2032" t="e">
        <f t="shared" si="35"/>
        <v>#N/A</v>
      </c>
    </row>
    <row r="2033" spans="1:5">
      <c r="A2033" s="64"/>
      <c r="E2033" t="e">
        <f t="shared" si="35"/>
        <v>#N/A</v>
      </c>
    </row>
    <row r="2034" spans="1:5">
      <c r="A2034" s="64"/>
      <c r="E2034" t="e">
        <f t="shared" si="35"/>
        <v>#N/A</v>
      </c>
    </row>
    <row r="2035" spans="1:5">
      <c r="A2035" s="64"/>
      <c r="E2035" t="e">
        <f t="shared" si="35"/>
        <v>#N/A</v>
      </c>
    </row>
    <row r="2036" spans="1:5">
      <c r="A2036" s="64"/>
      <c r="E2036" t="e">
        <f t="shared" si="35"/>
        <v>#N/A</v>
      </c>
    </row>
    <row r="2037" spans="1:5">
      <c r="A2037" s="64"/>
      <c r="E2037" t="e">
        <f t="shared" si="35"/>
        <v>#N/A</v>
      </c>
    </row>
    <row r="2038" spans="1:5">
      <c r="A2038" s="64"/>
      <c r="E2038" t="e">
        <f t="shared" si="35"/>
        <v>#N/A</v>
      </c>
    </row>
    <row r="2039" spans="1:5">
      <c r="A2039" s="64"/>
      <c r="E2039" t="e">
        <f t="shared" si="35"/>
        <v>#N/A</v>
      </c>
    </row>
    <row r="2040" spans="1:5">
      <c r="A2040" s="64"/>
      <c r="E2040" t="e">
        <f t="shared" si="35"/>
        <v>#N/A</v>
      </c>
    </row>
    <row r="2041" spans="1:5">
      <c r="A2041" s="64"/>
      <c r="E2041" t="e">
        <f t="shared" si="35"/>
        <v>#N/A</v>
      </c>
    </row>
    <row r="2042" spans="1:5">
      <c r="A2042" s="64"/>
      <c r="E2042" t="e">
        <f t="shared" si="35"/>
        <v>#N/A</v>
      </c>
    </row>
    <row r="2043" spans="1:5">
      <c r="A2043" s="64"/>
      <c r="E2043" t="e">
        <f t="shared" si="35"/>
        <v>#N/A</v>
      </c>
    </row>
    <row r="2044" spans="1:5">
      <c r="A2044" s="64"/>
      <c r="E2044" t="e">
        <f t="shared" si="35"/>
        <v>#N/A</v>
      </c>
    </row>
    <row r="2045" spans="1:5">
      <c r="A2045" s="64"/>
      <c r="E2045" t="e">
        <f t="shared" si="35"/>
        <v>#N/A</v>
      </c>
    </row>
    <row r="2046" spans="1:5">
      <c r="A2046" s="64"/>
      <c r="E2046" t="e">
        <f t="shared" si="35"/>
        <v>#N/A</v>
      </c>
    </row>
    <row r="2047" spans="1:5">
      <c r="A2047" s="64"/>
      <c r="E2047" t="e">
        <f t="shared" si="35"/>
        <v>#N/A</v>
      </c>
    </row>
    <row r="2048" spans="1:5">
      <c r="A2048" s="64"/>
      <c r="E2048" t="e">
        <f t="shared" si="35"/>
        <v>#N/A</v>
      </c>
    </row>
    <row r="2049" spans="1:5">
      <c r="A2049" s="64"/>
      <c r="E2049" t="e">
        <f t="shared" si="35"/>
        <v>#N/A</v>
      </c>
    </row>
    <row r="2050" spans="1:5">
      <c r="A2050" s="64"/>
      <c r="E2050" t="e">
        <f t="shared" si="35"/>
        <v>#N/A</v>
      </c>
    </row>
    <row r="2051" spans="1:5">
      <c r="A2051" s="64"/>
      <c r="E2051" t="e">
        <f t="shared" si="35"/>
        <v>#N/A</v>
      </c>
    </row>
    <row r="2052" spans="1:5">
      <c r="A2052" s="64"/>
      <c r="E2052" t="e">
        <f t="shared" si="35"/>
        <v>#N/A</v>
      </c>
    </row>
    <row r="2053" spans="1:5">
      <c r="A2053" s="64"/>
      <c r="E2053" t="e">
        <f t="shared" si="35"/>
        <v>#N/A</v>
      </c>
    </row>
    <row r="2054" spans="1:5">
      <c r="A2054" s="64"/>
      <c r="E2054" t="e">
        <f t="shared" si="35"/>
        <v>#N/A</v>
      </c>
    </row>
    <row r="2055" spans="1:5">
      <c r="A2055" s="64"/>
      <c r="E2055" t="e">
        <f t="shared" si="35"/>
        <v>#N/A</v>
      </c>
    </row>
    <row r="2056" spans="1:5">
      <c r="A2056" s="64"/>
      <c r="E2056" t="e">
        <f t="shared" si="35"/>
        <v>#N/A</v>
      </c>
    </row>
    <row r="2057" spans="1:5">
      <c r="A2057" s="64"/>
      <c r="E2057" t="e">
        <f t="shared" si="35"/>
        <v>#N/A</v>
      </c>
    </row>
    <row r="2058" spans="1:5">
      <c r="A2058" s="64"/>
      <c r="E2058" t="e">
        <f t="shared" si="35"/>
        <v>#N/A</v>
      </c>
    </row>
    <row r="2059" spans="1:5">
      <c r="A2059" s="64"/>
      <c r="E2059" t="e">
        <f t="shared" si="35"/>
        <v>#N/A</v>
      </c>
    </row>
    <row r="2060" spans="1:5">
      <c r="A2060" s="64"/>
      <c r="E2060" t="e">
        <f t="shared" si="35"/>
        <v>#N/A</v>
      </c>
    </row>
    <row r="2061" spans="1:5">
      <c r="A2061" s="64"/>
      <c r="E2061" t="e">
        <f t="shared" ref="E2061:E2124" si="36">VLOOKUP(B2061,$Q$14:$R$62,2,FALSE)</f>
        <v>#N/A</v>
      </c>
    </row>
    <row r="2062" spans="1:5">
      <c r="A2062" s="64"/>
      <c r="E2062" t="e">
        <f t="shared" si="36"/>
        <v>#N/A</v>
      </c>
    </row>
    <row r="2063" spans="1:5">
      <c r="A2063" s="64"/>
      <c r="E2063" t="e">
        <f t="shared" si="36"/>
        <v>#N/A</v>
      </c>
    </row>
    <row r="2064" spans="1:5">
      <c r="A2064" s="64"/>
      <c r="E2064" t="e">
        <f t="shared" si="36"/>
        <v>#N/A</v>
      </c>
    </row>
    <row r="2065" spans="1:5">
      <c r="A2065" s="64"/>
      <c r="E2065" t="e">
        <f t="shared" si="36"/>
        <v>#N/A</v>
      </c>
    </row>
    <row r="2066" spans="1:5">
      <c r="A2066" s="64"/>
      <c r="E2066" t="e">
        <f t="shared" si="36"/>
        <v>#N/A</v>
      </c>
    </row>
    <row r="2067" spans="1:5">
      <c r="A2067" s="64"/>
      <c r="E2067" t="e">
        <f t="shared" si="36"/>
        <v>#N/A</v>
      </c>
    </row>
    <row r="2068" spans="1:5">
      <c r="A2068" s="64"/>
      <c r="E2068" t="e">
        <f t="shared" si="36"/>
        <v>#N/A</v>
      </c>
    </row>
    <row r="2069" spans="1:5">
      <c r="A2069" s="64"/>
      <c r="E2069" t="e">
        <f t="shared" si="36"/>
        <v>#N/A</v>
      </c>
    </row>
    <row r="2070" spans="1:5">
      <c r="A2070" s="64"/>
      <c r="E2070" t="e">
        <f t="shared" si="36"/>
        <v>#N/A</v>
      </c>
    </row>
    <row r="2071" spans="1:5">
      <c r="A2071" s="64"/>
      <c r="E2071" t="e">
        <f t="shared" si="36"/>
        <v>#N/A</v>
      </c>
    </row>
    <row r="2072" spans="1:5">
      <c r="A2072" s="64"/>
      <c r="E2072" t="e">
        <f t="shared" si="36"/>
        <v>#N/A</v>
      </c>
    </row>
    <row r="2073" spans="1:5">
      <c r="A2073" s="64"/>
      <c r="E2073" t="e">
        <f t="shared" si="36"/>
        <v>#N/A</v>
      </c>
    </row>
    <row r="2074" spans="1:5">
      <c r="A2074" s="64"/>
      <c r="E2074" t="e">
        <f t="shared" si="36"/>
        <v>#N/A</v>
      </c>
    </row>
    <row r="2075" spans="1:5">
      <c r="A2075" s="64"/>
      <c r="E2075" t="e">
        <f t="shared" si="36"/>
        <v>#N/A</v>
      </c>
    </row>
    <row r="2076" spans="1:5">
      <c r="A2076" s="64"/>
      <c r="E2076" t="e">
        <f t="shared" si="36"/>
        <v>#N/A</v>
      </c>
    </row>
    <row r="2077" spans="1:5">
      <c r="A2077" s="64"/>
      <c r="E2077" t="e">
        <f t="shared" si="36"/>
        <v>#N/A</v>
      </c>
    </row>
    <row r="2078" spans="1:5">
      <c r="A2078" s="64"/>
      <c r="E2078" t="e">
        <f t="shared" si="36"/>
        <v>#N/A</v>
      </c>
    </row>
    <row r="2079" spans="1:5">
      <c r="A2079" s="64"/>
      <c r="E2079" t="e">
        <f t="shared" si="36"/>
        <v>#N/A</v>
      </c>
    </row>
    <row r="2080" spans="1:5">
      <c r="A2080" s="64"/>
      <c r="E2080" t="e">
        <f t="shared" si="36"/>
        <v>#N/A</v>
      </c>
    </row>
    <row r="2081" spans="1:5">
      <c r="A2081" s="64"/>
      <c r="E2081" t="e">
        <f t="shared" si="36"/>
        <v>#N/A</v>
      </c>
    </row>
    <row r="2082" spans="1:5">
      <c r="A2082" s="64"/>
      <c r="E2082" t="e">
        <f t="shared" si="36"/>
        <v>#N/A</v>
      </c>
    </row>
    <row r="2083" spans="1:5">
      <c r="A2083" s="64"/>
      <c r="E2083" t="e">
        <f t="shared" si="36"/>
        <v>#N/A</v>
      </c>
    </row>
    <row r="2084" spans="1:5">
      <c r="A2084" s="64"/>
      <c r="E2084" t="e">
        <f t="shared" si="36"/>
        <v>#N/A</v>
      </c>
    </row>
    <row r="2085" spans="1:5">
      <c r="A2085" s="64"/>
      <c r="E2085" t="e">
        <f t="shared" si="36"/>
        <v>#N/A</v>
      </c>
    </row>
    <row r="2086" spans="1:5">
      <c r="A2086" s="64"/>
      <c r="E2086" t="e">
        <f t="shared" si="36"/>
        <v>#N/A</v>
      </c>
    </row>
    <row r="2087" spans="1:5">
      <c r="A2087" s="64"/>
      <c r="E2087" t="e">
        <f t="shared" si="36"/>
        <v>#N/A</v>
      </c>
    </row>
    <row r="2088" spans="1:5">
      <c r="A2088" s="64"/>
      <c r="E2088" t="e">
        <f t="shared" si="36"/>
        <v>#N/A</v>
      </c>
    </row>
    <row r="2089" spans="1:5">
      <c r="A2089" s="64"/>
      <c r="E2089" t="e">
        <f t="shared" si="36"/>
        <v>#N/A</v>
      </c>
    </row>
    <row r="2090" spans="1:5">
      <c r="A2090" s="64"/>
      <c r="E2090" t="e">
        <f t="shared" si="36"/>
        <v>#N/A</v>
      </c>
    </row>
    <row r="2091" spans="1:5">
      <c r="A2091" s="64"/>
      <c r="E2091" t="e">
        <f t="shared" si="36"/>
        <v>#N/A</v>
      </c>
    </row>
    <row r="2092" spans="1:5">
      <c r="A2092" s="64"/>
      <c r="E2092" t="e">
        <f t="shared" si="36"/>
        <v>#N/A</v>
      </c>
    </row>
    <row r="2093" spans="1:5">
      <c r="A2093" s="64"/>
      <c r="E2093" t="e">
        <f t="shared" si="36"/>
        <v>#N/A</v>
      </c>
    </row>
    <row r="2094" spans="1:5">
      <c r="A2094" s="64"/>
      <c r="E2094" t="e">
        <f t="shared" si="36"/>
        <v>#N/A</v>
      </c>
    </row>
    <row r="2095" spans="1:5">
      <c r="A2095" s="64"/>
      <c r="E2095" t="e">
        <f t="shared" si="36"/>
        <v>#N/A</v>
      </c>
    </row>
    <row r="2096" spans="1:5">
      <c r="A2096" s="64"/>
      <c r="E2096" t="e">
        <f t="shared" si="36"/>
        <v>#N/A</v>
      </c>
    </row>
    <row r="2097" spans="1:5">
      <c r="A2097" s="64"/>
      <c r="E2097" t="e">
        <f t="shared" si="36"/>
        <v>#N/A</v>
      </c>
    </row>
    <row r="2098" spans="1:5">
      <c r="A2098" s="64"/>
      <c r="E2098" t="e">
        <f t="shared" si="36"/>
        <v>#N/A</v>
      </c>
    </row>
    <row r="2099" spans="1:5">
      <c r="A2099" s="64"/>
      <c r="E2099" t="e">
        <f t="shared" si="36"/>
        <v>#N/A</v>
      </c>
    </row>
    <row r="2100" spans="1:5">
      <c r="A2100" s="64"/>
      <c r="E2100" t="e">
        <f t="shared" si="36"/>
        <v>#N/A</v>
      </c>
    </row>
    <row r="2101" spans="1:5">
      <c r="A2101" s="64"/>
      <c r="E2101" t="e">
        <f t="shared" si="36"/>
        <v>#N/A</v>
      </c>
    </row>
    <row r="2102" spans="1:5">
      <c r="A2102" s="64"/>
      <c r="E2102" t="e">
        <f t="shared" si="36"/>
        <v>#N/A</v>
      </c>
    </row>
    <row r="2103" spans="1:5">
      <c r="A2103" s="64"/>
      <c r="E2103" t="e">
        <f t="shared" si="36"/>
        <v>#N/A</v>
      </c>
    </row>
    <row r="2104" spans="1:5">
      <c r="A2104" s="64"/>
      <c r="E2104" t="e">
        <f t="shared" si="36"/>
        <v>#N/A</v>
      </c>
    </row>
    <row r="2105" spans="1:5">
      <c r="A2105" s="64"/>
      <c r="E2105" t="e">
        <f t="shared" si="36"/>
        <v>#N/A</v>
      </c>
    </row>
    <row r="2106" spans="1:5">
      <c r="A2106" s="64"/>
      <c r="E2106" t="e">
        <f t="shared" si="36"/>
        <v>#N/A</v>
      </c>
    </row>
    <row r="2107" spans="1:5">
      <c r="A2107" s="64"/>
      <c r="E2107" t="e">
        <f t="shared" si="36"/>
        <v>#N/A</v>
      </c>
    </row>
    <row r="2108" spans="1:5">
      <c r="A2108" s="64"/>
      <c r="E2108" t="e">
        <f t="shared" si="36"/>
        <v>#N/A</v>
      </c>
    </row>
    <row r="2109" spans="1:5">
      <c r="A2109" s="64"/>
      <c r="E2109" t="e">
        <f t="shared" si="36"/>
        <v>#N/A</v>
      </c>
    </row>
    <row r="2110" spans="1:5">
      <c r="A2110" s="64"/>
      <c r="E2110" t="e">
        <f t="shared" si="36"/>
        <v>#N/A</v>
      </c>
    </row>
    <row r="2111" spans="1:5">
      <c r="A2111" s="64"/>
      <c r="E2111" t="e">
        <f t="shared" si="36"/>
        <v>#N/A</v>
      </c>
    </row>
    <row r="2112" spans="1:5">
      <c r="A2112" s="64"/>
      <c r="E2112" t="e">
        <f t="shared" si="36"/>
        <v>#N/A</v>
      </c>
    </row>
    <row r="2113" spans="1:5">
      <c r="A2113" s="64"/>
      <c r="E2113" t="e">
        <f t="shared" si="36"/>
        <v>#N/A</v>
      </c>
    </row>
    <row r="2114" spans="1:5">
      <c r="A2114" s="64"/>
      <c r="E2114" t="e">
        <f t="shared" si="36"/>
        <v>#N/A</v>
      </c>
    </row>
    <row r="2115" spans="1:5">
      <c r="A2115" s="64"/>
      <c r="E2115" t="e">
        <f t="shared" si="36"/>
        <v>#N/A</v>
      </c>
    </row>
    <row r="2116" spans="1:5">
      <c r="A2116" s="64"/>
      <c r="E2116" t="e">
        <f t="shared" si="36"/>
        <v>#N/A</v>
      </c>
    </row>
    <row r="2117" spans="1:5">
      <c r="A2117" s="64"/>
      <c r="E2117" t="e">
        <f t="shared" si="36"/>
        <v>#N/A</v>
      </c>
    </row>
    <row r="2118" spans="1:5">
      <c r="A2118" s="64"/>
      <c r="E2118" t="e">
        <f t="shared" si="36"/>
        <v>#N/A</v>
      </c>
    </row>
    <row r="2119" spans="1:5">
      <c r="A2119" s="64"/>
      <c r="E2119" t="e">
        <f t="shared" si="36"/>
        <v>#N/A</v>
      </c>
    </row>
    <row r="2120" spans="1:5">
      <c r="A2120" s="64"/>
      <c r="E2120" t="e">
        <f t="shared" si="36"/>
        <v>#N/A</v>
      </c>
    </row>
    <row r="2121" spans="1:5">
      <c r="A2121" s="64"/>
      <c r="E2121" t="e">
        <f t="shared" si="36"/>
        <v>#N/A</v>
      </c>
    </row>
    <row r="2122" spans="1:5">
      <c r="A2122" s="64"/>
      <c r="E2122" t="e">
        <f t="shared" si="36"/>
        <v>#N/A</v>
      </c>
    </row>
    <row r="2123" spans="1:5">
      <c r="A2123" s="64"/>
      <c r="E2123" t="e">
        <f t="shared" si="36"/>
        <v>#N/A</v>
      </c>
    </row>
    <row r="2124" spans="1:5">
      <c r="A2124" s="64"/>
      <c r="E2124" t="e">
        <f t="shared" si="36"/>
        <v>#N/A</v>
      </c>
    </row>
    <row r="2125" spans="1:5">
      <c r="A2125" s="64"/>
      <c r="E2125" t="e">
        <f t="shared" ref="E2125:E2188" si="37">VLOOKUP(B2125,$Q$14:$R$62,2,FALSE)</f>
        <v>#N/A</v>
      </c>
    </row>
    <row r="2126" spans="1:5">
      <c r="A2126" s="64"/>
      <c r="E2126" t="e">
        <f t="shared" si="37"/>
        <v>#N/A</v>
      </c>
    </row>
    <row r="2127" spans="1:5">
      <c r="A2127" s="64"/>
      <c r="E2127" t="e">
        <f t="shared" si="37"/>
        <v>#N/A</v>
      </c>
    </row>
    <row r="2128" spans="1:5">
      <c r="A2128" s="64"/>
      <c r="E2128" t="e">
        <f t="shared" si="37"/>
        <v>#N/A</v>
      </c>
    </row>
    <row r="2129" spans="1:5">
      <c r="A2129" s="64"/>
      <c r="E2129" t="e">
        <f t="shared" si="37"/>
        <v>#N/A</v>
      </c>
    </row>
    <row r="2130" spans="1:5">
      <c r="A2130" s="64"/>
      <c r="E2130" t="e">
        <f t="shared" si="37"/>
        <v>#N/A</v>
      </c>
    </row>
    <row r="2131" spans="1:5">
      <c r="A2131" s="64"/>
      <c r="E2131" t="e">
        <f t="shared" si="37"/>
        <v>#N/A</v>
      </c>
    </row>
    <row r="2132" spans="1:5">
      <c r="A2132" s="64"/>
      <c r="E2132" t="e">
        <f t="shared" si="37"/>
        <v>#N/A</v>
      </c>
    </row>
    <row r="2133" spans="1:5">
      <c r="A2133" s="64"/>
      <c r="E2133" t="e">
        <f t="shared" si="37"/>
        <v>#N/A</v>
      </c>
    </row>
    <row r="2134" spans="1:5">
      <c r="A2134" s="64"/>
      <c r="E2134" t="e">
        <f t="shared" si="37"/>
        <v>#N/A</v>
      </c>
    </row>
    <row r="2135" spans="1:5">
      <c r="A2135" s="64"/>
      <c r="E2135" t="e">
        <f t="shared" si="37"/>
        <v>#N/A</v>
      </c>
    </row>
    <row r="2136" spans="1:5">
      <c r="A2136" s="64"/>
      <c r="E2136" t="e">
        <f t="shared" si="37"/>
        <v>#N/A</v>
      </c>
    </row>
    <row r="2137" spans="1:5">
      <c r="A2137" s="64"/>
      <c r="E2137" t="e">
        <f t="shared" si="37"/>
        <v>#N/A</v>
      </c>
    </row>
    <row r="2138" spans="1:5">
      <c r="A2138" s="64"/>
      <c r="E2138" t="e">
        <f t="shared" si="37"/>
        <v>#N/A</v>
      </c>
    </row>
    <row r="2139" spans="1:5">
      <c r="A2139" s="64"/>
      <c r="E2139" t="e">
        <f t="shared" si="37"/>
        <v>#N/A</v>
      </c>
    </row>
    <row r="2140" spans="1:5">
      <c r="A2140" s="64"/>
      <c r="E2140" t="e">
        <f t="shared" si="37"/>
        <v>#N/A</v>
      </c>
    </row>
    <row r="2141" spans="1:5">
      <c r="A2141" s="64"/>
      <c r="E2141" t="e">
        <f t="shared" si="37"/>
        <v>#N/A</v>
      </c>
    </row>
    <row r="2142" spans="1:5">
      <c r="A2142" s="64"/>
      <c r="E2142" t="e">
        <f t="shared" si="37"/>
        <v>#N/A</v>
      </c>
    </row>
    <row r="2143" spans="1:5">
      <c r="A2143" s="64"/>
      <c r="E2143" t="e">
        <f t="shared" si="37"/>
        <v>#N/A</v>
      </c>
    </row>
    <row r="2144" spans="1:5">
      <c r="A2144" s="64"/>
      <c r="E2144" t="e">
        <f t="shared" si="37"/>
        <v>#N/A</v>
      </c>
    </row>
    <row r="2145" spans="1:5">
      <c r="A2145" s="64"/>
      <c r="E2145" t="e">
        <f t="shared" si="37"/>
        <v>#N/A</v>
      </c>
    </row>
    <row r="2146" spans="1:5">
      <c r="A2146" s="64"/>
      <c r="E2146" t="e">
        <f t="shared" si="37"/>
        <v>#N/A</v>
      </c>
    </row>
    <row r="2147" spans="1:5">
      <c r="A2147" s="64"/>
      <c r="E2147" t="e">
        <f t="shared" si="37"/>
        <v>#N/A</v>
      </c>
    </row>
    <row r="2148" spans="1:5">
      <c r="A2148" s="64"/>
      <c r="E2148" t="e">
        <f t="shared" si="37"/>
        <v>#N/A</v>
      </c>
    </row>
    <row r="2149" spans="1:5">
      <c r="A2149" s="64"/>
      <c r="E2149" t="e">
        <f t="shared" si="37"/>
        <v>#N/A</v>
      </c>
    </row>
    <row r="2150" spans="1:5">
      <c r="A2150" s="64"/>
      <c r="E2150" t="e">
        <f t="shared" si="37"/>
        <v>#N/A</v>
      </c>
    </row>
    <row r="2151" spans="1:5">
      <c r="A2151" s="64"/>
      <c r="E2151" t="e">
        <f t="shared" si="37"/>
        <v>#N/A</v>
      </c>
    </row>
    <row r="2152" spans="1:5">
      <c r="A2152" s="64"/>
      <c r="E2152" t="e">
        <f t="shared" si="37"/>
        <v>#N/A</v>
      </c>
    </row>
    <row r="2153" spans="1:5">
      <c r="A2153" s="64"/>
      <c r="E2153" t="e">
        <f t="shared" si="37"/>
        <v>#N/A</v>
      </c>
    </row>
    <row r="2154" spans="1:5">
      <c r="A2154" s="64"/>
      <c r="E2154" t="e">
        <f t="shared" si="37"/>
        <v>#N/A</v>
      </c>
    </row>
    <row r="2155" spans="1:5">
      <c r="A2155" s="64"/>
      <c r="E2155" t="e">
        <f t="shared" si="37"/>
        <v>#N/A</v>
      </c>
    </row>
    <row r="2156" spans="1:5">
      <c r="A2156" s="64"/>
      <c r="E2156" t="e">
        <f t="shared" si="37"/>
        <v>#N/A</v>
      </c>
    </row>
    <row r="2157" spans="1:5">
      <c r="A2157" s="64"/>
      <c r="E2157" t="e">
        <f t="shared" si="37"/>
        <v>#N/A</v>
      </c>
    </row>
    <row r="2158" spans="1:5">
      <c r="A2158" s="64"/>
      <c r="E2158" t="e">
        <f t="shared" si="37"/>
        <v>#N/A</v>
      </c>
    </row>
    <row r="2159" spans="1:5">
      <c r="A2159" s="64"/>
      <c r="E2159" t="e">
        <f t="shared" si="37"/>
        <v>#N/A</v>
      </c>
    </row>
    <row r="2160" spans="1:5">
      <c r="A2160" s="64"/>
      <c r="E2160" t="e">
        <f t="shared" si="37"/>
        <v>#N/A</v>
      </c>
    </row>
    <row r="2161" spans="1:5">
      <c r="A2161" s="64"/>
      <c r="E2161" t="e">
        <f t="shared" si="37"/>
        <v>#N/A</v>
      </c>
    </row>
    <row r="2162" spans="1:5">
      <c r="A2162" s="64"/>
      <c r="E2162" t="e">
        <f t="shared" si="37"/>
        <v>#N/A</v>
      </c>
    </row>
    <row r="2163" spans="1:5">
      <c r="A2163" s="64"/>
      <c r="E2163" t="e">
        <f t="shared" si="37"/>
        <v>#N/A</v>
      </c>
    </row>
    <row r="2164" spans="1:5">
      <c r="A2164" s="64"/>
      <c r="E2164" t="e">
        <f t="shared" si="37"/>
        <v>#N/A</v>
      </c>
    </row>
    <row r="2165" spans="1:5">
      <c r="A2165" s="64"/>
      <c r="E2165" t="e">
        <f t="shared" si="37"/>
        <v>#N/A</v>
      </c>
    </row>
    <row r="2166" spans="1:5">
      <c r="A2166" s="64"/>
      <c r="E2166" t="e">
        <f t="shared" si="37"/>
        <v>#N/A</v>
      </c>
    </row>
    <row r="2167" spans="1:5">
      <c r="A2167" s="64"/>
      <c r="E2167" t="e">
        <f t="shared" si="37"/>
        <v>#N/A</v>
      </c>
    </row>
    <row r="2168" spans="1:5">
      <c r="A2168" s="64"/>
      <c r="E2168" t="e">
        <f t="shared" si="37"/>
        <v>#N/A</v>
      </c>
    </row>
    <row r="2169" spans="1:5">
      <c r="A2169" s="64"/>
      <c r="E2169" t="e">
        <f t="shared" si="37"/>
        <v>#N/A</v>
      </c>
    </row>
    <row r="2170" spans="1:5">
      <c r="A2170" s="64"/>
      <c r="E2170" t="e">
        <f t="shared" si="37"/>
        <v>#N/A</v>
      </c>
    </row>
    <row r="2171" spans="1:5">
      <c r="A2171" s="64"/>
      <c r="E2171" t="e">
        <f t="shared" si="37"/>
        <v>#N/A</v>
      </c>
    </row>
    <row r="2172" spans="1:5">
      <c r="A2172" s="64"/>
      <c r="E2172" t="e">
        <f t="shared" si="37"/>
        <v>#N/A</v>
      </c>
    </row>
    <row r="2173" spans="1:5">
      <c r="A2173" s="64"/>
      <c r="E2173" t="e">
        <f t="shared" si="37"/>
        <v>#N/A</v>
      </c>
    </row>
    <row r="2174" spans="1:5">
      <c r="A2174" s="64"/>
      <c r="E2174" t="e">
        <f t="shared" si="37"/>
        <v>#N/A</v>
      </c>
    </row>
    <row r="2175" spans="1:5">
      <c r="A2175" s="64"/>
      <c r="E2175" t="e">
        <f t="shared" si="37"/>
        <v>#N/A</v>
      </c>
    </row>
    <row r="2176" spans="1:5">
      <c r="A2176" s="64"/>
      <c r="E2176" t="e">
        <f t="shared" si="37"/>
        <v>#N/A</v>
      </c>
    </row>
    <row r="2177" spans="1:5">
      <c r="A2177" s="64"/>
      <c r="E2177" t="e">
        <f t="shared" si="37"/>
        <v>#N/A</v>
      </c>
    </row>
    <row r="2178" spans="1:5">
      <c r="A2178" s="64"/>
      <c r="E2178" t="e">
        <f t="shared" si="37"/>
        <v>#N/A</v>
      </c>
    </row>
    <row r="2179" spans="1:5">
      <c r="A2179" s="64"/>
      <c r="E2179" t="e">
        <f t="shared" si="37"/>
        <v>#N/A</v>
      </c>
    </row>
    <row r="2180" spans="1:5">
      <c r="A2180" s="64"/>
      <c r="E2180" t="e">
        <f t="shared" si="37"/>
        <v>#N/A</v>
      </c>
    </row>
    <row r="2181" spans="1:5">
      <c r="A2181" s="64"/>
      <c r="E2181" t="e">
        <f t="shared" si="37"/>
        <v>#N/A</v>
      </c>
    </row>
    <row r="2182" spans="1:5">
      <c r="A2182" s="64"/>
      <c r="E2182" t="e">
        <f t="shared" si="37"/>
        <v>#N/A</v>
      </c>
    </row>
    <row r="2183" spans="1:5">
      <c r="A2183" s="64"/>
      <c r="E2183" t="e">
        <f t="shared" si="37"/>
        <v>#N/A</v>
      </c>
    </row>
    <row r="2184" spans="1:5">
      <c r="A2184" s="64"/>
      <c r="E2184" t="e">
        <f t="shared" si="37"/>
        <v>#N/A</v>
      </c>
    </row>
    <row r="2185" spans="1:5">
      <c r="A2185" s="64"/>
      <c r="E2185" t="e">
        <f t="shared" si="37"/>
        <v>#N/A</v>
      </c>
    </row>
    <row r="2186" spans="1:5">
      <c r="A2186" s="64"/>
      <c r="E2186" t="e">
        <f t="shared" si="37"/>
        <v>#N/A</v>
      </c>
    </row>
    <row r="2187" spans="1:5">
      <c r="A2187" s="64"/>
      <c r="E2187" t="e">
        <f t="shared" si="37"/>
        <v>#N/A</v>
      </c>
    </row>
    <row r="2188" spans="1:5">
      <c r="A2188" s="64"/>
      <c r="E2188" t="e">
        <f t="shared" si="37"/>
        <v>#N/A</v>
      </c>
    </row>
    <row r="2189" spans="1:5">
      <c r="A2189" s="64"/>
      <c r="E2189" t="e">
        <f t="shared" ref="E2189:E2252" si="38">VLOOKUP(B2189,$Q$14:$R$62,2,FALSE)</f>
        <v>#N/A</v>
      </c>
    </row>
    <row r="2190" spans="1:5">
      <c r="A2190" s="64"/>
      <c r="E2190" t="e">
        <f t="shared" si="38"/>
        <v>#N/A</v>
      </c>
    </row>
    <row r="2191" spans="1:5">
      <c r="A2191" s="64"/>
      <c r="E2191" t="e">
        <f t="shared" si="38"/>
        <v>#N/A</v>
      </c>
    </row>
    <row r="2192" spans="1:5">
      <c r="A2192" s="64"/>
      <c r="E2192" t="e">
        <f t="shared" si="38"/>
        <v>#N/A</v>
      </c>
    </row>
    <row r="2193" spans="1:5">
      <c r="A2193" s="64"/>
      <c r="E2193" t="e">
        <f t="shared" si="38"/>
        <v>#N/A</v>
      </c>
    </row>
    <row r="2194" spans="1:5">
      <c r="A2194" s="64"/>
      <c r="E2194" t="e">
        <f t="shared" si="38"/>
        <v>#N/A</v>
      </c>
    </row>
    <row r="2195" spans="1:5">
      <c r="A2195" s="64"/>
      <c r="E2195" t="e">
        <f t="shared" si="38"/>
        <v>#N/A</v>
      </c>
    </row>
    <row r="2196" spans="1:5">
      <c r="A2196" s="64"/>
      <c r="E2196" t="e">
        <f t="shared" si="38"/>
        <v>#N/A</v>
      </c>
    </row>
    <row r="2197" spans="1:5">
      <c r="A2197" s="64"/>
      <c r="E2197" t="e">
        <f t="shared" si="38"/>
        <v>#N/A</v>
      </c>
    </row>
    <row r="2198" spans="1:5">
      <c r="A2198" s="64"/>
      <c r="E2198" t="e">
        <f t="shared" si="38"/>
        <v>#N/A</v>
      </c>
    </row>
    <row r="2199" spans="1:5">
      <c r="A2199" s="64"/>
      <c r="E2199" t="e">
        <f t="shared" si="38"/>
        <v>#N/A</v>
      </c>
    </row>
    <row r="2200" spans="1:5">
      <c r="A2200" s="64"/>
      <c r="E2200" t="e">
        <f t="shared" si="38"/>
        <v>#N/A</v>
      </c>
    </row>
    <row r="2201" spans="1:5">
      <c r="A2201" s="64"/>
      <c r="E2201" t="e">
        <f t="shared" si="38"/>
        <v>#N/A</v>
      </c>
    </row>
    <row r="2202" spans="1:5">
      <c r="A2202" s="64"/>
      <c r="E2202" t="e">
        <f t="shared" si="38"/>
        <v>#N/A</v>
      </c>
    </row>
    <row r="2203" spans="1:5">
      <c r="A2203" s="64"/>
      <c r="E2203" t="e">
        <f t="shared" si="38"/>
        <v>#N/A</v>
      </c>
    </row>
    <row r="2204" spans="1:5">
      <c r="A2204" s="64"/>
      <c r="E2204" t="e">
        <f t="shared" si="38"/>
        <v>#N/A</v>
      </c>
    </row>
    <row r="2205" spans="1:5">
      <c r="A2205" s="64"/>
      <c r="E2205" t="e">
        <f t="shared" si="38"/>
        <v>#N/A</v>
      </c>
    </row>
    <row r="2206" spans="1:5">
      <c r="A2206" s="64"/>
      <c r="E2206" t="e">
        <f t="shared" si="38"/>
        <v>#N/A</v>
      </c>
    </row>
    <row r="2207" spans="1:5">
      <c r="A2207" s="64"/>
      <c r="E2207" t="e">
        <f t="shared" si="38"/>
        <v>#N/A</v>
      </c>
    </row>
    <row r="2208" spans="1:5">
      <c r="A2208" s="64"/>
      <c r="E2208" t="e">
        <f t="shared" si="38"/>
        <v>#N/A</v>
      </c>
    </row>
    <row r="2209" spans="1:5">
      <c r="A2209" s="64"/>
      <c r="E2209" t="e">
        <f t="shared" si="38"/>
        <v>#N/A</v>
      </c>
    </row>
    <row r="2210" spans="1:5">
      <c r="A2210" s="64"/>
      <c r="E2210" t="e">
        <f t="shared" si="38"/>
        <v>#N/A</v>
      </c>
    </row>
    <row r="2211" spans="1:5">
      <c r="A2211" s="64"/>
      <c r="E2211" t="e">
        <f t="shared" si="38"/>
        <v>#N/A</v>
      </c>
    </row>
    <row r="2212" spans="1:5">
      <c r="A2212" s="64"/>
      <c r="E2212" t="e">
        <f t="shared" si="38"/>
        <v>#N/A</v>
      </c>
    </row>
    <row r="2213" spans="1:5">
      <c r="A2213" s="64"/>
      <c r="E2213" t="e">
        <f t="shared" si="38"/>
        <v>#N/A</v>
      </c>
    </row>
    <row r="2214" spans="1:5">
      <c r="A2214" s="64"/>
      <c r="E2214" t="e">
        <f t="shared" si="38"/>
        <v>#N/A</v>
      </c>
    </row>
    <row r="2215" spans="1:5">
      <c r="A2215" s="64"/>
      <c r="E2215" t="e">
        <f t="shared" si="38"/>
        <v>#N/A</v>
      </c>
    </row>
    <row r="2216" spans="1:5">
      <c r="A2216" s="64"/>
      <c r="E2216" t="e">
        <f t="shared" si="38"/>
        <v>#N/A</v>
      </c>
    </row>
    <row r="2217" spans="1:5">
      <c r="A2217" s="64"/>
      <c r="E2217" t="e">
        <f t="shared" si="38"/>
        <v>#N/A</v>
      </c>
    </row>
    <row r="2218" spans="1:5">
      <c r="A2218" s="64"/>
      <c r="E2218" t="e">
        <f t="shared" si="38"/>
        <v>#N/A</v>
      </c>
    </row>
    <row r="2219" spans="1:5">
      <c r="A2219" s="64"/>
      <c r="E2219" t="e">
        <f t="shared" si="38"/>
        <v>#N/A</v>
      </c>
    </row>
    <row r="2220" spans="1:5">
      <c r="A2220" s="64"/>
      <c r="E2220" t="e">
        <f t="shared" si="38"/>
        <v>#N/A</v>
      </c>
    </row>
    <row r="2221" spans="1:5">
      <c r="A2221" s="64"/>
      <c r="E2221" t="e">
        <f t="shared" si="38"/>
        <v>#N/A</v>
      </c>
    </row>
    <row r="2222" spans="1:5">
      <c r="A2222" s="64"/>
      <c r="E2222" t="e">
        <f t="shared" si="38"/>
        <v>#N/A</v>
      </c>
    </row>
    <row r="2223" spans="1:5">
      <c r="A2223" s="64"/>
      <c r="E2223" t="e">
        <f t="shared" si="38"/>
        <v>#N/A</v>
      </c>
    </row>
    <row r="2224" spans="1:5">
      <c r="A2224" s="64"/>
      <c r="E2224" t="e">
        <f t="shared" si="38"/>
        <v>#N/A</v>
      </c>
    </row>
    <row r="2225" spans="1:5">
      <c r="A2225" s="64"/>
      <c r="E2225" t="e">
        <f t="shared" si="38"/>
        <v>#N/A</v>
      </c>
    </row>
    <row r="2226" spans="1:5">
      <c r="A2226" s="64"/>
      <c r="E2226" t="e">
        <f t="shared" si="38"/>
        <v>#N/A</v>
      </c>
    </row>
    <row r="2227" spans="1:5">
      <c r="A2227" s="64"/>
      <c r="E2227" t="e">
        <f t="shared" si="38"/>
        <v>#N/A</v>
      </c>
    </row>
    <row r="2228" spans="1:5">
      <c r="A2228" s="64"/>
      <c r="E2228" t="e">
        <f t="shared" si="38"/>
        <v>#N/A</v>
      </c>
    </row>
    <row r="2229" spans="1:5">
      <c r="A2229" s="64"/>
      <c r="E2229" t="e">
        <f t="shared" si="38"/>
        <v>#N/A</v>
      </c>
    </row>
    <row r="2230" spans="1:5">
      <c r="A2230" s="64"/>
      <c r="E2230" t="e">
        <f t="shared" si="38"/>
        <v>#N/A</v>
      </c>
    </row>
    <row r="2231" spans="1:5">
      <c r="A2231" s="64"/>
      <c r="E2231" t="e">
        <f t="shared" si="38"/>
        <v>#N/A</v>
      </c>
    </row>
    <row r="2232" spans="1:5">
      <c r="A2232" s="64"/>
      <c r="E2232" t="e">
        <f t="shared" si="38"/>
        <v>#N/A</v>
      </c>
    </row>
    <row r="2233" spans="1:5">
      <c r="A2233" s="64"/>
      <c r="E2233" t="e">
        <f t="shared" si="38"/>
        <v>#N/A</v>
      </c>
    </row>
    <row r="2234" spans="1:5">
      <c r="A2234" s="64"/>
      <c r="E2234" t="e">
        <f t="shared" si="38"/>
        <v>#N/A</v>
      </c>
    </row>
    <row r="2235" spans="1:5">
      <c r="A2235" s="64"/>
      <c r="E2235" t="e">
        <f t="shared" si="38"/>
        <v>#N/A</v>
      </c>
    </row>
    <row r="2236" spans="1:5">
      <c r="A2236" s="64"/>
      <c r="E2236" t="e">
        <f t="shared" si="38"/>
        <v>#N/A</v>
      </c>
    </row>
    <row r="2237" spans="1:5">
      <c r="A2237" s="64"/>
      <c r="E2237" t="e">
        <f t="shared" si="38"/>
        <v>#N/A</v>
      </c>
    </row>
    <row r="2238" spans="1:5">
      <c r="A2238" s="64"/>
      <c r="E2238" t="e">
        <f t="shared" si="38"/>
        <v>#N/A</v>
      </c>
    </row>
    <row r="2239" spans="1:5">
      <c r="A2239" s="64"/>
      <c r="E2239" t="e">
        <f t="shared" si="38"/>
        <v>#N/A</v>
      </c>
    </row>
    <row r="2240" spans="1:5">
      <c r="A2240" s="64"/>
      <c r="E2240" t="e">
        <f t="shared" si="38"/>
        <v>#N/A</v>
      </c>
    </row>
    <row r="2241" spans="1:5">
      <c r="A2241" s="64"/>
      <c r="E2241" t="e">
        <f t="shared" si="38"/>
        <v>#N/A</v>
      </c>
    </row>
    <row r="2242" spans="1:5">
      <c r="A2242" s="64"/>
      <c r="E2242" t="e">
        <f t="shared" si="38"/>
        <v>#N/A</v>
      </c>
    </row>
    <row r="2243" spans="1:5">
      <c r="A2243" s="64"/>
      <c r="E2243" t="e">
        <f t="shared" si="38"/>
        <v>#N/A</v>
      </c>
    </row>
    <row r="2244" spans="1:5">
      <c r="A2244" s="64"/>
      <c r="E2244" t="e">
        <f t="shared" si="38"/>
        <v>#N/A</v>
      </c>
    </row>
    <row r="2245" spans="1:5">
      <c r="A2245" s="64"/>
      <c r="E2245" t="e">
        <f t="shared" si="38"/>
        <v>#N/A</v>
      </c>
    </row>
    <row r="2246" spans="1:5">
      <c r="A2246" s="64"/>
      <c r="E2246" t="e">
        <f t="shared" si="38"/>
        <v>#N/A</v>
      </c>
    </row>
    <row r="2247" spans="1:5">
      <c r="A2247" s="64"/>
      <c r="E2247" t="e">
        <f t="shared" si="38"/>
        <v>#N/A</v>
      </c>
    </row>
    <row r="2248" spans="1:5">
      <c r="A2248" s="64"/>
      <c r="E2248" t="e">
        <f t="shared" si="38"/>
        <v>#N/A</v>
      </c>
    </row>
    <row r="2249" spans="1:5">
      <c r="A2249" s="64"/>
      <c r="E2249" t="e">
        <f t="shared" si="38"/>
        <v>#N/A</v>
      </c>
    </row>
    <row r="2250" spans="1:5">
      <c r="A2250" s="64"/>
      <c r="E2250" t="e">
        <f t="shared" si="38"/>
        <v>#N/A</v>
      </c>
    </row>
    <row r="2251" spans="1:5">
      <c r="A2251" s="64"/>
      <c r="E2251" t="e">
        <f t="shared" si="38"/>
        <v>#N/A</v>
      </c>
    </row>
    <row r="2252" spans="1:5">
      <c r="A2252" s="64"/>
      <c r="E2252" t="e">
        <f t="shared" si="38"/>
        <v>#N/A</v>
      </c>
    </row>
    <row r="2253" spans="1:5">
      <c r="A2253" s="64"/>
      <c r="E2253" t="e">
        <f t="shared" ref="E2253:E2316" si="39">VLOOKUP(B2253,$Q$14:$R$62,2,FALSE)</f>
        <v>#N/A</v>
      </c>
    </row>
    <row r="2254" spans="1:5">
      <c r="A2254" s="64"/>
      <c r="E2254" t="e">
        <f t="shared" si="39"/>
        <v>#N/A</v>
      </c>
    </row>
    <row r="2255" spans="1:5">
      <c r="A2255" s="64"/>
      <c r="E2255" t="e">
        <f t="shared" si="39"/>
        <v>#N/A</v>
      </c>
    </row>
    <row r="2256" spans="1:5">
      <c r="A2256" s="64"/>
      <c r="E2256" t="e">
        <f t="shared" si="39"/>
        <v>#N/A</v>
      </c>
    </row>
    <row r="2257" spans="1:5">
      <c r="A2257" s="64"/>
      <c r="E2257" t="e">
        <f t="shared" si="39"/>
        <v>#N/A</v>
      </c>
    </row>
    <row r="2258" spans="1:5">
      <c r="A2258" s="64"/>
      <c r="E2258" t="e">
        <f t="shared" si="39"/>
        <v>#N/A</v>
      </c>
    </row>
    <row r="2259" spans="1:5">
      <c r="A2259" s="64"/>
      <c r="E2259" t="e">
        <f t="shared" si="39"/>
        <v>#N/A</v>
      </c>
    </row>
    <row r="2260" spans="1:5">
      <c r="A2260" s="64"/>
      <c r="E2260" t="e">
        <f t="shared" si="39"/>
        <v>#N/A</v>
      </c>
    </row>
    <row r="2261" spans="1:5">
      <c r="A2261" s="64"/>
      <c r="E2261" t="e">
        <f t="shared" si="39"/>
        <v>#N/A</v>
      </c>
    </row>
    <row r="2262" spans="1:5">
      <c r="A2262" s="64"/>
      <c r="E2262" t="e">
        <f t="shared" si="39"/>
        <v>#N/A</v>
      </c>
    </row>
    <row r="2263" spans="1:5">
      <c r="A2263" s="64"/>
      <c r="E2263" t="e">
        <f t="shared" si="39"/>
        <v>#N/A</v>
      </c>
    </row>
    <row r="2264" spans="1:5">
      <c r="A2264" s="64"/>
      <c r="E2264" t="e">
        <f t="shared" si="39"/>
        <v>#N/A</v>
      </c>
    </row>
    <row r="2265" spans="1:5">
      <c r="A2265" s="64"/>
      <c r="E2265" t="e">
        <f t="shared" si="39"/>
        <v>#N/A</v>
      </c>
    </row>
    <row r="2266" spans="1:5">
      <c r="A2266" s="64"/>
      <c r="E2266" t="e">
        <f t="shared" si="39"/>
        <v>#N/A</v>
      </c>
    </row>
    <row r="2267" spans="1:5">
      <c r="A2267" s="64"/>
      <c r="E2267" t="e">
        <f t="shared" si="39"/>
        <v>#N/A</v>
      </c>
    </row>
    <row r="2268" spans="1:5">
      <c r="A2268" s="64"/>
      <c r="E2268" t="e">
        <f t="shared" si="39"/>
        <v>#N/A</v>
      </c>
    </row>
    <row r="2269" spans="1:5">
      <c r="A2269" s="64"/>
      <c r="E2269" t="e">
        <f t="shared" si="39"/>
        <v>#N/A</v>
      </c>
    </row>
    <row r="2270" spans="1:5">
      <c r="A2270" s="64"/>
      <c r="E2270" t="e">
        <f t="shared" si="39"/>
        <v>#N/A</v>
      </c>
    </row>
    <row r="2271" spans="1:5">
      <c r="A2271" s="64"/>
      <c r="E2271" t="e">
        <f t="shared" si="39"/>
        <v>#N/A</v>
      </c>
    </row>
    <row r="2272" spans="1:5">
      <c r="A2272" s="64"/>
      <c r="E2272" t="e">
        <f t="shared" si="39"/>
        <v>#N/A</v>
      </c>
    </row>
    <row r="2273" spans="1:5">
      <c r="A2273" s="64"/>
      <c r="E2273" t="e">
        <f t="shared" si="39"/>
        <v>#N/A</v>
      </c>
    </row>
    <row r="2274" spans="1:5">
      <c r="A2274" s="64"/>
      <c r="E2274" t="e">
        <f t="shared" si="39"/>
        <v>#N/A</v>
      </c>
    </row>
    <row r="2275" spans="1:5">
      <c r="A2275" s="64"/>
      <c r="E2275" t="e">
        <f t="shared" si="39"/>
        <v>#N/A</v>
      </c>
    </row>
    <row r="2276" spans="1:5">
      <c r="A2276" s="64"/>
      <c r="E2276" t="e">
        <f t="shared" si="39"/>
        <v>#N/A</v>
      </c>
    </row>
    <row r="2277" spans="1:5">
      <c r="A2277" s="64"/>
      <c r="E2277" t="e">
        <f t="shared" si="39"/>
        <v>#N/A</v>
      </c>
    </row>
    <row r="2278" spans="1:5">
      <c r="A2278" s="64"/>
      <c r="E2278" t="e">
        <f t="shared" si="39"/>
        <v>#N/A</v>
      </c>
    </row>
    <row r="2279" spans="1:5">
      <c r="A2279" s="64"/>
      <c r="E2279" t="e">
        <f t="shared" si="39"/>
        <v>#N/A</v>
      </c>
    </row>
    <row r="2280" spans="1:5">
      <c r="A2280" s="64"/>
      <c r="E2280" t="e">
        <f t="shared" si="39"/>
        <v>#N/A</v>
      </c>
    </row>
    <row r="2281" spans="1:5">
      <c r="A2281" s="64"/>
      <c r="E2281" t="e">
        <f t="shared" si="39"/>
        <v>#N/A</v>
      </c>
    </row>
    <row r="2282" spans="1:5">
      <c r="A2282" s="64"/>
      <c r="E2282" t="e">
        <f t="shared" si="39"/>
        <v>#N/A</v>
      </c>
    </row>
    <row r="2283" spans="1:5">
      <c r="A2283" s="64"/>
      <c r="E2283" t="e">
        <f t="shared" si="39"/>
        <v>#N/A</v>
      </c>
    </row>
    <row r="2284" spans="1:5">
      <c r="A2284" s="64"/>
      <c r="E2284" t="e">
        <f t="shared" si="39"/>
        <v>#N/A</v>
      </c>
    </row>
    <row r="2285" spans="1:5">
      <c r="A2285" s="64"/>
      <c r="E2285" t="e">
        <f t="shared" si="39"/>
        <v>#N/A</v>
      </c>
    </row>
    <row r="2286" spans="1:5">
      <c r="A2286" s="64"/>
      <c r="E2286" t="e">
        <f t="shared" si="39"/>
        <v>#N/A</v>
      </c>
    </row>
    <row r="2287" spans="1:5">
      <c r="A2287" s="64"/>
      <c r="E2287" t="e">
        <f t="shared" si="39"/>
        <v>#N/A</v>
      </c>
    </row>
    <row r="2288" spans="1:5">
      <c r="A2288" s="64"/>
      <c r="E2288" t="e">
        <f t="shared" si="39"/>
        <v>#N/A</v>
      </c>
    </row>
    <row r="2289" spans="1:5">
      <c r="A2289" s="64"/>
      <c r="E2289" t="e">
        <f t="shared" si="39"/>
        <v>#N/A</v>
      </c>
    </row>
    <row r="2290" spans="1:5">
      <c r="A2290" s="64"/>
      <c r="E2290" t="e">
        <f t="shared" si="39"/>
        <v>#N/A</v>
      </c>
    </row>
    <row r="2291" spans="1:5">
      <c r="A2291" s="64"/>
      <c r="E2291" t="e">
        <f t="shared" si="39"/>
        <v>#N/A</v>
      </c>
    </row>
    <row r="2292" spans="1:5">
      <c r="A2292" s="64"/>
      <c r="E2292" t="e">
        <f t="shared" si="39"/>
        <v>#N/A</v>
      </c>
    </row>
    <row r="2293" spans="1:5">
      <c r="A2293" s="64"/>
      <c r="E2293" t="e">
        <f t="shared" si="39"/>
        <v>#N/A</v>
      </c>
    </row>
    <row r="2294" spans="1:5">
      <c r="A2294" s="64"/>
      <c r="E2294" t="e">
        <f t="shared" si="39"/>
        <v>#N/A</v>
      </c>
    </row>
    <row r="2295" spans="1:5">
      <c r="A2295" s="64"/>
      <c r="E2295" t="e">
        <f t="shared" si="39"/>
        <v>#N/A</v>
      </c>
    </row>
    <row r="2296" spans="1:5">
      <c r="A2296" s="64"/>
      <c r="E2296" t="e">
        <f t="shared" si="39"/>
        <v>#N/A</v>
      </c>
    </row>
    <row r="2297" spans="1:5">
      <c r="A2297" s="64"/>
      <c r="E2297" t="e">
        <f t="shared" si="39"/>
        <v>#N/A</v>
      </c>
    </row>
    <row r="2298" spans="1:5">
      <c r="A2298" s="64"/>
      <c r="E2298" t="e">
        <f t="shared" si="39"/>
        <v>#N/A</v>
      </c>
    </row>
    <row r="2299" spans="1:5">
      <c r="A2299" s="64"/>
      <c r="E2299" t="e">
        <f t="shared" si="39"/>
        <v>#N/A</v>
      </c>
    </row>
    <row r="2300" spans="1:5">
      <c r="A2300" s="64"/>
      <c r="E2300" t="e">
        <f t="shared" si="39"/>
        <v>#N/A</v>
      </c>
    </row>
    <row r="2301" spans="1:5">
      <c r="A2301" s="64"/>
      <c r="E2301" t="e">
        <f t="shared" si="39"/>
        <v>#N/A</v>
      </c>
    </row>
    <row r="2302" spans="1:5">
      <c r="A2302" s="64"/>
      <c r="E2302" t="e">
        <f t="shared" si="39"/>
        <v>#N/A</v>
      </c>
    </row>
    <row r="2303" spans="1:5">
      <c r="A2303" s="64"/>
      <c r="E2303" t="e">
        <f t="shared" si="39"/>
        <v>#N/A</v>
      </c>
    </row>
    <row r="2304" spans="1:5">
      <c r="A2304" s="64"/>
      <c r="E2304" t="e">
        <f t="shared" si="39"/>
        <v>#N/A</v>
      </c>
    </row>
    <row r="2305" spans="1:5">
      <c r="A2305" s="64"/>
      <c r="E2305" t="e">
        <f t="shared" si="39"/>
        <v>#N/A</v>
      </c>
    </row>
    <row r="2306" spans="1:5">
      <c r="A2306" s="64"/>
      <c r="E2306" t="e">
        <f t="shared" si="39"/>
        <v>#N/A</v>
      </c>
    </row>
    <row r="2307" spans="1:5">
      <c r="A2307" s="64"/>
      <c r="E2307" t="e">
        <f t="shared" si="39"/>
        <v>#N/A</v>
      </c>
    </row>
    <row r="2308" spans="1:5">
      <c r="A2308" s="64"/>
      <c r="E2308" t="e">
        <f t="shared" si="39"/>
        <v>#N/A</v>
      </c>
    </row>
    <row r="2309" spans="1:5">
      <c r="A2309" s="64"/>
      <c r="E2309" t="e">
        <f t="shared" si="39"/>
        <v>#N/A</v>
      </c>
    </row>
    <row r="2310" spans="1:5">
      <c r="A2310" s="64"/>
      <c r="E2310" t="e">
        <f t="shared" si="39"/>
        <v>#N/A</v>
      </c>
    </row>
    <row r="2311" spans="1:5">
      <c r="A2311" s="64"/>
      <c r="E2311" t="e">
        <f t="shared" si="39"/>
        <v>#N/A</v>
      </c>
    </row>
    <row r="2312" spans="1:5">
      <c r="A2312" s="64"/>
      <c r="E2312" t="e">
        <f t="shared" si="39"/>
        <v>#N/A</v>
      </c>
    </row>
    <row r="2313" spans="1:5">
      <c r="A2313" s="64"/>
      <c r="E2313" t="e">
        <f t="shared" si="39"/>
        <v>#N/A</v>
      </c>
    </row>
    <row r="2314" spans="1:5">
      <c r="A2314" s="64"/>
      <c r="E2314" t="e">
        <f t="shared" si="39"/>
        <v>#N/A</v>
      </c>
    </row>
    <row r="2315" spans="1:5">
      <c r="A2315" s="64"/>
      <c r="E2315" t="e">
        <f t="shared" si="39"/>
        <v>#N/A</v>
      </c>
    </row>
    <row r="2316" spans="1:5">
      <c r="A2316" s="64"/>
      <c r="E2316" t="e">
        <f t="shared" si="39"/>
        <v>#N/A</v>
      </c>
    </row>
    <row r="2317" spans="1:5">
      <c r="A2317" s="64"/>
      <c r="E2317" t="e">
        <f t="shared" ref="E2317:E2380" si="40">VLOOKUP(B2317,$Q$14:$R$62,2,FALSE)</f>
        <v>#N/A</v>
      </c>
    </row>
    <row r="2318" spans="1:5">
      <c r="A2318" s="64"/>
      <c r="E2318" t="e">
        <f t="shared" si="40"/>
        <v>#N/A</v>
      </c>
    </row>
    <row r="2319" spans="1:5">
      <c r="A2319" s="64"/>
      <c r="E2319" t="e">
        <f t="shared" si="40"/>
        <v>#N/A</v>
      </c>
    </row>
    <row r="2320" spans="1:5">
      <c r="A2320" s="64"/>
      <c r="E2320" t="e">
        <f t="shared" si="40"/>
        <v>#N/A</v>
      </c>
    </row>
    <row r="2321" spans="1:5">
      <c r="A2321" s="64"/>
      <c r="E2321" t="e">
        <f t="shared" si="40"/>
        <v>#N/A</v>
      </c>
    </row>
    <row r="2322" spans="1:5">
      <c r="A2322" s="64"/>
      <c r="E2322" t="e">
        <f t="shared" si="40"/>
        <v>#N/A</v>
      </c>
    </row>
    <row r="2323" spans="1:5">
      <c r="A2323" s="64"/>
      <c r="E2323" t="e">
        <f t="shared" si="40"/>
        <v>#N/A</v>
      </c>
    </row>
    <row r="2324" spans="1:5">
      <c r="A2324" s="64"/>
      <c r="E2324" t="e">
        <f t="shared" si="40"/>
        <v>#N/A</v>
      </c>
    </row>
    <row r="2325" spans="1:5">
      <c r="A2325" s="64"/>
      <c r="E2325" t="e">
        <f t="shared" si="40"/>
        <v>#N/A</v>
      </c>
    </row>
    <row r="2326" spans="1:5">
      <c r="A2326" s="64"/>
      <c r="E2326" t="e">
        <f t="shared" si="40"/>
        <v>#N/A</v>
      </c>
    </row>
    <row r="2327" spans="1:5">
      <c r="A2327" s="64"/>
      <c r="E2327" t="e">
        <f t="shared" si="40"/>
        <v>#N/A</v>
      </c>
    </row>
    <row r="2328" spans="1:5">
      <c r="A2328" s="64"/>
      <c r="E2328" t="e">
        <f t="shared" si="40"/>
        <v>#N/A</v>
      </c>
    </row>
    <row r="2329" spans="1:5">
      <c r="A2329" s="64"/>
      <c r="E2329" t="e">
        <f t="shared" si="40"/>
        <v>#N/A</v>
      </c>
    </row>
    <row r="2330" spans="1:5">
      <c r="A2330" s="64"/>
      <c r="E2330" t="e">
        <f t="shared" si="40"/>
        <v>#N/A</v>
      </c>
    </row>
    <row r="2331" spans="1:5">
      <c r="A2331" s="64"/>
      <c r="E2331" t="e">
        <f t="shared" si="40"/>
        <v>#N/A</v>
      </c>
    </row>
    <row r="2332" spans="1:5">
      <c r="A2332" s="64"/>
      <c r="E2332" t="e">
        <f t="shared" si="40"/>
        <v>#N/A</v>
      </c>
    </row>
    <row r="2333" spans="1:5">
      <c r="A2333" s="64"/>
      <c r="E2333" t="e">
        <f t="shared" si="40"/>
        <v>#N/A</v>
      </c>
    </row>
    <row r="2334" spans="1:5">
      <c r="A2334" s="64"/>
      <c r="E2334" t="e">
        <f t="shared" si="40"/>
        <v>#N/A</v>
      </c>
    </row>
    <row r="2335" spans="1:5">
      <c r="A2335" s="64"/>
      <c r="E2335" t="e">
        <f t="shared" si="40"/>
        <v>#N/A</v>
      </c>
    </row>
    <row r="2336" spans="1:5">
      <c r="A2336" s="64"/>
      <c r="E2336" t="e">
        <f t="shared" si="40"/>
        <v>#N/A</v>
      </c>
    </row>
    <row r="2337" spans="1:5">
      <c r="A2337" s="64"/>
      <c r="E2337" t="e">
        <f t="shared" si="40"/>
        <v>#N/A</v>
      </c>
    </row>
    <row r="2338" spans="1:5">
      <c r="A2338" s="64"/>
      <c r="E2338" t="e">
        <f t="shared" si="40"/>
        <v>#N/A</v>
      </c>
    </row>
    <row r="2339" spans="1:5">
      <c r="A2339" s="64"/>
      <c r="E2339" t="e">
        <f t="shared" si="40"/>
        <v>#N/A</v>
      </c>
    </row>
    <row r="2340" spans="1:5">
      <c r="A2340" s="64"/>
      <c r="E2340" t="e">
        <f t="shared" si="40"/>
        <v>#N/A</v>
      </c>
    </row>
    <row r="2341" spans="1:5">
      <c r="A2341" s="64"/>
      <c r="E2341" t="e">
        <f t="shared" si="40"/>
        <v>#N/A</v>
      </c>
    </row>
    <row r="2342" spans="1:5">
      <c r="A2342" s="64"/>
      <c r="E2342" t="e">
        <f t="shared" si="40"/>
        <v>#N/A</v>
      </c>
    </row>
    <row r="2343" spans="1:5">
      <c r="A2343" s="64"/>
      <c r="E2343" t="e">
        <f t="shared" si="40"/>
        <v>#N/A</v>
      </c>
    </row>
    <row r="2344" spans="1:5">
      <c r="A2344" s="64"/>
      <c r="E2344" t="e">
        <f t="shared" si="40"/>
        <v>#N/A</v>
      </c>
    </row>
    <row r="2345" spans="1:5">
      <c r="A2345" s="64"/>
      <c r="E2345" t="e">
        <f t="shared" si="40"/>
        <v>#N/A</v>
      </c>
    </row>
    <row r="2346" spans="1:5">
      <c r="A2346" s="64"/>
      <c r="E2346" t="e">
        <f t="shared" si="40"/>
        <v>#N/A</v>
      </c>
    </row>
    <row r="2347" spans="1:5">
      <c r="A2347" s="64"/>
      <c r="E2347" t="e">
        <f t="shared" si="40"/>
        <v>#N/A</v>
      </c>
    </row>
    <row r="2348" spans="1:5">
      <c r="A2348" s="64"/>
      <c r="E2348" t="e">
        <f t="shared" si="40"/>
        <v>#N/A</v>
      </c>
    </row>
    <row r="2349" spans="1:5">
      <c r="A2349" s="64"/>
      <c r="E2349" t="e">
        <f t="shared" si="40"/>
        <v>#N/A</v>
      </c>
    </row>
    <row r="2350" spans="1:5">
      <c r="A2350" s="64"/>
      <c r="E2350" t="e">
        <f t="shared" si="40"/>
        <v>#N/A</v>
      </c>
    </row>
    <row r="2351" spans="1:5">
      <c r="A2351" s="64"/>
      <c r="E2351" t="e">
        <f t="shared" si="40"/>
        <v>#N/A</v>
      </c>
    </row>
    <row r="2352" spans="1:5">
      <c r="A2352" s="64"/>
      <c r="E2352" t="e">
        <f t="shared" si="40"/>
        <v>#N/A</v>
      </c>
    </row>
    <row r="2353" spans="1:5">
      <c r="A2353" s="64"/>
      <c r="E2353" t="e">
        <f t="shared" si="40"/>
        <v>#N/A</v>
      </c>
    </row>
    <row r="2354" spans="1:5">
      <c r="A2354" s="64"/>
      <c r="E2354" t="e">
        <f t="shared" si="40"/>
        <v>#N/A</v>
      </c>
    </row>
    <row r="2355" spans="1:5">
      <c r="A2355" s="64"/>
      <c r="E2355" t="e">
        <f t="shared" si="40"/>
        <v>#N/A</v>
      </c>
    </row>
    <row r="2356" spans="1:5">
      <c r="A2356" s="64"/>
      <c r="E2356" t="e">
        <f t="shared" si="40"/>
        <v>#N/A</v>
      </c>
    </row>
    <row r="2357" spans="1:5">
      <c r="A2357" s="64"/>
      <c r="E2357" t="e">
        <f t="shared" si="40"/>
        <v>#N/A</v>
      </c>
    </row>
    <row r="2358" spans="1:5">
      <c r="A2358" s="64"/>
      <c r="E2358" t="e">
        <f t="shared" si="40"/>
        <v>#N/A</v>
      </c>
    </row>
    <row r="2359" spans="1:5">
      <c r="A2359" s="64"/>
      <c r="E2359" t="e">
        <f t="shared" si="40"/>
        <v>#N/A</v>
      </c>
    </row>
    <row r="2360" spans="1:5">
      <c r="A2360" s="64"/>
      <c r="E2360" t="e">
        <f t="shared" si="40"/>
        <v>#N/A</v>
      </c>
    </row>
    <row r="2361" spans="1:5">
      <c r="A2361" s="64"/>
      <c r="E2361" t="e">
        <f t="shared" si="40"/>
        <v>#N/A</v>
      </c>
    </row>
    <row r="2362" spans="1:5">
      <c r="A2362" s="64"/>
      <c r="E2362" t="e">
        <f t="shared" si="40"/>
        <v>#N/A</v>
      </c>
    </row>
    <row r="2363" spans="1:5">
      <c r="A2363" s="64"/>
      <c r="E2363" t="e">
        <f t="shared" si="40"/>
        <v>#N/A</v>
      </c>
    </row>
    <row r="2364" spans="1:5">
      <c r="A2364" s="64"/>
      <c r="E2364" t="e">
        <f t="shared" si="40"/>
        <v>#N/A</v>
      </c>
    </row>
    <row r="2365" spans="1:5">
      <c r="A2365" s="64"/>
      <c r="E2365" t="e">
        <f t="shared" si="40"/>
        <v>#N/A</v>
      </c>
    </row>
    <row r="2366" spans="1:5">
      <c r="A2366" s="64"/>
      <c r="E2366" t="e">
        <f t="shared" si="40"/>
        <v>#N/A</v>
      </c>
    </row>
    <row r="2367" spans="1:5">
      <c r="A2367" s="64"/>
      <c r="E2367" t="e">
        <f t="shared" si="40"/>
        <v>#N/A</v>
      </c>
    </row>
    <row r="2368" spans="1:5">
      <c r="A2368" s="64"/>
      <c r="E2368" t="e">
        <f t="shared" si="40"/>
        <v>#N/A</v>
      </c>
    </row>
    <row r="2369" spans="1:5">
      <c r="A2369" s="64"/>
      <c r="E2369" t="e">
        <f t="shared" si="40"/>
        <v>#N/A</v>
      </c>
    </row>
    <row r="2370" spans="1:5">
      <c r="A2370" s="64"/>
      <c r="E2370" t="e">
        <f t="shared" si="40"/>
        <v>#N/A</v>
      </c>
    </row>
    <row r="2371" spans="1:5">
      <c r="A2371" s="64"/>
      <c r="E2371" t="e">
        <f t="shared" si="40"/>
        <v>#N/A</v>
      </c>
    </row>
    <row r="2372" spans="1:5">
      <c r="A2372" s="64"/>
      <c r="E2372" t="e">
        <f t="shared" si="40"/>
        <v>#N/A</v>
      </c>
    </row>
    <row r="2373" spans="1:5">
      <c r="A2373" s="64"/>
      <c r="E2373" t="e">
        <f t="shared" si="40"/>
        <v>#N/A</v>
      </c>
    </row>
    <row r="2374" spans="1:5">
      <c r="A2374" s="64"/>
      <c r="E2374" t="e">
        <f t="shared" si="40"/>
        <v>#N/A</v>
      </c>
    </row>
    <row r="2375" spans="1:5">
      <c r="A2375" s="64"/>
      <c r="E2375" t="e">
        <f t="shared" si="40"/>
        <v>#N/A</v>
      </c>
    </row>
    <row r="2376" spans="1:5">
      <c r="A2376" s="64"/>
      <c r="E2376" t="e">
        <f t="shared" si="40"/>
        <v>#N/A</v>
      </c>
    </row>
    <row r="2377" spans="1:5">
      <c r="A2377" s="64"/>
      <c r="E2377" t="e">
        <f t="shared" si="40"/>
        <v>#N/A</v>
      </c>
    </row>
    <row r="2378" spans="1:5">
      <c r="A2378" s="64"/>
      <c r="E2378" t="e">
        <f t="shared" si="40"/>
        <v>#N/A</v>
      </c>
    </row>
    <row r="2379" spans="1:5">
      <c r="A2379" s="64"/>
      <c r="E2379" t="e">
        <f t="shared" si="40"/>
        <v>#N/A</v>
      </c>
    </row>
    <row r="2380" spans="1:5">
      <c r="A2380" s="64"/>
      <c r="E2380" t="e">
        <f t="shared" si="40"/>
        <v>#N/A</v>
      </c>
    </row>
    <row r="2381" spans="1:5">
      <c r="A2381" s="64"/>
      <c r="E2381" t="e">
        <f t="shared" ref="E2381:E2444" si="41">VLOOKUP(B2381,$Q$14:$R$62,2,FALSE)</f>
        <v>#N/A</v>
      </c>
    </row>
    <row r="2382" spans="1:5">
      <c r="A2382" s="64"/>
      <c r="E2382" t="e">
        <f t="shared" si="41"/>
        <v>#N/A</v>
      </c>
    </row>
    <row r="2383" spans="1:5">
      <c r="A2383" s="64"/>
      <c r="E2383" t="e">
        <f t="shared" si="41"/>
        <v>#N/A</v>
      </c>
    </row>
    <row r="2384" spans="1:5">
      <c r="A2384" s="64"/>
      <c r="E2384" t="e">
        <f t="shared" si="41"/>
        <v>#N/A</v>
      </c>
    </row>
    <row r="2385" spans="1:5">
      <c r="A2385" s="64"/>
      <c r="E2385" t="e">
        <f t="shared" si="41"/>
        <v>#N/A</v>
      </c>
    </row>
    <row r="2386" spans="1:5">
      <c r="A2386" s="64"/>
      <c r="E2386" t="e">
        <f t="shared" si="41"/>
        <v>#N/A</v>
      </c>
    </row>
    <row r="2387" spans="1:5">
      <c r="A2387" s="64"/>
      <c r="E2387" t="e">
        <f t="shared" si="41"/>
        <v>#N/A</v>
      </c>
    </row>
    <row r="2388" spans="1:5">
      <c r="A2388" s="64"/>
      <c r="E2388" t="e">
        <f t="shared" si="41"/>
        <v>#N/A</v>
      </c>
    </row>
    <row r="2389" spans="1:5">
      <c r="A2389" s="64"/>
      <c r="E2389" t="e">
        <f t="shared" si="41"/>
        <v>#N/A</v>
      </c>
    </row>
    <row r="2390" spans="1:5">
      <c r="A2390" s="64"/>
      <c r="E2390" t="e">
        <f t="shared" si="41"/>
        <v>#N/A</v>
      </c>
    </row>
    <row r="2391" spans="1:5">
      <c r="A2391" s="64"/>
      <c r="E2391" t="e">
        <f t="shared" si="41"/>
        <v>#N/A</v>
      </c>
    </row>
    <row r="2392" spans="1:5">
      <c r="A2392" s="64"/>
      <c r="E2392" t="e">
        <f t="shared" si="41"/>
        <v>#N/A</v>
      </c>
    </row>
    <row r="2393" spans="1:5">
      <c r="A2393" s="64"/>
      <c r="E2393" t="e">
        <f t="shared" si="41"/>
        <v>#N/A</v>
      </c>
    </row>
    <row r="2394" spans="1:5">
      <c r="A2394" s="64"/>
      <c r="E2394" t="e">
        <f t="shared" si="41"/>
        <v>#N/A</v>
      </c>
    </row>
    <row r="2395" spans="1:5">
      <c r="A2395" s="64"/>
      <c r="E2395" t="e">
        <f t="shared" si="41"/>
        <v>#N/A</v>
      </c>
    </row>
    <row r="2396" spans="1:5">
      <c r="A2396" s="64"/>
      <c r="E2396" t="e">
        <f t="shared" si="41"/>
        <v>#N/A</v>
      </c>
    </row>
    <row r="2397" spans="1:5">
      <c r="A2397" s="64"/>
      <c r="E2397" t="e">
        <f t="shared" si="41"/>
        <v>#N/A</v>
      </c>
    </row>
    <row r="2398" spans="1:5">
      <c r="A2398" s="64"/>
      <c r="E2398" t="e">
        <f t="shared" si="41"/>
        <v>#N/A</v>
      </c>
    </row>
    <row r="2399" spans="1:5">
      <c r="A2399" s="64"/>
      <c r="E2399" t="e">
        <f t="shared" si="41"/>
        <v>#N/A</v>
      </c>
    </row>
    <row r="2400" spans="1:5">
      <c r="A2400" s="64"/>
      <c r="E2400" t="e">
        <f t="shared" si="41"/>
        <v>#N/A</v>
      </c>
    </row>
    <row r="2401" spans="1:5">
      <c r="A2401" s="64"/>
      <c r="E2401" t="e">
        <f t="shared" si="41"/>
        <v>#N/A</v>
      </c>
    </row>
    <row r="2402" spans="1:5">
      <c r="A2402" s="64"/>
      <c r="E2402" t="e">
        <f t="shared" si="41"/>
        <v>#N/A</v>
      </c>
    </row>
    <row r="2403" spans="1:5">
      <c r="A2403" s="64"/>
      <c r="E2403" t="e">
        <f t="shared" si="41"/>
        <v>#N/A</v>
      </c>
    </row>
    <row r="2404" spans="1:5">
      <c r="A2404" s="64"/>
      <c r="E2404" t="e">
        <f t="shared" si="41"/>
        <v>#N/A</v>
      </c>
    </row>
    <row r="2405" spans="1:5">
      <c r="A2405" s="64"/>
      <c r="E2405" t="e">
        <f t="shared" si="41"/>
        <v>#N/A</v>
      </c>
    </row>
    <row r="2406" spans="1:5">
      <c r="A2406" s="64"/>
      <c r="E2406" t="e">
        <f t="shared" si="41"/>
        <v>#N/A</v>
      </c>
    </row>
    <row r="2407" spans="1:5">
      <c r="A2407" s="64"/>
      <c r="E2407" t="e">
        <f t="shared" si="41"/>
        <v>#N/A</v>
      </c>
    </row>
    <row r="2408" spans="1:5">
      <c r="A2408" s="64"/>
      <c r="E2408" t="e">
        <f t="shared" si="41"/>
        <v>#N/A</v>
      </c>
    </row>
    <row r="2409" spans="1:5">
      <c r="A2409" s="64"/>
      <c r="E2409" t="e">
        <f t="shared" si="41"/>
        <v>#N/A</v>
      </c>
    </row>
    <row r="2410" spans="1:5">
      <c r="A2410" s="64"/>
      <c r="E2410" t="e">
        <f t="shared" si="41"/>
        <v>#N/A</v>
      </c>
    </row>
    <row r="2411" spans="1:5">
      <c r="A2411" s="64"/>
      <c r="E2411" t="e">
        <f t="shared" si="41"/>
        <v>#N/A</v>
      </c>
    </row>
    <row r="2412" spans="1:5">
      <c r="A2412" s="64"/>
      <c r="E2412" t="e">
        <f t="shared" si="41"/>
        <v>#N/A</v>
      </c>
    </row>
    <row r="2413" spans="1:5">
      <c r="A2413" s="64"/>
      <c r="E2413" t="e">
        <f t="shared" si="41"/>
        <v>#N/A</v>
      </c>
    </row>
    <row r="2414" spans="1:5">
      <c r="A2414" s="64"/>
      <c r="E2414" t="e">
        <f t="shared" si="41"/>
        <v>#N/A</v>
      </c>
    </row>
    <row r="2415" spans="1:5">
      <c r="A2415" s="64"/>
      <c r="E2415" t="e">
        <f t="shared" si="41"/>
        <v>#N/A</v>
      </c>
    </row>
    <row r="2416" spans="1:5">
      <c r="A2416" s="64"/>
      <c r="E2416" t="e">
        <f t="shared" si="41"/>
        <v>#N/A</v>
      </c>
    </row>
    <row r="2417" spans="1:5">
      <c r="A2417" s="64"/>
      <c r="E2417" t="e">
        <f t="shared" si="41"/>
        <v>#N/A</v>
      </c>
    </row>
    <row r="2418" spans="1:5">
      <c r="A2418" s="64"/>
      <c r="E2418" t="e">
        <f t="shared" si="41"/>
        <v>#N/A</v>
      </c>
    </row>
    <row r="2419" spans="1:5">
      <c r="A2419" s="64"/>
      <c r="E2419" t="e">
        <f t="shared" si="41"/>
        <v>#N/A</v>
      </c>
    </row>
    <row r="2420" spans="1:5">
      <c r="A2420" s="64"/>
      <c r="E2420" t="e">
        <f t="shared" si="41"/>
        <v>#N/A</v>
      </c>
    </row>
    <row r="2421" spans="1:5">
      <c r="A2421" s="64"/>
      <c r="E2421" t="e">
        <f t="shared" si="41"/>
        <v>#N/A</v>
      </c>
    </row>
    <row r="2422" spans="1:5">
      <c r="A2422" s="64"/>
      <c r="E2422" t="e">
        <f t="shared" si="41"/>
        <v>#N/A</v>
      </c>
    </row>
    <row r="2423" spans="1:5">
      <c r="A2423" s="64"/>
      <c r="E2423" t="e">
        <f t="shared" si="41"/>
        <v>#N/A</v>
      </c>
    </row>
    <row r="2424" spans="1:5">
      <c r="A2424" s="64"/>
      <c r="E2424" t="e">
        <f t="shared" si="41"/>
        <v>#N/A</v>
      </c>
    </row>
    <row r="2425" spans="1:5">
      <c r="A2425" s="64"/>
      <c r="E2425" t="e">
        <f t="shared" si="41"/>
        <v>#N/A</v>
      </c>
    </row>
    <row r="2426" spans="1:5">
      <c r="A2426" s="64"/>
      <c r="E2426" t="e">
        <f t="shared" si="41"/>
        <v>#N/A</v>
      </c>
    </row>
    <row r="2427" spans="1:5">
      <c r="A2427" s="64"/>
      <c r="E2427" t="e">
        <f t="shared" si="41"/>
        <v>#N/A</v>
      </c>
    </row>
    <row r="2428" spans="1:5">
      <c r="A2428" s="64"/>
      <c r="E2428" t="e">
        <f t="shared" si="41"/>
        <v>#N/A</v>
      </c>
    </row>
    <row r="2429" spans="1:5">
      <c r="A2429" s="64"/>
      <c r="E2429" t="e">
        <f t="shared" si="41"/>
        <v>#N/A</v>
      </c>
    </row>
    <row r="2430" spans="1:5">
      <c r="A2430" s="64"/>
      <c r="E2430" t="e">
        <f t="shared" si="41"/>
        <v>#N/A</v>
      </c>
    </row>
    <row r="2431" spans="1:5">
      <c r="A2431" s="64"/>
      <c r="E2431" t="e">
        <f t="shared" si="41"/>
        <v>#N/A</v>
      </c>
    </row>
    <row r="2432" spans="1:5">
      <c r="A2432" s="64"/>
      <c r="E2432" t="e">
        <f t="shared" si="41"/>
        <v>#N/A</v>
      </c>
    </row>
    <row r="2433" spans="1:5">
      <c r="A2433" s="64"/>
      <c r="E2433" t="e">
        <f t="shared" si="41"/>
        <v>#N/A</v>
      </c>
    </row>
    <row r="2434" spans="1:5">
      <c r="A2434" s="64"/>
      <c r="E2434" t="e">
        <f t="shared" si="41"/>
        <v>#N/A</v>
      </c>
    </row>
    <row r="2435" spans="1:5">
      <c r="A2435" s="64"/>
      <c r="E2435" t="e">
        <f t="shared" si="41"/>
        <v>#N/A</v>
      </c>
    </row>
    <row r="2436" spans="1:5">
      <c r="A2436" s="64"/>
      <c r="E2436" t="e">
        <f t="shared" si="41"/>
        <v>#N/A</v>
      </c>
    </row>
    <row r="2437" spans="1:5">
      <c r="A2437" s="64"/>
      <c r="E2437" t="e">
        <f t="shared" si="41"/>
        <v>#N/A</v>
      </c>
    </row>
    <row r="2438" spans="1:5">
      <c r="A2438" s="64"/>
      <c r="E2438" t="e">
        <f t="shared" si="41"/>
        <v>#N/A</v>
      </c>
    </row>
    <row r="2439" spans="1:5">
      <c r="A2439" s="64"/>
      <c r="E2439" t="e">
        <f t="shared" si="41"/>
        <v>#N/A</v>
      </c>
    </row>
    <row r="2440" spans="1:5">
      <c r="A2440" s="64"/>
      <c r="E2440" t="e">
        <f t="shared" si="41"/>
        <v>#N/A</v>
      </c>
    </row>
    <row r="2441" spans="1:5">
      <c r="A2441" s="64"/>
      <c r="E2441" t="e">
        <f t="shared" si="41"/>
        <v>#N/A</v>
      </c>
    </row>
    <row r="2442" spans="1:5">
      <c r="A2442" s="64"/>
      <c r="E2442" t="e">
        <f t="shared" si="41"/>
        <v>#N/A</v>
      </c>
    </row>
    <row r="2443" spans="1:5">
      <c r="A2443" s="64"/>
      <c r="E2443" t="e">
        <f t="shared" si="41"/>
        <v>#N/A</v>
      </c>
    </row>
    <row r="2444" spans="1:5">
      <c r="A2444" s="64"/>
      <c r="E2444" t="e">
        <f t="shared" si="41"/>
        <v>#N/A</v>
      </c>
    </row>
    <row r="2445" spans="1:5">
      <c r="A2445" s="64"/>
      <c r="E2445" t="e">
        <f t="shared" ref="E2445:E2508" si="42">VLOOKUP(B2445,$Q$14:$R$62,2,FALSE)</f>
        <v>#N/A</v>
      </c>
    </row>
    <row r="2446" spans="1:5">
      <c r="A2446" s="64"/>
      <c r="E2446" t="e">
        <f t="shared" si="42"/>
        <v>#N/A</v>
      </c>
    </row>
    <row r="2447" spans="1:5">
      <c r="A2447" s="64"/>
      <c r="E2447" t="e">
        <f t="shared" si="42"/>
        <v>#N/A</v>
      </c>
    </row>
    <row r="2448" spans="1:5">
      <c r="A2448" s="64"/>
      <c r="E2448" t="e">
        <f t="shared" si="42"/>
        <v>#N/A</v>
      </c>
    </row>
    <row r="2449" spans="1:5">
      <c r="A2449" s="64"/>
      <c r="E2449" t="e">
        <f t="shared" si="42"/>
        <v>#N/A</v>
      </c>
    </row>
    <row r="2450" spans="1:5">
      <c r="A2450" s="64"/>
      <c r="E2450" t="e">
        <f t="shared" si="42"/>
        <v>#N/A</v>
      </c>
    </row>
    <row r="2451" spans="1:5">
      <c r="A2451" s="64"/>
      <c r="E2451" t="e">
        <f t="shared" si="42"/>
        <v>#N/A</v>
      </c>
    </row>
    <row r="2452" spans="1:5">
      <c r="A2452" s="64"/>
      <c r="E2452" t="e">
        <f t="shared" si="42"/>
        <v>#N/A</v>
      </c>
    </row>
    <row r="2453" spans="1:5">
      <c r="A2453" s="64"/>
      <c r="E2453" t="e">
        <f t="shared" si="42"/>
        <v>#N/A</v>
      </c>
    </row>
    <row r="2454" spans="1:5">
      <c r="A2454" s="64"/>
      <c r="E2454" t="e">
        <f t="shared" si="42"/>
        <v>#N/A</v>
      </c>
    </row>
    <row r="2455" spans="1:5">
      <c r="A2455" s="64"/>
      <c r="E2455" t="e">
        <f t="shared" si="42"/>
        <v>#N/A</v>
      </c>
    </row>
    <row r="2456" spans="1:5">
      <c r="A2456" s="64"/>
      <c r="E2456" t="e">
        <f t="shared" si="42"/>
        <v>#N/A</v>
      </c>
    </row>
    <row r="2457" spans="1:5">
      <c r="A2457" s="64"/>
      <c r="E2457" t="e">
        <f t="shared" si="42"/>
        <v>#N/A</v>
      </c>
    </row>
    <row r="2458" spans="1:5">
      <c r="A2458" s="64"/>
      <c r="E2458" t="e">
        <f t="shared" si="42"/>
        <v>#N/A</v>
      </c>
    </row>
    <row r="2459" spans="1:5">
      <c r="A2459" s="64"/>
      <c r="E2459" t="e">
        <f t="shared" si="42"/>
        <v>#N/A</v>
      </c>
    </row>
    <row r="2460" spans="1:5">
      <c r="A2460" s="64"/>
      <c r="E2460" t="e">
        <f t="shared" si="42"/>
        <v>#N/A</v>
      </c>
    </row>
    <row r="2461" spans="1:5">
      <c r="A2461" s="64"/>
      <c r="E2461" t="e">
        <f t="shared" si="42"/>
        <v>#N/A</v>
      </c>
    </row>
    <row r="2462" spans="1:5">
      <c r="A2462" s="64"/>
      <c r="E2462" t="e">
        <f t="shared" si="42"/>
        <v>#N/A</v>
      </c>
    </row>
    <row r="2463" spans="1:5">
      <c r="A2463" s="64"/>
      <c r="E2463" t="e">
        <f t="shared" si="42"/>
        <v>#N/A</v>
      </c>
    </row>
    <row r="2464" spans="1:5">
      <c r="A2464" s="64"/>
      <c r="E2464" t="e">
        <f t="shared" si="42"/>
        <v>#N/A</v>
      </c>
    </row>
    <row r="2465" spans="1:5">
      <c r="A2465" s="64"/>
      <c r="E2465" t="e">
        <f t="shared" si="42"/>
        <v>#N/A</v>
      </c>
    </row>
    <row r="2466" spans="1:5">
      <c r="A2466" s="64"/>
      <c r="E2466" t="e">
        <f t="shared" si="42"/>
        <v>#N/A</v>
      </c>
    </row>
    <row r="2467" spans="1:5">
      <c r="A2467" s="64"/>
      <c r="E2467" t="e">
        <f t="shared" si="42"/>
        <v>#N/A</v>
      </c>
    </row>
    <row r="2468" spans="1:5">
      <c r="A2468" s="64"/>
      <c r="E2468" t="e">
        <f t="shared" si="42"/>
        <v>#N/A</v>
      </c>
    </row>
    <row r="2469" spans="1:5">
      <c r="A2469" s="64"/>
      <c r="E2469" t="e">
        <f t="shared" si="42"/>
        <v>#N/A</v>
      </c>
    </row>
    <row r="2470" spans="1:5">
      <c r="A2470" s="64"/>
      <c r="E2470" t="e">
        <f t="shared" si="42"/>
        <v>#N/A</v>
      </c>
    </row>
    <row r="2471" spans="1:5">
      <c r="A2471" s="64"/>
      <c r="E2471" t="e">
        <f t="shared" si="42"/>
        <v>#N/A</v>
      </c>
    </row>
    <row r="2472" spans="1:5">
      <c r="A2472" s="64"/>
      <c r="E2472" t="e">
        <f t="shared" si="42"/>
        <v>#N/A</v>
      </c>
    </row>
    <row r="2473" spans="1:5">
      <c r="A2473" s="64"/>
      <c r="E2473" t="e">
        <f t="shared" si="42"/>
        <v>#N/A</v>
      </c>
    </row>
    <row r="2474" spans="1:5">
      <c r="A2474" s="64"/>
      <c r="E2474" t="e">
        <f t="shared" si="42"/>
        <v>#N/A</v>
      </c>
    </row>
    <row r="2475" spans="1:5">
      <c r="A2475" s="64"/>
      <c r="E2475" t="e">
        <f t="shared" si="42"/>
        <v>#N/A</v>
      </c>
    </row>
    <row r="2476" spans="1:5">
      <c r="A2476" s="64"/>
      <c r="E2476" t="e">
        <f t="shared" si="42"/>
        <v>#N/A</v>
      </c>
    </row>
    <row r="2477" spans="1:5">
      <c r="A2477" s="64"/>
      <c r="E2477" t="e">
        <f t="shared" si="42"/>
        <v>#N/A</v>
      </c>
    </row>
    <row r="2478" spans="1:5">
      <c r="A2478" s="64"/>
      <c r="E2478" t="e">
        <f t="shared" si="42"/>
        <v>#N/A</v>
      </c>
    </row>
    <row r="2479" spans="1:5">
      <c r="A2479" s="64"/>
      <c r="E2479" t="e">
        <f t="shared" si="42"/>
        <v>#N/A</v>
      </c>
    </row>
    <row r="2480" spans="1:5">
      <c r="A2480" s="64"/>
      <c r="E2480" t="e">
        <f t="shared" si="42"/>
        <v>#N/A</v>
      </c>
    </row>
    <row r="2481" spans="1:5">
      <c r="A2481" s="64"/>
      <c r="E2481" t="e">
        <f t="shared" si="42"/>
        <v>#N/A</v>
      </c>
    </row>
    <row r="2482" spans="1:5">
      <c r="A2482" s="64"/>
      <c r="E2482" t="e">
        <f t="shared" si="42"/>
        <v>#N/A</v>
      </c>
    </row>
    <row r="2483" spans="1:5">
      <c r="A2483" s="64"/>
      <c r="E2483" t="e">
        <f t="shared" si="42"/>
        <v>#N/A</v>
      </c>
    </row>
    <row r="2484" spans="1:5">
      <c r="A2484" s="64"/>
      <c r="E2484" t="e">
        <f t="shared" si="42"/>
        <v>#N/A</v>
      </c>
    </row>
    <row r="2485" spans="1:5">
      <c r="A2485" s="64"/>
      <c r="E2485" t="e">
        <f t="shared" si="42"/>
        <v>#N/A</v>
      </c>
    </row>
    <row r="2486" spans="1:5">
      <c r="A2486" s="64"/>
      <c r="E2486" t="e">
        <f t="shared" si="42"/>
        <v>#N/A</v>
      </c>
    </row>
    <row r="2487" spans="1:5">
      <c r="A2487" s="64"/>
      <c r="E2487" t="e">
        <f t="shared" si="42"/>
        <v>#N/A</v>
      </c>
    </row>
    <row r="2488" spans="1:5">
      <c r="A2488" s="64"/>
      <c r="E2488" t="e">
        <f t="shared" si="42"/>
        <v>#N/A</v>
      </c>
    </row>
    <row r="2489" spans="1:5">
      <c r="A2489" s="64"/>
      <c r="E2489" t="e">
        <f t="shared" si="42"/>
        <v>#N/A</v>
      </c>
    </row>
    <row r="2490" spans="1:5">
      <c r="A2490" s="64"/>
      <c r="E2490" t="e">
        <f t="shared" si="42"/>
        <v>#N/A</v>
      </c>
    </row>
    <row r="2491" spans="1:5">
      <c r="A2491" s="64"/>
      <c r="E2491" t="e">
        <f t="shared" si="42"/>
        <v>#N/A</v>
      </c>
    </row>
    <row r="2492" spans="1:5">
      <c r="A2492" s="64"/>
      <c r="E2492" t="e">
        <f t="shared" si="42"/>
        <v>#N/A</v>
      </c>
    </row>
    <row r="2493" spans="1:5">
      <c r="A2493" s="64"/>
      <c r="E2493" t="e">
        <f t="shared" si="42"/>
        <v>#N/A</v>
      </c>
    </row>
    <row r="2494" spans="1:5">
      <c r="A2494" s="64"/>
      <c r="E2494" t="e">
        <f t="shared" si="42"/>
        <v>#N/A</v>
      </c>
    </row>
    <row r="2495" spans="1:5">
      <c r="A2495" s="64"/>
      <c r="E2495" t="e">
        <f t="shared" si="42"/>
        <v>#N/A</v>
      </c>
    </row>
    <row r="2496" spans="1:5">
      <c r="A2496" s="64"/>
      <c r="E2496" t="e">
        <f t="shared" si="42"/>
        <v>#N/A</v>
      </c>
    </row>
    <row r="2497" spans="1:5">
      <c r="A2497" s="64"/>
      <c r="E2497" t="e">
        <f t="shared" si="42"/>
        <v>#N/A</v>
      </c>
    </row>
    <row r="2498" spans="1:5">
      <c r="A2498" s="64"/>
      <c r="E2498" t="e">
        <f t="shared" si="42"/>
        <v>#N/A</v>
      </c>
    </row>
    <row r="2499" spans="1:5">
      <c r="A2499" s="64"/>
      <c r="E2499" t="e">
        <f t="shared" si="42"/>
        <v>#N/A</v>
      </c>
    </row>
    <row r="2500" spans="1:5">
      <c r="A2500" s="64"/>
      <c r="E2500" t="e">
        <f t="shared" si="42"/>
        <v>#N/A</v>
      </c>
    </row>
    <row r="2501" spans="1:5">
      <c r="A2501" s="64"/>
      <c r="E2501" t="e">
        <f t="shared" si="42"/>
        <v>#N/A</v>
      </c>
    </row>
    <row r="2502" spans="1:5">
      <c r="A2502" s="64"/>
      <c r="E2502" t="e">
        <f t="shared" si="42"/>
        <v>#N/A</v>
      </c>
    </row>
    <row r="2503" spans="1:5">
      <c r="A2503" s="64"/>
      <c r="E2503" t="e">
        <f t="shared" si="42"/>
        <v>#N/A</v>
      </c>
    </row>
    <row r="2504" spans="1:5">
      <c r="A2504" s="64"/>
      <c r="E2504" t="e">
        <f t="shared" si="42"/>
        <v>#N/A</v>
      </c>
    </row>
    <row r="2505" spans="1:5">
      <c r="A2505" s="64"/>
      <c r="E2505" t="e">
        <f t="shared" si="42"/>
        <v>#N/A</v>
      </c>
    </row>
    <row r="2506" spans="1:5">
      <c r="A2506" s="64"/>
      <c r="E2506" t="e">
        <f t="shared" si="42"/>
        <v>#N/A</v>
      </c>
    </row>
    <row r="2507" spans="1:5">
      <c r="A2507" s="64"/>
      <c r="E2507" t="e">
        <f t="shared" si="42"/>
        <v>#N/A</v>
      </c>
    </row>
    <row r="2508" spans="1:5">
      <c r="A2508" s="64"/>
      <c r="E2508" t="e">
        <f t="shared" si="42"/>
        <v>#N/A</v>
      </c>
    </row>
    <row r="2509" spans="1:5">
      <c r="A2509" s="64"/>
      <c r="E2509" t="e">
        <f t="shared" ref="E2509:E2572" si="43">VLOOKUP(B2509,$Q$14:$R$62,2,FALSE)</f>
        <v>#N/A</v>
      </c>
    </row>
    <row r="2510" spans="1:5">
      <c r="A2510" s="64"/>
      <c r="E2510" t="e">
        <f t="shared" si="43"/>
        <v>#N/A</v>
      </c>
    </row>
    <row r="2511" spans="1:5">
      <c r="A2511" s="64"/>
      <c r="E2511" t="e">
        <f t="shared" si="43"/>
        <v>#N/A</v>
      </c>
    </row>
    <row r="2512" spans="1:5">
      <c r="A2512" s="64"/>
      <c r="E2512" t="e">
        <f t="shared" si="43"/>
        <v>#N/A</v>
      </c>
    </row>
    <row r="2513" spans="1:5">
      <c r="A2513" s="64"/>
      <c r="E2513" t="e">
        <f t="shared" si="43"/>
        <v>#N/A</v>
      </c>
    </row>
    <row r="2514" spans="1:5">
      <c r="A2514" s="64"/>
      <c r="E2514" t="e">
        <f t="shared" si="43"/>
        <v>#N/A</v>
      </c>
    </row>
    <row r="2515" spans="1:5">
      <c r="A2515" s="64"/>
      <c r="E2515" t="e">
        <f t="shared" si="43"/>
        <v>#N/A</v>
      </c>
    </row>
    <row r="2516" spans="1:5">
      <c r="A2516" s="64"/>
      <c r="E2516" t="e">
        <f t="shared" si="43"/>
        <v>#N/A</v>
      </c>
    </row>
    <row r="2517" spans="1:5">
      <c r="A2517" s="64"/>
      <c r="E2517" t="e">
        <f t="shared" si="43"/>
        <v>#N/A</v>
      </c>
    </row>
    <row r="2518" spans="1:5">
      <c r="A2518" s="64"/>
      <c r="E2518" t="e">
        <f t="shared" si="43"/>
        <v>#N/A</v>
      </c>
    </row>
    <row r="2519" spans="1:5">
      <c r="A2519" s="64"/>
      <c r="E2519" t="e">
        <f t="shared" si="43"/>
        <v>#N/A</v>
      </c>
    </row>
    <row r="2520" spans="1:5">
      <c r="A2520" s="64"/>
      <c r="E2520" t="e">
        <f t="shared" si="43"/>
        <v>#N/A</v>
      </c>
    </row>
    <row r="2521" spans="1:5">
      <c r="A2521" s="64"/>
      <c r="E2521" t="e">
        <f t="shared" si="43"/>
        <v>#N/A</v>
      </c>
    </row>
    <row r="2522" spans="1:5">
      <c r="A2522" s="64"/>
      <c r="E2522" t="e">
        <f t="shared" si="43"/>
        <v>#N/A</v>
      </c>
    </row>
    <row r="2523" spans="1:5">
      <c r="A2523" s="64"/>
      <c r="E2523" t="e">
        <f t="shared" si="43"/>
        <v>#N/A</v>
      </c>
    </row>
    <row r="2524" spans="1:5">
      <c r="A2524" s="64"/>
      <c r="E2524" t="e">
        <f t="shared" si="43"/>
        <v>#N/A</v>
      </c>
    </row>
    <row r="2525" spans="1:5">
      <c r="A2525" s="64"/>
      <c r="E2525" t="e">
        <f t="shared" si="43"/>
        <v>#N/A</v>
      </c>
    </row>
    <row r="2526" spans="1:5">
      <c r="A2526" s="64"/>
      <c r="E2526" t="e">
        <f t="shared" si="43"/>
        <v>#N/A</v>
      </c>
    </row>
    <row r="2527" spans="1:5">
      <c r="A2527" s="64"/>
      <c r="E2527" t="e">
        <f t="shared" si="43"/>
        <v>#N/A</v>
      </c>
    </row>
    <row r="2528" spans="1:5">
      <c r="A2528" s="64"/>
      <c r="E2528" t="e">
        <f t="shared" si="43"/>
        <v>#N/A</v>
      </c>
    </row>
    <row r="2529" spans="1:5">
      <c r="A2529" s="64"/>
      <c r="E2529" t="e">
        <f t="shared" si="43"/>
        <v>#N/A</v>
      </c>
    </row>
    <row r="2530" spans="1:5">
      <c r="A2530" s="64"/>
      <c r="E2530" t="e">
        <f t="shared" si="43"/>
        <v>#N/A</v>
      </c>
    </row>
    <row r="2531" spans="1:5">
      <c r="A2531" s="64"/>
      <c r="E2531" t="e">
        <f t="shared" si="43"/>
        <v>#N/A</v>
      </c>
    </row>
    <row r="2532" spans="1:5">
      <c r="A2532" s="64"/>
      <c r="E2532" t="e">
        <f t="shared" si="43"/>
        <v>#N/A</v>
      </c>
    </row>
    <row r="2533" spans="1:5">
      <c r="A2533" s="64"/>
      <c r="E2533" t="e">
        <f t="shared" si="43"/>
        <v>#N/A</v>
      </c>
    </row>
    <row r="2534" spans="1:5">
      <c r="A2534" s="64"/>
      <c r="E2534" t="e">
        <f t="shared" si="43"/>
        <v>#N/A</v>
      </c>
    </row>
    <row r="2535" spans="1:5">
      <c r="A2535" s="64"/>
      <c r="E2535" t="e">
        <f t="shared" si="43"/>
        <v>#N/A</v>
      </c>
    </row>
    <row r="2536" spans="1:5">
      <c r="A2536" s="64"/>
      <c r="E2536" t="e">
        <f t="shared" si="43"/>
        <v>#N/A</v>
      </c>
    </row>
    <row r="2537" spans="1:5">
      <c r="A2537" s="64"/>
      <c r="E2537" t="e">
        <f t="shared" si="43"/>
        <v>#N/A</v>
      </c>
    </row>
    <row r="2538" spans="1:5">
      <c r="A2538" s="64"/>
      <c r="E2538" t="e">
        <f t="shared" si="43"/>
        <v>#N/A</v>
      </c>
    </row>
    <row r="2539" spans="1:5">
      <c r="A2539" s="64"/>
      <c r="E2539" t="e">
        <f t="shared" si="43"/>
        <v>#N/A</v>
      </c>
    </row>
    <row r="2540" spans="1:5">
      <c r="A2540" s="64"/>
      <c r="E2540" t="e">
        <f t="shared" si="43"/>
        <v>#N/A</v>
      </c>
    </row>
    <row r="2541" spans="1:5">
      <c r="A2541" s="64"/>
      <c r="E2541" t="e">
        <f t="shared" si="43"/>
        <v>#N/A</v>
      </c>
    </row>
    <row r="2542" spans="1:5">
      <c r="A2542" s="64"/>
      <c r="E2542" t="e">
        <f t="shared" si="43"/>
        <v>#N/A</v>
      </c>
    </row>
    <row r="2543" spans="1:5">
      <c r="A2543" s="64"/>
      <c r="E2543" t="e">
        <f t="shared" si="43"/>
        <v>#N/A</v>
      </c>
    </row>
    <row r="2544" spans="1:5">
      <c r="A2544" s="64"/>
      <c r="E2544" t="e">
        <f t="shared" si="43"/>
        <v>#N/A</v>
      </c>
    </row>
    <row r="2545" spans="1:5">
      <c r="A2545" s="64"/>
      <c r="E2545" t="e">
        <f t="shared" si="43"/>
        <v>#N/A</v>
      </c>
    </row>
    <row r="2546" spans="1:5">
      <c r="A2546" s="64"/>
      <c r="E2546" t="e">
        <f t="shared" si="43"/>
        <v>#N/A</v>
      </c>
    </row>
    <row r="2547" spans="1:5">
      <c r="A2547" s="64"/>
      <c r="E2547" t="e">
        <f t="shared" si="43"/>
        <v>#N/A</v>
      </c>
    </row>
    <row r="2548" spans="1:5">
      <c r="A2548" s="64"/>
      <c r="E2548" t="e">
        <f t="shared" si="43"/>
        <v>#N/A</v>
      </c>
    </row>
    <row r="2549" spans="1:5">
      <c r="A2549" s="64"/>
      <c r="E2549" t="e">
        <f t="shared" si="43"/>
        <v>#N/A</v>
      </c>
    </row>
    <row r="2550" spans="1:5">
      <c r="A2550" s="64"/>
      <c r="E2550" t="e">
        <f t="shared" si="43"/>
        <v>#N/A</v>
      </c>
    </row>
    <row r="2551" spans="1:5">
      <c r="A2551" s="64"/>
      <c r="E2551" t="e">
        <f t="shared" si="43"/>
        <v>#N/A</v>
      </c>
    </row>
    <row r="2552" spans="1:5">
      <c r="A2552" s="64"/>
      <c r="E2552" t="e">
        <f t="shared" si="43"/>
        <v>#N/A</v>
      </c>
    </row>
    <row r="2553" spans="1:5">
      <c r="A2553" s="64"/>
      <c r="E2553" t="e">
        <f t="shared" si="43"/>
        <v>#N/A</v>
      </c>
    </row>
    <row r="2554" spans="1:5">
      <c r="A2554" s="64"/>
      <c r="E2554" t="e">
        <f t="shared" si="43"/>
        <v>#N/A</v>
      </c>
    </row>
    <row r="2555" spans="1:5">
      <c r="A2555" s="64"/>
      <c r="E2555" t="e">
        <f t="shared" si="43"/>
        <v>#N/A</v>
      </c>
    </row>
    <row r="2556" spans="1:5">
      <c r="A2556" s="64"/>
      <c r="E2556" t="e">
        <f t="shared" si="43"/>
        <v>#N/A</v>
      </c>
    </row>
    <row r="2557" spans="1:5">
      <c r="A2557" s="64"/>
      <c r="E2557" t="e">
        <f t="shared" si="43"/>
        <v>#N/A</v>
      </c>
    </row>
    <row r="2558" spans="1:5">
      <c r="A2558" s="64"/>
      <c r="E2558" t="e">
        <f t="shared" si="43"/>
        <v>#N/A</v>
      </c>
    </row>
    <row r="2559" spans="1:5">
      <c r="A2559" s="64"/>
      <c r="E2559" t="e">
        <f t="shared" si="43"/>
        <v>#N/A</v>
      </c>
    </row>
    <row r="2560" spans="1:5">
      <c r="A2560" s="64"/>
      <c r="E2560" t="e">
        <f t="shared" si="43"/>
        <v>#N/A</v>
      </c>
    </row>
    <row r="2561" spans="1:5">
      <c r="A2561" s="64"/>
      <c r="E2561" t="e">
        <f t="shared" si="43"/>
        <v>#N/A</v>
      </c>
    </row>
    <row r="2562" spans="1:5">
      <c r="A2562" s="64"/>
      <c r="E2562" t="e">
        <f t="shared" si="43"/>
        <v>#N/A</v>
      </c>
    </row>
    <row r="2563" spans="1:5">
      <c r="A2563" s="64"/>
      <c r="E2563" t="e">
        <f t="shared" si="43"/>
        <v>#N/A</v>
      </c>
    </row>
    <row r="2564" spans="1:5">
      <c r="A2564" s="64"/>
      <c r="E2564" t="e">
        <f t="shared" si="43"/>
        <v>#N/A</v>
      </c>
    </row>
    <row r="2565" spans="1:5">
      <c r="A2565" s="64"/>
      <c r="E2565" t="e">
        <f t="shared" si="43"/>
        <v>#N/A</v>
      </c>
    </row>
    <row r="2566" spans="1:5">
      <c r="A2566" s="64"/>
      <c r="E2566" t="e">
        <f t="shared" si="43"/>
        <v>#N/A</v>
      </c>
    </row>
    <row r="2567" spans="1:5">
      <c r="A2567" s="64"/>
      <c r="E2567" t="e">
        <f t="shared" si="43"/>
        <v>#N/A</v>
      </c>
    </row>
    <row r="2568" spans="1:5">
      <c r="A2568" s="64"/>
      <c r="E2568" t="e">
        <f t="shared" si="43"/>
        <v>#N/A</v>
      </c>
    </row>
    <row r="2569" spans="1:5">
      <c r="A2569" s="64"/>
      <c r="E2569" t="e">
        <f t="shared" si="43"/>
        <v>#N/A</v>
      </c>
    </row>
    <row r="2570" spans="1:5">
      <c r="A2570" s="64"/>
      <c r="E2570" t="e">
        <f t="shared" si="43"/>
        <v>#N/A</v>
      </c>
    </row>
    <row r="2571" spans="1:5">
      <c r="A2571" s="64"/>
      <c r="E2571" t="e">
        <f t="shared" si="43"/>
        <v>#N/A</v>
      </c>
    </row>
    <row r="2572" spans="1:5">
      <c r="A2572" s="64"/>
      <c r="E2572" t="e">
        <f t="shared" si="43"/>
        <v>#N/A</v>
      </c>
    </row>
    <row r="2573" spans="1:5">
      <c r="A2573" s="64"/>
      <c r="E2573" t="e">
        <f t="shared" ref="E2573:E2636" si="44">VLOOKUP(B2573,$Q$14:$R$62,2,FALSE)</f>
        <v>#N/A</v>
      </c>
    </row>
    <row r="2574" spans="1:5">
      <c r="A2574" s="64"/>
      <c r="E2574" t="e">
        <f t="shared" si="44"/>
        <v>#N/A</v>
      </c>
    </row>
    <row r="2575" spans="1:5">
      <c r="A2575" s="64"/>
      <c r="E2575" t="e">
        <f t="shared" si="44"/>
        <v>#N/A</v>
      </c>
    </row>
    <row r="2576" spans="1:5">
      <c r="A2576" s="64"/>
      <c r="E2576" t="e">
        <f t="shared" si="44"/>
        <v>#N/A</v>
      </c>
    </row>
    <row r="2577" spans="1:5">
      <c r="A2577" s="64"/>
      <c r="E2577" t="e">
        <f t="shared" si="44"/>
        <v>#N/A</v>
      </c>
    </row>
    <row r="2578" spans="1:5">
      <c r="A2578" s="64"/>
      <c r="E2578" t="e">
        <f t="shared" si="44"/>
        <v>#N/A</v>
      </c>
    </row>
    <row r="2579" spans="1:5">
      <c r="A2579" s="64"/>
      <c r="E2579" t="e">
        <f t="shared" si="44"/>
        <v>#N/A</v>
      </c>
    </row>
    <row r="2580" spans="1:5">
      <c r="A2580" s="64"/>
      <c r="E2580" t="e">
        <f t="shared" si="44"/>
        <v>#N/A</v>
      </c>
    </row>
    <row r="2581" spans="1:5">
      <c r="A2581" s="64"/>
      <c r="E2581" t="e">
        <f t="shared" si="44"/>
        <v>#N/A</v>
      </c>
    </row>
    <row r="2582" spans="1:5">
      <c r="A2582" s="64"/>
      <c r="E2582" t="e">
        <f t="shared" si="44"/>
        <v>#N/A</v>
      </c>
    </row>
    <row r="2583" spans="1:5">
      <c r="A2583" s="64"/>
      <c r="E2583" t="e">
        <f t="shared" si="44"/>
        <v>#N/A</v>
      </c>
    </row>
    <row r="2584" spans="1:5">
      <c r="A2584" s="64"/>
      <c r="E2584" t="e">
        <f t="shared" si="44"/>
        <v>#N/A</v>
      </c>
    </row>
    <row r="2585" spans="1:5">
      <c r="A2585" s="64"/>
      <c r="E2585" t="e">
        <f t="shared" si="44"/>
        <v>#N/A</v>
      </c>
    </row>
    <row r="2586" spans="1:5">
      <c r="A2586" s="64"/>
      <c r="E2586" t="e">
        <f t="shared" si="44"/>
        <v>#N/A</v>
      </c>
    </row>
    <row r="2587" spans="1:5">
      <c r="A2587" s="64"/>
      <c r="E2587" t="e">
        <f t="shared" si="44"/>
        <v>#N/A</v>
      </c>
    </row>
    <row r="2588" spans="1:5">
      <c r="A2588" s="64"/>
      <c r="E2588" t="e">
        <f t="shared" si="44"/>
        <v>#N/A</v>
      </c>
    </row>
    <row r="2589" spans="1:5">
      <c r="A2589" s="64"/>
      <c r="E2589" t="e">
        <f t="shared" si="44"/>
        <v>#N/A</v>
      </c>
    </row>
    <row r="2590" spans="1:5">
      <c r="A2590" s="64"/>
      <c r="E2590" t="e">
        <f t="shared" si="44"/>
        <v>#N/A</v>
      </c>
    </row>
    <row r="2591" spans="1:5">
      <c r="A2591" s="64"/>
      <c r="E2591" t="e">
        <f t="shared" si="44"/>
        <v>#N/A</v>
      </c>
    </row>
    <row r="2592" spans="1:5">
      <c r="A2592" s="64"/>
      <c r="E2592" t="e">
        <f t="shared" si="44"/>
        <v>#N/A</v>
      </c>
    </row>
    <row r="2593" spans="1:5">
      <c r="A2593" s="64"/>
      <c r="E2593" t="e">
        <f t="shared" si="44"/>
        <v>#N/A</v>
      </c>
    </row>
    <row r="2594" spans="1:5">
      <c r="A2594" s="64"/>
      <c r="E2594" t="e">
        <f t="shared" si="44"/>
        <v>#N/A</v>
      </c>
    </row>
    <row r="2595" spans="1:5">
      <c r="A2595" s="64"/>
      <c r="E2595" t="e">
        <f t="shared" si="44"/>
        <v>#N/A</v>
      </c>
    </row>
    <row r="2596" spans="1:5">
      <c r="A2596" s="64"/>
      <c r="E2596" t="e">
        <f t="shared" si="44"/>
        <v>#N/A</v>
      </c>
    </row>
    <row r="2597" spans="1:5">
      <c r="A2597" s="64"/>
      <c r="E2597" t="e">
        <f t="shared" si="44"/>
        <v>#N/A</v>
      </c>
    </row>
    <row r="2598" spans="1:5">
      <c r="A2598" s="64"/>
      <c r="E2598" t="e">
        <f t="shared" si="44"/>
        <v>#N/A</v>
      </c>
    </row>
    <row r="2599" spans="1:5">
      <c r="A2599" s="64"/>
      <c r="E2599" t="e">
        <f t="shared" si="44"/>
        <v>#N/A</v>
      </c>
    </row>
    <row r="2600" spans="1:5">
      <c r="A2600" s="64"/>
      <c r="E2600" t="e">
        <f t="shared" si="44"/>
        <v>#N/A</v>
      </c>
    </row>
    <row r="2601" spans="1:5">
      <c r="A2601" s="64"/>
      <c r="E2601" t="e">
        <f t="shared" si="44"/>
        <v>#N/A</v>
      </c>
    </row>
    <row r="2602" spans="1:5">
      <c r="A2602" s="64"/>
      <c r="E2602" t="e">
        <f t="shared" si="44"/>
        <v>#N/A</v>
      </c>
    </row>
    <row r="2603" spans="1:5">
      <c r="A2603" s="64"/>
      <c r="E2603" t="e">
        <f t="shared" si="44"/>
        <v>#N/A</v>
      </c>
    </row>
    <row r="2604" spans="1:5">
      <c r="A2604" s="64"/>
      <c r="E2604" t="e">
        <f t="shared" si="44"/>
        <v>#N/A</v>
      </c>
    </row>
    <row r="2605" spans="1:5">
      <c r="A2605" s="64"/>
      <c r="E2605" t="e">
        <f t="shared" si="44"/>
        <v>#N/A</v>
      </c>
    </row>
    <row r="2606" spans="1:5">
      <c r="A2606" s="64"/>
      <c r="E2606" t="e">
        <f t="shared" si="44"/>
        <v>#N/A</v>
      </c>
    </row>
    <row r="2607" spans="1:5">
      <c r="A2607" s="64"/>
      <c r="E2607" t="e">
        <f t="shared" si="44"/>
        <v>#N/A</v>
      </c>
    </row>
    <row r="2608" spans="1:5">
      <c r="A2608" s="64"/>
      <c r="E2608" t="e">
        <f t="shared" si="44"/>
        <v>#N/A</v>
      </c>
    </row>
    <row r="2609" spans="1:5">
      <c r="A2609" s="64"/>
      <c r="E2609" t="e">
        <f t="shared" si="44"/>
        <v>#N/A</v>
      </c>
    </row>
    <row r="2610" spans="1:5">
      <c r="A2610" s="64"/>
      <c r="E2610" t="e">
        <f t="shared" si="44"/>
        <v>#N/A</v>
      </c>
    </row>
    <row r="2611" spans="1:5">
      <c r="A2611" s="64"/>
      <c r="E2611" t="e">
        <f t="shared" si="44"/>
        <v>#N/A</v>
      </c>
    </row>
    <row r="2612" spans="1:5">
      <c r="A2612" s="64"/>
      <c r="E2612" t="e">
        <f t="shared" si="44"/>
        <v>#N/A</v>
      </c>
    </row>
    <row r="2613" spans="1:5">
      <c r="A2613" s="64"/>
      <c r="E2613" t="e">
        <f t="shared" si="44"/>
        <v>#N/A</v>
      </c>
    </row>
    <row r="2614" spans="1:5">
      <c r="A2614" s="64"/>
      <c r="E2614" t="e">
        <f t="shared" si="44"/>
        <v>#N/A</v>
      </c>
    </row>
    <row r="2615" spans="1:5">
      <c r="A2615" s="64"/>
      <c r="E2615" t="e">
        <f t="shared" si="44"/>
        <v>#N/A</v>
      </c>
    </row>
    <row r="2616" spans="1:5">
      <c r="A2616" s="64"/>
      <c r="E2616" t="e">
        <f t="shared" si="44"/>
        <v>#N/A</v>
      </c>
    </row>
    <row r="2617" spans="1:5">
      <c r="A2617" s="64"/>
      <c r="E2617" t="e">
        <f t="shared" si="44"/>
        <v>#N/A</v>
      </c>
    </row>
    <row r="2618" spans="1:5">
      <c r="A2618" s="64"/>
      <c r="E2618" t="e">
        <f t="shared" si="44"/>
        <v>#N/A</v>
      </c>
    </row>
    <row r="2619" spans="1:5">
      <c r="A2619" s="64"/>
      <c r="E2619" t="e">
        <f t="shared" si="44"/>
        <v>#N/A</v>
      </c>
    </row>
    <row r="2620" spans="1:5">
      <c r="A2620" s="64"/>
      <c r="E2620" t="e">
        <f t="shared" si="44"/>
        <v>#N/A</v>
      </c>
    </row>
    <row r="2621" spans="1:5">
      <c r="A2621" s="64"/>
      <c r="E2621" t="e">
        <f t="shared" si="44"/>
        <v>#N/A</v>
      </c>
    </row>
    <row r="2622" spans="1:5">
      <c r="A2622" s="64"/>
      <c r="E2622" t="e">
        <f t="shared" si="44"/>
        <v>#N/A</v>
      </c>
    </row>
    <row r="2623" spans="1:5">
      <c r="A2623" s="64"/>
      <c r="E2623" t="e">
        <f t="shared" si="44"/>
        <v>#N/A</v>
      </c>
    </row>
    <row r="2624" spans="1:5">
      <c r="A2624" s="64"/>
      <c r="E2624" t="e">
        <f t="shared" si="44"/>
        <v>#N/A</v>
      </c>
    </row>
    <row r="2625" spans="1:5">
      <c r="A2625" s="64"/>
      <c r="E2625" t="e">
        <f t="shared" si="44"/>
        <v>#N/A</v>
      </c>
    </row>
    <row r="2626" spans="1:5">
      <c r="A2626" s="64"/>
      <c r="E2626" t="e">
        <f t="shared" si="44"/>
        <v>#N/A</v>
      </c>
    </row>
    <row r="2627" spans="1:5">
      <c r="A2627" s="64"/>
      <c r="E2627" t="e">
        <f t="shared" si="44"/>
        <v>#N/A</v>
      </c>
    </row>
    <row r="2628" spans="1:5">
      <c r="A2628" s="64"/>
      <c r="E2628" t="e">
        <f t="shared" si="44"/>
        <v>#N/A</v>
      </c>
    </row>
    <row r="2629" spans="1:5">
      <c r="A2629" s="64"/>
      <c r="E2629" t="e">
        <f t="shared" si="44"/>
        <v>#N/A</v>
      </c>
    </row>
    <row r="2630" spans="1:5">
      <c r="A2630" s="64"/>
      <c r="E2630" t="e">
        <f t="shared" si="44"/>
        <v>#N/A</v>
      </c>
    </row>
    <row r="2631" spans="1:5">
      <c r="A2631" s="64"/>
      <c r="E2631" t="e">
        <f t="shared" si="44"/>
        <v>#N/A</v>
      </c>
    </row>
    <row r="2632" spans="1:5">
      <c r="A2632" s="64"/>
      <c r="E2632" t="e">
        <f t="shared" si="44"/>
        <v>#N/A</v>
      </c>
    </row>
    <row r="2633" spans="1:5">
      <c r="A2633" s="64"/>
      <c r="E2633" t="e">
        <f t="shared" si="44"/>
        <v>#N/A</v>
      </c>
    </row>
    <row r="2634" spans="1:5">
      <c r="A2634" s="64"/>
      <c r="E2634" t="e">
        <f t="shared" si="44"/>
        <v>#N/A</v>
      </c>
    </row>
    <row r="2635" spans="1:5">
      <c r="A2635" s="64"/>
      <c r="E2635" t="e">
        <f t="shared" si="44"/>
        <v>#N/A</v>
      </c>
    </row>
    <row r="2636" spans="1:5">
      <c r="A2636" s="64"/>
      <c r="E2636" t="e">
        <f t="shared" si="44"/>
        <v>#N/A</v>
      </c>
    </row>
    <row r="2637" spans="1:5">
      <c r="A2637" s="64"/>
      <c r="E2637" t="e">
        <f t="shared" ref="E2637:E2700" si="45">VLOOKUP(B2637,$Q$14:$R$62,2,FALSE)</f>
        <v>#N/A</v>
      </c>
    </row>
    <row r="2638" spans="1:5">
      <c r="A2638" s="64"/>
      <c r="E2638" t="e">
        <f t="shared" si="45"/>
        <v>#N/A</v>
      </c>
    </row>
    <row r="2639" spans="1:5">
      <c r="A2639" s="64"/>
      <c r="E2639" t="e">
        <f t="shared" si="45"/>
        <v>#N/A</v>
      </c>
    </row>
    <row r="2640" spans="1:5">
      <c r="A2640" s="64"/>
      <c r="E2640" t="e">
        <f t="shared" si="45"/>
        <v>#N/A</v>
      </c>
    </row>
    <row r="2641" spans="1:5">
      <c r="A2641" s="64"/>
      <c r="E2641" t="e">
        <f t="shared" si="45"/>
        <v>#N/A</v>
      </c>
    </row>
    <row r="2642" spans="1:5">
      <c r="A2642" s="64"/>
      <c r="E2642" t="e">
        <f t="shared" si="45"/>
        <v>#N/A</v>
      </c>
    </row>
    <row r="2643" spans="1:5">
      <c r="A2643" s="64"/>
      <c r="E2643" t="e">
        <f t="shared" si="45"/>
        <v>#N/A</v>
      </c>
    </row>
    <row r="2644" spans="1:5">
      <c r="A2644" s="64"/>
      <c r="E2644" t="e">
        <f t="shared" si="45"/>
        <v>#N/A</v>
      </c>
    </row>
    <row r="2645" spans="1:5">
      <c r="A2645" s="64"/>
      <c r="E2645" t="e">
        <f t="shared" si="45"/>
        <v>#N/A</v>
      </c>
    </row>
    <row r="2646" spans="1:5">
      <c r="A2646" s="64"/>
      <c r="E2646" t="e">
        <f t="shared" si="45"/>
        <v>#N/A</v>
      </c>
    </row>
    <row r="2647" spans="1:5">
      <c r="A2647" s="64"/>
      <c r="E2647" t="e">
        <f t="shared" si="45"/>
        <v>#N/A</v>
      </c>
    </row>
    <row r="2648" spans="1:5">
      <c r="A2648" s="64"/>
      <c r="E2648" t="e">
        <f t="shared" si="45"/>
        <v>#N/A</v>
      </c>
    </row>
    <row r="2649" spans="1:5">
      <c r="A2649" s="64"/>
      <c r="E2649" t="e">
        <f t="shared" si="45"/>
        <v>#N/A</v>
      </c>
    </row>
    <row r="2650" spans="1:5">
      <c r="A2650" s="64"/>
      <c r="E2650" t="e">
        <f t="shared" si="45"/>
        <v>#N/A</v>
      </c>
    </row>
    <row r="2651" spans="1:5">
      <c r="A2651" s="64"/>
      <c r="E2651" t="e">
        <f t="shared" si="45"/>
        <v>#N/A</v>
      </c>
    </row>
    <row r="2652" spans="1:5">
      <c r="A2652" s="64"/>
      <c r="E2652" t="e">
        <f t="shared" si="45"/>
        <v>#N/A</v>
      </c>
    </row>
    <row r="2653" spans="1:5">
      <c r="A2653" s="64"/>
      <c r="E2653" t="e">
        <f t="shared" si="45"/>
        <v>#N/A</v>
      </c>
    </row>
    <row r="2654" spans="1:5">
      <c r="A2654" s="64"/>
      <c r="E2654" t="e">
        <f t="shared" si="45"/>
        <v>#N/A</v>
      </c>
    </row>
    <row r="2655" spans="1:5">
      <c r="A2655" s="64"/>
      <c r="E2655" t="e">
        <f t="shared" si="45"/>
        <v>#N/A</v>
      </c>
    </row>
    <row r="2656" spans="1:5">
      <c r="A2656" s="64"/>
      <c r="E2656" t="e">
        <f t="shared" si="45"/>
        <v>#N/A</v>
      </c>
    </row>
    <row r="2657" spans="1:5">
      <c r="A2657" s="64"/>
      <c r="E2657" t="e">
        <f t="shared" si="45"/>
        <v>#N/A</v>
      </c>
    </row>
    <row r="2658" spans="1:5">
      <c r="A2658" s="64"/>
      <c r="E2658" t="e">
        <f t="shared" si="45"/>
        <v>#N/A</v>
      </c>
    </row>
    <row r="2659" spans="1:5">
      <c r="A2659" s="64"/>
      <c r="E2659" t="e">
        <f t="shared" si="45"/>
        <v>#N/A</v>
      </c>
    </row>
    <row r="2660" spans="1:5">
      <c r="A2660" s="64"/>
      <c r="E2660" t="e">
        <f t="shared" si="45"/>
        <v>#N/A</v>
      </c>
    </row>
    <row r="2661" spans="1:5">
      <c r="A2661" s="64"/>
      <c r="E2661" t="e">
        <f t="shared" si="45"/>
        <v>#N/A</v>
      </c>
    </row>
    <row r="2662" spans="1:5">
      <c r="A2662" s="64"/>
      <c r="E2662" t="e">
        <f t="shared" si="45"/>
        <v>#N/A</v>
      </c>
    </row>
    <row r="2663" spans="1:5">
      <c r="A2663" s="64"/>
      <c r="E2663" t="e">
        <f t="shared" si="45"/>
        <v>#N/A</v>
      </c>
    </row>
    <row r="2664" spans="1:5">
      <c r="A2664" s="64"/>
      <c r="E2664" t="e">
        <f t="shared" si="45"/>
        <v>#N/A</v>
      </c>
    </row>
    <row r="2665" spans="1:5">
      <c r="A2665" s="64"/>
      <c r="E2665" t="e">
        <f t="shared" si="45"/>
        <v>#N/A</v>
      </c>
    </row>
    <row r="2666" spans="1:5">
      <c r="A2666" s="64"/>
      <c r="E2666" t="e">
        <f t="shared" si="45"/>
        <v>#N/A</v>
      </c>
    </row>
    <row r="2667" spans="1:5">
      <c r="A2667" s="64"/>
      <c r="E2667" t="e">
        <f t="shared" si="45"/>
        <v>#N/A</v>
      </c>
    </row>
    <row r="2668" spans="1:5">
      <c r="A2668" s="64"/>
      <c r="E2668" t="e">
        <f t="shared" si="45"/>
        <v>#N/A</v>
      </c>
    </row>
    <row r="2669" spans="1:5">
      <c r="A2669" s="64"/>
      <c r="E2669" t="e">
        <f t="shared" si="45"/>
        <v>#N/A</v>
      </c>
    </row>
    <row r="2670" spans="1:5">
      <c r="A2670" s="64"/>
      <c r="E2670" t="e">
        <f t="shared" si="45"/>
        <v>#N/A</v>
      </c>
    </row>
    <row r="2671" spans="1:5">
      <c r="A2671" s="64"/>
      <c r="E2671" t="e">
        <f t="shared" si="45"/>
        <v>#N/A</v>
      </c>
    </row>
    <row r="2672" spans="1:5">
      <c r="A2672" s="64"/>
      <c r="E2672" t="e">
        <f t="shared" si="45"/>
        <v>#N/A</v>
      </c>
    </row>
    <row r="2673" spans="1:5">
      <c r="A2673" s="64"/>
      <c r="E2673" t="e">
        <f t="shared" si="45"/>
        <v>#N/A</v>
      </c>
    </row>
    <row r="2674" spans="1:5">
      <c r="A2674" s="64"/>
      <c r="E2674" t="e">
        <f t="shared" si="45"/>
        <v>#N/A</v>
      </c>
    </row>
    <row r="2675" spans="1:5">
      <c r="A2675" s="64"/>
      <c r="E2675" t="e">
        <f t="shared" si="45"/>
        <v>#N/A</v>
      </c>
    </row>
    <row r="2676" spans="1:5">
      <c r="A2676" s="64"/>
      <c r="E2676" t="e">
        <f t="shared" si="45"/>
        <v>#N/A</v>
      </c>
    </row>
    <row r="2677" spans="1:5">
      <c r="A2677" s="64"/>
      <c r="E2677" t="e">
        <f t="shared" si="45"/>
        <v>#N/A</v>
      </c>
    </row>
    <row r="2678" spans="1:5">
      <c r="A2678" s="64"/>
      <c r="E2678" t="e">
        <f t="shared" si="45"/>
        <v>#N/A</v>
      </c>
    </row>
    <row r="2679" spans="1:5">
      <c r="A2679" s="64"/>
      <c r="E2679" t="e">
        <f t="shared" si="45"/>
        <v>#N/A</v>
      </c>
    </row>
    <row r="2680" spans="1:5">
      <c r="A2680" s="64"/>
      <c r="E2680" t="e">
        <f t="shared" si="45"/>
        <v>#N/A</v>
      </c>
    </row>
    <row r="2681" spans="1:5">
      <c r="A2681" s="64"/>
      <c r="E2681" t="e">
        <f t="shared" si="45"/>
        <v>#N/A</v>
      </c>
    </row>
    <row r="2682" spans="1:5">
      <c r="A2682" s="64"/>
      <c r="E2682" t="e">
        <f t="shared" si="45"/>
        <v>#N/A</v>
      </c>
    </row>
    <row r="2683" spans="1:5">
      <c r="A2683" s="64"/>
      <c r="E2683" t="e">
        <f t="shared" si="45"/>
        <v>#N/A</v>
      </c>
    </row>
    <row r="2684" spans="1:5">
      <c r="A2684" s="64"/>
      <c r="E2684" t="e">
        <f t="shared" si="45"/>
        <v>#N/A</v>
      </c>
    </row>
    <row r="2685" spans="1:5">
      <c r="A2685" s="64"/>
      <c r="E2685" t="e">
        <f t="shared" si="45"/>
        <v>#N/A</v>
      </c>
    </row>
    <row r="2686" spans="1:5">
      <c r="A2686" s="64"/>
      <c r="E2686" t="e">
        <f t="shared" si="45"/>
        <v>#N/A</v>
      </c>
    </row>
    <row r="2687" spans="1:5">
      <c r="A2687" s="64"/>
      <c r="E2687" t="e">
        <f t="shared" si="45"/>
        <v>#N/A</v>
      </c>
    </row>
    <row r="2688" spans="1:5">
      <c r="A2688" s="64"/>
      <c r="E2688" t="e">
        <f t="shared" si="45"/>
        <v>#N/A</v>
      </c>
    </row>
    <row r="2689" spans="1:5">
      <c r="A2689" s="64"/>
      <c r="E2689" t="e">
        <f t="shared" si="45"/>
        <v>#N/A</v>
      </c>
    </row>
    <row r="2690" spans="1:5">
      <c r="A2690" s="64"/>
      <c r="E2690" t="e">
        <f t="shared" si="45"/>
        <v>#N/A</v>
      </c>
    </row>
    <row r="2691" spans="1:5">
      <c r="A2691" s="64"/>
      <c r="E2691" t="e">
        <f t="shared" si="45"/>
        <v>#N/A</v>
      </c>
    </row>
    <row r="2692" spans="1:5">
      <c r="A2692" s="64"/>
      <c r="E2692" t="e">
        <f t="shared" si="45"/>
        <v>#N/A</v>
      </c>
    </row>
    <row r="2693" spans="1:5">
      <c r="A2693" s="64"/>
      <c r="E2693" t="e">
        <f t="shared" si="45"/>
        <v>#N/A</v>
      </c>
    </row>
    <row r="2694" spans="1:5">
      <c r="A2694" s="64"/>
      <c r="E2694" t="e">
        <f t="shared" si="45"/>
        <v>#N/A</v>
      </c>
    </row>
    <row r="2695" spans="1:5">
      <c r="A2695" s="64"/>
      <c r="E2695" t="e">
        <f t="shared" si="45"/>
        <v>#N/A</v>
      </c>
    </row>
    <row r="2696" spans="1:5">
      <c r="A2696" s="64"/>
      <c r="E2696" t="e">
        <f t="shared" si="45"/>
        <v>#N/A</v>
      </c>
    </row>
    <row r="2697" spans="1:5">
      <c r="A2697" s="64"/>
      <c r="E2697" t="e">
        <f t="shared" si="45"/>
        <v>#N/A</v>
      </c>
    </row>
    <row r="2698" spans="1:5">
      <c r="A2698" s="64"/>
      <c r="E2698" t="e">
        <f t="shared" si="45"/>
        <v>#N/A</v>
      </c>
    </row>
    <row r="2699" spans="1:5">
      <c r="A2699" s="64"/>
      <c r="E2699" t="e">
        <f t="shared" si="45"/>
        <v>#N/A</v>
      </c>
    </row>
    <row r="2700" spans="1:5">
      <c r="A2700" s="64"/>
      <c r="E2700" t="e">
        <f t="shared" si="45"/>
        <v>#N/A</v>
      </c>
    </row>
    <row r="2701" spans="1:5">
      <c r="A2701" s="64"/>
      <c r="E2701" t="e">
        <f t="shared" ref="E2701:E2764" si="46">VLOOKUP(B2701,$Q$14:$R$62,2,FALSE)</f>
        <v>#N/A</v>
      </c>
    </row>
    <row r="2702" spans="1:5">
      <c r="A2702" s="64"/>
      <c r="E2702" t="e">
        <f t="shared" si="46"/>
        <v>#N/A</v>
      </c>
    </row>
    <row r="2703" spans="1:5">
      <c r="A2703" s="64"/>
      <c r="E2703" t="e">
        <f t="shared" si="46"/>
        <v>#N/A</v>
      </c>
    </row>
    <row r="2704" spans="1:5">
      <c r="A2704" s="64"/>
      <c r="E2704" t="e">
        <f t="shared" si="46"/>
        <v>#N/A</v>
      </c>
    </row>
    <row r="2705" spans="1:5">
      <c r="A2705" s="64"/>
      <c r="E2705" t="e">
        <f t="shared" si="46"/>
        <v>#N/A</v>
      </c>
    </row>
    <row r="2706" spans="1:5">
      <c r="A2706" s="64"/>
      <c r="E2706" t="e">
        <f t="shared" si="46"/>
        <v>#N/A</v>
      </c>
    </row>
    <row r="2707" spans="1:5">
      <c r="A2707" s="64"/>
      <c r="E2707" t="e">
        <f t="shared" si="46"/>
        <v>#N/A</v>
      </c>
    </row>
    <row r="2708" spans="1:5">
      <c r="A2708" s="64"/>
      <c r="E2708" t="e">
        <f t="shared" si="46"/>
        <v>#N/A</v>
      </c>
    </row>
    <row r="2709" spans="1:5">
      <c r="A2709" s="64"/>
      <c r="E2709" t="e">
        <f t="shared" si="46"/>
        <v>#N/A</v>
      </c>
    </row>
    <row r="2710" spans="1:5">
      <c r="A2710" s="64"/>
      <c r="E2710" t="e">
        <f t="shared" si="46"/>
        <v>#N/A</v>
      </c>
    </row>
    <row r="2711" spans="1:5">
      <c r="A2711" s="64"/>
      <c r="E2711" t="e">
        <f t="shared" si="46"/>
        <v>#N/A</v>
      </c>
    </row>
    <row r="2712" spans="1:5">
      <c r="A2712" s="64"/>
      <c r="E2712" t="e">
        <f t="shared" si="46"/>
        <v>#N/A</v>
      </c>
    </row>
    <row r="2713" spans="1:5">
      <c r="A2713" s="64"/>
      <c r="E2713" t="e">
        <f t="shared" si="46"/>
        <v>#N/A</v>
      </c>
    </row>
    <row r="2714" spans="1:5">
      <c r="A2714" s="64"/>
      <c r="E2714" t="e">
        <f t="shared" si="46"/>
        <v>#N/A</v>
      </c>
    </row>
    <row r="2715" spans="1:5">
      <c r="A2715" s="64"/>
      <c r="E2715" t="e">
        <f t="shared" si="46"/>
        <v>#N/A</v>
      </c>
    </row>
    <row r="2716" spans="1:5">
      <c r="A2716" s="64"/>
      <c r="E2716" t="e">
        <f t="shared" si="46"/>
        <v>#N/A</v>
      </c>
    </row>
    <row r="2717" spans="1:5">
      <c r="A2717" s="64"/>
      <c r="E2717" t="e">
        <f t="shared" si="46"/>
        <v>#N/A</v>
      </c>
    </row>
    <row r="2718" spans="1:5">
      <c r="A2718" s="64"/>
      <c r="E2718" t="e">
        <f t="shared" si="46"/>
        <v>#N/A</v>
      </c>
    </row>
    <row r="2719" spans="1:5">
      <c r="A2719" s="64"/>
      <c r="E2719" t="e">
        <f t="shared" si="46"/>
        <v>#N/A</v>
      </c>
    </row>
    <row r="2720" spans="1:5">
      <c r="A2720" s="64"/>
      <c r="E2720" t="e">
        <f t="shared" si="46"/>
        <v>#N/A</v>
      </c>
    </row>
    <row r="2721" spans="1:5">
      <c r="A2721" s="64"/>
      <c r="E2721" t="e">
        <f t="shared" si="46"/>
        <v>#N/A</v>
      </c>
    </row>
    <row r="2722" spans="1:5">
      <c r="A2722" s="64"/>
      <c r="E2722" t="e">
        <f t="shared" si="46"/>
        <v>#N/A</v>
      </c>
    </row>
    <row r="2723" spans="1:5">
      <c r="A2723" s="64"/>
      <c r="E2723" t="e">
        <f t="shared" si="46"/>
        <v>#N/A</v>
      </c>
    </row>
    <row r="2724" spans="1:5">
      <c r="A2724" s="64"/>
      <c r="E2724" t="e">
        <f t="shared" si="46"/>
        <v>#N/A</v>
      </c>
    </row>
    <row r="2725" spans="1:5">
      <c r="A2725" s="64"/>
      <c r="E2725" t="e">
        <f t="shared" si="46"/>
        <v>#N/A</v>
      </c>
    </row>
    <row r="2726" spans="1:5">
      <c r="A2726" s="64"/>
      <c r="E2726" t="e">
        <f t="shared" si="46"/>
        <v>#N/A</v>
      </c>
    </row>
    <row r="2727" spans="1:5">
      <c r="A2727" s="64"/>
      <c r="E2727" t="e">
        <f t="shared" si="46"/>
        <v>#N/A</v>
      </c>
    </row>
    <row r="2728" spans="1:5">
      <c r="A2728" s="64"/>
      <c r="E2728" t="e">
        <f t="shared" si="46"/>
        <v>#N/A</v>
      </c>
    </row>
    <row r="2729" spans="1:5">
      <c r="A2729" s="64"/>
      <c r="E2729" t="e">
        <f t="shared" si="46"/>
        <v>#N/A</v>
      </c>
    </row>
    <row r="2730" spans="1:5">
      <c r="A2730" s="64"/>
      <c r="E2730" t="e">
        <f t="shared" si="46"/>
        <v>#N/A</v>
      </c>
    </row>
    <row r="2731" spans="1:5">
      <c r="A2731" s="64"/>
      <c r="E2731" t="e">
        <f t="shared" si="46"/>
        <v>#N/A</v>
      </c>
    </row>
    <row r="2732" spans="1:5">
      <c r="A2732" s="64"/>
      <c r="E2732" t="e">
        <f t="shared" si="46"/>
        <v>#N/A</v>
      </c>
    </row>
    <row r="2733" spans="1:5">
      <c r="A2733" s="64"/>
      <c r="E2733" t="e">
        <f t="shared" si="46"/>
        <v>#N/A</v>
      </c>
    </row>
    <row r="2734" spans="1:5">
      <c r="A2734" s="64"/>
      <c r="E2734" t="e">
        <f t="shared" si="46"/>
        <v>#N/A</v>
      </c>
    </row>
    <row r="2735" spans="1:5">
      <c r="A2735" s="64"/>
      <c r="E2735" t="e">
        <f t="shared" si="46"/>
        <v>#N/A</v>
      </c>
    </row>
    <row r="2736" spans="1:5">
      <c r="A2736" s="64"/>
      <c r="E2736" t="e">
        <f t="shared" si="46"/>
        <v>#N/A</v>
      </c>
    </row>
    <row r="2737" spans="1:5">
      <c r="A2737" s="64"/>
      <c r="E2737" t="e">
        <f t="shared" si="46"/>
        <v>#N/A</v>
      </c>
    </row>
    <row r="2738" spans="1:5">
      <c r="A2738" s="64"/>
      <c r="E2738" t="e">
        <f t="shared" si="46"/>
        <v>#N/A</v>
      </c>
    </row>
    <row r="2739" spans="1:5">
      <c r="A2739" s="64"/>
      <c r="E2739" t="e">
        <f t="shared" si="46"/>
        <v>#N/A</v>
      </c>
    </row>
    <row r="2740" spans="1:5">
      <c r="A2740" s="64"/>
      <c r="E2740" t="e">
        <f t="shared" si="46"/>
        <v>#N/A</v>
      </c>
    </row>
    <row r="2741" spans="1:5">
      <c r="A2741" s="64"/>
      <c r="E2741" t="e">
        <f t="shared" si="46"/>
        <v>#N/A</v>
      </c>
    </row>
    <row r="2742" spans="1:5">
      <c r="A2742" s="64"/>
      <c r="E2742" t="e">
        <f t="shared" si="46"/>
        <v>#N/A</v>
      </c>
    </row>
    <row r="2743" spans="1:5">
      <c r="A2743" s="64"/>
      <c r="E2743" t="e">
        <f t="shared" si="46"/>
        <v>#N/A</v>
      </c>
    </row>
    <row r="2744" spans="1:5">
      <c r="A2744" s="64"/>
      <c r="E2744" t="e">
        <f t="shared" si="46"/>
        <v>#N/A</v>
      </c>
    </row>
    <row r="2745" spans="1:5">
      <c r="A2745" s="64"/>
      <c r="E2745" t="e">
        <f t="shared" si="46"/>
        <v>#N/A</v>
      </c>
    </row>
    <row r="2746" spans="1:5">
      <c r="A2746" s="64"/>
      <c r="E2746" t="e">
        <f t="shared" si="46"/>
        <v>#N/A</v>
      </c>
    </row>
    <row r="2747" spans="1:5">
      <c r="A2747" s="64"/>
      <c r="E2747" t="e">
        <f t="shared" si="46"/>
        <v>#N/A</v>
      </c>
    </row>
    <row r="2748" spans="1:5">
      <c r="A2748" s="64"/>
      <c r="E2748" t="e">
        <f t="shared" si="46"/>
        <v>#N/A</v>
      </c>
    </row>
    <row r="2749" spans="1:5">
      <c r="A2749" s="64"/>
      <c r="E2749" t="e">
        <f t="shared" si="46"/>
        <v>#N/A</v>
      </c>
    </row>
    <row r="2750" spans="1:5">
      <c r="A2750" s="64"/>
      <c r="E2750" t="e">
        <f t="shared" si="46"/>
        <v>#N/A</v>
      </c>
    </row>
    <row r="2751" spans="1:5">
      <c r="A2751" s="64"/>
      <c r="E2751" t="e">
        <f t="shared" si="46"/>
        <v>#N/A</v>
      </c>
    </row>
    <row r="2752" spans="1:5">
      <c r="A2752" s="64"/>
      <c r="E2752" t="e">
        <f t="shared" si="46"/>
        <v>#N/A</v>
      </c>
    </row>
    <row r="2753" spans="1:5">
      <c r="A2753" s="64"/>
      <c r="E2753" t="e">
        <f t="shared" si="46"/>
        <v>#N/A</v>
      </c>
    </row>
    <row r="2754" spans="1:5">
      <c r="A2754" s="64"/>
      <c r="E2754" t="e">
        <f t="shared" si="46"/>
        <v>#N/A</v>
      </c>
    </row>
    <row r="2755" spans="1:5">
      <c r="A2755" s="64"/>
      <c r="E2755" t="e">
        <f t="shared" si="46"/>
        <v>#N/A</v>
      </c>
    </row>
    <row r="2756" spans="1:5">
      <c r="A2756" s="64"/>
      <c r="E2756" t="e">
        <f t="shared" si="46"/>
        <v>#N/A</v>
      </c>
    </row>
    <row r="2757" spans="1:5">
      <c r="A2757" s="64"/>
      <c r="E2757" t="e">
        <f t="shared" si="46"/>
        <v>#N/A</v>
      </c>
    </row>
    <row r="2758" spans="1:5">
      <c r="A2758" s="64"/>
      <c r="E2758" t="e">
        <f t="shared" si="46"/>
        <v>#N/A</v>
      </c>
    </row>
    <row r="2759" spans="1:5">
      <c r="A2759" s="64"/>
      <c r="E2759" t="e">
        <f t="shared" si="46"/>
        <v>#N/A</v>
      </c>
    </row>
    <row r="2760" spans="1:5">
      <c r="A2760" s="64"/>
      <c r="E2760" t="e">
        <f t="shared" si="46"/>
        <v>#N/A</v>
      </c>
    </row>
    <row r="2761" spans="1:5">
      <c r="A2761" s="64"/>
      <c r="E2761" t="e">
        <f t="shared" si="46"/>
        <v>#N/A</v>
      </c>
    </row>
    <row r="2762" spans="1:5">
      <c r="A2762" s="64"/>
      <c r="E2762" t="e">
        <f t="shared" si="46"/>
        <v>#N/A</v>
      </c>
    </row>
    <row r="2763" spans="1:5">
      <c r="A2763" s="64"/>
      <c r="E2763" t="e">
        <f t="shared" si="46"/>
        <v>#N/A</v>
      </c>
    </row>
    <row r="2764" spans="1:5">
      <c r="A2764" s="64"/>
      <c r="E2764" t="e">
        <f t="shared" si="46"/>
        <v>#N/A</v>
      </c>
    </row>
    <row r="2765" spans="1:5">
      <c r="A2765" s="64"/>
      <c r="E2765" t="e">
        <f t="shared" ref="E2765:E2828" si="47">VLOOKUP(B2765,$Q$14:$R$62,2,FALSE)</f>
        <v>#N/A</v>
      </c>
    </row>
    <row r="2766" spans="1:5">
      <c r="A2766" s="64"/>
      <c r="E2766" t="e">
        <f t="shared" si="47"/>
        <v>#N/A</v>
      </c>
    </row>
    <row r="2767" spans="1:5">
      <c r="A2767" s="64"/>
      <c r="E2767" t="e">
        <f t="shared" si="47"/>
        <v>#N/A</v>
      </c>
    </row>
    <row r="2768" spans="1:5">
      <c r="A2768" s="64"/>
      <c r="E2768" t="e">
        <f t="shared" si="47"/>
        <v>#N/A</v>
      </c>
    </row>
    <row r="2769" spans="1:5">
      <c r="A2769" s="64"/>
      <c r="E2769" t="e">
        <f t="shared" si="47"/>
        <v>#N/A</v>
      </c>
    </row>
    <row r="2770" spans="1:5">
      <c r="A2770" s="64"/>
      <c r="E2770" t="e">
        <f t="shared" si="47"/>
        <v>#N/A</v>
      </c>
    </row>
    <row r="2771" spans="1:5">
      <c r="A2771" s="64"/>
      <c r="E2771" t="e">
        <f t="shared" si="47"/>
        <v>#N/A</v>
      </c>
    </row>
    <row r="2772" spans="1:5">
      <c r="A2772" s="64"/>
      <c r="E2772" t="e">
        <f t="shared" si="47"/>
        <v>#N/A</v>
      </c>
    </row>
    <row r="2773" spans="1:5">
      <c r="A2773" s="64"/>
      <c r="E2773" t="e">
        <f t="shared" si="47"/>
        <v>#N/A</v>
      </c>
    </row>
    <row r="2774" spans="1:5">
      <c r="A2774" s="64"/>
      <c r="E2774" t="e">
        <f t="shared" si="47"/>
        <v>#N/A</v>
      </c>
    </row>
    <row r="2775" spans="1:5">
      <c r="A2775" s="64"/>
      <c r="E2775" t="e">
        <f t="shared" si="47"/>
        <v>#N/A</v>
      </c>
    </row>
    <row r="2776" spans="1:5">
      <c r="A2776" s="64"/>
      <c r="E2776" t="e">
        <f t="shared" si="47"/>
        <v>#N/A</v>
      </c>
    </row>
    <row r="2777" spans="1:5">
      <c r="A2777" s="64"/>
      <c r="E2777" t="e">
        <f t="shared" si="47"/>
        <v>#N/A</v>
      </c>
    </row>
    <row r="2778" spans="1:5">
      <c r="A2778" s="64"/>
      <c r="E2778" t="e">
        <f t="shared" si="47"/>
        <v>#N/A</v>
      </c>
    </row>
    <row r="2779" spans="1:5">
      <c r="A2779" s="64"/>
      <c r="E2779" t="e">
        <f t="shared" si="47"/>
        <v>#N/A</v>
      </c>
    </row>
    <row r="2780" spans="1:5">
      <c r="A2780" s="64"/>
      <c r="E2780" t="e">
        <f t="shared" si="47"/>
        <v>#N/A</v>
      </c>
    </row>
    <row r="2781" spans="1:5">
      <c r="A2781" s="64"/>
      <c r="E2781" t="e">
        <f t="shared" si="47"/>
        <v>#N/A</v>
      </c>
    </row>
    <row r="2782" spans="1:5">
      <c r="A2782" s="64"/>
      <c r="E2782" t="e">
        <f t="shared" si="47"/>
        <v>#N/A</v>
      </c>
    </row>
    <row r="2783" spans="1:5">
      <c r="A2783" s="64"/>
      <c r="E2783" t="e">
        <f t="shared" si="47"/>
        <v>#N/A</v>
      </c>
    </row>
    <row r="2784" spans="1:5">
      <c r="A2784" s="64"/>
      <c r="E2784" t="e">
        <f t="shared" si="47"/>
        <v>#N/A</v>
      </c>
    </row>
    <row r="2785" spans="1:5">
      <c r="A2785" s="64"/>
      <c r="E2785" t="e">
        <f t="shared" si="47"/>
        <v>#N/A</v>
      </c>
    </row>
    <row r="2786" spans="1:5">
      <c r="A2786" s="64"/>
      <c r="E2786" t="e">
        <f t="shared" si="47"/>
        <v>#N/A</v>
      </c>
    </row>
    <row r="2787" spans="1:5">
      <c r="A2787" s="64"/>
      <c r="E2787" t="e">
        <f t="shared" si="47"/>
        <v>#N/A</v>
      </c>
    </row>
    <row r="2788" spans="1:5">
      <c r="A2788" s="64"/>
      <c r="E2788" t="e">
        <f t="shared" si="47"/>
        <v>#N/A</v>
      </c>
    </row>
    <row r="2789" spans="1:5">
      <c r="A2789" s="64"/>
      <c r="E2789" t="e">
        <f t="shared" si="47"/>
        <v>#N/A</v>
      </c>
    </row>
    <row r="2790" spans="1:5">
      <c r="A2790" s="64"/>
      <c r="E2790" t="e">
        <f t="shared" si="47"/>
        <v>#N/A</v>
      </c>
    </row>
    <row r="2791" spans="1:5">
      <c r="A2791" s="64"/>
      <c r="E2791" t="e">
        <f t="shared" si="47"/>
        <v>#N/A</v>
      </c>
    </row>
    <row r="2792" spans="1:5">
      <c r="A2792" s="64"/>
      <c r="E2792" t="e">
        <f t="shared" si="47"/>
        <v>#N/A</v>
      </c>
    </row>
    <row r="2793" spans="1:5">
      <c r="A2793" s="64"/>
      <c r="E2793" t="e">
        <f t="shared" si="47"/>
        <v>#N/A</v>
      </c>
    </row>
    <row r="2794" spans="1:5">
      <c r="A2794" s="64"/>
      <c r="E2794" t="e">
        <f t="shared" si="47"/>
        <v>#N/A</v>
      </c>
    </row>
    <row r="2795" spans="1:5">
      <c r="A2795" s="64"/>
      <c r="E2795" t="e">
        <f t="shared" si="47"/>
        <v>#N/A</v>
      </c>
    </row>
    <row r="2796" spans="1:5">
      <c r="A2796" s="64"/>
      <c r="E2796" t="e">
        <f t="shared" si="47"/>
        <v>#N/A</v>
      </c>
    </row>
    <row r="2797" spans="1:5">
      <c r="A2797" s="64"/>
      <c r="E2797" t="e">
        <f t="shared" si="47"/>
        <v>#N/A</v>
      </c>
    </row>
    <row r="2798" spans="1:5">
      <c r="A2798" s="64"/>
      <c r="E2798" t="e">
        <f t="shared" si="47"/>
        <v>#N/A</v>
      </c>
    </row>
    <row r="2799" spans="1:5">
      <c r="A2799" s="64"/>
      <c r="E2799" t="e">
        <f t="shared" si="47"/>
        <v>#N/A</v>
      </c>
    </row>
    <row r="2800" spans="1:5">
      <c r="A2800" s="64"/>
      <c r="E2800" t="e">
        <f t="shared" si="47"/>
        <v>#N/A</v>
      </c>
    </row>
    <row r="2801" spans="1:5">
      <c r="A2801" s="64"/>
      <c r="E2801" t="e">
        <f t="shared" si="47"/>
        <v>#N/A</v>
      </c>
    </row>
    <row r="2802" spans="1:5">
      <c r="A2802" s="64"/>
      <c r="E2802" t="e">
        <f t="shared" si="47"/>
        <v>#N/A</v>
      </c>
    </row>
    <row r="2803" spans="1:5">
      <c r="A2803" s="64"/>
      <c r="E2803" t="e">
        <f t="shared" si="47"/>
        <v>#N/A</v>
      </c>
    </row>
    <row r="2804" spans="1:5">
      <c r="A2804" s="64"/>
      <c r="E2804" t="e">
        <f t="shared" si="47"/>
        <v>#N/A</v>
      </c>
    </row>
    <row r="2805" spans="1:5">
      <c r="A2805" s="64"/>
      <c r="E2805" t="e">
        <f t="shared" si="47"/>
        <v>#N/A</v>
      </c>
    </row>
    <row r="2806" spans="1:5">
      <c r="A2806" s="64"/>
      <c r="E2806" t="e">
        <f t="shared" si="47"/>
        <v>#N/A</v>
      </c>
    </row>
    <row r="2807" spans="1:5">
      <c r="A2807" s="64"/>
      <c r="E2807" t="e">
        <f t="shared" si="47"/>
        <v>#N/A</v>
      </c>
    </row>
    <row r="2808" spans="1:5">
      <c r="A2808" s="64"/>
      <c r="E2808" t="e">
        <f t="shared" si="47"/>
        <v>#N/A</v>
      </c>
    </row>
    <row r="2809" spans="1:5">
      <c r="A2809" s="64"/>
      <c r="E2809" t="e">
        <f t="shared" si="47"/>
        <v>#N/A</v>
      </c>
    </row>
    <row r="2810" spans="1:5">
      <c r="A2810" s="64"/>
      <c r="E2810" t="e">
        <f t="shared" si="47"/>
        <v>#N/A</v>
      </c>
    </row>
    <row r="2811" spans="1:5">
      <c r="A2811" s="64"/>
      <c r="E2811" t="e">
        <f t="shared" si="47"/>
        <v>#N/A</v>
      </c>
    </row>
    <row r="2812" spans="1:5">
      <c r="A2812" s="64"/>
      <c r="E2812" t="e">
        <f t="shared" si="47"/>
        <v>#N/A</v>
      </c>
    </row>
    <row r="2813" spans="1:5">
      <c r="A2813" s="64"/>
      <c r="E2813" t="e">
        <f t="shared" si="47"/>
        <v>#N/A</v>
      </c>
    </row>
    <row r="2814" spans="1:5">
      <c r="A2814" s="64"/>
      <c r="E2814" t="e">
        <f t="shared" si="47"/>
        <v>#N/A</v>
      </c>
    </row>
    <row r="2815" spans="1:5">
      <c r="A2815" s="64"/>
      <c r="E2815" t="e">
        <f t="shared" si="47"/>
        <v>#N/A</v>
      </c>
    </row>
    <row r="2816" spans="1:5">
      <c r="A2816" s="64"/>
      <c r="E2816" t="e">
        <f t="shared" si="47"/>
        <v>#N/A</v>
      </c>
    </row>
    <row r="2817" spans="1:5">
      <c r="A2817" s="64"/>
      <c r="E2817" t="e">
        <f t="shared" si="47"/>
        <v>#N/A</v>
      </c>
    </row>
    <row r="2818" spans="1:5">
      <c r="A2818" s="64"/>
      <c r="E2818" t="e">
        <f t="shared" si="47"/>
        <v>#N/A</v>
      </c>
    </row>
    <row r="2819" spans="1:5">
      <c r="A2819" s="64"/>
      <c r="E2819" t="e">
        <f t="shared" si="47"/>
        <v>#N/A</v>
      </c>
    </row>
    <row r="2820" spans="1:5">
      <c r="A2820" s="64"/>
      <c r="E2820" t="e">
        <f t="shared" si="47"/>
        <v>#N/A</v>
      </c>
    </row>
    <row r="2821" spans="1:5">
      <c r="A2821" s="64"/>
      <c r="E2821" t="e">
        <f t="shared" si="47"/>
        <v>#N/A</v>
      </c>
    </row>
    <row r="2822" spans="1:5">
      <c r="A2822" s="64"/>
      <c r="E2822" t="e">
        <f t="shared" si="47"/>
        <v>#N/A</v>
      </c>
    </row>
    <row r="2823" spans="1:5">
      <c r="A2823" s="64"/>
      <c r="E2823" t="e">
        <f t="shared" si="47"/>
        <v>#N/A</v>
      </c>
    </row>
    <row r="2824" spans="1:5">
      <c r="A2824" s="64"/>
      <c r="E2824" t="e">
        <f t="shared" si="47"/>
        <v>#N/A</v>
      </c>
    </row>
    <row r="2825" spans="1:5">
      <c r="A2825" s="64"/>
      <c r="E2825" t="e">
        <f t="shared" si="47"/>
        <v>#N/A</v>
      </c>
    </row>
    <row r="2826" spans="1:5">
      <c r="A2826" s="64"/>
      <c r="E2826" t="e">
        <f t="shared" si="47"/>
        <v>#N/A</v>
      </c>
    </row>
    <row r="2827" spans="1:5">
      <c r="A2827" s="64"/>
      <c r="E2827" t="e">
        <f t="shared" si="47"/>
        <v>#N/A</v>
      </c>
    </row>
    <row r="2828" spans="1:5">
      <c r="A2828" s="64"/>
      <c r="E2828" t="e">
        <f t="shared" si="47"/>
        <v>#N/A</v>
      </c>
    </row>
    <row r="2829" spans="1:5">
      <c r="A2829" s="64"/>
      <c r="E2829" t="e">
        <f t="shared" ref="E2829:E2892" si="48">VLOOKUP(B2829,$Q$14:$R$62,2,FALSE)</f>
        <v>#N/A</v>
      </c>
    </row>
    <row r="2830" spans="1:5">
      <c r="A2830" s="64"/>
      <c r="E2830" t="e">
        <f t="shared" si="48"/>
        <v>#N/A</v>
      </c>
    </row>
    <row r="2831" spans="1:5">
      <c r="A2831" s="64"/>
      <c r="E2831" t="e">
        <f t="shared" si="48"/>
        <v>#N/A</v>
      </c>
    </row>
    <row r="2832" spans="1:5">
      <c r="A2832" s="64"/>
      <c r="E2832" t="e">
        <f t="shared" si="48"/>
        <v>#N/A</v>
      </c>
    </row>
    <row r="2833" spans="1:5">
      <c r="A2833" s="64"/>
      <c r="E2833" t="e">
        <f t="shared" si="48"/>
        <v>#N/A</v>
      </c>
    </row>
    <row r="2834" spans="1:5">
      <c r="A2834" s="64"/>
      <c r="E2834" t="e">
        <f t="shared" si="48"/>
        <v>#N/A</v>
      </c>
    </row>
    <row r="2835" spans="1:5">
      <c r="A2835" s="64"/>
      <c r="E2835" t="e">
        <f t="shared" si="48"/>
        <v>#N/A</v>
      </c>
    </row>
    <row r="2836" spans="1:5">
      <c r="A2836" s="64"/>
      <c r="E2836" t="e">
        <f t="shared" si="48"/>
        <v>#N/A</v>
      </c>
    </row>
    <row r="2837" spans="1:5">
      <c r="A2837" s="64"/>
      <c r="E2837" t="e">
        <f t="shared" si="48"/>
        <v>#N/A</v>
      </c>
    </row>
    <row r="2838" spans="1:5">
      <c r="A2838" s="64"/>
      <c r="E2838" t="e">
        <f t="shared" si="48"/>
        <v>#N/A</v>
      </c>
    </row>
    <row r="2839" spans="1:5">
      <c r="A2839" s="64"/>
      <c r="E2839" t="e">
        <f t="shared" si="48"/>
        <v>#N/A</v>
      </c>
    </row>
    <row r="2840" spans="1:5">
      <c r="A2840" s="64"/>
      <c r="E2840" t="e">
        <f t="shared" si="48"/>
        <v>#N/A</v>
      </c>
    </row>
    <row r="2841" spans="1:5">
      <c r="A2841" s="64"/>
      <c r="E2841" t="e">
        <f t="shared" si="48"/>
        <v>#N/A</v>
      </c>
    </row>
    <row r="2842" spans="1:5">
      <c r="A2842" s="64"/>
      <c r="E2842" t="e">
        <f t="shared" si="48"/>
        <v>#N/A</v>
      </c>
    </row>
    <row r="2843" spans="1:5">
      <c r="A2843" s="64"/>
      <c r="E2843" t="e">
        <f t="shared" si="48"/>
        <v>#N/A</v>
      </c>
    </row>
    <row r="2844" spans="1:5">
      <c r="A2844" s="64"/>
      <c r="E2844" t="e">
        <f t="shared" si="48"/>
        <v>#N/A</v>
      </c>
    </row>
    <row r="2845" spans="1:5">
      <c r="A2845" s="64"/>
      <c r="E2845" t="e">
        <f t="shared" si="48"/>
        <v>#N/A</v>
      </c>
    </row>
    <row r="2846" spans="1:5">
      <c r="A2846" s="64"/>
      <c r="E2846" t="e">
        <f t="shared" si="48"/>
        <v>#N/A</v>
      </c>
    </row>
    <row r="2847" spans="1:5">
      <c r="A2847" s="64"/>
      <c r="E2847" t="e">
        <f t="shared" si="48"/>
        <v>#N/A</v>
      </c>
    </row>
    <row r="2848" spans="1:5">
      <c r="A2848" s="64"/>
      <c r="E2848" t="e">
        <f t="shared" si="48"/>
        <v>#N/A</v>
      </c>
    </row>
    <row r="2849" spans="1:5">
      <c r="A2849" s="64"/>
      <c r="E2849" t="e">
        <f t="shared" si="48"/>
        <v>#N/A</v>
      </c>
    </row>
    <row r="2850" spans="1:5">
      <c r="A2850" s="64"/>
      <c r="E2850" t="e">
        <f t="shared" si="48"/>
        <v>#N/A</v>
      </c>
    </row>
    <row r="2851" spans="1:5">
      <c r="A2851" s="64"/>
      <c r="E2851" t="e">
        <f t="shared" si="48"/>
        <v>#N/A</v>
      </c>
    </row>
    <row r="2852" spans="1:5">
      <c r="A2852" s="64"/>
      <c r="E2852" t="e">
        <f t="shared" si="48"/>
        <v>#N/A</v>
      </c>
    </row>
    <row r="2853" spans="1:5">
      <c r="A2853" s="64"/>
      <c r="E2853" t="e">
        <f t="shared" si="48"/>
        <v>#N/A</v>
      </c>
    </row>
    <row r="2854" spans="1:5">
      <c r="A2854" s="64"/>
      <c r="E2854" t="e">
        <f t="shared" si="48"/>
        <v>#N/A</v>
      </c>
    </row>
    <row r="2855" spans="1:5">
      <c r="A2855" s="64"/>
      <c r="E2855" t="e">
        <f t="shared" si="48"/>
        <v>#N/A</v>
      </c>
    </row>
    <row r="2856" spans="1:5">
      <c r="A2856" s="64"/>
      <c r="E2856" t="e">
        <f t="shared" si="48"/>
        <v>#N/A</v>
      </c>
    </row>
    <row r="2857" spans="1:5">
      <c r="A2857" s="64"/>
      <c r="E2857" t="e">
        <f t="shared" si="48"/>
        <v>#N/A</v>
      </c>
    </row>
    <row r="2858" spans="1:5">
      <c r="A2858" s="64"/>
      <c r="E2858" t="e">
        <f t="shared" si="48"/>
        <v>#N/A</v>
      </c>
    </row>
    <row r="2859" spans="1:5">
      <c r="A2859" s="64"/>
      <c r="E2859" t="e">
        <f t="shared" si="48"/>
        <v>#N/A</v>
      </c>
    </row>
    <row r="2860" spans="1:5">
      <c r="A2860" s="64"/>
      <c r="E2860" t="e">
        <f t="shared" si="48"/>
        <v>#N/A</v>
      </c>
    </row>
    <row r="2861" spans="1:5">
      <c r="A2861" s="64"/>
      <c r="E2861" t="e">
        <f t="shared" si="48"/>
        <v>#N/A</v>
      </c>
    </row>
    <row r="2862" spans="1:5">
      <c r="A2862" s="64"/>
      <c r="E2862" t="e">
        <f t="shared" si="48"/>
        <v>#N/A</v>
      </c>
    </row>
    <row r="2863" spans="1:5">
      <c r="A2863" s="64"/>
      <c r="E2863" t="e">
        <f t="shared" si="48"/>
        <v>#N/A</v>
      </c>
    </row>
    <row r="2864" spans="1:5">
      <c r="A2864" s="64"/>
      <c r="E2864" t="e">
        <f t="shared" si="48"/>
        <v>#N/A</v>
      </c>
    </row>
    <row r="2865" spans="1:5">
      <c r="A2865" s="64"/>
      <c r="E2865" t="e">
        <f t="shared" si="48"/>
        <v>#N/A</v>
      </c>
    </row>
    <row r="2866" spans="1:5">
      <c r="A2866" s="64"/>
      <c r="E2866" t="e">
        <f t="shared" si="48"/>
        <v>#N/A</v>
      </c>
    </row>
    <row r="2867" spans="1:5">
      <c r="A2867" s="64"/>
      <c r="E2867" t="e">
        <f t="shared" si="48"/>
        <v>#N/A</v>
      </c>
    </row>
    <row r="2868" spans="1:5">
      <c r="A2868" s="64"/>
      <c r="E2868" t="e">
        <f t="shared" si="48"/>
        <v>#N/A</v>
      </c>
    </row>
    <row r="2869" spans="1:5">
      <c r="A2869" s="64"/>
      <c r="E2869" t="e">
        <f t="shared" si="48"/>
        <v>#N/A</v>
      </c>
    </row>
    <row r="2870" spans="1:5">
      <c r="A2870" s="64"/>
      <c r="E2870" t="e">
        <f t="shared" si="48"/>
        <v>#N/A</v>
      </c>
    </row>
    <row r="2871" spans="1:5">
      <c r="A2871" s="64"/>
      <c r="E2871" t="e">
        <f t="shared" si="48"/>
        <v>#N/A</v>
      </c>
    </row>
    <row r="2872" spans="1:5">
      <c r="A2872" s="64"/>
      <c r="E2872" t="e">
        <f t="shared" si="48"/>
        <v>#N/A</v>
      </c>
    </row>
    <row r="2873" spans="1:5">
      <c r="A2873" s="64"/>
      <c r="E2873" t="e">
        <f t="shared" si="48"/>
        <v>#N/A</v>
      </c>
    </row>
    <row r="2874" spans="1:5">
      <c r="A2874" s="64"/>
      <c r="E2874" t="e">
        <f t="shared" si="48"/>
        <v>#N/A</v>
      </c>
    </row>
    <row r="2875" spans="1:5">
      <c r="A2875" s="64"/>
      <c r="E2875" t="e">
        <f t="shared" si="48"/>
        <v>#N/A</v>
      </c>
    </row>
    <row r="2876" spans="1:5">
      <c r="A2876" s="64"/>
      <c r="E2876" t="e">
        <f t="shared" si="48"/>
        <v>#N/A</v>
      </c>
    </row>
    <row r="2877" spans="1:5">
      <c r="A2877" s="64"/>
      <c r="E2877" t="e">
        <f t="shared" si="48"/>
        <v>#N/A</v>
      </c>
    </row>
    <row r="2878" spans="1:5">
      <c r="A2878" s="64"/>
      <c r="E2878" t="e">
        <f t="shared" si="48"/>
        <v>#N/A</v>
      </c>
    </row>
    <row r="2879" spans="1:5">
      <c r="A2879" s="64"/>
      <c r="E2879" t="e">
        <f t="shared" si="48"/>
        <v>#N/A</v>
      </c>
    </row>
    <row r="2880" spans="1:5">
      <c r="A2880" s="64"/>
      <c r="E2880" t="e">
        <f t="shared" si="48"/>
        <v>#N/A</v>
      </c>
    </row>
    <row r="2881" spans="1:5">
      <c r="A2881" s="64"/>
      <c r="E2881" t="e">
        <f t="shared" si="48"/>
        <v>#N/A</v>
      </c>
    </row>
    <row r="2882" spans="1:5">
      <c r="A2882" s="64"/>
      <c r="E2882" t="e">
        <f t="shared" si="48"/>
        <v>#N/A</v>
      </c>
    </row>
    <row r="2883" spans="1:5">
      <c r="A2883" s="64"/>
      <c r="E2883" t="e">
        <f t="shared" si="48"/>
        <v>#N/A</v>
      </c>
    </row>
    <row r="2884" spans="1:5">
      <c r="A2884" s="64"/>
      <c r="E2884" t="e">
        <f t="shared" si="48"/>
        <v>#N/A</v>
      </c>
    </row>
    <row r="2885" spans="1:5">
      <c r="A2885" s="64"/>
      <c r="E2885" t="e">
        <f t="shared" si="48"/>
        <v>#N/A</v>
      </c>
    </row>
    <row r="2886" spans="1:5">
      <c r="A2886" s="64"/>
      <c r="E2886" t="e">
        <f t="shared" si="48"/>
        <v>#N/A</v>
      </c>
    </row>
    <row r="2887" spans="1:5">
      <c r="A2887" s="64"/>
      <c r="E2887" t="e">
        <f t="shared" si="48"/>
        <v>#N/A</v>
      </c>
    </row>
    <row r="2888" spans="1:5">
      <c r="A2888" s="64"/>
      <c r="E2888" t="e">
        <f t="shared" si="48"/>
        <v>#N/A</v>
      </c>
    </row>
    <row r="2889" spans="1:5">
      <c r="A2889" s="64"/>
      <c r="E2889" t="e">
        <f t="shared" si="48"/>
        <v>#N/A</v>
      </c>
    </row>
    <row r="2890" spans="1:5">
      <c r="A2890" s="64"/>
      <c r="E2890" t="e">
        <f t="shared" si="48"/>
        <v>#N/A</v>
      </c>
    </row>
    <row r="2891" spans="1:5">
      <c r="A2891" s="64"/>
      <c r="E2891" t="e">
        <f t="shared" si="48"/>
        <v>#N/A</v>
      </c>
    </row>
    <row r="2892" spans="1:5">
      <c r="A2892" s="64"/>
      <c r="E2892" t="e">
        <f t="shared" si="48"/>
        <v>#N/A</v>
      </c>
    </row>
    <row r="2893" spans="1:5">
      <c r="A2893" s="64"/>
      <c r="E2893" t="e">
        <f t="shared" ref="E2893:E2956" si="49">VLOOKUP(B2893,$Q$14:$R$62,2,FALSE)</f>
        <v>#N/A</v>
      </c>
    </row>
    <row r="2894" spans="1:5">
      <c r="A2894" s="64"/>
      <c r="E2894" t="e">
        <f t="shared" si="49"/>
        <v>#N/A</v>
      </c>
    </row>
    <row r="2895" spans="1:5">
      <c r="A2895" s="64"/>
      <c r="E2895" t="e">
        <f t="shared" si="49"/>
        <v>#N/A</v>
      </c>
    </row>
    <row r="2896" spans="1:5">
      <c r="A2896" s="64"/>
      <c r="E2896" t="e">
        <f t="shared" si="49"/>
        <v>#N/A</v>
      </c>
    </row>
    <row r="2897" spans="1:5">
      <c r="A2897" s="64"/>
      <c r="E2897" t="e">
        <f t="shared" si="49"/>
        <v>#N/A</v>
      </c>
    </row>
    <row r="2898" spans="1:5">
      <c r="A2898" s="64"/>
      <c r="E2898" t="e">
        <f t="shared" si="49"/>
        <v>#N/A</v>
      </c>
    </row>
    <row r="2899" spans="1:5">
      <c r="A2899" s="64"/>
      <c r="E2899" t="e">
        <f t="shared" si="49"/>
        <v>#N/A</v>
      </c>
    </row>
    <row r="2900" spans="1:5">
      <c r="A2900" s="64"/>
      <c r="E2900" t="e">
        <f t="shared" si="49"/>
        <v>#N/A</v>
      </c>
    </row>
    <row r="2901" spans="1:5">
      <c r="A2901" s="64"/>
      <c r="E2901" t="e">
        <f t="shared" si="49"/>
        <v>#N/A</v>
      </c>
    </row>
    <row r="2902" spans="1:5">
      <c r="A2902" s="64"/>
      <c r="E2902" t="e">
        <f t="shared" si="49"/>
        <v>#N/A</v>
      </c>
    </row>
    <row r="2903" spans="1:5">
      <c r="A2903" s="64"/>
      <c r="E2903" t="e">
        <f t="shared" si="49"/>
        <v>#N/A</v>
      </c>
    </row>
    <row r="2904" spans="1:5">
      <c r="A2904" s="64"/>
      <c r="E2904" t="e">
        <f t="shared" si="49"/>
        <v>#N/A</v>
      </c>
    </row>
    <row r="2905" spans="1:5">
      <c r="A2905" s="64"/>
      <c r="E2905" t="e">
        <f t="shared" si="49"/>
        <v>#N/A</v>
      </c>
    </row>
    <row r="2906" spans="1:5">
      <c r="A2906" s="64"/>
      <c r="E2906" t="e">
        <f t="shared" si="49"/>
        <v>#N/A</v>
      </c>
    </row>
    <row r="2907" spans="1:5">
      <c r="A2907" s="64"/>
      <c r="E2907" t="e">
        <f t="shared" si="49"/>
        <v>#N/A</v>
      </c>
    </row>
    <row r="2908" spans="1:5">
      <c r="A2908" s="64"/>
      <c r="E2908" t="e">
        <f t="shared" si="49"/>
        <v>#N/A</v>
      </c>
    </row>
    <row r="2909" spans="1:5">
      <c r="A2909" s="64"/>
      <c r="E2909" t="e">
        <f t="shared" si="49"/>
        <v>#N/A</v>
      </c>
    </row>
    <row r="2910" spans="1:5">
      <c r="A2910" s="64"/>
      <c r="E2910" t="e">
        <f t="shared" si="49"/>
        <v>#N/A</v>
      </c>
    </row>
    <row r="2911" spans="1:5">
      <c r="A2911" s="64"/>
      <c r="E2911" t="e">
        <f t="shared" si="49"/>
        <v>#N/A</v>
      </c>
    </row>
    <row r="2912" spans="1:5">
      <c r="A2912" s="64"/>
      <c r="E2912" t="e">
        <f t="shared" si="49"/>
        <v>#N/A</v>
      </c>
    </row>
    <row r="2913" spans="1:5">
      <c r="A2913" s="64"/>
      <c r="E2913" t="e">
        <f t="shared" si="49"/>
        <v>#N/A</v>
      </c>
    </row>
    <row r="2914" spans="1:5">
      <c r="A2914" s="64"/>
      <c r="E2914" t="e">
        <f t="shared" si="49"/>
        <v>#N/A</v>
      </c>
    </row>
    <row r="2915" spans="1:5">
      <c r="A2915" s="64"/>
      <c r="E2915" t="e">
        <f t="shared" si="49"/>
        <v>#N/A</v>
      </c>
    </row>
    <row r="2916" spans="1:5">
      <c r="A2916" s="64"/>
      <c r="E2916" t="e">
        <f t="shared" si="49"/>
        <v>#N/A</v>
      </c>
    </row>
    <row r="2917" spans="1:5">
      <c r="A2917" s="64"/>
      <c r="E2917" t="e">
        <f t="shared" si="49"/>
        <v>#N/A</v>
      </c>
    </row>
    <row r="2918" spans="1:5">
      <c r="A2918" s="64"/>
      <c r="E2918" t="e">
        <f t="shared" si="49"/>
        <v>#N/A</v>
      </c>
    </row>
    <row r="2919" spans="1:5">
      <c r="A2919" s="64"/>
      <c r="E2919" t="e">
        <f t="shared" si="49"/>
        <v>#N/A</v>
      </c>
    </row>
    <row r="2920" spans="1:5">
      <c r="A2920" s="64"/>
      <c r="E2920" t="e">
        <f t="shared" si="49"/>
        <v>#N/A</v>
      </c>
    </row>
    <row r="2921" spans="1:5">
      <c r="A2921" s="64"/>
      <c r="E2921" t="e">
        <f t="shared" si="49"/>
        <v>#N/A</v>
      </c>
    </row>
    <row r="2922" spans="1:5">
      <c r="A2922" s="64"/>
      <c r="E2922" t="e">
        <f t="shared" si="49"/>
        <v>#N/A</v>
      </c>
    </row>
    <row r="2923" spans="1:5">
      <c r="A2923" s="64"/>
      <c r="E2923" t="e">
        <f t="shared" si="49"/>
        <v>#N/A</v>
      </c>
    </row>
    <row r="2924" spans="1:5">
      <c r="A2924" s="64"/>
      <c r="E2924" t="e">
        <f t="shared" si="49"/>
        <v>#N/A</v>
      </c>
    </row>
    <row r="2925" spans="1:5">
      <c r="A2925" s="64"/>
      <c r="E2925" t="e">
        <f t="shared" si="49"/>
        <v>#N/A</v>
      </c>
    </row>
    <row r="2926" spans="1:5">
      <c r="A2926" s="64"/>
      <c r="E2926" t="e">
        <f t="shared" si="49"/>
        <v>#N/A</v>
      </c>
    </row>
    <row r="2927" spans="1:5">
      <c r="A2927" s="64"/>
      <c r="E2927" t="e">
        <f t="shared" si="49"/>
        <v>#N/A</v>
      </c>
    </row>
    <row r="2928" spans="1:5">
      <c r="A2928" s="64"/>
      <c r="E2928" t="e">
        <f t="shared" si="49"/>
        <v>#N/A</v>
      </c>
    </row>
    <row r="2929" spans="1:5">
      <c r="A2929" s="64"/>
      <c r="E2929" t="e">
        <f t="shared" si="49"/>
        <v>#N/A</v>
      </c>
    </row>
    <row r="2930" spans="1:5">
      <c r="A2930" s="64"/>
      <c r="E2930" t="e">
        <f t="shared" si="49"/>
        <v>#N/A</v>
      </c>
    </row>
    <row r="2931" spans="1:5">
      <c r="A2931" s="64"/>
      <c r="E2931" t="e">
        <f t="shared" si="49"/>
        <v>#N/A</v>
      </c>
    </row>
    <row r="2932" spans="1:5">
      <c r="A2932" s="64"/>
      <c r="E2932" t="e">
        <f t="shared" si="49"/>
        <v>#N/A</v>
      </c>
    </row>
    <row r="2933" spans="1:5">
      <c r="A2933" s="64"/>
      <c r="E2933" t="e">
        <f t="shared" si="49"/>
        <v>#N/A</v>
      </c>
    </row>
    <row r="2934" spans="1:5">
      <c r="A2934" s="64"/>
      <c r="E2934" t="e">
        <f t="shared" si="49"/>
        <v>#N/A</v>
      </c>
    </row>
    <row r="2935" spans="1:5">
      <c r="A2935" s="64"/>
      <c r="E2935" t="e">
        <f t="shared" si="49"/>
        <v>#N/A</v>
      </c>
    </row>
    <row r="2936" spans="1:5">
      <c r="A2936" s="64"/>
      <c r="E2936" t="e">
        <f t="shared" si="49"/>
        <v>#N/A</v>
      </c>
    </row>
    <row r="2937" spans="1:5">
      <c r="A2937" s="64"/>
      <c r="E2937" t="e">
        <f t="shared" si="49"/>
        <v>#N/A</v>
      </c>
    </row>
    <row r="2938" spans="1:5">
      <c r="A2938" s="64"/>
      <c r="E2938" t="e">
        <f t="shared" si="49"/>
        <v>#N/A</v>
      </c>
    </row>
    <row r="2939" spans="1:5">
      <c r="A2939" s="64"/>
      <c r="E2939" t="e">
        <f t="shared" si="49"/>
        <v>#N/A</v>
      </c>
    </row>
    <row r="2940" spans="1:5">
      <c r="A2940" s="64"/>
      <c r="E2940" t="e">
        <f t="shared" si="49"/>
        <v>#N/A</v>
      </c>
    </row>
    <row r="2941" spans="1:5">
      <c r="A2941" s="64"/>
      <c r="E2941" t="e">
        <f t="shared" si="49"/>
        <v>#N/A</v>
      </c>
    </row>
    <row r="2942" spans="1:5">
      <c r="A2942" s="64"/>
      <c r="E2942" t="e">
        <f t="shared" si="49"/>
        <v>#N/A</v>
      </c>
    </row>
    <row r="2943" spans="1:5">
      <c r="A2943" s="64"/>
      <c r="E2943" t="e">
        <f t="shared" si="49"/>
        <v>#N/A</v>
      </c>
    </row>
    <row r="2944" spans="1:5">
      <c r="A2944" s="64"/>
      <c r="E2944" t="e">
        <f t="shared" si="49"/>
        <v>#N/A</v>
      </c>
    </row>
    <row r="2945" spans="1:5">
      <c r="A2945" s="64"/>
      <c r="E2945" t="e">
        <f t="shared" si="49"/>
        <v>#N/A</v>
      </c>
    </row>
    <row r="2946" spans="1:5">
      <c r="A2946" s="64"/>
      <c r="E2946" t="e">
        <f t="shared" si="49"/>
        <v>#N/A</v>
      </c>
    </row>
    <row r="2947" spans="1:5">
      <c r="A2947" s="64"/>
      <c r="E2947" t="e">
        <f t="shared" si="49"/>
        <v>#N/A</v>
      </c>
    </row>
    <row r="2948" spans="1:5">
      <c r="A2948" s="64"/>
      <c r="E2948" t="e">
        <f t="shared" si="49"/>
        <v>#N/A</v>
      </c>
    </row>
    <row r="2949" spans="1:5">
      <c r="A2949" s="64"/>
      <c r="E2949" t="e">
        <f t="shared" si="49"/>
        <v>#N/A</v>
      </c>
    </row>
    <row r="2950" spans="1:5">
      <c r="A2950" s="64"/>
      <c r="E2950" t="e">
        <f t="shared" si="49"/>
        <v>#N/A</v>
      </c>
    </row>
    <row r="2951" spans="1:5">
      <c r="A2951" s="64"/>
      <c r="E2951" t="e">
        <f t="shared" si="49"/>
        <v>#N/A</v>
      </c>
    </row>
    <row r="2952" spans="1:5">
      <c r="A2952" s="64"/>
      <c r="E2952" t="e">
        <f t="shared" si="49"/>
        <v>#N/A</v>
      </c>
    </row>
    <row r="2953" spans="1:5">
      <c r="A2953" s="64"/>
      <c r="E2953" t="e">
        <f t="shared" si="49"/>
        <v>#N/A</v>
      </c>
    </row>
    <row r="2954" spans="1:5">
      <c r="A2954" s="64"/>
      <c r="E2954" t="e">
        <f t="shared" si="49"/>
        <v>#N/A</v>
      </c>
    </row>
    <row r="2955" spans="1:5">
      <c r="A2955" s="64"/>
      <c r="E2955" t="e">
        <f t="shared" si="49"/>
        <v>#N/A</v>
      </c>
    </row>
    <row r="2956" spans="1:5">
      <c r="A2956" s="64"/>
      <c r="E2956" t="e">
        <f t="shared" si="49"/>
        <v>#N/A</v>
      </c>
    </row>
    <row r="2957" spans="1:5">
      <c r="A2957" s="64"/>
      <c r="E2957" t="e">
        <f t="shared" ref="E2957:E3020" si="50">VLOOKUP(B2957,$Q$14:$R$62,2,FALSE)</f>
        <v>#N/A</v>
      </c>
    </row>
    <row r="2958" spans="1:5">
      <c r="A2958" s="64"/>
      <c r="E2958" t="e">
        <f t="shared" si="50"/>
        <v>#N/A</v>
      </c>
    </row>
    <row r="2959" spans="1:5">
      <c r="A2959" s="64"/>
      <c r="E2959" t="e">
        <f t="shared" si="50"/>
        <v>#N/A</v>
      </c>
    </row>
    <row r="2960" spans="1:5">
      <c r="A2960" s="64"/>
      <c r="E2960" t="e">
        <f t="shared" si="50"/>
        <v>#N/A</v>
      </c>
    </row>
    <row r="2961" spans="1:5">
      <c r="A2961" s="64"/>
      <c r="E2961" t="e">
        <f t="shared" si="50"/>
        <v>#N/A</v>
      </c>
    </row>
    <row r="2962" spans="1:5">
      <c r="A2962" s="64"/>
      <c r="E2962" t="e">
        <f t="shared" si="50"/>
        <v>#N/A</v>
      </c>
    </row>
    <row r="2963" spans="1:5">
      <c r="A2963" s="64"/>
      <c r="E2963" t="e">
        <f t="shared" si="50"/>
        <v>#N/A</v>
      </c>
    </row>
    <row r="2964" spans="1:5">
      <c r="A2964" s="64"/>
      <c r="E2964" t="e">
        <f t="shared" si="50"/>
        <v>#N/A</v>
      </c>
    </row>
    <row r="2965" spans="1:5">
      <c r="A2965" s="64"/>
      <c r="E2965" t="e">
        <f t="shared" si="50"/>
        <v>#N/A</v>
      </c>
    </row>
    <row r="2966" spans="1:5">
      <c r="A2966" s="64"/>
      <c r="E2966" t="e">
        <f t="shared" si="50"/>
        <v>#N/A</v>
      </c>
    </row>
    <row r="2967" spans="1:5">
      <c r="A2967" s="64"/>
      <c r="E2967" t="e">
        <f t="shared" si="50"/>
        <v>#N/A</v>
      </c>
    </row>
    <row r="2968" spans="1:5">
      <c r="A2968" s="64"/>
      <c r="E2968" t="e">
        <f t="shared" si="50"/>
        <v>#N/A</v>
      </c>
    </row>
    <row r="2969" spans="1:5">
      <c r="A2969" s="64"/>
      <c r="E2969" t="e">
        <f t="shared" si="50"/>
        <v>#N/A</v>
      </c>
    </row>
    <row r="2970" spans="1:5">
      <c r="A2970" s="64"/>
      <c r="E2970" t="e">
        <f t="shared" si="50"/>
        <v>#N/A</v>
      </c>
    </row>
    <row r="2971" spans="1:5">
      <c r="A2971" s="64"/>
      <c r="E2971" t="e">
        <f t="shared" si="50"/>
        <v>#N/A</v>
      </c>
    </row>
    <row r="2972" spans="1:5">
      <c r="A2972" s="64"/>
      <c r="E2972" t="e">
        <f t="shared" si="50"/>
        <v>#N/A</v>
      </c>
    </row>
    <row r="2973" spans="1:5">
      <c r="A2973" s="64"/>
      <c r="E2973" t="e">
        <f t="shared" si="50"/>
        <v>#N/A</v>
      </c>
    </row>
    <row r="2974" spans="1:5">
      <c r="A2974" s="64"/>
      <c r="E2974" t="e">
        <f t="shared" si="50"/>
        <v>#N/A</v>
      </c>
    </row>
    <row r="2975" spans="1:5">
      <c r="A2975" s="64"/>
      <c r="E2975" t="e">
        <f t="shared" si="50"/>
        <v>#N/A</v>
      </c>
    </row>
    <row r="2976" spans="1:5">
      <c r="A2976" s="64"/>
      <c r="E2976" t="e">
        <f t="shared" si="50"/>
        <v>#N/A</v>
      </c>
    </row>
    <row r="2977" spans="1:5">
      <c r="A2977" s="64"/>
      <c r="E2977" t="e">
        <f t="shared" si="50"/>
        <v>#N/A</v>
      </c>
    </row>
    <row r="2978" spans="1:5">
      <c r="A2978" s="64"/>
      <c r="E2978" t="e">
        <f t="shared" si="50"/>
        <v>#N/A</v>
      </c>
    </row>
    <row r="2979" spans="1:5">
      <c r="A2979" s="64"/>
      <c r="E2979" t="e">
        <f t="shared" si="50"/>
        <v>#N/A</v>
      </c>
    </row>
    <row r="2980" spans="1:5">
      <c r="A2980" s="64"/>
      <c r="E2980" t="e">
        <f t="shared" si="50"/>
        <v>#N/A</v>
      </c>
    </row>
    <row r="2981" spans="1:5">
      <c r="A2981" s="64"/>
      <c r="E2981" t="e">
        <f t="shared" si="50"/>
        <v>#N/A</v>
      </c>
    </row>
    <row r="2982" spans="1:5">
      <c r="A2982" s="64"/>
      <c r="E2982" t="e">
        <f t="shared" si="50"/>
        <v>#N/A</v>
      </c>
    </row>
    <row r="2983" spans="1:5">
      <c r="A2983" s="64"/>
      <c r="E2983" t="e">
        <f t="shared" si="50"/>
        <v>#N/A</v>
      </c>
    </row>
    <row r="2984" spans="1:5">
      <c r="A2984" s="64"/>
      <c r="E2984" t="e">
        <f t="shared" si="50"/>
        <v>#N/A</v>
      </c>
    </row>
    <row r="2985" spans="1:5">
      <c r="A2985" s="64"/>
      <c r="E2985" t="e">
        <f t="shared" si="50"/>
        <v>#N/A</v>
      </c>
    </row>
    <row r="2986" spans="1:5">
      <c r="A2986" s="64"/>
      <c r="E2986" t="e">
        <f t="shared" si="50"/>
        <v>#N/A</v>
      </c>
    </row>
    <row r="2987" spans="1:5">
      <c r="A2987" s="64"/>
      <c r="E2987" t="e">
        <f t="shared" si="50"/>
        <v>#N/A</v>
      </c>
    </row>
    <row r="2988" spans="1:5">
      <c r="A2988" s="64"/>
      <c r="E2988" t="e">
        <f t="shared" si="50"/>
        <v>#N/A</v>
      </c>
    </row>
    <row r="2989" spans="1:5">
      <c r="A2989" s="64"/>
      <c r="E2989" t="e">
        <f t="shared" si="50"/>
        <v>#N/A</v>
      </c>
    </row>
    <row r="2990" spans="1:5">
      <c r="A2990" s="64"/>
      <c r="E2990" t="e">
        <f t="shared" si="50"/>
        <v>#N/A</v>
      </c>
    </row>
    <row r="2991" spans="1:5">
      <c r="A2991" s="64"/>
      <c r="E2991" t="e">
        <f t="shared" si="50"/>
        <v>#N/A</v>
      </c>
    </row>
    <row r="2992" spans="1:5">
      <c r="A2992" s="64"/>
      <c r="E2992" t="e">
        <f t="shared" si="50"/>
        <v>#N/A</v>
      </c>
    </row>
    <row r="2993" spans="1:5">
      <c r="A2993" s="64"/>
      <c r="E2993" t="e">
        <f t="shared" si="50"/>
        <v>#N/A</v>
      </c>
    </row>
    <row r="2994" spans="1:5">
      <c r="A2994" s="64"/>
      <c r="E2994" t="e">
        <f t="shared" si="50"/>
        <v>#N/A</v>
      </c>
    </row>
    <row r="2995" spans="1:5">
      <c r="A2995" s="64"/>
      <c r="E2995" t="e">
        <f t="shared" si="50"/>
        <v>#N/A</v>
      </c>
    </row>
    <row r="2996" spans="1:5">
      <c r="A2996" s="64"/>
      <c r="E2996" t="e">
        <f t="shared" si="50"/>
        <v>#N/A</v>
      </c>
    </row>
    <row r="2997" spans="1:5">
      <c r="A2997" s="64"/>
      <c r="E2997" t="e">
        <f t="shared" si="50"/>
        <v>#N/A</v>
      </c>
    </row>
    <row r="2998" spans="1:5">
      <c r="A2998" s="64"/>
      <c r="E2998" t="e">
        <f t="shared" si="50"/>
        <v>#N/A</v>
      </c>
    </row>
    <row r="2999" spans="1:5">
      <c r="A2999" s="64"/>
      <c r="E2999" t="e">
        <f t="shared" si="50"/>
        <v>#N/A</v>
      </c>
    </row>
    <row r="3000" spans="1:5">
      <c r="A3000" s="64"/>
      <c r="E3000" t="e">
        <f t="shared" si="50"/>
        <v>#N/A</v>
      </c>
    </row>
    <row r="3001" spans="1:5">
      <c r="A3001" s="64"/>
      <c r="E3001" t="e">
        <f t="shared" si="50"/>
        <v>#N/A</v>
      </c>
    </row>
    <row r="3002" spans="1:5">
      <c r="A3002" s="64"/>
      <c r="E3002" t="e">
        <f t="shared" si="50"/>
        <v>#N/A</v>
      </c>
    </row>
    <row r="3003" spans="1:5">
      <c r="A3003" s="64"/>
      <c r="E3003" t="e">
        <f t="shared" si="50"/>
        <v>#N/A</v>
      </c>
    </row>
    <row r="3004" spans="1:5">
      <c r="A3004" s="64"/>
      <c r="E3004" t="e">
        <f t="shared" si="50"/>
        <v>#N/A</v>
      </c>
    </row>
    <row r="3005" spans="1:5">
      <c r="A3005" s="64"/>
      <c r="E3005" t="e">
        <f t="shared" si="50"/>
        <v>#N/A</v>
      </c>
    </row>
    <row r="3006" spans="1:5">
      <c r="A3006" s="64"/>
      <c r="E3006" t="e">
        <f t="shared" si="50"/>
        <v>#N/A</v>
      </c>
    </row>
    <row r="3007" spans="1:5">
      <c r="A3007" s="64"/>
      <c r="E3007" t="e">
        <f t="shared" si="50"/>
        <v>#N/A</v>
      </c>
    </row>
    <row r="3008" spans="1:5">
      <c r="A3008" s="64"/>
      <c r="E3008" t="e">
        <f t="shared" si="50"/>
        <v>#N/A</v>
      </c>
    </row>
    <row r="3009" spans="1:5">
      <c r="A3009" s="64"/>
      <c r="E3009" t="e">
        <f t="shared" si="50"/>
        <v>#N/A</v>
      </c>
    </row>
    <row r="3010" spans="1:5">
      <c r="A3010" s="64"/>
      <c r="E3010" t="e">
        <f t="shared" si="50"/>
        <v>#N/A</v>
      </c>
    </row>
    <row r="3011" spans="1:5">
      <c r="A3011" s="64"/>
      <c r="E3011" t="e">
        <f t="shared" si="50"/>
        <v>#N/A</v>
      </c>
    </row>
    <row r="3012" spans="1:5">
      <c r="A3012" s="64"/>
      <c r="E3012" t="e">
        <f t="shared" si="50"/>
        <v>#N/A</v>
      </c>
    </row>
    <row r="3013" spans="1:5">
      <c r="A3013" s="64"/>
      <c r="E3013" t="e">
        <f t="shared" si="50"/>
        <v>#N/A</v>
      </c>
    </row>
    <row r="3014" spans="1:5">
      <c r="A3014" s="64"/>
      <c r="E3014" t="e">
        <f t="shared" si="50"/>
        <v>#N/A</v>
      </c>
    </row>
    <row r="3015" spans="1:5">
      <c r="A3015" s="64"/>
      <c r="E3015" t="e">
        <f t="shared" si="50"/>
        <v>#N/A</v>
      </c>
    </row>
    <row r="3016" spans="1:5">
      <c r="A3016" s="64"/>
      <c r="E3016" t="e">
        <f t="shared" si="50"/>
        <v>#N/A</v>
      </c>
    </row>
    <row r="3017" spans="1:5">
      <c r="A3017" s="64"/>
      <c r="E3017" t="e">
        <f t="shared" si="50"/>
        <v>#N/A</v>
      </c>
    </row>
    <row r="3018" spans="1:5">
      <c r="A3018" s="64"/>
      <c r="E3018" t="e">
        <f t="shared" si="50"/>
        <v>#N/A</v>
      </c>
    </row>
    <row r="3019" spans="1:5">
      <c r="A3019" s="64"/>
      <c r="E3019" t="e">
        <f t="shared" si="50"/>
        <v>#N/A</v>
      </c>
    </row>
    <row r="3020" spans="1:5">
      <c r="A3020" s="64"/>
      <c r="E3020" t="e">
        <f t="shared" si="50"/>
        <v>#N/A</v>
      </c>
    </row>
    <row r="3021" spans="1:5">
      <c r="A3021" s="64"/>
      <c r="E3021" t="e">
        <f t="shared" ref="E3021:E3084" si="51">VLOOKUP(B3021,$Q$14:$R$62,2,FALSE)</f>
        <v>#N/A</v>
      </c>
    </row>
    <row r="3022" spans="1:5">
      <c r="A3022" s="64"/>
      <c r="E3022" t="e">
        <f t="shared" si="51"/>
        <v>#N/A</v>
      </c>
    </row>
    <row r="3023" spans="1:5">
      <c r="A3023" s="64"/>
      <c r="E3023" t="e">
        <f t="shared" si="51"/>
        <v>#N/A</v>
      </c>
    </row>
    <row r="3024" spans="1:5">
      <c r="A3024" s="64"/>
      <c r="E3024" t="e">
        <f t="shared" si="51"/>
        <v>#N/A</v>
      </c>
    </row>
    <row r="3025" spans="1:5">
      <c r="A3025" s="64"/>
      <c r="E3025" t="e">
        <f t="shared" si="51"/>
        <v>#N/A</v>
      </c>
    </row>
    <row r="3026" spans="1:5">
      <c r="A3026" s="64"/>
      <c r="E3026" t="e">
        <f t="shared" si="51"/>
        <v>#N/A</v>
      </c>
    </row>
    <row r="3027" spans="1:5">
      <c r="A3027" s="64"/>
      <c r="E3027" t="e">
        <f t="shared" si="51"/>
        <v>#N/A</v>
      </c>
    </row>
    <row r="3028" spans="1:5">
      <c r="A3028" s="64"/>
      <c r="E3028" t="e">
        <f t="shared" si="51"/>
        <v>#N/A</v>
      </c>
    </row>
    <row r="3029" spans="1:5">
      <c r="A3029" s="64"/>
      <c r="E3029" t="e">
        <f t="shared" si="51"/>
        <v>#N/A</v>
      </c>
    </row>
    <row r="3030" spans="1:5">
      <c r="A3030" s="64"/>
      <c r="E3030" t="e">
        <f t="shared" si="51"/>
        <v>#N/A</v>
      </c>
    </row>
    <row r="3031" spans="1:5">
      <c r="A3031" s="64"/>
      <c r="E3031" t="e">
        <f t="shared" si="51"/>
        <v>#N/A</v>
      </c>
    </row>
    <row r="3032" spans="1:5">
      <c r="A3032" s="64"/>
      <c r="E3032" t="e">
        <f t="shared" si="51"/>
        <v>#N/A</v>
      </c>
    </row>
    <row r="3033" spans="1:5">
      <c r="A3033" s="64"/>
      <c r="E3033" t="e">
        <f t="shared" si="51"/>
        <v>#N/A</v>
      </c>
    </row>
    <row r="3034" spans="1:5">
      <c r="A3034" s="64"/>
      <c r="E3034" t="e">
        <f t="shared" si="51"/>
        <v>#N/A</v>
      </c>
    </row>
    <row r="3035" spans="1:5">
      <c r="A3035" s="64"/>
      <c r="E3035" t="e">
        <f t="shared" si="51"/>
        <v>#N/A</v>
      </c>
    </row>
    <row r="3036" spans="1:5">
      <c r="A3036" s="64"/>
      <c r="E3036" t="e">
        <f t="shared" si="51"/>
        <v>#N/A</v>
      </c>
    </row>
    <row r="3037" spans="1:5">
      <c r="A3037" s="64"/>
      <c r="E3037" t="e">
        <f t="shared" si="51"/>
        <v>#N/A</v>
      </c>
    </row>
    <row r="3038" spans="1:5">
      <c r="A3038" s="64"/>
      <c r="E3038" t="e">
        <f t="shared" si="51"/>
        <v>#N/A</v>
      </c>
    </row>
    <row r="3039" spans="1:5">
      <c r="A3039" s="64"/>
      <c r="E3039" t="e">
        <f t="shared" si="51"/>
        <v>#N/A</v>
      </c>
    </row>
    <row r="3040" spans="1:5">
      <c r="A3040" s="64"/>
      <c r="E3040" t="e">
        <f t="shared" si="51"/>
        <v>#N/A</v>
      </c>
    </row>
    <row r="3041" spans="1:5">
      <c r="A3041" s="64"/>
      <c r="E3041" t="e">
        <f t="shared" si="51"/>
        <v>#N/A</v>
      </c>
    </row>
    <row r="3042" spans="1:5">
      <c r="A3042" s="64"/>
      <c r="E3042" t="e">
        <f t="shared" si="51"/>
        <v>#N/A</v>
      </c>
    </row>
    <row r="3043" spans="1:5">
      <c r="A3043" s="64"/>
      <c r="E3043" t="e">
        <f t="shared" si="51"/>
        <v>#N/A</v>
      </c>
    </row>
    <row r="3044" spans="1:5">
      <c r="A3044" s="64"/>
      <c r="E3044" t="e">
        <f t="shared" si="51"/>
        <v>#N/A</v>
      </c>
    </row>
    <row r="3045" spans="1:5">
      <c r="A3045" s="64"/>
      <c r="E3045" t="e">
        <f t="shared" si="51"/>
        <v>#N/A</v>
      </c>
    </row>
    <row r="3046" spans="1:5">
      <c r="A3046" s="64"/>
      <c r="E3046" t="e">
        <f t="shared" si="51"/>
        <v>#N/A</v>
      </c>
    </row>
    <row r="3047" spans="1:5">
      <c r="A3047" s="64"/>
      <c r="E3047" t="e">
        <f t="shared" si="51"/>
        <v>#N/A</v>
      </c>
    </row>
    <row r="3048" spans="1:5">
      <c r="A3048" s="64"/>
      <c r="E3048" t="e">
        <f t="shared" si="51"/>
        <v>#N/A</v>
      </c>
    </row>
    <row r="3049" spans="1:5">
      <c r="A3049" s="64"/>
      <c r="E3049" t="e">
        <f t="shared" si="51"/>
        <v>#N/A</v>
      </c>
    </row>
    <row r="3050" spans="1:5">
      <c r="A3050" s="64"/>
      <c r="E3050" t="e">
        <f t="shared" si="51"/>
        <v>#N/A</v>
      </c>
    </row>
    <row r="3051" spans="1:5">
      <c r="A3051" s="64"/>
      <c r="E3051" t="e">
        <f t="shared" si="51"/>
        <v>#N/A</v>
      </c>
    </row>
    <row r="3052" spans="1:5">
      <c r="A3052" s="64"/>
      <c r="E3052" t="e">
        <f t="shared" si="51"/>
        <v>#N/A</v>
      </c>
    </row>
    <row r="3053" spans="1:5">
      <c r="A3053" s="64"/>
      <c r="E3053" t="e">
        <f t="shared" si="51"/>
        <v>#N/A</v>
      </c>
    </row>
    <row r="3054" spans="1:5">
      <c r="A3054" s="64"/>
      <c r="E3054" t="e">
        <f t="shared" si="51"/>
        <v>#N/A</v>
      </c>
    </row>
    <row r="3055" spans="1:5">
      <c r="A3055" s="64"/>
      <c r="E3055" t="e">
        <f t="shared" si="51"/>
        <v>#N/A</v>
      </c>
    </row>
    <row r="3056" spans="1:5">
      <c r="A3056" s="64"/>
      <c r="E3056" t="e">
        <f t="shared" si="51"/>
        <v>#N/A</v>
      </c>
    </row>
    <row r="3057" spans="1:5">
      <c r="A3057" s="64"/>
      <c r="E3057" t="e">
        <f t="shared" si="51"/>
        <v>#N/A</v>
      </c>
    </row>
    <row r="3058" spans="1:5">
      <c r="A3058" s="64"/>
      <c r="E3058" t="e">
        <f t="shared" si="51"/>
        <v>#N/A</v>
      </c>
    </row>
    <row r="3059" spans="1:5">
      <c r="A3059" s="64"/>
      <c r="E3059" t="e">
        <f t="shared" si="51"/>
        <v>#N/A</v>
      </c>
    </row>
    <row r="3060" spans="1:5">
      <c r="A3060" s="64"/>
      <c r="E3060" t="e">
        <f t="shared" si="51"/>
        <v>#N/A</v>
      </c>
    </row>
    <row r="3061" spans="1:5">
      <c r="A3061" s="64"/>
      <c r="E3061" t="e">
        <f t="shared" si="51"/>
        <v>#N/A</v>
      </c>
    </row>
    <row r="3062" spans="1:5">
      <c r="A3062" s="64"/>
      <c r="E3062" t="e">
        <f t="shared" si="51"/>
        <v>#N/A</v>
      </c>
    </row>
    <row r="3063" spans="1:5">
      <c r="A3063" s="64"/>
      <c r="E3063" t="e">
        <f t="shared" si="51"/>
        <v>#N/A</v>
      </c>
    </row>
    <row r="3064" spans="1:5">
      <c r="A3064" s="64"/>
      <c r="E3064" t="e">
        <f t="shared" si="51"/>
        <v>#N/A</v>
      </c>
    </row>
    <row r="3065" spans="1:5">
      <c r="A3065" s="64"/>
      <c r="E3065" t="e">
        <f t="shared" si="51"/>
        <v>#N/A</v>
      </c>
    </row>
    <row r="3066" spans="1:5">
      <c r="A3066" s="64"/>
      <c r="E3066" t="e">
        <f t="shared" si="51"/>
        <v>#N/A</v>
      </c>
    </row>
    <row r="3067" spans="1:5">
      <c r="A3067" s="64"/>
      <c r="E3067" t="e">
        <f t="shared" si="51"/>
        <v>#N/A</v>
      </c>
    </row>
    <row r="3068" spans="1:5">
      <c r="A3068" s="64"/>
      <c r="E3068" t="e">
        <f t="shared" si="51"/>
        <v>#N/A</v>
      </c>
    </row>
    <row r="3069" spans="1:5">
      <c r="A3069" s="64"/>
      <c r="E3069" t="e">
        <f t="shared" si="51"/>
        <v>#N/A</v>
      </c>
    </row>
    <row r="3070" spans="1:5">
      <c r="A3070" s="64"/>
      <c r="E3070" t="e">
        <f t="shared" si="51"/>
        <v>#N/A</v>
      </c>
    </row>
    <row r="3071" spans="1:5">
      <c r="A3071" s="64"/>
      <c r="E3071" t="e">
        <f t="shared" si="51"/>
        <v>#N/A</v>
      </c>
    </row>
    <row r="3072" spans="1:5">
      <c r="A3072" s="64"/>
      <c r="E3072" t="e">
        <f t="shared" si="51"/>
        <v>#N/A</v>
      </c>
    </row>
    <row r="3073" spans="1:5">
      <c r="A3073" s="64"/>
      <c r="E3073" t="e">
        <f t="shared" si="51"/>
        <v>#N/A</v>
      </c>
    </row>
    <row r="3074" spans="1:5">
      <c r="A3074" s="64"/>
      <c r="E3074" t="e">
        <f t="shared" si="51"/>
        <v>#N/A</v>
      </c>
    </row>
    <row r="3075" spans="1:5">
      <c r="A3075" s="64"/>
      <c r="E3075" t="e">
        <f t="shared" si="51"/>
        <v>#N/A</v>
      </c>
    </row>
    <row r="3076" spans="1:5">
      <c r="A3076" s="64"/>
      <c r="E3076" t="e">
        <f t="shared" si="51"/>
        <v>#N/A</v>
      </c>
    </row>
    <row r="3077" spans="1:5">
      <c r="A3077" s="64"/>
      <c r="E3077" t="e">
        <f t="shared" si="51"/>
        <v>#N/A</v>
      </c>
    </row>
    <row r="3078" spans="1:5">
      <c r="A3078" s="64"/>
      <c r="E3078" t="e">
        <f t="shared" si="51"/>
        <v>#N/A</v>
      </c>
    </row>
    <row r="3079" spans="1:5">
      <c r="A3079" s="64"/>
      <c r="E3079" t="e">
        <f t="shared" si="51"/>
        <v>#N/A</v>
      </c>
    </row>
    <row r="3080" spans="1:5">
      <c r="A3080" s="64"/>
      <c r="E3080" t="e">
        <f t="shared" si="51"/>
        <v>#N/A</v>
      </c>
    </row>
    <row r="3081" spans="1:5">
      <c r="A3081" s="64"/>
      <c r="E3081" t="e">
        <f t="shared" si="51"/>
        <v>#N/A</v>
      </c>
    </row>
    <row r="3082" spans="1:5">
      <c r="A3082" s="64"/>
      <c r="E3082" t="e">
        <f t="shared" si="51"/>
        <v>#N/A</v>
      </c>
    </row>
    <row r="3083" spans="1:5">
      <c r="A3083" s="64"/>
      <c r="E3083" t="e">
        <f t="shared" si="51"/>
        <v>#N/A</v>
      </c>
    </row>
    <row r="3084" spans="1:5">
      <c r="A3084" s="64"/>
      <c r="E3084" t="e">
        <f t="shared" si="51"/>
        <v>#N/A</v>
      </c>
    </row>
    <row r="3085" spans="1:5">
      <c r="A3085" s="64"/>
      <c r="E3085" t="e">
        <f t="shared" ref="E3085:E3148" si="52">VLOOKUP(B3085,$Q$14:$R$62,2,FALSE)</f>
        <v>#N/A</v>
      </c>
    </row>
    <row r="3086" spans="1:5">
      <c r="A3086" s="64"/>
      <c r="E3086" t="e">
        <f t="shared" si="52"/>
        <v>#N/A</v>
      </c>
    </row>
    <row r="3087" spans="1:5">
      <c r="A3087" s="64"/>
      <c r="E3087" t="e">
        <f t="shared" si="52"/>
        <v>#N/A</v>
      </c>
    </row>
    <row r="3088" spans="1:5">
      <c r="A3088" s="64"/>
      <c r="E3088" t="e">
        <f t="shared" si="52"/>
        <v>#N/A</v>
      </c>
    </row>
    <row r="3089" spans="1:5">
      <c r="A3089" s="64"/>
      <c r="E3089" t="e">
        <f t="shared" si="52"/>
        <v>#N/A</v>
      </c>
    </row>
    <row r="3090" spans="1:5">
      <c r="A3090" s="64"/>
      <c r="E3090" t="e">
        <f t="shared" si="52"/>
        <v>#N/A</v>
      </c>
    </row>
    <row r="3091" spans="1:5">
      <c r="A3091" s="64"/>
      <c r="E3091" t="e">
        <f t="shared" si="52"/>
        <v>#N/A</v>
      </c>
    </row>
    <row r="3092" spans="1:5">
      <c r="A3092" s="64"/>
      <c r="E3092" t="e">
        <f t="shared" si="52"/>
        <v>#N/A</v>
      </c>
    </row>
    <row r="3093" spans="1:5">
      <c r="A3093" s="64"/>
      <c r="E3093" t="e">
        <f t="shared" si="52"/>
        <v>#N/A</v>
      </c>
    </row>
    <row r="3094" spans="1:5">
      <c r="A3094" s="64"/>
      <c r="E3094" t="e">
        <f t="shared" si="52"/>
        <v>#N/A</v>
      </c>
    </row>
    <row r="3095" spans="1:5">
      <c r="A3095" s="64"/>
      <c r="E3095" t="e">
        <f t="shared" si="52"/>
        <v>#N/A</v>
      </c>
    </row>
    <row r="3096" spans="1:5">
      <c r="A3096" s="64"/>
      <c r="E3096" t="e">
        <f t="shared" si="52"/>
        <v>#N/A</v>
      </c>
    </row>
    <row r="3097" spans="1:5">
      <c r="A3097" s="64"/>
      <c r="E3097" t="e">
        <f t="shared" si="52"/>
        <v>#N/A</v>
      </c>
    </row>
    <row r="3098" spans="1:5">
      <c r="A3098" s="64"/>
      <c r="E3098" t="e">
        <f t="shared" si="52"/>
        <v>#N/A</v>
      </c>
    </row>
    <row r="3099" spans="1:5">
      <c r="A3099" s="64"/>
      <c r="E3099" t="e">
        <f t="shared" si="52"/>
        <v>#N/A</v>
      </c>
    </row>
    <row r="3100" spans="1:5">
      <c r="A3100" s="64"/>
      <c r="E3100" t="e">
        <f t="shared" si="52"/>
        <v>#N/A</v>
      </c>
    </row>
    <row r="3101" spans="1:5">
      <c r="A3101" s="64"/>
      <c r="E3101" t="e">
        <f t="shared" si="52"/>
        <v>#N/A</v>
      </c>
    </row>
    <row r="3102" spans="1:5">
      <c r="A3102" s="64"/>
      <c r="E3102" t="e">
        <f t="shared" si="52"/>
        <v>#N/A</v>
      </c>
    </row>
    <row r="3103" spans="1:5">
      <c r="A3103" s="64"/>
      <c r="E3103" t="e">
        <f t="shared" si="52"/>
        <v>#N/A</v>
      </c>
    </row>
    <row r="3104" spans="1:5">
      <c r="A3104" s="64"/>
      <c r="E3104" t="e">
        <f t="shared" si="52"/>
        <v>#N/A</v>
      </c>
    </row>
    <row r="3105" spans="1:5">
      <c r="A3105" s="64"/>
      <c r="E3105" t="e">
        <f t="shared" si="52"/>
        <v>#N/A</v>
      </c>
    </row>
    <row r="3106" spans="1:5">
      <c r="A3106" s="64"/>
      <c r="E3106" t="e">
        <f t="shared" si="52"/>
        <v>#N/A</v>
      </c>
    </row>
    <row r="3107" spans="1:5">
      <c r="A3107" s="64"/>
      <c r="E3107" t="e">
        <f t="shared" si="52"/>
        <v>#N/A</v>
      </c>
    </row>
    <row r="3108" spans="1:5">
      <c r="A3108" s="64"/>
      <c r="E3108" t="e">
        <f t="shared" si="52"/>
        <v>#N/A</v>
      </c>
    </row>
    <row r="3109" spans="1:5">
      <c r="A3109" s="64"/>
      <c r="E3109" t="e">
        <f t="shared" si="52"/>
        <v>#N/A</v>
      </c>
    </row>
    <row r="3110" spans="1:5">
      <c r="A3110" s="64"/>
      <c r="E3110" t="e">
        <f t="shared" si="52"/>
        <v>#N/A</v>
      </c>
    </row>
    <row r="3111" spans="1:5">
      <c r="A3111" s="64"/>
      <c r="E3111" t="e">
        <f t="shared" si="52"/>
        <v>#N/A</v>
      </c>
    </row>
    <row r="3112" spans="1:5">
      <c r="A3112" s="64"/>
      <c r="E3112" t="e">
        <f t="shared" si="52"/>
        <v>#N/A</v>
      </c>
    </row>
    <row r="3113" spans="1:5">
      <c r="A3113" s="64"/>
      <c r="E3113" t="e">
        <f t="shared" si="52"/>
        <v>#N/A</v>
      </c>
    </row>
    <row r="3114" spans="1:5">
      <c r="A3114" s="64"/>
      <c r="E3114" t="e">
        <f t="shared" si="52"/>
        <v>#N/A</v>
      </c>
    </row>
    <row r="3115" spans="1:5">
      <c r="A3115" s="64"/>
      <c r="E3115" t="e">
        <f t="shared" si="52"/>
        <v>#N/A</v>
      </c>
    </row>
    <row r="3116" spans="1:5">
      <c r="A3116" s="64"/>
      <c r="E3116" t="e">
        <f t="shared" si="52"/>
        <v>#N/A</v>
      </c>
    </row>
    <row r="3117" spans="1:5">
      <c r="A3117" s="64"/>
      <c r="E3117" t="e">
        <f t="shared" si="52"/>
        <v>#N/A</v>
      </c>
    </row>
    <row r="3118" spans="1:5">
      <c r="A3118" s="64"/>
      <c r="E3118" t="e">
        <f t="shared" si="52"/>
        <v>#N/A</v>
      </c>
    </row>
    <row r="3119" spans="1:5">
      <c r="A3119" s="64"/>
      <c r="E3119" t="e">
        <f t="shared" si="52"/>
        <v>#N/A</v>
      </c>
    </row>
    <row r="3120" spans="1:5">
      <c r="A3120" s="64"/>
      <c r="E3120" t="e">
        <f t="shared" si="52"/>
        <v>#N/A</v>
      </c>
    </row>
    <row r="3121" spans="1:5">
      <c r="A3121" s="64"/>
      <c r="E3121" t="e">
        <f t="shared" si="52"/>
        <v>#N/A</v>
      </c>
    </row>
    <row r="3122" spans="1:5">
      <c r="A3122" s="64"/>
      <c r="E3122" t="e">
        <f t="shared" si="52"/>
        <v>#N/A</v>
      </c>
    </row>
    <row r="3123" spans="1:5">
      <c r="A3123" s="64"/>
      <c r="E3123" t="e">
        <f t="shared" si="52"/>
        <v>#N/A</v>
      </c>
    </row>
    <row r="3124" spans="1:5">
      <c r="A3124" s="64"/>
      <c r="E3124" t="e">
        <f t="shared" si="52"/>
        <v>#N/A</v>
      </c>
    </row>
    <row r="3125" spans="1:5">
      <c r="A3125" s="64"/>
      <c r="E3125" t="e">
        <f t="shared" si="52"/>
        <v>#N/A</v>
      </c>
    </row>
    <row r="3126" spans="1:5">
      <c r="A3126" s="64"/>
      <c r="E3126" t="e">
        <f t="shared" si="52"/>
        <v>#N/A</v>
      </c>
    </row>
    <row r="3127" spans="1:5">
      <c r="A3127" s="64"/>
      <c r="E3127" t="e">
        <f t="shared" si="52"/>
        <v>#N/A</v>
      </c>
    </row>
    <row r="3128" spans="1:5">
      <c r="A3128" s="64"/>
      <c r="E3128" t="e">
        <f t="shared" si="52"/>
        <v>#N/A</v>
      </c>
    </row>
    <row r="3129" spans="1:5">
      <c r="A3129" s="64"/>
      <c r="E3129" t="e">
        <f t="shared" si="52"/>
        <v>#N/A</v>
      </c>
    </row>
    <row r="3130" spans="1:5">
      <c r="A3130" s="64"/>
      <c r="E3130" t="e">
        <f t="shared" si="52"/>
        <v>#N/A</v>
      </c>
    </row>
    <row r="3131" spans="1:5">
      <c r="A3131" s="64"/>
      <c r="E3131" t="e">
        <f t="shared" si="52"/>
        <v>#N/A</v>
      </c>
    </row>
    <row r="3132" spans="1:5">
      <c r="A3132" s="64"/>
      <c r="E3132" t="e">
        <f t="shared" si="52"/>
        <v>#N/A</v>
      </c>
    </row>
    <row r="3133" spans="1:5">
      <c r="A3133" s="64"/>
      <c r="E3133" t="e">
        <f t="shared" si="52"/>
        <v>#N/A</v>
      </c>
    </row>
    <row r="3134" spans="1:5">
      <c r="A3134" s="64"/>
      <c r="E3134" t="e">
        <f t="shared" si="52"/>
        <v>#N/A</v>
      </c>
    </row>
    <row r="3135" spans="1:5">
      <c r="A3135" s="64"/>
      <c r="E3135" t="e">
        <f t="shared" si="52"/>
        <v>#N/A</v>
      </c>
    </row>
    <row r="3136" spans="1:5">
      <c r="A3136" s="64"/>
      <c r="E3136" t="e">
        <f t="shared" si="52"/>
        <v>#N/A</v>
      </c>
    </row>
    <row r="3137" spans="1:5">
      <c r="A3137" s="64"/>
      <c r="E3137" t="e">
        <f t="shared" si="52"/>
        <v>#N/A</v>
      </c>
    </row>
    <row r="3138" spans="1:5">
      <c r="A3138" s="64"/>
      <c r="E3138" t="e">
        <f t="shared" si="52"/>
        <v>#N/A</v>
      </c>
    </row>
    <row r="3139" spans="1:5">
      <c r="A3139" s="64"/>
      <c r="E3139" t="e">
        <f t="shared" si="52"/>
        <v>#N/A</v>
      </c>
    </row>
    <row r="3140" spans="1:5">
      <c r="A3140" s="64"/>
      <c r="E3140" t="e">
        <f t="shared" si="52"/>
        <v>#N/A</v>
      </c>
    </row>
    <row r="3141" spans="1:5">
      <c r="A3141" s="64"/>
      <c r="E3141" t="e">
        <f t="shared" si="52"/>
        <v>#N/A</v>
      </c>
    </row>
    <row r="3142" spans="1:5">
      <c r="A3142" s="64"/>
      <c r="E3142" t="e">
        <f t="shared" si="52"/>
        <v>#N/A</v>
      </c>
    </row>
    <row r="3143" spans="1:5">
      <c r="A3143" s="64"/>
      <c r="E3143" t="e">
        <f t="shared" si="52"/>
        <v>#N/A</v>
      </c>
    </row>
    <row r="3144" spans="1:5">
      <c r="A3144" s="64"/>
      <c r="E3144" t="e">
        <f t="shared" si="52"/>
        <v>#N/A</v>
      </c>
    </row>
    <row r="3145" spans="1:5">
      <c r="A3145" s="64"/>
      <c r="E3145" t="e">
        <f t="shared" si="52"/>
        <v>#N/A</v>
      </c>
    </row>
    <row r="3146" spans="1:5">
      <c r="A3146" s="64"/>
      <c r="E3146" t="e">
        <f t="shared" si="52"/>
        <v>#N/A</v>
      </c>
    </row>
    <row r="3147" spans="1:5">
      <c r="A3147" s="64"/>
      <c r="E3147" t="e">
        <f t="shared" si="52"/>
        <v>#N/A</v>
      </c>
    </row>
    <row r="3148" spans="1:5">
      <c r="A3148" s="64"/>
      <c r="E3148" t="e">
        <f t="shared" si="52"/>
        <v>#N/A</v>
      </c>
    </row>
    <row r="3149" spans="1:5">
      <c r="A3149" s="64"/>
      <c r="E3149" t="e">
        <f t="shared" ref="E3149:E3212" si="53">VLOOKUP(B3149,$Q$14:$R$62,2,FALSE)</f>
        <v>#N/A</v>
      </c>
    </row>
    <row r="3150" spans="1:5">
      <c r="A3150" s="64"/>
      <c r="E3150" t="e">
        <f t="shared" si="53"/>
        <v>#N/A</v>
      </c>
    </row>
    <row r="3151" spans="1:5">
      <c r="A3151" s="64"/>
      <c r="E3151" t="e">
        <f t="shared" si="53"/>
        <v>#N/A</v>
      </c>
    </row>
    <row r="3152" spans="1:5">
      <c r="A3152" s="64"/>
      <c r="E3152" t="e">
        <f t="shared" si="53"/>
        <v>#N/A</v>
      </c>
    </row>
    <row r="3153" spans="1:5">
      <c r="A3153" s="64"/>
      <c r="E3153" t="e">
        <f t="shared" si="53"/>
        <v>#N/A</v>
      </c>
    </row>
    <row r="3154" spans="1:5">
      <c r="A3154" s="64"/>
      <c r="E3154" t="e">
        <f t="shared" si="53"/>
        <v>#N/A</v>
      </c>
    </row>
    <row r="3155" spans="1:5">
      <c r="A3155" s="64"/>
      <c r="E3155" t="e">
        <f t="shared" si="53"/>
        <v>#N/A</v>
      </c>
    </row>
    <row r="3156" spans="1:5">
      <c r="A3156" s="64"/>
      <c r="E3156" t="e">
        <f t="shared" si="53"/>
        <v>#N/A</v>
      </c>
    </row>
    <row r="3157" spans="1:5">
      <c r="A3157" s="64"/>
      <c r="E3157" t="e">
        <f t="shared" si="53"/>
        <v>#N/A</v>
      </c>
    </row>
    <row r="3158" spans="1:5">
      <c r="A3158" s="64"/>
      <c r="E3158" t="e">
        <f t="shared" si="53"/>
        <v>#N/A</v>
      </c>
    </row>
    <row r="3159" spans="1:5">
      <c r="A3159" s="64"/>
      <c r="E3159" t="e">
        <f t="shared" si="53"/>
        <v>#N/A</v>
      </c>
    </row>
    <row r="3160" spans="1:5">
      <c r="A3160" s="64"/>
      <c r="E3160" t="e">
        <f t="shared" si="53"/>
        <v>#N/A</v>
      </c>
    </row>
    <row r="3161" spans="1:5">
      <c r="A3161" s="64"/>
      <c r="E3161" t="e">
        <f t="shared" si="53"/>
        <v>#N/A</v>
      </c>
    </row>
    <row r="3162" spans="1:5">
      <c r="A3162" s="64"/>
      <c r="E3162" t="e">
        <f t="shared" si="53"/>
        <v>#N/A</v>
      </c>
    </row>
    <row r="3163" spans="1:5">
      <c r="A3163" s="64"/>
      <c r="E3163" t="e">
        <f t="shared" si="53"/>
        <v>#N/A</v>
      </c>
    </row>
    <row r="3164" spans="1:5">
      <c r="A3164" s="64"/>
      <c r="E3164" t="e">
        <f t="shared" si="53"/>
        <v>#N/A</v>
      </c>
    </row>
    <row r="3165" spans="1:5">
      <c r="A3165" s="64"/>
      <c r="E3165" t="e">
        <f t="shared" si="53"/>
        <v>#N/A</v>
      </c>
    </row>
    <row r="3166" spans="1:5">
      <c r="A3166" s="64"/>
      <c r="E3166" t="e">
        <f t="shared" si="53"/>
        <v>#N/A</v>
      </c>
    </row>
    <row r="3167" spans="1:5">
      <c r="A3167" s="64"/>
      <c r="E3167" t="e">
        <f t="shared" si="53"/>
        <v>#N/A</v>
      </c>
    </row>
    <row r="3168" spans="1:5">
      <c r="A3168" s="64"/>
      <c r="E3168" t="e">
        <f t="shared" si="53"/>
        <v>#N/A</v>
      </c>
    </row>
    <row r="3169" spans="1:5">
      <c r="A3169" s="64"/>
      <c r="E3169" t="e">
        <f t="shared" si="53"/>
        <v>#N/A</v>
      </c>
    </row>
    <row r="3170" spans="1:5">
      <c r="A3170" s="64"/>
      <c r="E3170" t="e">
        <f t="shared" si="53"/>
        <v>#N/A</v>
      </c>
    </row>
    <row r="3171" spans="1:5">
      <c r="A3171" s="64"/>
      <c r="E3171" t="e">
        <f t="shared" si="53"/>
        <v>#N/A</v>
      </c>
    </row>
    <row r="3172" spans="1:5">
      <c r="A3172" s="64"/>
      <c r="E3172" t="e">
        <f t="shared" si="53"/>
        <v>#N/A</v>
      </c>
    </row>
    <row r="3173" spans="1:5">
      <c r="A3173" s="64"/>
      <c r="E3173" t="e">
        <f t="shared" si="53"/>
        <v>#N/A</v>
      </c>
    </row>
    <row r="3174" spans="1:5">
      <c r="A3174" s="64"/>
      <c r="E3174" t="e">
        <f t="shared" si="53"/>
        <v>#N/A</v>
      </c>
    </row>
    <row r="3175" spans="1:5">
      <c r="A3175" s="64"/>
      <c r="E3175" t="e">
        <f t="shared" si="53"/>
        <v>#N/A</v>
      </c>
    </row>
    <row r="3176" spans="1:5">
      <c r="A3176" s="64"/>
      <c r="E3176" t="e">
        <f t="shared" si="53"/>
        <v>#N/A</v>
      </c>
    </row>
    <row r="3177" spans="1:5">
      <c r="A3177" s="64"/>
      <c r="E3177" t="e">
        <f t="shared" si="53"/>
        <v>#N/A</v>
      </c>
    </row>
    <row r="3178" spans="1:5">
      <c r="A3178" s="64"/>
      <c r="E3178" t="e">
        <f t="shared" si="53"/>
        <v>#N/A</v>
      </c>
    </row>
    <row r="3179" spans="1:5">
      <c r="A3179" s="64"/>
      <c r="E3179" t="e">
        <f t="shared" si="53"/>
        <v>#N/A</v>
      </c>
    </row>
    <row r="3180" spans="1:5">
      <c r="A3180" s="64"/>
      <c r="E3180" t="e">
        <f t="shared" si="53"/>
        <v>#N/A</v>
      </c>
    </row>
    <row r="3181" spans="1:5">
      <c r="A3181" s="64"/>
      <c r="E3181" t="e">
        <f t="shared" si="53"/>
        <v>#N/A</v>
      </c>
    </row>
    <row r="3182" spans="1:5">
      <c r="A3182" s="64"/>
      <c r="E3182" t="e">
        <f t="shared" si="53"/>
        <v>#N/A</v>
      </c>
    </row>
    <row r="3183" spans="1:5">
      <c r="A3183" s="64"/>
      <c r="E3183" t="e">
        <f t="shared" si="53"/>
        <v>#N/A</v>
      </c>
    </row>
    <row r="3184" spans="1:5">
      <c r="A3184" s="64"/>
      <c r="E3184" t="e">
        <f t="shared" si="53"/>
        <v>#N/A</v>
      </c>
    </row>
    <row r="3185" spans="1:5">
      <c r="A3185" s="64"/>
      <c r="E3185" t="e">
        <f t="shared" si="53"/>
        <v>#N/A</v>
      </c>
    </row>
    <row r="3186" spans="1:5">
      <c r="A3186" s="64"/>
      <c r="E3186" t="e">
        <f t="shared" si="53"/>
        <v>#N/A</v>
      </c>
    </row>
    <row r="3187" spans="1:5">
      <c r="A3187" s="64"/>
      <c r="E3187" t="e">
        <f t="shared" si="53"/>
        <v>#N/A</v>
      </c>
    </row>
    <row r="3188" spans="1:5">
      <c r="A3188" s="64"/>
      <c r="E3188" t="e">
        <f t="shared" si="53"/>
        <v>#N/A</v>
      </c>
    </row>
    <row r="3189" spans="1:5">
      <c r="A3189" s="64"/>
      <c r="E3189" t="e">
        <f t="shared" si="53"/>
        <v>#N/A</v>
      </c>
    </row>
    <row r="3190" spans="1:5">
      <c r="A3190" s="64"/>
      <c r="E3190" t="e">
        <f t="shared" si="53"/>
        <v>#N/A</v>
      </c>
    </row>
    <row r="3191" spans="1:5">
      <c r="A3191" s="64"/>
      <c r="E3191" t="e">
        <f t="shared" si="53"/>
        <v>#N/A</v>
      </c>
    </row>
    <row r="3192" spans="1:5">
      <c r="A3192" s="64"/>
      <c r="E3192" t="e">
        <f t="shared" si="53"/>
        <v>#N/A</v>
      </c>
    </row>
    <row r="3193" spans="1:5">
      <c r="A3193" s="64"/>
      <c r="E3193" t="e">
        <f t="shared" si="53"/>
        <v>#N/A</v>
      </c>
    </row>
    <row r="3194" spans="1:5">
      <c r="A3194" s="64"/>
      <c r="E3194" t="e">
        <f t="shared" si="53"/>
        <v>#N/A</v>
      </c>
    </row>
    <row r="3195" spans="1:5">
      <c r="A3195" s="64"/>
      <c r="E3195" t="e">
        <f t="shared" si="53"/>
        <v>#N/A</v>
      </c>
    </row>
    <row r="3196" spans="1:5">
      <c r="A3196" s="64"/>
      <c r="E3196" t="e">
        <f t="shared" si="53"/>
        <v>#N/A</v>
      </c>
    </row>
    <row r="3197" spans="1:5">
      <c r="A3197" s="64"/>
      <c r="E3197" t="e">
        <f t="shared" si="53"/>
        <v>#N/A</v>
      </c>
    </row>
    <row r="3198" spans="1:5">
      <c r="A3198" s="64"/>
      <c r="E3198" t="e">
        <f t="shared" si="53"/>
        <v>#N/A</v>
      </c>
    </row>
    <row r="3199" spans="1:5">
      <c r="A3199" s="64"/>
      <c r="E3199" t="e">
        <f t="shared" si="53"/>
        <v>#N/A</v>
      </c>
    </row>
    <row r="3200" spans="1:5">
      <c r="A3200" s="64"/>
      <c r="E3200" t="e">
        <f t="shared" si="53"/>
        <v>#N/A</v>
      </c>
    </row>
    <row r="3201" spans="1:5">
      <c r="A3201" s="64"/>
      <c r="E3201" t="e">
        <f t="shared" si="53"/>
        <v>#N/A</v>
      </c>
    </row>
    <row r="3202" spans="1:5">
      <c r="A3202" s="64"/>
      <c r="E3202" t="e">
        <f t="shared" si="53"/>
        <v>#N/A</v>
      </c>
    </row>
    <row r="3203" spans="1:5">
      <c r="A3203" s="64"/>
      <c r="E3203" t="e">
        <f t="shared" si="53"/>
        <v>#N/A</v>
      </c>
    </row>
    <row r="3204" spans="1:5">
      <c r="A3204" s="64"/>
      <c r="E3204" t="e">
        <f t="shared" si="53"/>
        <v>#N/A</v>
      </c>
    </row>
    <row r="3205" spans="1:5">
      <c r="A3205" s="64"/>
      <c r="E3205" t="e">
        <f t="shared" si="53"/>
        <v>#N/A</v>
      </c>
    </row>
    <row r="3206" spans="1:5">
      <c r="A3206" s="64"/>
      <c r="E3206" t="e">
        <f t="shared" si="53"/>
        <v>#N/A</v>
      </c>
    </row>
    <row r="3207" spans="1:5">
      <c r="A3207" s="64"/>
      <c r="E3207" t="e">
        <f t="shared" si="53"/>
        <v>#N/A</v>
      </c>
    </row>
    <row r="3208" spans="1:5">
      <c r="A3208" s="64"/>
      <c r="E3208" t="e">
        <f t="shared" si="53"/>
        <v>#N/A</v>
      </c>
    </row>
    <row r="3209" spans="1:5">
      <c r="A3209" s="64"/>
      <c r="E3209" t="e">
        <f t="shared" si="53"/>
        <v>#N/A</v>
      </c>
    </row>
    <row r="3210" spans="1:5">
      <c r="A3210" s="64"/>
      <c r="E3210" t="e">
        <f t="shared" si="53"/>
        <v>#N/A</v>
      </c>
    </row>
    <row r="3211" spans="1:5">
      <c r="A3211" s="64"/>
      <c r="E3211" t="e">
        <f t="shared" si="53"/>
        <v>#N/A</v>
      </c>
    </row>
    <row r="3212" spans="1:5">
      <c r="A3212" s="64"/>
      <c r="E3212" t="e">
        <f t="shared" si="53"/>
        <v>#N/A</v>
      </c>
    </row>
    <row r="3213" spans="1:5">
      <c r="A3213" s="64"/>
      <c r="E3213" t="e">
        <f t="shared" ref="E3213:E3276" si="54">VLOOKUP(B3213,$Q$14:$R$62,2,FALSE)</f>
        <v>#N/A</v>
      </c>
    </row>
    <row r="3214" spans="1:5">
      <c r="A3214" s="64"/>
      <c r="E3214" t="e">
        <f t="shared" si="54"/>
        <v>#N/A</v>
      </c>
    </row>
    <row r="3215" spans="1:5">
      <c r="A3215" s="64"/>
      <c r="E3215" t="e">
        <f t="shared" si="54"/>
        <v>#N/A</v>
      </c>
    </row>
    <row r="3216" spans="1:5">
      <c r="A3216" s="64"/>
      <c r="E3216" t="e">
        <f t="shared" si="54"/>
        <v>#N/A</v>
      </c>
    </row>
    <row r="3217" spans="1:5">
      <c r="A3217" s="64"/>
      <c r="E3217" t="e">
        <f t="shared" si="54"/>
        <v>#N/A</v>
      </c>
    </row>
    <row r="3218" spans="1:5">
      <c r="A3218" s="64"/>
      <c r="E3218" t="e">
        <f t="shared" si="54"/>
        <v>#N/A</v>
      </c>
    </row>
    <row r="3219" spans="1:5">
      <c r="A3219" s="64"/>
      <c r="E3219" t="e">
        <f t="shared" si="54"/>
        <v>#N/A</v>
      </c>
    </row>
    <row r="3220" spans="1:5">
      <c r="A3220" s="64"/>
      <c r="E3220" t="e">
        <f t="shared" si="54"/>
        <v>#N/A</v>
      </c>
    </row>
    <row r="3221" spans="1:5">
      <c r="A3221" s="64"/>
      <c r="E3221" t="e">
        <f t="shared" si="54"/>
        <v>#N/A</v>
      </c>
    </row>
    <row r="3222" spans="1:5">
      <c r="A3222" s="64"/>
      <c r="E3222" t="e">
        <f t="shared" si="54"/>
        <v>#N/A</v>
      </c>
    </row>
    <row r="3223" spans="1:5">
      <c r="A3223" s="64"/>
      <c r="E3223" t="e">
        <f t="shared" si="54"/>
        <v>#N/A</v>
      </c>
    </row>
    <row r="3224" spans="1:5">
      <c r="A3224" s="64"/>
      <c r="E3224" t="e">
        <f t="shared" si="54"/>
        <v>#N/A</v>
      </c>
    </row>
    <row r="3225" spans="1:5">
      <c r="A3225" s="64"/>
      <c r="E3225" t="e">
        <f t="shared" si="54"/>
        <v>#N/A</v>
      </c>
    </row>
    <row r="3226" spans="1:5">
      <c r="A3226" s="64"/>
      <c r="E3226" t="e">
        <f t="shared" si="54"/>
        <v>#N/A</v>
      </c>
    </row>
    <row r="3227" spans="1:5">
      <c r="A3227" s="64"/>
      <c r="E3227" t="e">
        <f t="shared" si="54"/>
        <v>#N/A</v>
      </c>
    </row>
    <row r="3228" spans="1:5">
      <c r="A3228" s="64"/>
      <c r="E3228" t="e">
        <f t="shared" si="54"/>
        <v>#N/A</v>
      </c>
    </row>
    <row r="3229" spans="1:5">
      <c r="A3229" s="64"/>
      <c r="E3229" t="e">
        <f t="shared" si="54"/>
        <v>#N/A</v>
      </c>
    </row>
    <row r="3230" spans="1:5">
      <c r="A3230" s="64"/>
      <c r="E3230" t="e">
        <f t="shared" si="54"/>
        <v>#N/A</v>
      </c>
    </row>
    <row r="3231" spans="1:5">
      <c r="A3231" s="64"/>
      <c r="E3231" t="e">
        <f t="shared" si="54"/>
        <v>#N/A</v>
      </c>
    </row>
    <row r="3232" spans="1:5">
      <c r="A3232" s="64"/>
      <c r="E3232" t="e">
        <f t="shared" si="54"/>
        <v>#N/A</v>
      </c>
    </row>
    <row r="3233" spans="1:5">
      <c r="A3233" s="64"/>
      <c r="E3233" t="e">
        <f t="shared" si="54"/>
        <v>#N/A</v>
      </c>
    </row>
    <row r="3234" spans="1:5">
      <c r="A3234" s="64"/>
      <c r="E3234" t="e">
        <f t="shared" si="54"/>
        <v>#N/A</v>
      </c>
    </row>
    <row r="3235" spans="1:5">
      <c r="A3235" s="64"/>
      <c r="E3235" t="e">
        <f t="shared" si="54"/>
        <v>#N/A</v>
      </c>
    </row>
    <row r="3236" spans="1:5">
      <c r="A3236" s="64"/>
      <c r="E3236" t="e">
        <f t="shared" si="54"/>
        <v>#N/A</v>
      </c>
    </row>
    <row r="3237" spans="1:5">
      <c r="A3237" s="64"/>
      <c r="E3237" t="e">
        <f t="shared" si="54"/>
        <v>#N/A</v>
      </c>
    </row>
    <row r="3238" spans="1:5">
      <c r="A3238" s="64"/>
      <c r="E3238" t="e">
        <f t="shared" si="54"/>
        <v>#N/A</v>
      </c>
    </row>
    <row r="3239" spans="1:5">
      <c r="A3239" s="64"/>
      <c r="E3239" t="e">
        <f t="shared" si="54"/>
        <v>#N/A</v>
      </c>
    </row>
    <row r="3240" spans="1:5">
      <c r="A3240" s="64"/>
      <c r="E3240" t="e">
        <f t="shared" si="54"/>
        <v>#N/A</v>
      </c>
    </row>
    <row r="3241" spans="1:5">
      <c r="A3241" s="64"/>
      <c r="E3241" t="e">
        <f t="shared" si="54"/>
        <v>#N/A</v>
      </c>
    </row>
    <row r="3242" spans="1:5">
      <c r="A3242" s="64"/>
      <c r="E3242" t="e">
        <f t="shared" si="54"/>
        <v>#N/A</v>
      </c>
    </row>
    <row r="3243" spans="1:5">
      <c r="A3243" s="64"/>
      <c r="E3243" t="e">
        <f t="shared" si="54"/>
        <v>#N/A</v>
      </c>
    </row>
    <row r="3244" spans="1:5">
      <c r="A3244" s="64"/>
      <c r="E3244" t="e">
        <f t="shared" si="54"/>
        <v>#N/A</v>
      </c>
    </row>
    <row r="3245" spans="1:5">
      <c r="A3245" s="64"/>
      <c r="E3245" t="e">
        <f t="shared" si="54"/>
        <v>#N/A</v>
      </c>
    </row>
    <row r="3246" spans="1:5">
      <c r="A3246" s="64"/>
      <c r="E3246" t="e">
        <f t="shared" si="54"/>
        <v>#N/A</v>
      </c>
    </row>
    <row r="3247" spans="1:5">
      <c r="A3247" s="64"/>
      <c r="E3247" t="e">
        <f t="shared" si="54"/>
        <v>#N/A</v>
      </c>
    </row>
    <row r="3248" spans="1:5">
      <c r="A3248" s="64"/>
      <c r="E3248" t="e">
        <f t="shared" si="54"/>
        <v>#N/A</v>
      </c>
    </row>
    <row r="3249" spans="1:5">
      <c r="A3249" s="64"/>
      <c r="E3249" t="e">
        <f t="shared" si="54"/>
        <v>#N/A</v>
      </c>
    </row>
    <row r="3250" spans="1:5">
      <c r="A3250" s="64"/>
      <c r="E3250" t="e">
        <f t="shared" si="54"/>
        <v>#N/A</v>
      </c>
    </row>
    <row r="3251" spans="1:5">
      <c r="A3251" s="64"/>
      <c r="E3251" t="e">
        <f t="shared" si="54"/>
        <v>#N/A</v>
      </c>
    </row>
    <row r="3252" spans="1:5">
      <c r="A3252" s="64"/>
      <c r="E3252" t="e">
        <f t="shared" si="54"/>
        <v>#N/A</v>
      </c>
    </row>
    <row r="3253" spans="1:5">
      <c r="A3253" s="64"/>
      <c r="E3253" t="e">
        <f t="shared" si="54"/>
        <v>#N/A</v>
      </c>
    </row>
    <row r="3254" spans="1:5">
      <c r="A3254" s="64"/>
      <c r="E3254" t="e">
        <f t="shared" si="54"/>
        <v>#N/A</v>
      </c>
    </row>
    <row r="3255" spans="1:5">
      <c r="A3255" s="64"/>
      <c r="E3255" t="e">
        <f t="shared" si="54"/>
        <v>#N/A</v>
      </c>
    </row>
    <row r="3256" spans="1:5">
      <c r="A3256" s="64"/>
      <c r="E3256" t="e">
        <f t="shared" si="54"/>
        <v>#N/A</v>
      </c>
    </row>
    <row r="3257" spans="1:5">
      <c r="A3257" s="64"/>
      <c r="E3257" t="e">
        <f t="shared" si="54"/>
        <v>#N/A</v>
      </c>
    </row>
    <row r="3258" spans="1:5">
      <c r="A3258" s="64"/>
      <c r="E3258" t="e">
        <f t="shared" si="54"/>
        <v>#N/A</v>
      </c>
    </row>
    <row r="3259" spans="1:5">
      <c r="A3259" s="64"/>
      <c r="E3259" t="e">
        <f t="shared" si="54"/>
        <v>#N/A</v>
      </c>
    </row>
    <row r="3260" spans="1:5">
      <c r="A3260" s="64"/>
      <c r="E3260" t="e">
        <f t="shared" si="54"/>
        <v>#N/A</v>
      </c>
    </row>
    <row r="3261" spans="1:5">
      <c r="A3261" s="64"/>
      <c r="E3261" t="e">
        <f t="shared" si="54"/>
        <v>#N/A</v>
      </c>
    </row>
    <row r="3262" spans="1:5">
      <c r="A3262" s="64"/>
      <c r="E3262" t="e">
        <f t="shared" si="54"/>
        <v>#N/A</v>
      </c>
    </row>
    <row r="3263" spans="1:5">
      <c r="A3263" s="64"/>
      <c r="E3263" t="e">
        <f t="shared" si="54"/>
        <v>#N/A</v>
      </c>
    </row>
    <row r="3264" spans="1:5">
      <c r="A3264" s="64"/>
      <c r="E3264" t="e">
        <f t="shared" si="54"/>
        <v>#N/A</v>
      </c>
    </row>
    <row r="3265" spans="1:5">
      <c r="A3265" s="64"/>
      <c r="E3265" t="e">
        <f t="shared" si="54"/>
        <v>#N/A</v>
      </c>
    </row>
    <row r="3266" spans="1:5">
      <c r="A3266" s="64"/>
      <c r="E3266" t="e">
        <f t="shared" si="54"/>
        <v>#N/A</v>
      </c>
    </row>
    <row r="3267" spans="1:5">
      <c r="A3267" s="64"/>
      <c r="E3267" t="e">
        <f t="shared" si="54"/>
        <v>#N/A</v>
      </c>
    </row>
    <row r="3268" spans="1:5">
      <c r="A3268" s="64"/>
      <c r="E3268" t="e">
        <f t="shared" si="54"/>
        <v>#N/A</v>
      </c>
    </row>
    <row r="3269" spans="1:5">
      <c r="A3269" s="64"/>
      <c r="E3269" t="e">
        <f t="shared" si="54"/>
        <v>#N/A</v>
      </c>
    </row>
    <row r="3270" spans="1:5">
      <c r="A3270" s="64"/>
      <c r="E3270" t="e">
        <f t="shared" si="54"/>
        <v>#N/A</v>
      </c>
    </row>
    <row r="3271" spans="1:5">
      <c r="A3271" s="64"/>
      <c r="E3271" t="e">
        <f t="shared" si="54"/>
        <v>#N/A</v>
      </c>
    </row>
    <row r="3272" spans="1:5">
      <c r="A3272" s="64"/>
      <c r="E3272" t="e">
        <f t="shared" si="54"/>
        <v>#N/A</v>
      </c>
    </row>
    <row r="3273" spans="1:5">
      <c r="A3273" s="64"/>
      <c r="E3273" t="e">
        <f t="shared" si="54"/>
        <v>#N/A</v>
      </c>
    </row>
    <row r="3274" spans="1:5">
      <c r="A3274" s="64"/>
      <c r="E3274" t="e">
        <f t="shared" si="54"/>
        <v>#N/A</v>
      </c>
    </row>
    <row r="3275" spans="1:5">
      <c r="A3275" s="64"/>
      <c r="E3275" t="e">
        <f t="shared" si="54"/>
        <v>#N/A</v>
      </c>
    </row>
    <row r="3276" spans="1:5">
      <c r="A3276" s="64"/>
      <c r="E3276" t="e">
        <f t="shared" si="54"/>
        <v>#N/A</v>
      </c>
    </row>
    <row r="3277" spans="1:5">
      <c r="A3277" s="64"/>
      <c r="E3277" t="e">
        <f t="shared" ref="E3277:E3340" si="55">VLOOKUP(B3277,$Q$14:$R$62,2,FALSE)</f>
        <v>#N/A</v>
      </c>
    </row>
    <row r="3278" spans="1:5">
      <c r="A3278" s="64"/>
      <c r="E3278" t="e">
        <f t="shared" si="55"/>
        <v>#N/A</v>
      </c>
    </row>
    <row r="3279" spans="1:5">
      <c r="A3279" s="64"/>
      <c r="E3279" t="e">
        <f t="shared" si="55"/>
        <v>#N/A</v>
      </c>
    </row>
    <row r="3280" spans="1:5">
      <c r="A3280" s="64"/>
      <c r="E3280" t="e">
        <f t="shared" si="55"/>
        <v>#N/A</v>
      </c>
    </row>
    <row r="3281" spans="1:5">
      <c r="A3281" s="64"/>
      <c r="E3281" t="e">
        <f t="shared" si="55"/>
        <v>#N/A</v>
      </c>
    </row>
    <row r="3282" spans="1:5">
      <c r="A3282" s="64"/>
      <c r="E3282" t="e">
        <f t="shared" si="55"/>
        <v>#N/A</v>
      </c>
    </row>
    <row r="3283" spans="1:5">
      <c r="A3283" s="64"/>
      <c r="E3283" t="e">
        <f t="shared" si="55"/>
        <v>#N/A</v>
      </c>
    </row>
    <row r="3284" spans="1:5">
      <c r="A3284" s="64"/>
      <c r="E3284" t="e">
        <f t="shared" si="55"/>
        <v>#N/A</v>
      </c>
    </row>
    <row r="3285" spans="1:5">
      <c r="A3285" s="64"/>
      <c r="E3285" t="e">
        <f t="shared" si="55"/>
        <v>#N/A</v>
      </c>
    </row>
    <row r="3286" spans="1:5">
      <c r="A3286" s="64"/>
      <c r="E3286" t="e">
        <f t="shared" si="55"/>
        <v>#N/A</v>
      </c>
    </row>
    <row r="3287" spans="1:5">
      <c r="A3287" s="64"/>
      <c r="E3287" t="e">
        <f t="shared" si="55"/>
        <v>#N/A</v>
      </c>
    </row>
    <row r="3288" spans="1:5">
      <c r="A3288" s="64"/>
      <c r="E3288" t="e">
        <f t="shared" si="55"/>
        <v>#N/A</v>
      </c>
    </row>
    <row r="3289" spans="1:5">
      <c r="A3289" s="64"/>
      <c r="E3289" t="e">
        <f t="shared" si="55"/>
        <v>#N/A</v>
      </c>
    </row>
    <row r="3290" spans="1:5">
      <c r="A3290" s="64"/>
      <c r="E3290" t="e">
        <f t="shared" si="55"/>
        <v>#N/A</v>
      </c>
    </row>
    <row r="3291" spans="1:5">
      <c r="A3291" s="64"/>
      <c r="E3291" t="e">
        <f t="shared" si="55"/>
        <v>#N/A</v>
      </c>
    </row>
    <row r="3292" spans="1:5">
      <c r="A3292" s="64"/>
      <c r="E3292" t="e">
        <f t="shared" si="55"/>
        <v>#N/A</v>
      </c>
    </row>
    <row r="3293" spans="1:5">
      <c r="A3293" s="64"/>
      <c r="E3293" t="e">
        <f t="shared" si="55"/>
        <v>#N/A</v>
      </c>
    </row>
    <row r="3294" spans="1:5">
      <c r="A3294" s="64"/>
      <c r="E3294" t="e">
        <f t="shared" si="55"/>
        <v>#N/A</v>
      </c>
    </row>
    <row r="3295" spans="1:5">
      <c r="A3295" s="64"/>
      <c r="E3295" t="e">
        <f t="shared" si="55"/>
        <v>#N/A</v>
      </c>
    </row>
    <row r="3296" spans="1:5">
      <c r="A3296" s="64"/>
      <c r="E3296" t="e">
        <f t="shared" si="55"/>
        <v>#N/A</v>
      </c>
    </row>
    <row r="3297" spans="1:5">
      <c r="A3297" s="64"/>
      <c r="E3297" t="e">
        <f t="shared" si="55"/>
        <v>#N/A</v>
      </c>
    </row>
    <row r="3298" spans="1:5">
      <c r="A3298" s="64"/>
      <c r="E3298" t="e">
        <f t="shared" si="55"/>
        <v>#N/A</v>
      </c>
    </row>
    <row r="3299" spans="1:5">
      <c r="A3299" s="64"/>
      <c r="E3299" t="e">
        <f t="shared" si="55"/>
        <v>#N/A</v>
      </c>
    </row>
    <row r="3300" spans="1:5">
      <c r="A3300" s="64"/>
      <c r="E3300" t="e">
        <f t="shared" si="55"/>
        <v>#N/A</v>
      </c>
    </row>
    <row r="3301" spans="1:5">
      <c r="A3301" s="64"/>
      <c r="E3301" t="e">
        <f t="shared" si="55"/>
        <v>#N/A</v>
      </c>
    </row>
    <row r="3302" spans="1:5">
      <c r="A3302" s="64"/>
      <c r="E3302" t="e">
        <f t="shared" si="55"/>
        <v>#N/A</v>
      </c>
    </row>
    <row r="3303" spans="1:5">
      <c r="A3303" s="64"/>
      <c r="E3303" t="e">
        <f t="shared" si="55"/>
        <v>#N/A</v>
      </c>
    </row>
    <row r="3304" spans="1:5">
      <c r="A3304" s="64"/>
      <c r="E3304" t="e">
        <f t="shared" si="55"/>
        <v>#N/A</v>
      </c>
    </row>
    <row r="3305" spans="1:5">
      <c r="A3305" s="64"/>
      <c r="E3305" t="e">
        <f t="shared" si="55"/>
        <v>#N/A</v>
      </c>
    </row>
    <row r="3306" spans="1:5">
      <c r="A3306" s="64"/>
      <c r="E3306" t="e">
        <f t="shared" si="55"/>
        <v>#N/A</v>
      </c>
    </row>
    <row r="3307" spans="1:5">
      <c r="A3307" s="64"/>
      <c r="E3307" t="e">
        <f t="shared" si="55"/>
        <v>#N/A</v>
      </c>
    </row>
    <row r="3308" spans="1:5">
      <c r="A3308" s="64"/>
      <c r="E3308" t="e">
        <f t="shared" si="55"/>
        <v>#N/A</v>
      </c>
    </row>
    <row r="3309" spans="1:5">
      <c r="A3309" s="64"/>
      <c r="E3309" t="e">
        <f t="shared" si="55"/>
        <v>#N/A</v>
      </c>
    </row>
    <row r="3310" spans="1:5">
      <c r="A3310" s="64"/>
      <c r="E3310" t="e">
        <f t="shared" si="55"/>
        <v>#N/A</v>
      </c>
    </row>
    <row r="3311" spans="1:5">
      <c r="A3311" s="64"/>
      <c r="E3311" t="e">
        <f t="shared" si="55"/>
        <v>#N/A</v>
      </c>
    </row>
    <row r="3312" spans="1:5">
      <c r="A3312" s="64"/>
      <c r="E3312" t="e">
        <f t="shared" si="55"/>
        <v>#N/A</v>
      </c>
    </row>
    <row r="3313" spans="1:5">
      <c r="A3313" s="64"/>
      <c r="E3313" t="e">
        <f t="shared" si="55"/>
        <v>#N/A</v>
      </c>
    </row>
    <row r="3314" spans="1:5">
      <c r="A3314" s="64"/>
      <c r="E3314" t="e">
        <f t="shared" si="55"/>
        <v>#N/A</v>
      </c>
    </row>
    <row r="3315" spans="1:5">
      <c r="A3315" s="64"/>
      <c r="E3315" t="e">
        <f t="shared" si="55"/>
        <v>#N/A</v>
      </c>
    </row>
    <row r="3316" spans="1:5">
      <c r="A3316" s="64"/>
      <c r="E3316" t="e">
        <f t="shared" si="55"/>
        <v>#N/A</v>
      </c>
    </row>
    <row r="3317" spans="1:5">
      <c r="A3317" s="64"/>
      <c r="E3317" t="e">
        <f t="shared" si="55"/>
        <v>#N/A</v>
      </c>
    </row>
    <row r="3318" spans="1:5">
      <c r="A3318" s="64"/>
      <c r="E3318" t="e">
        <f t="shared" si="55"/>
        <v>#N/A</v>
      </c>
    </row>
    <row r="3319" spans="1:5">
      <c r="A3319" s="64"/>
      <c r="E3319" t="e">
        <f t="shared" si="55"/>
        <v>#N/A</v>
      </c>
    </row>
    <row r="3320" spans="1:5">
      <c r="A3320" s="64"/>
      <c r="E3320" t="e">
        <f t="shared" si="55"/>
        <v>#N/A</v>
      </c>
    </row>
    <row r="3321" spans="1:5">
      <c r="A3321" s="64"/>
      <c r="E3321" t="e">
        <f t="shared" si="55"/>
        <v>#N/A</v>
      </c>
    </row>
    <row r="3322" spans="1:5">
      <c r="A3322" s="64"/>
      <c r="E3322" t="e">
        <f t="shared" si="55"/>
        <v>#N/A</v>
      </c>
    </row>
    <row r="3323" spans="1:5">
      <c r="A3323" s="64"/>
      <c r="E3323" t="e">
        <f t="shared" si="55"/>
        <v>#N/A</v>
      </c>
    </row>
    <row r="3324" spans="1:5">
      <c r="A3324" s="64"/>
      <c r="E3324" t="e">
        <f t="shared" si="55"/>
        <v>#N/A</v>
      </c>
    </row>
    <row r="3325" spans="1:5">
      <c r="A3325" s="64"/>
      <c r="E3325" t="e">
        <f t="shared" si="55"/>
        <v>#N/A</v>
      </c>
    </row>
    <row r="3326" spans="1:5">
      <c r="A3326" s="64"/>
      <c r="E3326" t="e">
        <f t="shared" si="55"/>
        <v>#N/A</v>
      </c>
    </row>
    <row r="3327" spans="1:5">
      <c r="A3327" s="64"/>
      <c r="E3327" t="e">
        <f t="shared" si="55"/>
        <v>#N/A</v>
      </c>
    </row>
    <row r="3328" spans="1:5">
      <c r="A3328" s="64"/>
      <c r="E3328" t="e">
        <f t="shared" si="55"/>
        <v>#N/A</v>
      </c>
    </row>
    <row r="3329" spans="1:5">
      <c r="A3329" s="64"/>
      <c r="E3329" t="e">
        <f t="shared" si="55"/>
        <v>#N/A</v>
      </c>
    </row>
    <row r="3330" spans="1:5">
      <c r="A3330" s="64"/>
      <c r="E3330" t="e">
        <f t="shared" si="55"/>
        <v>#N/A</v>
      </c>
    </row>
    <row r="3331" spans="1:5">
      <c r="A3331" s="64"/>
      <c r="E3331" t="e">
        <f t="shared" si="55"/>
        <v>#N/A</v>
      </c>
    </row>
    <row r="3332" spans="1:5">
      <c r="A3332" s="64"/>
      <c r="E3332" t="e">
        <f t="shared" si="55"/>
        <v>#N/A</v>
      </c>
    </row>
    <row r="3333" spans="1:5">
      <c r="A3333" s="64"/>
      <c r="E3333" t="e">
        <f t="shared" si="55"/>
        <v>#N/A</v>
      </c>
    </row>
    <row r="3334" spans="1:5">
      <c r="A3334" s="64"/>
      <c r="E3334" t="e">
        <f t="shared" si="55"/>
        <v>#N/A</v>
      </c>
    </row>
    <row r="3335" spans="1:5">
      <c r="A3335" s="64"/>
      <c r="E3335" t="e">
        <f t="shared" si="55"/>
        <v>#N/A</v>
      </c>
    </row>
    <row r="3336" spans="1:5">
      <c r="A3336" s="64"/>
      <c r="E3336" t="e">
        <f t="shared" si="55"/>
        <v>#N/A</v>
      </c>
    </row>
    <row r="3337" spans="1:5">
      <c r="A3337" s="64"/>
      <c r="E3337" t="e">
        <f t="shared" si="55"/>
        <v>#N/A</v>
      </c>
    </row>
    <row r="3338" spans="1:5">
      <c r="A3338" s="64"/>
      <c r="E3338" t="e">
        <f t="shared" si="55"/>
        <v>#N/A</v>
      </c>
    </row>
    <row r="3339" spans="1:5">
      <c r="A3339" s="64"/>
      <c r="E3339" t="e">
        <f t="shared" si="55"/>
        <v>#N/A</v>
      </c>
    </row>
    <row r="3340" spans="1:5">
      <c r="A3340" s="64"/>
      <c r="E3340" t="e">
        <f t="shared" si="55"/>
        <v>#N/A</v>
      </c>
    </row>
    <row r="3341" spans="1:5">
      <c r="A3341" s="64"/>
      <c r="E3341" t="e">
        <f t="shared" ref="E3341:E3404" si="56">VLOOKUP(B3341,$Q$14:$R$62,2,FALSE)</f>
        <v>#N/A</v>
      </c>
    </row>
    <row r="3342" spans="1:5">
      <c r="A3342" s="64"/>
      <c r="E3342" t="e">
        <f t="shared" si="56"/>
        <v>#N/A</v>
      </c>
    </row>
    <row r="3343" spans="1:5">
      <c r="A3343" s="64"/>
      <c r="E3343" t="e">
        <f t="shared" si="56"/>
        <v>#N/A</v>
      </c>
    </row>
    <row r="3344" spans="1:5">
      <c r="A3344" s="64"/>
      <c r="E3344" t="e">
        <f t="shared" si="56"/>
        <v>#N/A</v>
      </c>
    </row>
    <row r="3345" spans="1:5">
      <c r="A3345" s="64"/>
      <c r="E3345" t="e">
        <f t="shared" si="56"/>
        <v>#N/A</v>
      </c>
    </row>
    <row r="3346" spans="1:5">
      <c r="A3346" s="64"/>
      <c r="E3346" t="e">
        <f t="shared" si="56"/>
        <v>#N/A</v>
      </c>
    </row>
    <row r="3347" spans="1:5">
      <c r="A3347" s="64"/>
      <c r="E3347" t="e">
        <f t="shared" si="56"/>
        <v>#N/A</v>
      </c>
    </row>
    <row r="3348" spans="1:5">
      <c r="A3348" s="64"/>
      <c r="E3348" t="e">
        <f t="shared" si="56"/>
        <v>#N/A</v>
      </c>
    </row>
    <row r="3349" spans="1:5">
      <c r="A3349" s="64"/>
      <c r="E3349" t="e">
        <f t="shared" si="56"/>
        <v>#N/A</v>
      </c>
    </row>
    <row r="3350" spans="1:5">
      <c r="A3350" s="64"/>
      <c r="E3350" t="e">
        <f t="shared" si="56"/>
        <v>#N/A</v>
      </c>
    </row>
    <row r="3351" spans="1:5">
      <c r="A3351" s="64"/>
      <c r="E3351" t="e">
        <f t="shared" si="56"/>
        <v>#N/A</v>
      </c>
    </row>
    <row r="3352" spans="1:5">
      <c r="A3352" s="64"/>
      <c r="E3352" t="e">
        <f t="shared" si="56"/>
        <v>#N/A</v>
      </c>
    </row>
    <row r="3353" spans="1:5">
      <c r="A3353" s="64"/>
      <c r="E3353" t="e">
        <f t="shared" si="56"/>
        <v>#N/A</v>
      </c>
    </row>
    <row r="3354" spans="1:5">
      <c r="A3354" s="64"/>
      <c r="E3354" t="e">
        <f t="shared" si="56"/>
        <v>#N/A</v>
      </c>
    </row>
    <row r="3355" spans="1:5">
      <c r="A3355" s="64"/>
      <c r="E3355" t="e">
        <f t="shared" si="56"/>
        <v>#N/A</v>
      </c>
    </row>
    <row r="3356" spans="1:5">
      <c r="A3356" s="64"/>
      <c r="E3356" t="e">
        <f t="shared" si="56"/>
        <v>#N/A</v>
      </c>
    </row>
    <row r="3357" spans="1:5">
      <c r="A3357" s="64"/>
      <c r="E3357" t="e">
        <f t="shared" si="56"/>
        <v>#N/A</v>
      </c>
    </row>
    <row r="3358" spans="1:5">
      <c r="A3358" s="64"/>
      <c r="E3358" t="e">
        <f t="shared" si="56"/>
        <v>#N/A</v>
      </c>
    </row>
    <row r="3359" spans="1:5">
      <c r="A3359" s="64"/>
      <c r="E3359" t="e">
        <f t="shared" si="56"/>
        <v>#N/A</v>
      </c>
    </row>
    <row r="3360" spans="1:5">
      <c r="A3360" s="64"/>
      <c r="E3360" t="e">
        <f t="shared" si="56"/>
        <v>#N/A</v>
      </c>
    </row>
    <row r="3361" spans="1:5">
      <c r="A3361" s="64"/>
      <c r="E3361" t="e">
        <f t="shared" si="56"/>
        <v>#N/A</v>
      </c>
    </row>
    <row r="3362" spans="1:5">
      <c r="A3362" s="64"/>
      <c r="E3362" t="e">
        <f t="shared" si="56"/>
        <v>#N/A</v>
      </c>
    </row>
    <row r="3363" spans="1:5">
      <c r="A3363" s="64"/>
      <c r="E3363" t="e">
        <f t="shared" si="56"/>
        <v>#N/A</v>
      </c>
    </row>
    <row r="3364" spans="1:5">
      <c r="A3364" s="64"/>
      <c r="E3364" t="e">
        <f t="shared" si="56"/>
        <v>#N/A</v>
      </c>
    </row>
    <row r="3365" spans="1:5">
      <c r="A3365" s="64"/>
      <c r="E3365" t="e">
        <f t="shared" si="56"/>
        <v>#N/A</v>
      </c>
    </row>
    <row r="3366" spans="1:5">
      <c r="A3366" s="64"/>
      <c r="E3366" t="e">
        <f t="shared" si="56"/>
        <v>#N/A</v>
      </c>
    </row>
    <row r="3367" spans="1:5">
      <c r="A3367" s="64"/>
      <c r="E3367" t="e">
        <f t="shared" si="56"/>
        <v>#N/A</v>
      </c>
    </row>
    <row r="3368" spans="1:5">
      <c r="A3368" s="64"/>
      <c r="E3368" t="e">
        <f t="shared" si="56"/>
        <v>#N/A</v>
      </c>
    </row>
    <row r="3369" spans="1:5">
      <c r="A3369" s="64"/>
      <c r="E3369" t="e">
        <f t="shared" si="56"/>
        <v>#N/A</v>
      </c>
    </row>
    <row r="3370" spans="1:5">
      <c r="A3370" s="64"/>
      <c r="E3370" t="e">
        <f t="shared" si="56"/>
        <v>#N/A</v>
      </c>
    </row>
    <row r="3371" spans="1:5">
      <c r="A3371" s="64"/>
      <c r="E3371" t="e">
        <f t="shared" si="56"/>
        <v>#N/A</v>
      </c>
    </row>
    <row r="3372" spans="1:5">
      <c r="A3372" s="64"/>
      <c r="E3372" t="e">
        <f t="shared" si="56"/>
        <v>#N/A</v>
      </c>
    </row>
    <row r="3373" spans="1:5">
      <c r="A3373" s="64"/>
      <c r="E3373" t="e">
        <f t="shared" si="56"/>
        <v>#N/A</v>
      </c>
    </row>
    <row r="3374" spans="1:5">
      <c r="A3374" s="64"/>
      <c r="E3374" t="e">
        <f t="shared" si="56"/>
        <v>#N/A</v>
      </c>
    </row>
    <row r="3375" spans="1:5">
      <c r="A3375" s="64"/>
      <c r="E3375" t="e">
        <f t="shared" si="56"/>
        <v>#N/A</v>
      </c>
    </row>
    <row r="3376" spans="1:5">
      <c r="A3376" s="64"/>
      <c r="E3376" t="e">
        <f t="shared" si="56"/>
        <v>#N/A</v>
      </c>
    </row>
    <row r="3377" spans="1:5">
      <c r="A3377" s="64"/>
      <c r="E3377" t="e">
        <f t="shared" si="56"/>
        <v>#N/A</v>
      </c>
    </row>
    <row r="3378" spans="1:5">
      <c r="A3378" s="64"/>
      <c r="E3378" t="e">
        <f t="shared" si="56"/>
        <v>#N/A</v>
      </c>
    </row>
    <row r="3379" spans="1:5">
      <c r="A3379" s="64"/>
      <c r="E3379" t="e">
        <f t="shared" si="56"/>
        <v>#N/A</v>
      </c>
    </row>
    <row r="3380" spans="1:5">
      <c r="A3380" s="64"/>
      <c r="E3380" t="e">
        <f t="shared" si="56"/>
        <v>#N/A</v>
      </c>
    </row>
    <row r="3381" spans="1:5">
      <c r="A3381" s="64"/>
      <c r="E3381" t="e">
        <f t="shared" si="56"/>
        <v>#N/A</v>
      </c>
    </row>
    <row r="3382" spans="1:5">
      <c r="A3382" s="64"/>
      <c r="E3382" t="e">
        <f t="shared" si="56"/>
        <v>#N/A</v>
      </c>
    </row>
    <row r="3383" spans="1:5">
      <c r="A3383" s="64"/>
      <c r="E3383" t="e">
        <f t="shared" si="56"/>
        <v>#N/A</v>
      </c>
    </row>
    <row r="3384" spans="1:5">
      <c r="A3384" s="64"/>
      <c r="E3384" t="e">
        <f t="shared" si="56"/>
        <v>#N/A</v>
      </c>
    </row>
    <row r="3385" spans="1:5">
      <c r="A3385" s="64"/>
      <c r="E3385" t="e">
        <f t="shared" si="56"/>
        <v>#N/A</v>
      </c>
    </row>
    <row r="3386" spans="1:5">
      <c r="A3386" s="64"/>
      <c r="E3386" t="e">
        <f t="shared" si="56"/>
        <v>#N/A</v>
      </c>
    </row>
    <row r="3387" spans="1:5">
      <c r="A3387" s="64"/>
      <c r="E3387" t="e">
        <f t="shared" si="56"/>
        <v>#N/A</v>
      </c>
    </row>
    <row r="3388" spans="1:5">
      <c r="A3388" s="64"/>
      <c r="E3388" t="e">
        <f t="shared" si="56"/>
        <v>#N/A</v>
      </c>
    </row>
    <row r="3389" spans="1:5">
      <c r="A3389" s="64"/>
      <c r="E3389" t="e">
        <f t="shared" si="56"/>
        <v>#N/A</v>
      </c>
    </row>
    <row r="3390" spans="1:5">
      <c r="A3390" s="64"/>
      <c r="E3390" t="e">
        <f t="shared" si="56"/>
        <v>#N/A</v>
      </c>
    </row>
    <row r="3391" spans="1:5">
      <c r="A3391" s="64"/>
      <c r="E3391" t="e">
        <f t="shared" si="56"/>
        <v>#N/A</v>
      </c>
    </row>
    <row r="3392" spans="1:5">
      <c r="A3392" s="64"/>
      <c r="E3392" t="e">
        <f t="shared" si="56"/>
        <v>#N/A</v>
      </c>
    </row>
    <row r="3393" spans="1:5">
      <c r="A3393" s="64"/>
      <c r="E3393" t="e">
        <f t="shared" si="56"/>
        <v>#N/A</v>
      </c>
    </row>
    <row r="3394" spans="1:5">
      <c r="A3394" s="64"/>
      <c r="E3394" t="e">
        <f t="shared" si="56"/>
        <v>#N/A</v>
      </c>
    </row>
    <row r="3395" spans="1:5">
      <c r="A3395" s="64"/>
      <c r="E3395" t="e">
        <f t="shared" si="56"/>
        <v>#N/A</v>
      </c>
    </row>
    <row r="3396" spans="1:5">
      <c r="A3396" s="64"/>
      <c r="E3396" t="e">
        <f t="shared" si="56"/>
        <v>#N/A</v>
      </c>
    </row>
    <row r="3397" spans="1:5">
      <c r="A3397" s="64"/>
      <c r="E3397" t="e">
        <f t="shared" si="56"/>
        <v>#N/A</v>
      </c>
    </row>
    <row r="3398" spans="1:5">
      <c r="A3398" s="64"/>
      <c r="E3398" t="e">
        <f t="shared" si="56"/>
        <v>#N/A</v>
      </c>
    </row>
    <row r="3399" spans="1:5">
      <c r="A3399" s="64"/>
      <c r="E3399" t="e">
        <f t="shared" si="56"/>
        <v>#N/A</v>
      </c>
    </row>
    <row r="3400" spans="1:5">
      <c r="A3400" s="64"/>
      <c r="E3400" t="e">
        <f t="shared" si="56"/>
        <v>#N/A</v>
      </c>
    </row>
    <row r="3401" spans="1:5">
      <c r="A3401" s="64"/>
      <c r="E3401" t="e">
        <f t="shared" si="56"/>
        <v>#N/A</v>
      </c>
    </row>
    <row r="3402" spans="1:5">
      <c r="A3402" s="64"/>
      <c r="E3402" t="e">
        <f t="shared" si="56"/>
        <v>#N/A</v>
      </c>
    </row>
    <row r="3403" spans="1:5">
      <c r="A3403" s="64"/>
      <c r="E3403" t="e">
        <f t="shared" si="56"/>
        <v>#N/A</v>
      </c>
    </row>
    <row r="3404" spans="1:5">
      <c r="A3404" s="64"/>
      <c r="E3404" t="e">
        <f t="shared" si="56"/>
        <v>#N/A</v>
      </c>
    </row>
    <row r="3405" spans="1:5">
      <c r="A3405" s="64"/>
      <c r="E3405" t="e">
        <f t="shared" ref="E3405:E3468" si="57">VLOOKUP(B3405,$Q$14:$R$62,2,FALSE)</f>
        <v>#N/A</v>
      </c>
    </row>
    <row r="3406" spans="1:5">
      <c r="A3406" s="64"/>
      <c r="E3406" t="e">
        <f t="shared" si="57"/>
        <v>#N/A</v>
      </c>
    </row>
    <row r="3407" spans="1:5">
      <c r="A3407" s="64"/>
      <c r="E3407" t="e">
        <f t="shared" si="57"/>
        <v>#N/A</v>
      </c>
    </row>
    <row r="3408" spans="1:5">
      <c r="A3408" s="64"/>
      <c r="E3408" t="e">
        <f t="shared" si="57"/>
        <v>#N/A</v>
      </c>
    </row>
    <row r="3409" spans="1:5">
      <c r="A3409" s="64"/>
      <c r="E3409" t="e">
        <f t="shared" si="57"/>
        <v>#N/A</v>
      </c>
    </row>
    <row r="3410" spans="1:5">
      <c r="A3410" s="64"/>
      <c r="E3410" t="e">
        <f t="shared" si="57"/>
        <v>#N/A</v>
      </c>
    </row>
    <row r="3411" spans="1:5">
      <c r="A3411" s="64"/>
      <c r="E3411" t="e">
        <f t="shared" si="57"/>
        <v>#N/A</v>
      </c>
    </row>
    <row r="3412" spans="1:5">
      <c r="A3412" s="64"/>
      <c r="E3412" t="e">
        <f t="shared" si="57"/>
        <v>#N/A</v>
      </c>
    </row>
    <row r="3413" spans="1:5">
      <c r="A3413" s="64"/>
      <c r="E3413" t="e">
        <f t="shared" si="57"/>
        <v>#N/A</v>
      </c>
    </row>
    <row r="3414" spans="1:5">
      <c r="A3414" s="64"/>
      <c r="E3414" t="e">
        <f t="shared" si="57"/>
        <v>#N/A</v>
      </c>
    </row>
    <row r="3415" spans="1:5">
      <c r="A3415" s="64"/>
      <c r="E3415" t="e">
        <f t="shared" si="57"/>
        <v>#N/A</v>
      </c>
    </row>
    <row r="3416" spans="1:5">
      <c r="A3416" s="64"/>
      <c r="E3416" t="e">
        <f t="shared" si="57"/>
        <v>#N/A</v>
      </c>
    </row>
    <row r="3417" spans="1:5">
      <c r="A3417" s="64"/>
      <c r="E3417" t="e">
        <f t="shared" si="57"/>
        <v>#N/A</v>
      </c>
    </row>
    <row r="3418" spans="1:5">
      <c r="A3418" s="64"/>
      <c r="E3418" t="e">
        <f t="shared" si="57"/>
        <v>#N/A</v>
      </c>
    </row>
    <row r="3419" spans="1:5">
      <c r="A3419" s="64"/>
      <c r="E3419" t="e">
        <f t="shared" si="57"/>
        <v>#N/A</v>
      </c>
    </row>
    <row r="3420" spans="1:5">
      <c r="A3420" s="64"/>
      <c r="E3420" t="e">
        <f t="shared" si="57"/>
        <v>#N/A</v>
      </c>
    </row>
    <row r="3421" spans="1:5">
      <c r="A3421" s="64"/>
      <c r="E3421" t="e">
        <f t="shared" si="57"/>
        <v>#N/A</v>
      </c>
    </row>
    <row r="3422" spans="1:5">
      <c r="A3422" s="64"/>
      <c r="E3422" t="e">
        <f t="shared" si="57"/>
        <v>#N/A</v>
      </c>
    </row>
    <row r="3423" spans="1:5">
      <c r="A3423" s="64"/>
      <c r="E3423" t="e">
        <f t="shared" si="57"/>
        <v>#N/A</v>
      </c>
    </row>
    <row r="3424" spans="1:5">
      <c r="A3424" s="64"/>
      <c r="E3424" t="e">
        <f t="shared" si="57"/>
        <v>#N/A</v>
      </c>
    </row>
    <row r="3425" spans="1:5">
      <c r="A3425" s="64"/>
      <c r="E3425" t="e">
        <f t="shared" si="57"/>
        <v>#N/A</v>
      </c>
    </row>
    <row r="3426" spans="1:5">
      <c r="A3426" s="64"/>
      <c r="E3426" t="e">
        <f t="shared" si="57"/>
        <v>#N/A</v>
      </c>
    </row>
    <row r="3427" spans="1:5">
      <c r="A3427" s="64"/>
      <c r="E3427" t="e">
        <f t="shared" si="57"/>
        <v>#N/A</v>
      </c>
    </row>
    <row r="3428" spans="1:5">
      <c r="A3428" s="64"/>
      <c r="E3428" t="e">
        <f t="shared" si="57"/>
        <v>#N/A</v>
      </c>
    </row>
    <row r="3429" spans="1:5">
      <c r="A3429" s="64"/>
      <c r="E3429" t="e">
        <f t="shared" si="57"/>
        <v>#N/A</v>
      </c>
    </row>
    <row r="3430" spans="1:5">
      <c r="A3430" s="64"/>
      <c r="E3430" t="e">
        <f t="shared" si="57"/>
        <v>#N/A</v>
      </c>
    </row>
    <row r="3431" spans="1:5">
      <c r="A3431" s="64"/>
      <c r="E3431" t="e">
        <f t="shared" si="57"/>
        <v>#N/A</v>
      </c>
    </row>
    <row r="3432" spans="1:5">
      <c r="A3432" s="64"/>
      <c r="E3432" t="e">
        <f t="shared" si="57"/>
        <v>#N/A</v>
      </c>
    </row>
    <row r="3433" spans="1:5">
      <c r="A3433" s="64"/>
      <c r="E3433" t="e">
        <f t="shared" si="57"/>
        <v>#N/A</v>
      </c>
    </row>
    <row r="3434" spans="1:5">
      <c r="A3434" s="64"/>
      <c r="E3434" t="e">
        <f t="shared" si="57"/>
        <v>#N/A</v>
      </c>
    </row>
    <row r="3435" spans="1:5">
      <c r="A3435" s="64"/>
      <c r="E3435" t="e">
        <f t="shared" si="57"/>
        <v>#N/A</v>
      </c>
    </row>
    <row r="3436" spans="1:5">
      <c r="A3436" s="64"/>
      <c r="E3436" t="e">
        <f t="shared" si="57"/>
        <v>#N/A</v>
      </c>
    </row>
    <row r="3437" spans="1:5">
      <c r="A3437" s="64"/>
      <c r="E3437" t="e">
        <f t="shared" si="57"/>
        <v>#N/A</v>
      </c>
    </row>
    <row r="3438" spans="1:5">
      <c r="A3438" s="64"/>
      <c r="E3438" t="e">
        <f t="shared" si="57"/>
        <v>#N/A</v>
      </c>
    </row>
    <row r="3439" spans="1:5">
      <c r="A3439" s="64"/>
      <c r="E3439" t="e">
        <f t="shared" si="57"/>
        <v>#N/A</v>
      </c>
    </row>
    <row r="3440" spans="1:5">
      <c r="A3440" s="64"/>
      <c r="E3440" t="e">
        <f t="shared" si="57"/>
        <v>#N/A</v>
      </c>
    </row>
    <row r="3441" spans="1:5">
      <c r="A3441" s="64"/>
      <c r="E3441" t="e">
        <f t="shared" si="57"/>
        <v>#N/A</v>
      </c>
    </row>
    <row r="3442" spans="1:5">
      <c r="A3442" s="64"/>
      <c r="E3442" t="e">
        <f t="shared" si="57"/>
        <v>#N/A</v>
      </c>
    </row>
    <row r="3443" spans="1:5">
      <c r="A3443" s="64"/>
      <c r="E3443" t="e">
        <f t="shared" si="57"/>
        <v>#N/A</v>
      </c>
    </row>
    <row r="3444" spans="1:5">
      <c r="A3444" s="64"/>
      <c r="E3444" t="e">
        <f t="shared" si="57"/>
        <v>#N/A</v>
      </c>
    </row>
    <row r="3445" spans="1:5">
      <c r="A3445" s="64"/>
      <c r="E3445" t="e">
        <f t="shared" si="57"/>
        <v>#N/A</v>
      </c>
    </row>
    <row r="3446" spans="1:5">
      <c r="A3446" s="64"/>
      <c r="E3446" t="e">
        <f t="shared" si="57"/>
        <v>#N/A</v>
      </c>
    </row>
    <row r="3447" spans="1:5">
      <c r="A3447" s="64"/>
      <c r="E3447" t="e">
        <f t="shared" si="57"/>
        <v>#N/A</v>
      </c>
    </row>
    <row r="3448" spans="1:5">
      <c r="A3448" s="64"/>
      <c r="E3448" t="e">
        <f t="shared" si="57"/>
        <v>#N/A</v>
      </c>
    </row>
    <row r="3449" spans="1:5">
      <c r="A3449" s="64"/>
      <c r="E3449" t="e">
        <f t="shared" si="57"/>
        <v>#N/A</v>
      </c>
    </row>
    <row r="3450" spans="1:5">
      <c r="A3450" s="64"/>
      <c r="E3450" t="e">
        <f t="shared" si="57"/>
        <v>#N/A</v>
      </c>
    </row>
    <row r="3451" spans="1:5">
      <c r="A3451" s="64"/>
      <c r="E3451" t="e">
        <f t="shared" si="57"/>
        <v>#N/A</v>
      </c>
    </row>
    <row r="3452" spans="1:5">
      <c r="A3452" s="64"/>
      <c r="E3452" t="e">
        <f t="shared" si="57"/>
        <v>#N/A</v>
      </c>
    </row>
    <row r="3453" spans="1:5">
      <c r="A3453" s="64"/>
      <c r="E3453" t="e">
        <f t="shared" si="57"/>
        <v>#N/A</v>
      </c>
    </row>
    <row r="3454" spans="1:5">
      <c r="A3454" s="64"/>
      <c r="E3454" t="e">
        <f t="shared" si="57"/>
        <v>#N/A</v>
      </c>
    </row>
    <row r="3455" spans="1:5">
      <c r="A3455" s="64"/>
      <c r="E3455" t="e">
        <f t="shared" si="57"/>
        <v>#N/A</v>
      </c>
    </row>
    <row r="3456" spans="1:5">
      <c r="A3456" s="64"/>
      <c r="E3456" t="e">
        <f t="shared" si="57"/>
        <v>#N/A</v>
      </c>
    </row>
    <row r="3457" spans="1:5">
      <c r="A3457" s="64"/>
      <c r="E3457" t="e">
        <f t="shared" si="57"/>
        <v>#N/A</v>
      </c>
    </row>
    <row r="3458" spans="1:5">
      <c r="A3458" s="64"/>
      <c r="E3458" t="e">
        <f t="shared" si="57"/>
        <v>#N/A</v>
      </c>
    </row>
    <row r="3459" spans="1:5">
      <c r="A3459" s="64"/>
      <c r="E3459" t="e">
        <f t="shared" si="57"/>
        <v>#N/A</v>
      </c>
    </row>
    <row r="3460" spans="1:5">
      <c r="A3460" s="64"/>
      <c r="E3460" t="e">
        <f t="shared" si="57"/>
        <v>#N/A</v>
      </c>
    </row>
    <row r="3461" spans="1:5">
      <c r="A3461" s="64"/>
      <c r="E3461" t="e">
        <f t="shared" si="57"/>
        <v>#N/A</v>
      </c>
    </row>
    <row r="3462" spans="1:5">
      <c r="A3462" s="64"/>
      <c r="E3462" t="e">
        <f t="shared" si="57"/>
        <v>#N/A</v>
      </c>
    </row>
    <row r="3463" spans="1:5">
      <c r="A3463" s="64"/>
      <c r="E3463" t="e">
        <f t="shared" si="57"/>
        <v>#N/A</v>
      </c>
    </row>
    <row r="3464" spans="1:5">
      <c r="A3464" s="64"/>
      <c r="E3464" t="e">
        <f t="shared" si="57"/>
        <v>#N/A</v>
      </c>
    </row>
    <row r="3465" spans="1:5">
      <c r="A3465" s="64"/>
      <c r="E3465" t="e">
        <f t="shared" si="57"/>
        <v>#N/A</v>
      </c>
    </row>
    <row r="3466" spans="1:5">
      <c r="A3466" s="64"/>
      <c r="E3466" t="e">
        <f t="shared" si="57"/>
        <v>#N/A</v>
      </c>
    </row>
    <row r="3467" spans="1:5">
      <c r="A3467" s="64"/>
      <c r="E3467" t="e">
        <f t="shared" si="57"/>
        <v>#N/A</v>
      </c>
    </row>
    <row r="3468" spans="1:5">
      <c r="A3468" s="64"/>
      <c r="E3468" t="e">
        <f t="shared" si="57"/>
        <v>#N/A</v>
      </c>
    </row>
    <row r="3469" spans="1:5">
      <c r="A3469" s="64"/>
      <c r="E3469" t="e">
        <f t="shared" ref="E3469:E3532" si="58">VLOOKUP(B3469,$Q$14:$R$62,2,FALSE)</f>
        <v>#N/A</v>
      </c>
    </row>
    <row r="3470" spans="1:5">
      <c r="A3470" s="64"/>
      <c r="E3470" t="e">
        <f t="shared" si="58"/>
        <v>#N/A</v>
      </c>
    </row>
    <row r="3471" spans="1:5">
      <c r="A3471" s="64"/>
      <c r="E3471" t="e">
        <f t="shared" si="58"/>
        <v>#N/A</v>
      </c>
    </row>
    <row r="3472" spans="1:5">
      <c r="A3472" s="64"/>
      <c r="E3472" t="e">
        <f t="shared" si="58"/>
        <v>#N/A</v>
      </c>
    </row>
    <row r="3473" spans="1:5">
      <c r="A3473" s="64"/>
      <c r="E3473" t="e">
        <f t="shared" si="58"/>
        <v>#N/A</v>
      </c>
    </row>
    <row r="3474" spans="1:5">
      <c r="A3474" s="64"/>
      <c r="E3474" t="e">
        <f t="shared" si="58"/>
        <v>#N/A</v>
      </c>
    </row>
    <row r="3475" spans="1:5">
      <c r="A3475" s="64"/>
      <c r="E3475" t="e">
        <f t="shared" si="58"/>
        <v>#N/A</v>
      </c>
    </row>
    <row r="3476" spans="1:5">
      <c r="A3476" s="64"/>
      <c r="E3476" t="e">
        <f t="shared" si="58"/>
        <v>#N/A</v>
      </c>
    </row>
    <row r="3477" spans="1:5">
      <c r="A3477" s="64"/>
      <c r="E3477" t="e">
        <f t="shared" si="58"/>
        <v>#N/A</v>
      </c>
    </row>
    <row r="3478" spans="1:5">
      <c r="A3478" s="64"/>
      <c r="E3478" t="e">
        <f t="shared" si="58"/>
        <v>#N/A</v>
      </c>
    </row>
    <row r="3479" spans="1:5">
      <c r="A3479" s="64"/>
      <c r="E3479" t="e">
        <f t="shared" si="58"/>
        <v>#N/A</v>
      </c>
    </row>
    <row r="3480" spans="1:5">
      <c r="A3480" s="64"/>
      <c r="E3480" t="e">
        <f t="shared" si="58"/>
        <v>#N/A</v>
      </c>
    </row>
    <row r="3481" spans="1:5">
      <c r="A3481" s="64"/>
      <c r="E3481" t="e">
        <f t="shared" si="58"/>
        <v>#N/A</v>
      </c>
    </row>
    <row r="3482" spans="1:5">
      <c r="A3482" s="64"/>
      <c r="E3482" t="e">
        <f t="shared" si="58"/>
        <v>#N/A</v>
      </c>
    </row>
    <row r="3483" spans="1:5">
      <c r="A3483" s="64"/>
      <c r="E3483" t="e">
        <f t="shared" si="58"/>
        <v>#N/A</v>
      </c>
    </row>
    <row r="3484" spans="1:5">
      <c r="A3484" s="64"/>
      <c r="E3484" t="e">
        <f t="shared" si="58"/>
        <v>#N/A</v>
      </c>
    </row>
    <row r="3485" spans="1:5">
      <c r="A3485" s="64"/>
      <c r="E3485" t="e">
        <f t="shared" si="58"/>
        <v>#N/A</v>
      </c>
    </row>
    <row r="3486" spans="1:5">
      <c r="A3486" s="64"/>
      <c r="E3486" t="e">
        <f t="shared" si="58"/>
        <v>#N/A</v>
      </c>
    </row>
    <row r="3487" spans="1:5">
      <c r="A3487" s="64"/>
      <c r="E3487" t="e">
        <f t="shared" si="58"/>
        <v>#N/A</v>
      </c>
    </row>
    <row r="3488" spans="1:5">
      <c r="A3488" s="64"/>
      <c r="E3488" t="e">
        <f t="shared" si="58"/>
        <v>#N/A</v>
      </c>
    </row>
    <row r="3489" spans="1:5">
      <c r="A3489" s="64"/>
      <c r="E3489" t="e">
        <f t="shared" si="58"/>
        <v>#N/A</v>
      </c>
    </row>
    <row r="3490" spans="1:5">
      <c r="A3490" s="64"/>
      <c r="E3490" t="e">
        <f t="shared" si="58"/>
        <v>#N/A</v>
      </c>
    </row>
    <row r="3491" spans="1:5">
      <c r="A3491" s="64"/>
      <c r="E3491" t="e">
        <f t="shared" si="58"/>
        <v>#N/A</v>
      </c>
    </row>
    <row r="3492" spans="1:5">
      <c r="A3492" s="64"/>
      <c r="E3492" t="e">
        <f t="shared" si="58"/>
        <v>#N/A</v>
      </c>
    </row>
    <row r="3493" spans="1:5">
      <c r="A3493" s="64"/>
      <c r="E3493" t="e">
        <f t="shared" si="58"/>
        <v>#N/A</v>
      </c>
    </row>
    <row r="3494" spans="1:5">
      <c r="A3494" s="64"/>
      <c r="E3494" t="e">
        <f t="shared" si="58"/>
        <v>#N/A</v>
      </c>
    </row>
    <row r="3495" spans="1:5">
      <c r="A3495" s="64"/>
      <c r="E3495" t="e">
        <f t="shared" si="58"/>
        <v>#N/A</v>
      </c>
    </row>
    <row r="3496" spans="1:5">
      <c r="A3496" s="64"/>
      <c r="E3496" t="e">
        <f t="shared" si="58"/>
        <v>#N/A</v>
      </c>
    </row>
    <row r="3497" spans="1:5">
      <c r="A3497" s="64"/>
      <c r="E3497" t="e">
        <f t="shared" si="58"/>
        <v>#N/A</v>
      </c>
    </row>
    <row r="3498" spans="1:5">
      <c r="A3498" s="64"/>
      <c r="E3498" t="e">
        <f t="shared" si="58"/>
        <v>#N/A</v>
      </c>
    </row>
    <row r="3499" spans="1:5">
      <c r="A3499" s="64"/>
      <c r="E3499" t="e">
        <f t="shared" si="58"/>
        <v>#N/A</v>
      </c>
    </row>
    <row r="3500" spans="1:5">
      <c r="A3500" s="64"/>
      <c r="E3500" t="e">
        <f t="shared" si="58"/>
        <v>#N/A</v>
      </c>
    </row>
    <row r="3501" spans="1:5">
      <c r="A3501" s="64"/>
      <c r="E3501" t="e">
        <f t="shared" si="58"/>
        <v>#N/A</v>
      </c>
    </row>
    <row r="3502" spans="1:5">
      <c r="A3502" s="64"/>
      <c r="E3502" t="e">
        <f t="shared" si="58"/>
        <v>#N/A</v>
      </c>
    </row>
    <row r="3503" spans="1:5">
      <c r="A3503" s="64"/>
      <c r="E3503" t="e">
        <f t="shared" si="58"/>
        <v>#N/A</v>
      </c>
    </row>
    <row r="3504" spans="1:5">
      <c r="A3504" s="64"/>
      <c r="E3504" t="e">
        <f t="shared" si="58"/>
        <v>#N/A</v>
      </c>
    </row>
    <row r="3505" spans="1:5">
      <c r="A3505" s="64"/>
      <c r="E3505" t="e">
        <f t="shared" si="58"/>
        <v>#N/A</v>
      </c>
    </row>
    <row r="3506" spans="1:5">
      <c r="A3506" s="64"/>
      <c r="E3506" t="e">
        <f t="shared" si="58"/>
        <v>#N/A</v>
      </c>
    </row>
    <row r="3507" spans="1:5">
      <c r="A3507" s="64"/>
      <c r="E3507" t="e">
        <f t="shared" si="58"/>
        <v>#N/A</v>
      </c>
    </row>
    <row r="3508" spans="1:5">
      <c r="A3508" s="64"/>
      <c r="E3508" t="e">
        <f t="shared" si="58"/>
        <v>#N/A</v>
      </c>
    </row>
    <row r="3509" spans="1:5">
      <c r="A3509" s="64"/>
      <c r="E3509" t="e">
        <f t="shared" si="58"/>
        <v>#N/A</v>
      </c>
    </row>
    <row r="3510" spans="1:5">
      <c r="A3510" s="64"/>
      <c r="E3510" t="e">
        <f t="shared" si="58"/>
        <v>#N/A</v>
      </c>
    </row>
    <row r="3511" spans="1:5">
      <c r="A3511" s="64"/>
      <c r="E3511" t="e">
        <f t="shared" si="58"/>
        <v>#N/A</v>
      </c>
    </row>
    <row r="3512" spans="1:5">
      <c r="A3512" s="64"/>
      <c r="E3512" t="e">
        <f t="shared" si="58"/>
        <v>#N/A</v>
      </c>
    </row>
    <row r="3513" spans="1:5">
      <c r="A3513" s="64"/>
      <c r="E3513" t="e">
        <f t="shared" si="58"/>
        <v>#N/A</v>
      </c>
    </row>
    <row r="3514" spans="1:5">
      <c r="A3514" s="64"/>
      <c r="E3514" t="e">
        <f t="shared" si="58"/>
        <v>#N/A</v>
      </c>
    </row>
    <row r="3515" spans="1:5">
      <c r="A3515" s="64"/>
      <c r="E3515" t="e">
        <f t="shared" si="58"/>
        <v>#N/A</v>
      </c>
    </row>
    <row r="3516" spans="1:5">
      <c r="A3516" s="64"/>
      <c r="E3516" t="e">
        <f t="shared" si="58"/>
        <v>#N/A</v>
      </c>
    </row>
    <row r="3517" spans="1:5">
      <c r="A3517" s="64"/>
      <c r="E3517" t="e">
        <f t="shared" si="58"/>
        <v>#N/A</v>
      </c>
    </row>
    <row r="3518" spans="1:5">
      <c r="A3518" s="64"/>
      <c r="E3518" t="e">
        <f t="shared" si="58"/>
        <v>#N/A</v>
      </c>
    </row>
    <row r="3519" spans="1:5">
      <c r="A3519" s="64"/>
      <c r="E3519" t="e">
        <f t="shared" si="58"/>
        <v>#N/A</v>
      </c>
    </row>
    <row r="3520" spans="1:5">
      <c r="A3520" s="64"/>
      <c r="E3520" t="e">
        <f t="shared" si="58"/>
        <v>#N/A</v>
      </c>
    </row>
    <row r="3521" spans="1:5">
      <c r="A3521" s="64"/>
      <c r="E3521" t="e">
        <f t="shared" si="58"/>
        <v>#N/A</v>
      </c>
    </row>
    <row r="3522" spans="1:5">
      <c r="A3522" s="64"/>
      <c r="E3522" t="e">
        <f t="shared" si="58"/>
        <v>#N/A</v>
      </c>
    </row>
    <row r="3523" spans="1:5">
      <c r="A3523" s="64"/>
      <c r="E3523" t="e">
        <f t="shared" si="58"/>
        <v>#N/A</v>
      </c>
    </row>
    <row r="3524" spans="1:5">
      <c r="A3524" s="64"/>
      <c r="E3524" t="e">
        <f t="shared" si="58"/>
        <v>#N/A</v>
      </c>
    </row>
    <row r="3525" spans="1:5">
      <c r="A3525" s="64"/>
      <c r="E3525" t="e">
        <f t="shared" si="58"/>
        <v>#N/A</v>
      </c>
    </row>
    <row r="3526" spans="1:5">
      <c r="A3526" s="64"/>
      <c r="E3526" t="e">
        <f t="shared" si="58"/>
        <v>#N/A</v>
      </c>
    </row>
    <row r="3527" spans="1:5">
      <c r="A3527" s="64"/>
      <c r="E3527" t="e">
        <f t="shared" si="58"/>
        <v>#N/A</v>
      </c>
    </row>
    <row r="3528" spans="1:5">
      <c r="A3528" s="64"/>
      <c r="E3528" t="e">
        <f t="shared" si="58"/>
        <v>#N/A</v>
      </c>
    </row>
    <row r="3529" spans="1:5">
      <c r="A3529" s="64"/>
      <c r="E3529" t="e">
        <f t="shared" si="58"/>
        <v>#N/A</v>
      </c>
    </row>
    <row r="3530" spans="1:5">
      <c r="A3530" s="64"/>
      <c r="E3530" t="e">
        <f t="shared" si="58"/>
        <v>#N/A</v>
      </c>
    </row>
    <row r="3531" spans="1:5">
      <c r="A3531" s="64"/>
      <c r="E3531" t="e">
        <f t="shared" si="58"/>
        <v>#N/A</v>
      </c>
    </row>
    <row r="3532" spans="1:5">
      <c r="A3532" s="64"/>
      <c r="E3532" t="e">
        <f t="shared" si="58"/>
        <v>#N/A</v>
      </c>
    </row>
    <row r="3533" spans="1:5">
      <c r="A3533" s="64"/>
      <c r="E3533" t="e">
        <f t="shared" ref="E3533:E3596" si="59">VLOOKUP(B3533,$Q$14:$R$62,2,FALSE)</f>
        <v>#N/A</v>
      </c>
    </row>
    <row r="3534" spans="1:5">
      <c r="A3534" s="64"/>
      <c r="E3534" t="e">
        <f t="shared" si="59"/>
        <v>#N/A</v>
      </c>
    </row>
    <row r="3535" spans="1:5">
      <c r="A3535" s="64"/>
      <c r="E3535" t="e">
        <f t="shared" si="59"/>
        <v>#N/A</v>
      </c>
    </row>
    <row r="3536" spans="1:5">
      <c r="A3536" s="64"/>
      <c r="E3536" t="e">
        <f t="shared" si="59"/>
        <v>#N/A</v>
      </c>
    </row>
    <row r="3537" spans="1:5">
      <c r="A3537" s="64"/>
      <c r="E3537" t="e">
        <f t="shared" si="59"/>
        <v>#N/A</v>
      </c>
    </row>
    <row r="3538" spans="1:5">
      <c r="A3538" s="64"/>
      <c r="E3538" t="e">
        <f t="shared" si="59"/>
        <v>#N/A</v>
      </c>
    </row>
    <row r="3539" spans="1:5">
      <c r="A3539" s="64"/>
      <c r="E3539" t="e">
        <f t="shared" si="59"/>
        <v>#N/A</v>
      </c>
    </row>
    <row r="3540" spans="1:5">
      <c r="A3540" s="64"/>
      <c r="E3540" t="e">
        <f t="shared" si="59"/>
        <v>#N/A</v>
      </c>
    </row>
    <row r="3541" spans="1:5">
      <c r="A3541" s="64"/>
      <c r="E3541" t="e">
        <f t="shared" si="59"/>
        <v>#N/A</v>
      </c>
    </row>
    <row r="3542" spans="1:5">
      <c r="A3542" s="64"/>
      <c r="E3542" t="e">
        <f t="shared" si="59"/>
        <v>#N/A</v>
      </c>
    </row>
    <row r="3543" spans="1:5">
      <c r="A3543" s="64"/>
      <c r="E3543" t="e">
        <f t="shared" si="59"/>
        <v>#N/A</v>
      </c>
    </row>
    <row r="3544" spans="1:5">
      <c r="A3544" s="64"/>
      <c r="E3544" t="e">
        <f t="shared" si="59"/>
        <v>#N/A</v>
      </c>
    </row>
    <row r="3545" spans="1:5">
      <c r="A3545" s="64"/>
      <c r="E3545" t="e">
        <f t="shared" si="59"/>
        <v>#N/A</v>
      </c>
    </row>
    <row r="3546" spans="1:5">
      <c r="A3546" s="64"/>
      <c r="E3546" t="e">
        <f t="shared" si="59"/>
        <v>#N/A</v>
      </c>
    </row>
    <row r="3547" spans="1:5">
      <c r="A3547" s="64"/>
      <c r="E3547" t="e">
        <f t="shared" si="59"/>
        <v>#N/A</v>
      </c>
    </row>
    <row r="3548" spans="1:5">
      <c r="A3548" s="64"/>
      <c r="E3548" t="e">
        <f t="shared" si="59"/>
        <v>#N/A</v>
      </c>
    </row>
    <row r="3549" spans="1:5">
      <c r="A3549" s="64"/>
      <c r="E3549" t="e">
        <f t="shared" si="59"/>
        <v>#N/A</v>
      </c>
    </row>
    <row r="3550" spans="1:5">
      <c r="A3550" s="64"/>
      <c r="E3550" t="e">
        <f t="shared" si="59"/>
        <v>#N/A</v>
      </c>
    </row>
    <row r="3551" spans="1:5">
      <c r="A3551" s="64"/>
      <c r="E3551" t="e">
        <f t="shared" si="59"/>
        <v>#N/A</v>
      </c>
    </row>
    <row r="3552" spans="1:5">
      <c r="A3552" s="64"/>
      <c r="E3552" t="e">
        <f t="shared" si="59"/>
        <v>#N/A</v>
      </c>
    </row>
    <row r="3553" spans="1:5">
      <c r="A3553" s="64"/>
      <c r="E3553" t="e">
        <f t="shared" si="59"/>
        <v>#N/A</v>
      </c>
    </row>
    <row r="3554" spans="1:5">
      <c r="A3554" s="64"/>
      <c r="E3554" t="e">
        <f t="shared" si="59"/>
        <v>#N/A</v>
      </c>
    </row>
    <row r="3555" spans="1:5">
      <c r="A3555" s="64"/>
      <c r="E3555" t="e">
        <f t="shared" si="59"/>
        <v>#N/A</v>
      </c>
    </row>
    <row r="3556" spans="1:5">
      <c r="A3556" s="64"/>
      <c r="E3556" t="e">
        <f t="shared" si="59"/>
        <v>#N/A</v>
      </c>
    </row>
    <row r="3557" spans="1:5">
      <c r="A3557" s="64"/>
      <c r="E3557" t="e">
        <f t="shared" si="59"/>
        <v>#N/A</v>
      </c>
    </row>
    <row r="3558" spans="1:5">
      <c r="A3558" s="64"/>
      <c r="E3558" t="e">
        <f t="shared" si="59"/>
        <v>#N/A</v>
      </c>
    </row>
    <row r="3559" spans="1:5">
      <c r="A3559" s="64"/>
      <c r="E3559" t="e">
        <f t="shared" si="59"/>
        <v>#N/A</v>
      </c>
    </row>
    <row r="3560" spans="1:5">
      <c r="A3560" s="64"/>
      <c r="E3560" t="e">
        <f t="shared" si="59"/>
        <v>#N/A</v>
      </c>
    </row>
    <row r="3561" spans="1:5">
      <c r="A3561" s="64"/>
      <c r="E3561" t="e">
        <f t="shared" si="59"/>
        <v>#N/A</v>
      </c>
    </row>
    <row r="3562" spans="1:5">
      <c r="A3562" s="64"/>
      <c r="E3562" t="e">
        <f t="shared" si="59"/>
        <v>#N/A</v>
      </c>
    </row>
    <row r="3563" spans="1:5">
      <c r="A3563" s="64"/>
      <c r="E3563" t="e">
        <f t="shared" si="59"/>
        <v>#N/A</v>
      </c>
    </row>
    <row r="3564" spans="1:5">
      <c r="A3564" s="64"/>
      <c r="E3564" t="e">
        <f t="shared" si="59"/>
        <v>#N/A</v>
      </c>
    </row>
    <row r="3565" spans="1:5">
      <c r="A3565" s="64"/>
      <c r="E3565" t="e">
        <f t="shared" si="59"/>
        <v>#N/A</v>
      </c>
    </row>
    <row r="3566" spans="1:5">
      <c r="A3566" s="64"/>
      <c r="E3566" t="e">
        <f t="shared" si="59"/>
        <v>#N/A</v>
      </c>
    </row>
    <row r="3567" spans="1:5">
      <c r="A3567" s="64"/>
      <c r="E3567" t="e">
        <f t="shared" si="59"/>
        <v>#N/A</v>
      </c>
    </row>
    <row r="3568" spans="1:5">
      <c r="A3568" s="64"/>
      <c r="E3568" t="e">
        <f t="shared" si="59"/>
        <v>#N/A</v>
      </c>
    </row>
    <row r="3569" spans="1:5">
      <c r="A3569" s="64"/>
      <c r="E3569" t="e">
        <f t="shared" si="59"/>
        <v>#N/A</v>
      </c>
    </row>
    <row r="3570" spans="1:5">
      <c r="A3570" s="64"/>
      <c r="E3570" t="e">
        <f t="shared" si="59"/>
        <v>#N/A</v>
      </c>
    </row>
    <row r="3571" spans="1:5">
      <c r="A3571" s="64"/>
      <c r="E3571" t="e">
        <f t="shared" si="59"/>
        <v>#N/A</v>
      </c>
    </row>
    <row r="3572" spans="1:5">
      <c r="A3572" s="64"/>
      <c r="E3572" t="e">
        <f t="shared" si="59"/>
        <v>#N/A</v>
      </c>
    </row>
    <row r="3573" spans="1:5">
      <c r="A3573" s="64"/>
      <c r="E3573" t="e">
        <f t="shared" si="59"/>
        <v>#N/A</v>
      </c>
    </row>
    <row r="3574" spans="1:5">
      <c r="A3574" s="64"/>
      <c r="E3574" t="e">
        <f t="shared" si="59"/>
        <v>#N/A</v>
      </c>
    </row>
    <row r="3575" spans="1:5">
      <c r="A3575" s="64"/>
      <c r="E3575" t="e">
        <f t="shared" si="59"/>
        <v>#N/A</v>
      </c>
    </row>
    <row r="3576" spans="1:5">
      <c r="A3576" s="64"/>
      <c r="E3576" t="e">
        <f t="shared" si="59"/>
        <v>#N/A</v>
      </c>
    </row>
    <row r="3577" spans="1:5">
      <c r="A3577" s="64"/>
      <c r="E3577" t="e">
        <f t="shared" si="59"/>
        <v>#N/A</v>
      </c>
    </row>
    <row r="3578" spans="1:5">
      <c r="A3578" s="64"/>
      <c r="E3578" t="e">
        <f t="shared" si="59"/>
        <v>#N/A</v>
      </c>
    </row>
    <row r="3579" spans="1:5">
      <c r="A3579" s="64"/>
      <c r="E3579" t="e">
        <f t="shared" si="59"/>
        <v>#N/A</v>
      </c>
    </row>
    <row r="3580" spans="1:5">
      <c r="A3580" s="64"/>
      <c r="E3580" t="e">
        <f t="shared" si="59"/>
        <v>#N/A</v>
      </c>
    </row>
    <row r="3581" spans="1:5">
      <c r="A3581" s="64"/>
      <c r="E3581" t="e">
        <f t="shared" si="59"/>
        <v>#N/A</v>
      </c>
    </row>
    <row r="3582" spans="1:5">
      <c r="A3582" s="64"/>
      <c r="E3582" t="e">
        <f t="shared" si="59"/>
        <v>#N/A</v>
      </c>
    </row>
    <row r="3583" spans="1:5">
      <c r="A3583" s="64"/>
      <c r="E3583" t="e">
        <f t="shared" si="59"/>
        <v>#N/A</v>
      </c>
    </row>
    <row r="3584" spans="1:5">
      <c r="A3584" s="64"/>
      <c r="E3584" t="e">
        <f t="shared" si="59"/>
        <v>#N/A</v>
      </c>
    </row>
    <row r="3585" spans="1:5">
      <c r="A3585" s="64"/>
      <c r="E3585" t="e">
        <f t="shared" si="59"/>
        <v>#N/A</v>
      </c>
    </row>
    <row r="3586" spans="1:5">
      <c r="A3586" s="64"/>
      <c r="E3586" t="e">
        <f t="shared" si="59"/>
        <v>#N/A</v>
      </c>
    </row>
    <row r="3587" spans="1:5">
      <c r="A3587" s="64"/>
      <c r="E3587" t="e">
        <f t="shared" si="59"/>
        <v>#N/A</v>
      </c>
    </row>
    <row r="3588" spans="1:5">
      <c r="A3588" s="64"/>
      <c r="E3588" t="e">
        <f t="shared" si="59"/>
        <v>#N/A</v>
      </c>
    </row>
    <row r="3589" spans="1:5">
      <c r="A3589" s="64"/>
      <c r="E3589" t="e">
        <f t="shared" si="59"/>
        <v>#N/A</v>
      </c>
    </row>
    <row r="3590" spans="1:5">
      <c r="A3590" s="64"/>
      <c r="E3590" t="e">
        <f t="shared" si="59"/>
        <v>#N/A</v>
      </c>
    </row>
    <row r="3591" spans="1:5">
      <c r="A3591" s="64"/>
      <c r="E3591" t="e">
        <f t="shared" si="59"/>
        <v>#N/A</v>
      </c>
    </row>
    <row r="3592" spans="1:5">
      <c r="A3592" s="64"/>
      <c r="E3592" t="e">
        <f t="shared" si="59"/>
        <v>#N/A</v>
      </c>
    </row>
    <row r="3593" spans="1:5">
      <c r="A3593" s="64"/>
      <c r="E3593" t="e">
        <f t="shared" si="59"/>
        <v>#N/A</v>
      </c>
    </row>
    <row r="3594" spans="1:5">
      <c r="A3594" s="64"/>
      <c r="E3594" t="e">
        <f t="shared" si="59"/>
        <v>#N/A</v>
      </c>
    </row>
    <row r="3595" spans="1:5">
      <c r="A3595" s="64"/>
      <c r="E3595" t="e">
        <f t="shared" si="59"/>
        <v>#N/A</v>
      </c>
    </row>
    <row r="3596" spans="1:5">
      <c r="A3596" s="64"/>
      <c r="E3596" t="e">
        <f t="shared" si="59"/>
        <v>#N/A</v>
      </c>
    </row>
    <row r="3597" spans="1:5">
      <c r="A3597" s="64"/>
      <c r="E3597" t="e">
        <f t="shared" ref="E3597:E3660" si="60">VLOOKUP(B3597,$Q$14:$R$62,2,FALSE)</f>
        <v>#N/A</v>
      </c>
    </row>
    <row r="3598" spans="1:5">
      <c r="A3598" s="64"/>
      <c r="E3598" t="e">
        <f t="shared" si="60"/>
        <v>#N/A</v>
      </c>
    </row>
    <row r="3599" spans="1:5">
      <c r="A3599" s="64"/>
      <c r="E3599" t="e">
        <f t="shared" si="60"/>
        <v>#N/A</v>
      </c>
    </row>
    <row r="3600" spans="1:5">
      <c r="A3600" s="64"/>
      <c r="E3600" t="e">
        <f t="shared" si="60"/>
        <v>#N/A</v>
      </c>
    </row>
    <row r="3601" spans="1:5">
      <c r="A3601" s="64"/>
      <c r="E3601" t="e">
        <f t="shared" si="60"/>
        <v>#N/A</v>
      </c>
    </row>
    <row r="3602" spans="1:5">
      <c r="A3602" s="64"/>
      <c r="E3602" t="e">
        <f t="shared" si="60"/>
        <v>#N/A</v>
      </c>
    </row>
    <row r="3603" spans="1:5">
      <c r="A3603" s="64"/>
      <c r="E3603" t="e">
        <f t="shared" si="60"/>
        <v>#N/A</v>
      </c>
    </row>
    <row r="3604" spans="1:5">
      <c r="A3604" s="64"/>
      <c r="E3604" t="e">
        <f t="shared" si="60"/>
        <v>#N/A</v>
      </c>
    </row>
    <row r="3605" spans="1:5">
      <c r="A3605" s="64"/>
      <c r="E3605" t="e">
        <f t="shared" si="60"/>
        <v>#N/A</v>
      </c>
    </row>
    <row r="3606" spans="1:5">
      <c r="A3606" s="64"/>
      <c r="E3606" t="e">
        <f t="shared" si="60"/>
        <v>#N/A</v>
      </c>
    </row>
    <row r="3607" spans="1:5">
      <c r="A3607" s="64"/>
      <c r="E3607" t="e">
        <f t="shared" si="60"/>
        <v>#N/A</v>
      </c>
    </row>
    <row r="3608" spans="1:5">
      <c r="A3608" s="64"/>
      <c r="E3608" t="e">
        <f t="shared" si="60"/>
        <v>#N/A</v>
      </c>
    </row>
    <row r="3609" spans="1:5">
      <c r="A3609" s="64"/>
      <c r="E3609" t="e">
        <f t="shared" si="60"/>
        <v>#N/A</v>
      </c>
    </row>
    <row r="3610" spans="1:5">
      <c r="A3610" s="64"/>
      <c r="E3610" t="e">
        <f t="shared" si="60"/>
        <v>#N/A</v>
      </c>
    </row>
    <row r="3611" spans="1:5">
      <c r="A3611" s="64"/>
      <c r="E3611" t="e">
        <f t="shared" si="60"/>
        <v>#N/A</v>
      </c>
    </row>
    <row r="3612" spans="1:5">
      <c r="A3612" s="64"/>
      <c r="E3612" t="e">
        <f t="shared" si="60"/>
        <v>#N/A</v>
      </c>
    </row>
    <row r="3613" spans="1:5">
      <c r="A3613" s="64"/>
      <c r="E3613" t="e">
        <f t="shared" si="60"/>
        <v>#N/A</v>
      </c>
    </row>
    <row r="3614" spans="1:5">
      <c r="A3614" s="64"/>
      <c r="E3614" t="e">
        <f t="shared" si="60"/>
        <v>#N/A</v>
      </c>
    </row>
    <row r="3615" spans="1:5">
      <c r="A3615" s="64"/>
      <c r="E3615" t="e">
        <f t="shared" si="60"/>
        <v>#N/A</v>
      </c>
    </row>
    <row r="3616" spans="1:5">
      <c r="A3616" s="64"/>
      <c r="E3616" t="e">
        <f t="shared" si="60"/>
        <v>#N/A</v>
      </c>
    </row>
    <row r="3617" spans="1:5">
      <c r="A3617" s="64"/>
      <c r="E3617" t="e">
        <f t="shared" si="60"/>
        <v>#N/A</v>
      </c>
    </row>
    <row r="3618" spans="1:5">
      <c r="A3618" s="64"/>
      <c r="E3618" t="e">
        <f t="shared" si="60"/>
        <v>#N/A</v>
      </c>
    </row>
    <row r="3619" spans="1:5">
      <c r="A3619" s="64"/>
      <c r="E3619" t="e">
        <f t="shared" si="60"/>
        <v>#N/A</v>
      </c>
    </row>
    <row r="3620" spans="1:5">
      <c r="A3620" s="64"/>
      <c r="E3620" t="e">
        <f t="shared" si="60"/>
        <v>#N/A</v>
      </c>
    </row>
    <row r="3621" spans="1:5">
      <c r="A3621" s="64"/>
      <c r="E3621" t="e">
        <f t="shared" si="60"/>
        <v>#N/A</v>
      </c>
    </row>
    <row r="3622" spans="1:5">
      <c r="A3622" s="64"/>
      <c r="E3622" t="e">
        <f t="shared" si="60"/>
        <v>#N/A</v>
      </c>
    </row>
    <row r="3623" spans="1:5">
      <c r="A3623" s="64"/>
      <c r="E3623" t="e">
        <f t="shared" si="60"/>
        <v>#N/A</v>
      </c>
    </row>
    <row r="3624" spans="1:5">
      <c r="A3624" s="64"/>
      <c r="E3624" t="e">
        <f t="shared" si="60"/>
        <v>#N/A</v>
      </c>
    </row>
    <row r="3625" spans="1:5">
      <c r="A3625" s="64"/>
      <c r="E3625" t="e">
        <f t="shared" si="60"/>
        <v>#N/A</v>
      </c>
    </row>
    <row r="3626" spans="1:5">
      <c r="A3626" s="64"/>
      <c r="E3626" t="e">
        <f t="shared" si="60"/>
        <v>#N/A</v>
      </c>
    </row>
    <row r="3627" spans="1:5">
      <c r="A3627" s="64"/>
      <c r="E3627" t="e">
        <f t="shared" si="60"/>
        <v>#N/A</v>
      </c>
    </row>
    <row r="3628" spans="1:5">
      <c r="A3628" s="64"/>
      <c r="E3628" t="e">
        <f t="shared" si="60"/>
        <v>#N/A</v>
      </c>
    </row>
    <row r="3629" spans="1:5">
      <c r="A3629" s="64"/>
      <c r="E3629" t="e">
        <f t="shared" si="60"/>
        <v>#N/A</v>
      </c>
    </row>
    <row r="3630" spans="1:5">
      <c r="A3630" s="64"/>
      <c r="E3630" t="e">
        <f t="shared" si="60"/>
        <v>#N/A</v>
      </c>
    </row>
    <row r="3631" spans="1:5">
      <c r="A3631" s="64"/>
      <c r="E3631" t="e">
        <f t="shared" si="60"/>
        <v>#N/A</v>
      </c>
    </row>
    <row r="3632" spans="1:5">
      <c r="A3632" s="64"/>
      <c r="E3632" t="e">
        <f t="shared" si="60"/>
        <v>#N/A</v>
      </c>
    </row>
    <row r="3633" spans="1:5">
      <c r="A3633" s="64"/>
      <c r="E3633" t="e">
        <f t="shared" si="60"/>
        <v>#N/A</v>
      </c>
    </row>
    <row r="3634" spans="1:5">
      <c r="A3634" s="64"/>
      <c r="E3634" t="e">
        <f t="shared" si="60"/>
        <v>#N/A</v>
      </c>
    </row>
    <row r="3635" spans="1:5">
      <c r="A3635" s="64"/>
      <c r="E3635" t="e">
        <f t="shared" si="60"/>
        <v>#N/A</v>
      </c>
    </row>
    <row r="3636" spans="1:5">
      <c r="A3636" s="64"/>
      <c r="E3636" t="e">
        <f t="shared" si="60"/>
        <v>#N/A</v>
      </c>
    </row>
    <row r="3637" spans="1:5">
      <c r="A3637" s="64"/>
      <c r="E3637" t="e">
        <f t="shared" si="60"/>
        <v>#N/A</v>
      </c>
    </row>
    <row r="3638" spans="1:5">
      <c r="A3638" s="64"/>
      <c r="E3638" t="e">
        <f t="shared" si="60"/>
        <v>#N/A</v>
      </c>
    </row>
    <row r="3639" spans="1:5">
      <c r="A3639" s="64"/>
      <c r="E3639" t="e">
        <f t="shared" si="60"/>
        <v>#N/A</v>
      </c>
    </row>
    <row r="3640" spans="1:5">
      <c r="A3640" s="64"/>
      <c r="E3640" t="e">
        <f t="shared" si="60"/>
        <v>#N/A</v>
      </c>
    </row>
    <row r="3641" spans="1:5">
      <c r="A3641" s="64"/>
      <c r="E3641" t="e">
        <f t="shared" si="60"/>
        <v>#N/A</v>
      </c>
    </row>
    <row r="3642" spans="1:5">
      <c r="A3642" s="64"/>
      <c r="E3642" t="e">
        <f t="shared" si="60"/>
        <v>#N/A</v>
      </c>
    </row>
    <row r="3643" spans="1:5">
      <c r="A3643" s="64"/>
      <c r="E3643" t="e">
        <f t="shared" si="60"/>
        <v>#N/A</v>
      </c>
    </row>
    <row r="3644" spans="1:5">
      <c r="A3644" s="64"/>
      <c r="E3644" t="e">
        <f t="shared" si="60"/>
        <v>#N/A</v>
      </c>
    </row>
    <row r="3645" spans="1:5">
      <c r="A3645" s="64"/>
      <c r="E3645" t="e">
        <f t="shared" si="60"/>
        <v>#N/A</v>
      </c>
    </row>
    <row r="3646" spans="1:5">
      <c r="A3646" s="64"/>
      <c r="E3646" t="e">
        <f t="shared" si="60"/>
        <v>#N/A</v>
      </c>
    </row>
    <row r="3647" spans="1:5">
      <c r="A3647" s="64"/>
      <c r="E3647" t="e">
        <f t="shared" si="60"/>
        <v>#N/A</v>
      </c>
    </row>
    <row r="3648" spans="1:5">
      <c r="A3648" s="64"/>
      <c r="E3648" t="e">
        <f t="shared" si="60"/>
        <v>#N/A</v>
      </c>
    </row>
    <row r="3649" spans="1:5">
      <c r="A3649" s="64"/>
      <c r="E3649" t="e">
        <f t="shared" si="60"/>
        <v>#N/A</v>
      </c>
    </row>
    <row r="3650" spans="1:5">
      <c r="A3650" s="64"/>
      <c r="E3650" t="e">
        <f t="shared" si="60"/>
        <v>#N/A</v>
      </c>
    </row>
    <row r="3651" spans="1:5">
      <c r="A3651" s="64"/>
      <c r="E3651" t="e">
        <f t="shared" si="60"/>
        <v>#N/A</v>
      </c>
    </row>
    <row r="3652" spans="1:5">
      <c r="A3652" s="64"/>
      <c r="E3652" t="e">
        <f t="shared" si="60"/>
        <v>#N/A</v>
      </c>
    </row>
    <row r="3653" spans="1:5">
      <c r="A3653" s="64"/>
      <c r="E3653" t="e">
        <f t="shared" si="60"/>
        <v>#N/A</v>
      </c>
    </row>
    <row r="3654" spans="1:5">
      <c r="A3654" s="64"/>
      <c r="E3654" t="e">
        <f t="shared" si="60"/>
        <v>#N/A</v>
      </c>
    </row>
    <row r="3655" spans="1:5">
      <c r="A3655" s="64"/>
      <c r="E3655" t="e">
        <f t="shared" si="60"/>
        <v>#N/A</v>
      </c>
    </row>
    <row r="3656" spans="1:5">
      <c r="A3656" s="64"/>
      <c r="E3656" t="e">
        <f t="shared" si="60"/>
        <v>#N/A</v>
      </c>
    </row>
    <row r="3657" spans="1:5">
      <c r="A3657" s="64"/>
      <c r="E3657" t="e">
        <f t="shared" si="60"/>
        <v>#N/A</v>
      </c>
    </row>
    <row r="3658" spans="1:5">
      <c r="A3658" s="64"/>
      <c r="E3658" t="e">
        <f t="shared" si="60"/>
        <v>#N/A</v>
      </c>
    </row>
    <row r="3659" spans="1:5">
      <c r="A3659" s="64"/>
      <c r="E3659" t="e">
        <f t="shared" si="60"/>
        <v>#N/A</v>
      </c>
    </row>
    <row r="3660" spans="1:5">
      <c r="A3660" s="64"/>
      <c r="E3660" t="e">
        <f t="shared" si="60"/>
        <v>#N/A</v>
      </c>
    </row>
    <row r="3661" spans="1:5">
      <c r="A3661" s="64"/>
      <c r="E3661" t="e">
        <f t="shared" ref="E3661:E3724" si="61">VLOOKUP(B3661,$Q$14:$R$62,2,FALSE)</f>
        <v>#N/A</v>
      </c>
    </row>
    <row r="3662" spans="1:5">
      <c r="A3662" s="64"/>
      <c r="E3662" t="e">
        <f t="shared" si="61"/>
        <v>#N/A</v>
      </c>
    </row>
    <row r="3663" spans="1:5">
      <c r="A3663" s="64"/>
      <c r="E3663" t="e">
        <f t="shared" si="61"/>
        <v>#N/A</v>
      </c>
    </row>
    <row r="3664" spans="1:5">
      <c r="A3664" s="64"/>
      <c r="E3664" t="e">
        <f t="shared" si="61"/>
        <v>#N/A</v>
      </c>
    </row>
    <row r="3665" spans="1:5">
      <c r="A3665" s="64"/>
      <c r="E3665" t="e">
        <f t="shared" si="61"/>
        <v>#N/A</v>
      </c>
    </row>
    <row r="3666" spans="1:5">
      <c r="A3666" s="64"/>
      <c r="E3666" t="e">
        <f t="shared" si="61"/>
        <v>#N/A</v>
      </c>
    </row>
    <row r="3667" spans="1:5">
      <c r="A3667" s="64"/>
      <c r="E3667" t="e">
        <f t="shared" si="61"/>
        <v>#N/A</v>
      </c>
    </row>
    <row r="3668" spans="1:5">
      <c r="A3668" s="64"/>
      <c r="E3668" t="e">
        <f t="shared" si="61"/>
        <v>#N/A</v>
      </c>
    </row>
    <row r="3669" spans="1:5">
      <c r="A3669" s="64"/>
      <c r="E3669" t="e">
        <f t="shared" si="61"/>
        <v>#N/A</v>
      </c>
    </row>
    <row r="3670" spans="1:5">
      <c r="A3670" s="64"/>
      <c r="E3670" t="e">
        <f t="shared" si="61"/>
        <v>#N/A</v>
      </c>
    </row>
    <row r="3671" spans="1:5">
      <c r="A3671" s="64"/>
      <c r="E3671" t="e">
        <f t="shared" si="61"/>
        <v>#N/A</v>
      </c>
    </row>
    <row r="3672" spans="1:5">
      <c r="A3672" s="64"/>
      <c r="E3672" t="e">
        <f t="shared" si="61"/>
        <v>#N/A</v>
      </c>
    </row>
    <row r="3673" spans="1:5">
      <c r="A3673" s="64"/>
      <c r="E3673" t="e">
        <f t="shared" si="61"/>
        <v>#N/A</v>
      </c>
    </row>
    <row r="3674" spans="1:5">
      <c r="A3674" s="64"/>
      <c r="E3674" t="e">
        <f t="shared" si="61"/>
        <v>#N/A</v>
      </c>
    </row>
    <row r="3675" spans="1:5">
      <c r="A3675" s="64"/>
      <c r="E3675" t="e">
        <f t="shared" si="61"/>
        <v>#N/A</v>
      </c>
    </row>
    <row r="3676" spans="1:5">
      <c r="A3676" s="64"/>
      <c r="E3676" t="e">
        <f t="shared" si="61"/>
        <v>#N/A</v>
      </c>
    </row>
    <row r="3677" spans="1:5">
      <c r="A3677" s="64"/>
      <c r="E3677" t="e">
        <f t="shared" si="61"/>
        <v>#N/A</v>
      </c>
    </row>
    <row r="3678" spans="1:5">
      <c r="A3678" s="64"/>
      <c r="E3678" t="e">
        <f t="shared" si="61"/>
        <v>#N/A</v>
      </c>
    </row>
    <row r="3679" spans="1:5">
      <c r="A3679" s="64"/>
      <c r="E3679" t="e">
        <f t="shared" si="61"/>
        <v>#N/A</v>
      </c>
    </row>
    <row r="3680" spans="1:5">
      <c r="A3680" s="64"/>
      <c r="E3680" t="e">
        <f t="shared" si="61"/>
        <v>#N/A</v>
      </c>
    </row>
    <row r="3681" spans="1:5">
      <c r="A3681" s="64"/>
      <c r="E3681" t="e">
        <f t="shared" si="61"/>
        <v>#N/A</v>
      </c>
    </row>
    <row r="3682" spans="1:5">
      <c r="A3682" s="64"/>
      <c r="E3682" t="e">
        <f t="shared" si="61"/>
        <v>#N/A</v>
      </c>
    </row>
    <row r="3683" spans="1:5">
      <c r="A3683" s="64"/>
      <c r="E3683" t="e">
        <f t="shared" si="61"/>
        <v>#N/A</v>
      </c>
    </row>
    <row r="3684" spans="1:5">
      <c r="A3684" s="64"/>
      <c r="E3684" t="e">
        <f t="shared" si="61"/>
        <v>#N/A</v>
      </c>
    </row>
    <row r="3685" spans="1:5">
      <c r="A3685" s="64"/>
      <c r="E3685" t="e">
        <f t="shared" si="61"/>
        <v>#N/A</v>
      </c>
    </row>
    <row r="3686" spans="1:5">
      <c r="A3686" s="64"/>
      <c r="E3686" t="e">
        <f t="shared" si="61"/>
        <v>#N/A</v>
      </c>
    </row>
    <row r="3687" spans="1:5">
      <c r="A3687" s="64"/>
      <c r="E3687" t="e">
        <f t="shared" si="61"/>
        <v>#N/A</v>
      </c>
    </row>
    <row r="3688" spans="1:5">
      <c r="A3688" s="64"/>
      <c r="E3688" t="e">
        <f t="shared" si="61"/>
        <v>#N/A</v>
      </c>
    </row>
    <row r="3689" spans="1:5">
      <c r="A3689" s="64"/>
      <c r="E3689" t="e">
        <f t="shared" si="61"/>
        <v>#N/A</v>
      </c>
    </row>
    <row r="3690" spans="1:5">
      <c r="A3690" s="64"/>
      <c r="E3690" t="e">
        <f t="shared" si="61"/>
        <v>#N/A</v>
      </c>
    </row>
    <row r="3691" spans="1:5">
      <c r="A3691" s="64"/>
      <c r="E3691" t="e">
        <f t="shared" si="61"/>
        <v>#N/A</v>
      </c>
    </row>
    <row r="3692" spans="1:5">
      <c r="A3692" s="64"/>
      <c r="E3692" t="e">
        <f t="shared" si="61"/>
        <v>#N/A</v>
      </c>
    </row>
    <row r="3693" spans="1:5">
      <c r="A3693" s="64"/>
      <c r="E3693" t="e">
        <f t="shared" si="61"/>
        <v>#N/A</v>
      </c>
    </row>
    <row r="3694" spans="1:5">
      <c r="A3694" s="64"/>
      <c r="E3694" t="e">
        <f t="shared" si="61"/>
        <v>#N/A</v>
      </c>
    </row>
    <row r="3695" spans="1:5">
      <c r="A3695" s="64"/>
      <c r="E3695" t="e">
        <f t="shared" si="61"/>
        <v>#N/A</v>
      </c>
    </row>
    <row r="3696" spans="1:5">
      <c r="A3696" s="64"/>
      <c r="E3696" t="e">
        <f t="shared" si="61"/>
        <v>#N/A</v>
      </c>
    </row>
    <row r="3697" spans="1:5">
      <c r="A3697" s="64"/>
      <c r="E3697" t="e">
        <f t="shared" si="61"/>
        <v>#N/A</v>
      </c>
    </row>
    <row r="3698" spans="1:5">
      <c r="A3698" s="64"/>
      <c r="E3698" t="e">
        <f t="shared" si="61"/>
        <v>#N/A</v>
      </c>
    </row>
    <row r="3699" spans="1:5">
      <c r="A3699" s="64"/>
      <c r="E3699" t="e">
        <f t="shared" si="61"/>
        <v>#N/A</v>
      </c>
    </row>
    <row r="3700" spans="1:5">
      <c r="A3700" s="64"/>
      <c r="E3700" t="e">
        <f t="shared" si="61"/>
        <v>#N/A</v>
      </c>
    </row>
    <row r="3701" spans="1:5">
      <c r="A3701" s="64"/>
      <c r="E3701" t="e">
        <f t="shared" si="61"/>
        <v>#N/A</v>
      </c>
    </row>
    <row r="3702" spans="1:5">
      <c r="A3702" s="64"/>
      <c r="E3702" t="e">
        <f t="shared" si="61"/>
        <v>#N/A</v>
      </c>
    </row>
    <row r="3703" spans="1:5">
      <c r="A3703" s="64"/>
      <c r="E3703" t="e">
        <f t="shared" si="61"/>
        <v>#N/A</v>
      </c>
    </row>
    <row r="3704" spans="1:5">
      <c r="A3704" s="64"/>
      <c r="E3704" t="e">
        <f t="shared" si="61"/>
        <v>#N/A</v>
      </c>
    </row>
    <row r="3705" spans="1:5">
      <c r="A3705" s="64"/>
      <c r="E3705" t="e">
        <f t="shared" si="61"/>
        <v>#N/A</v>
      </c>
    </row>
    <row r="3706" spans="1:5">
      <c r="A3706" s="64"/>
      <c r="E3706" t="e">
        <f t="shared" si="61"/>
        <v>#N/A</v>
      </c>
    </row>
    <row r="3707" spans="1:5">
      <c r="A3707" s="64"/>
      <c r="E3707" t="e">
        <f t="shared" si="61"/>
        <v>#N/A</v>
      </c>
    </row>
    <row r="3708" spans="1:5">
      <c r="A3708" s="64"/>
      <c r="E3708" t="e">
        <f t="shared" si="61"/>
        <v>#N/A</v>
      </c>
    </row>
    <row r="3709" spans="1:5">
      <c r="A3709" s="64"/>
      <c r="E3709" t="e">
        <f t="shared" si="61"/>
        <v>#N/A</v>
      </c>
    </row>
    <row r="3710" spans="1:5">
      <c r="A3710" s="64"/>
      <c r="E3710" t="e">
        <f t="shared" si="61"/>
        <v>#N/A</v>
      </c>
    </row>
    <row r="3711" spans="1:5">
      <c r="A3711" s="64"/>
      <c r="E3711" t="e">
        <f t="shared" si="61"/>
        <v>#N/A</v>
      </c>
    </row>
    <row r="3712" spans="1:5">
      <c r="A3712" s="64"/>
      <c r="E3712" t="e">
        <f t="shared" si="61"/>
        <v>#N/A</v>
      </c>
    </row>
    <row r="3713" spans="1:5">
      <c r="A3713" s="64"/>
      <c r="E3713" t="e">
        <f t="shared" si="61"/>
        <v>#N/A</v>
      </c>
    </row>
    <row r="3714" spans="1:5">
      <c r="A3714" s="64"/>
      <c r="E3714" t="e">
        <f t="shared" si="61"/>
        <v>#N/A</v>
      </c>
    </row>
    <row r="3715" spans="1:5">
      <c r="A3715" s="64"/>
      <c r="E3715" t="e">
        <f t="shared" si="61"/>
        <v>#N/A</v>
      </c>
    </row>
    <row r="3716" spans="1:5">
      <c r="A3716" s="64"/>
      <c r="E3716" t="e">
        <f t="shared" si="61"/>
        <v>#N/A</v>
      </c>
    </row>
    <row r="3717" spans="1:5">
      <c r="A3717" s="64"/>
      <c r="E3717" t="e">
        <f t="shared" si="61"/>
        <v>#N/A</v>
      </c>
    </row>
    <row r="3718" spans="1:5">
      <c r="A3718" s="64"/>
      <c r="E3718" t="e">
        <f t="shared" si="61"/>
        <v>#N/A</v>
      </c>
    </row>
    <row r="3719" spans="1:5">
      <c r="A3719" s="64"/>
      <c r="E3719" t="e">
        <f t="shared" si="61"/>
        <v>#N/A</v>
      </c>
    </row>
    <row r="3720" spans="1:5">
      <c r="A3720" s="64"/>
      <c r="E3720" t="e">
        <f t="shared" si="61"/>
        <v>#N/A</v>
      </c>
    </row>
    <row r="3721" spans="1:5">
      <c r="A3721" s="64"/>
      <c r="E3721" t="e">
        <f t="shared" si="61"/>
        <v>#N/A</v>
      </c>
    </row>
    <row r="3722" spans="1:5">
      <c r="A3722" s="64"/>
      <c r="E3722" t="e">
        <f t="shared" si="61"/>
        <v>#N/A</v>
      </c>
    </row>
    <row r="3723" spans="1:5">
      <c r="A3723" s="64"/>
      <c r="E3723" t="e">
        <f t="shared" si="61"/>
        <v>#N/A</v>
      </c>
    </row>
    <row r="3724" spans="1:5">
      <c r="A3724" s="64"/>
      <c r="E3724" t="e">
        <f t="shared" si="61"/>
        <v>#N/A</v>
      </c>
    </row>
    <row r="3725" spans="1:5">
      <c r="A3725" s="64"/>
      <c r="E3725" t="e">
        <f t="shared" ref="E3725:E3788" si="62">VLOOKUP(B3725,$Q$14:$R$62,2,FALSE)</f>
        <v>#N/A</v>
      </c>
    </row>
    <row r="3726" spans="1:5">
      <c r="A3726" s="64"/>
      <c r="E3726" t="e">
        <f t="shared" si="62"/>
        <v>#N/A</v>
      </c>
    </row>
    <row r="3727" spans="1:5">
      <c r="A3727" s="64"/>
      <c r="E3727" t="e">
        <f t="shared" si="62"/>
        <v>#N/A</v>
      </c>
    </row>
    <row r="3728" spans="1:5">
      <c r="A3728" s="64"/>
      <c r="E3728" t="e">
        <f t="shared" si="62"/>
        <v>#N/A</v>
      </c>
    </row>
    <row r="3729" spans="1:5">
      <c r="A3729" s="64"/>
      <c r="E3729" t="e">
        <f t="shared" si="62"/>
        <v>#N/A</v>
      </c>
    </row>
    <row r="3730" spans="1:5">
      <c r="A3730" s="64"/>
      <c r="E3730" t="e">
        <f t="shared" si="62"/>
        <v>#N/A</v>
      </c>
    </row>
    <row r="3731" spans="1:5">
      <c r="A3731" s="64"/>
      <c r="E3731" t="e">
        <f t="shared" si="62"/>
        <v>#N/A</v>
      </c>
    </row>
    <row r="3732" spans="1:5">
      <c r="A3732" s="64"/>
      <c r="E3732" t="e">
        <f t="shared" si="62"/>
        <v>#N/A</v>
      </c>
    </row>
    <row r="3733" spans="1:5">
      <c r="A3733" s="64"/>
      <c r="E3733" t="e">
        <f t="shared" si="62"/>
        <v>#N/A</v>
      </c>
    </row>
    <row r="3734" spans="1:5">
      <c r="A3734" s="64"/>
      <c r="E3734" t="e">
        <f t="shared" si="62"/>
        <v>#N/A</v>
      </c>
    </row>
    <row r="3735" spans="1:5">
      <c r="A3735" s="64"/>
      <c r="E3735" t="e">
        <f t="shared" si="62"/>
        <v>#N/A</v>
      </c>
    </row>
    <row r="3736" spans="1:5">
      <c r="A3736" s="64"/>
      <c r="E3736" t="e">
        <f t="shared" si="62"/>
        <v>#N/A</v>
      </c>
    </row>
    <row r="3737" spans="1:5">
      <c r="A3737" s="64"/>
      <c r="E3737" t="e">
        <f t="shared" si="62"/>
        <v>#N/A</v>
      </c>
    </row>
    <row r="3738" spans="1:5">
      <c r="A3738" s="64"/>
      <c r="E3738" t="e">
        <f t="shared" si="62"/>
        <v>#N/A</v>
      </c>
    </row>
    <row r="3739" spans="1:5">
      <c r="A3739" s="64"/>
      <c r="E3739" t="e">
        <f t="shared" si="62"/>
        <v>#N/A</v>
      </c>
    </row>
    <row r="3740" spans="1:5">
      <c r="A3740" s="64"/>
      <c r="E3740" t="e">
        <f t="shared" si="62"/>
        <v>#N/A</v>
      </c>
    </row>
    <row r="3741" spans="1:5">
      <c r="A3741" s="64"/>
      <c r="E3741" t="e">
        <f t="shared" si="62"/>
        <v>#N/A</v>
      </c>
    </row>
    <row r="3742" spans="1:5">
      <c r="A3742" s="64"/>
      <c r="E3742" t="e">
        <f t="shared" si="62"/>
        <v>#N/A</v>
      </c>
    </row>
    <row r="3743" spans="1:5">
      <c r="A3743" s="64"/>
      <c r="E3743" t="e">
        <f t="shared" si="62"/>
        <v>#N/A</v>
      </c>
    </row>
    <row r="3744" spans="1:5">
      <c r="A3744" s="64"/>
      <c r="E3744" t="e">
        <f t="shared" si="62"/>
        <v>#N/A</v>
      </c>
    </row>
    <row r="3745" spans="1:5">
      <c r="A3745" s="64"/>
      <c r="E3745" t="e">
        <f t="shared" si="62"/>
        <v>#N/A</v>
      </c>
    </row>
    <row r="3746" spans="1:5">
      <c r="A3746" s="64"/>
      <c r="E3746" t="e">
        <f t="shared" si="62"/>
        <v>#N/A</v>
      </c>
    </row>
    <row r="3747" spans="1:5">
      <c r="A3747" s="64"/>
      <c r="E3747" t="e">
        <f t="shared" si="62"/>
        <v>#N/A</v>
      </c>
    </row>
    <row r="3748" spans="1:5">
      <c r="A3748" s="64"/>
      <c r="E3748" t="e">
        <f t="shared" si="62"/>
        <v>#N/A</v>
      </c>
    </row>
    <row r="3749" spans="1:5">
      <c r="A3749" s="64"/>
      <c r="E3749" t="e">
        <f t="shared" si="62"/>
        <v>#N/A</v>
      </c>
    </row>
    <row r="3750" spans="1:5">
      <c r="A3750" s="64"/>
      <c r="E3750" t="e">
        <f t="shared" si="62"/>
        <v>#N/A</v>
      </c>
    </row>
    <row r="3751" spans="1:5">
      <c r="A3751" s="64"/>
      <c r="E3751" t="e">
        <f t="shared" si="62"/>
        <v>#N/A</v>
      </c>
    </row>
    <row r="3752" spans="1:5">
      <c r="A3752" s="64"/>
      <c r="E3752" t="e">
        <f t="shared" si="62"/>
        <v>#N/A</v>
      </c>
    </row>
    <row r="3753" spans="1:5">
      <c r="A3753" s="64"/>
      <c r="E3753" t="e">
        <f t="shared" si="62"/>
        <v>#N/A</v>
      </c>
    </row>
    <row r="3754" spans="1:5">
      <c r="A3754" s="64"/>
      <c r="E3754" t="e">
        <f t="shared" si="62"/>
        <v>#N/A</v>
      </c>
    </row>
    <row r="3755" spans="1:5">
      <c r="A3755" s="64"/>
      <c r="E3755" t="e">
        <f t="shared" si="62"/>
        <v>#N/A</v>
      </c>
    </row>
    <row r="3756" spans="1:5">
      <c r="A3756" s="64"/>
      <c r="E3756" t="e">
        <f t="shared" si="62"/>
        <v>#N/A</v>
      </c>
    </row>
    <row r="3757" spans="1:5">
      <c r="A3757" s="64"/>
      <c r="E3757" t="e">
        <f t="shared" si="62"/>
        <v>#N/A</v>
      </c>
    </row>
    <row r="3758" spans="1:5">
      <c r="A3758" s="64"/>
      <c r="E3758" t="e">
        <f t="shared" si="62"/>
        <v>#N/A</v>
      </c>
    </row>
    <row r="3759" spans="1:5">
      <c r="A3759" s="64"/>
      <c r="E3759" t="e">
        <f t="shared" si="62"/>
        <v>#N/A</v>
      </c>
    </row>
    <row r="3760" spans="1:5">
      <c r="A3760" s="64"/>
      <c r="E3760" t="e">
        <f t="shared" si="62"/>
        <v>#N/A</v>
      </c>
    </row>
    <row r="3761" spans="1:5">
      <c r="A3761" s="64"/>
      <c r="E3761" t="e">
        <f t="shared" si="62"/>
        <v>#N/A</v>
      </c>
    </row>
    <row r="3762" spans="1:5">
      <c r="A3762" s="64"/>
      <c r="E3762" t="e">
        <f t="shared" si="62"/>
        <v>#N/A</v>
      </c>
    </row>
    <row r="3763" spans="1:5">
      <c r="A3763" s="64"/>
      <c r="E3763" t="e">
        <f t="shared" si="62"/>
        <v>#N/A</v>
      </c>
    </row>
    <row r="3764" spans="1:5">
      <c r="A3764" s="64"/>
      <c r="E3764" t="e">
        <f t="shared" si="62"/>
        <v>#N/A</v>
      </c>
    </row>
    <row r="3765" spans="1:5">
      <c r="A3765" s="64"/>
      <c r="E3765" t="e">
        <f t="shared" si="62"/>
        <v>#N/A</v>
      </c>
    </row>
    <row r="3766" spans="1:5">
      <c r="A3766" s="64"/>
      <c r="E3766" t="e">
        <f t="shared" si="62"/>
        <v>#N/A</v>
      </c>
    </row>
    <row r="3767" spans="1:5">
      <c r="A3767" s="64"/>
      <c r="E3767" t="e">
        <f t="shared" si="62"/>
        <v>#N/A</v>
      </c>
    </row>
    <row r="3768" spans="1:5">
      <c r="A3768" s="64"/>
      <c r="E3768" t="e">
        <f t="shared" si="62"/>
        <v>#N/A</v>
      </c>
    </row>
    <row r="3769" spans="1:5">
      <c r="A3769" s="64"/>
      <c r="E3769" t="e">
        <f t="shared" si="62"/>
        <v>#N/A</v>
      </c>
    </row>
    <row r="3770" spans="1:5">
      <c r="A3770" s="64"/>
      <c r="E3770" t="e">
        <f t="shared" si="62"/>
        <v>#N/A</v>
      </c>
    </row>
    <row r="3771" spans="1:5">
      <c r="A3771" s="64"/>
      <c r="E3771" t="e">
        <f t="shared" si="62"/>
        <v>#N/A</v>
      </c>
    </row>
    <row r="3772" spans="1:5">
      <c r="A3772" s="64"/>
      <c r="E3772" t="e">
        <f t="shared" si="62"/>
        <v>#N/A</v>
      </c>
    </row>
    <row r="3773" spans="1:5">
      <c r="A3773" s="64"/>
      <c r="E3773" t="e">
        <f t="shared" si="62"/>
        <v>#N/A</v>
      </c>
    </row>
    <row r="3774" spans="1:5">
      <c r="A3774" s="64"/>
      <c r="E3774" t="e">
        <f t="shared" si="62"/>
        <v>#N/A</v>
      </c>
    </row>
    <row r="3775" spans="1:5">
      <c r="A3775" s="64"/>
      <c r="E3775" t="e">
        <f t="shared" si="62"/>
        <v>#N/A</v>
      </c>
    </row>
    <row r="3776" spans="1:5">
      <c r="A3776" s="64"/>
      <c r="E3776" t="e">
        <f t="shared" si="62"/>
        <v>#N/A</v>
      </c>
    </row>
    <row r="3777" spans="1:5">
      <c r="A3777" s="64"/>
      <c r="E3777" t="e">
        <f t="shared" si="62"/>
        <v>#N/A</v>
      </c>
    </row>
    <row r="3778" spans="1:5">
      <c r="A3778" s="64"/>
      <c r="E3778" t="e">
        <f t="shared" si="62"/>
        <v>#N/A</v>
      </c>
    </row>
    <row r="3779" spans="1:5">
      <c r="A3779" s="64"/>
      <c r="E3779" t="e">
        <f t="shared" si="62"/>
        <v>#N/A</v>
      </c>
    </row>
    <row r="3780" spans="1:5">
      <c r="A3780" s="64"/>
      <c r="E3780" t="e">
        <f t="shared" si="62"/>
        <v>#N/A</v>
      </c>
    </row>
    <row r="3781" spans="1:5">
      <c r="A3781" s="64"/>
      <c r="E3781" t="e">
        <f t="shared" si="62"/>
        <v>#N/A</v>
      </c>
    </row>
    <row r="3782" spans="1:5">
      <c r="A3782" s="64"/>
      <c r="E3782" t="e">
        <f t="shared" si="62"/>
        <v>#N/A</v>
      </c>
    </row>
    <row r="3783" spans="1:5">
      <c r="A3783" s="64"/>
      <c r="E3783" t="e">
        <f t="shared" si="62"/>
        <v>#N/A</v>
      </c>
    </row>
    <row r="3784" spans="1:5">
      <c r="A3784" s="64"/>
      <c r="E3784" t="e">
        <f t="shared" si="62"/>
        <v>#N/A</v>
      </c>
    </row>
    <row r="3785" spans="1:5">
      <c r="A3785" s="64"/>
      <c r="E3785" t="e">
        <f t="shared" si="62"/>
        <v>#N/A</v>
      </c>
    </row>
    <row r="3786" spans="1:5">
      <c r="A3786" s="64"/>
      <c r="E3786" t="e">
        <f t="shared" si="62"/>
        <v>#N/A</v>
      </c>
    </row>
    <row r="3787" spans="1:5">
      <c r="A3787" s="64"/>
      <c r="E3787" t="e">
        <f t="shared" si="62"/>
        <v>#N/A</v>
      </c>
    </row>
    <row r="3788" spans="1:5">
      <c r="A3788" s="64"/>
      <c r="E3788" t="e">
        <f t="shared" si="62"/>
        <v>#N/A</v>
      </c>
    </row>
    <row r="3789" spans="1:5">
      <c r="A3789" s="64"/>
      <c r="E3789" t="e">
        <f t="shared" ref="E3789:E3852" si="63">VLOOKUP(B3789,$Q$14:$R$62,2,FALSE)</f>
        <v>#N/A</v>
      </c>
    </row>
    <row r="3790" spans="1:5">
      <c r="A3790" s="64"/>
      <c r="E3790" t="e">
        <f t="shared" si="63"/>
        <v>#N/A</v>
      </c>
    </row>
    <row r="3791" spans="1:5">
      <c r="A3791" s="64"/>
      <c r="E3791" t="e">
        <f t="shared" si="63"/>
        <v>#N/A</v>
      </c>
    </row>
    <row r="3792" spans="1:5">
      <c r="A3792" s="64"/>
      <c r="E3792" t="e">
        <f t="shared" si="63"/>
        <v>#N/A</v>
      </c>
    </row>
    <row r="3793" spans="1:5">
      <c r="A3793" s="64"/>
      <c r="E3793" t="e">
        <f t="shared" si="63"/>
        <v>#N/A</v>
      </c>
    </row>
    <row r="3794" spans="1:5">
      <c r="A3794" s="64"/>
      <c r="E3794" t="e">
        <f t="shared" si="63"/>
        <v>#N/A</v>
      </c>
    </row>
    <row r="3795" spans="1:5">
      <c r="A3795" s="64"/>
      <c r="E3795" t="e">
        <f t="shared" si="63"/>
        <v>#N/A</v>
      </c>
    </row>
    <row r="3796" spans="1:5">
      <c r="A3796" s="64"/>
      <c r="E3796" t="e">
        <f t="shared" si="63"/>
        <v>#N/A</v>
      </c>
    </row>
    <row r="3797" spans="1:5">
      <c r="A3797" s="64"/>
      <c r="E3797" t="e">
        <f t="shared" si="63"/>
        <v>#N/A</v>
      </c>
    </row>
    <row r="3798" spans="1:5">
      <c r="A3798" s="64"/>
      <c r="E3798" t="e">
        <f t="shared" si="63"/>
        <v>#N/A</v>
      </c>
    </row>
    <row r="3799" spans="1:5">
      <c r="A3799" s="64"/>
      <c r="E3799" t="e">
        <f t="shared" si="63"/>
        <v>#N/A</v>
      </c>
    </row>
    <row r="3800" spans="1:5">
      <c r="A3800" s="64"/>
      <c r="E3800" t="e">
        <f t="shared" si="63"/>
        <v>#N/A</v>
      </c>
    </row>
    <row r="3801" spans="1:5">
      <c r="A3801" s="64"/>
      <c r="E3801" t="e">
        <f t="shared" si="63"/>
        <v>#N/A</v>
      </c>
    </row>
    <row r="3802" spans="1:5">
      <c r="A3802" s="64"/>
      <c r="E3802" t="e">
        <f t="shared" si="63"/>
        <v>#N/A</v>
      </c>
    </row>
    <row r="3803" spans="1:5">
      <c r="A3803" s="64"/>
      <c r="E3803" t="e">
        <f t="shared" si="63"/>
        <v>#N/A</v>
      </c>
    </row>
    <row r="3804" spans="1:5">
      <c r="A3804" s="64"/>
      <c r="E3804" t="e">
        <f t="shared" si="63"/>
        <v>#N/A</v>
      </c>
    </row>
    <row r="3805" spans="1:5">
      <c r="A3805" s="64"/>
      <c r="E3805" t="e">
        <f t="shared" si="63"/>
        <v>#N/A</v>
      </c>
    </row>
    <row r="3806" spans="1:5">
      <c r="A3806" s="64"/>
      <c r="E3806" t="e">
        <f t="shared" si="63"/>
        <v>#N/A</v>
      </c>
    </row>
    <row r="3807" spans="1:5">
      <c r="A3807" s="64"/>
      <c r="E3807" t="e">
        <f t="shared" si="63"/>
        <v>#N/A</v>
      </c>
    </row>
    <row r="3808" spans="1:5">
      <c r="A3808" s="64"/>
      <c r="E3808" t="e">
        <f t="shared" si="63"/>
        <v>#N/A</v>
      </c>
    </row>
    <row r="3809" spans="1:5">
      <c r="A3809" s="64"/>
      <c r="E3809" t="e">
        <f t="shared" si="63"/>
        <v>#N/A</v>
      </c>
    </row>
    <row r="3810" spans="1:5">
      <c r="A3810" s="64"/>
      <c r="E3810" t="e">
        <f t="shared" si="63"/>
        <v>#N/A</v>
      </c>
    </row>
    <row r="3811" spans="1:5">
      <c r="A3811" s="64"/>
      <c r="E3811" t="e">
        <f t="shared" si="63"/>
        <v>#N/A</v>
      </c>
    </row>
    <row r="3812" spans="1:5">
      <c r="A3812" s="64"/>
      <c r="E3812" t="e">
        <f t="shared" si="63"/>
        <v>#N/A</v>
      </c>
    </row>
    <row r="3813" spans="1:5">
      <c r="A3813" s="64"/>
      <c r="E3813" t="e">
        <f t="shared" si="63"/>
        <v>#N/A</v>
      </c>
    </row>
    <row r="3814" spans="1:5">
      <c r="A3814" s="64"/>
      <c r="E3814" t="e">
        <f t="shared" si="63"/>
        <v>#N/A</v>
      </c>
    </row>
    <row r="3815" spans="1:5">
      <c r="A3815" s="64"/>
      <c r="E3815" t="e">
        <f t="shared" si="63"/>
        <v>#N/A</v>
      </c>
    </row>
    <row r="3816" spans="1:5">
      <c r="A3816" s="64"/>
      <c r="E3816" t="e">
        <f t="shared" si="63"/>
        <v>#N/A</v>
      </c>
    </row>
    <row r="3817" spans="1:5">
      <c r="A3817" s="64"/>
      <c r="E3817" t="e">
        <f t="shared" si="63"/>
        <v>#N/A</v>
      </c>
    </row>
    <row r="3818" spans="1:5">
      <c r="A3818" s="64"/>
      <c r="E3818" t="e">
        <f t="shared" si="63"/>
        <v>#N/A</v>
      </c>
    </row>
    <row r="3819" spans="1:5">
      <c r="A3819" s="64"/>
      <c r="E3819" t="e">
        <f t="shared" si="63"/>
        <v>#N/A</v>
      </c>
    </row>
    <row r="3820" spans="1:5">
      <c r="A3820" s="64"/>
      <c r="E3820" t="e">
        <f t="shared" si="63"/>
        <v>#N/A</v>
      </c>
    </row>
    <row r="3821" spans="1:5">
      <c r="A3821" s="64"/>
      <c r="E3821" t="e">
        <f t="shared" si="63"/>
        <v>#N/A</v>
      </c>
    </row>
    <row r="3822" spans="1:5">
      <c r="A3822" s="64"/>
      <c r="E3822" t="e">
        <f t="shared" si="63"/>
        <v>#N/A</v>
      </c>
    </row>
    <row r="3823" spans="1:5">
      <c r="A3823" s="64"/>
      <c r="E3823" t="e">
        <f t="shared" si="63"/>
        <v>#N/A</v>
      </c>
    </row>
    <row r="3824" spans="1:5">
      <c r="A3824" s="64"/>
      <c r="E3824" t="e">
        <f t="shared" si="63"/>
        <v>#N/A</v>
      </c>
    </row>
    <row r="3825" spans="1:5">
      <c r="A3825" s="64"/>
      <c r="E3825" t="e">
        <f t="shared" si="63"/>
        <v>#N/A</v>
      </c>
    </row>
    <row r="3826" spans="1:5">
      <c r="A3826" s="64"/>
      <c r="E3826" t="e">
        <f t="shared" si="63"/>
        <v>#N/A</v>
      </c>
    </row>
    <row r="3827" spans="1:5">
      <c r="A3827" s="64"/>
      <c r="E3827" t="e">
        <f t="shared" si="63"/>
        <v>#N/A</v>
      </c>
    </row>
    <row r="3828" spans="1:5">
      <c r="A3828" s="64"/>
      <c r="E3828" t="e">
        <f t="shared" si="63"/>
        <v>#N/A</v>
      </c>
    </row>
    <row r="3829" spans="1:5">
      <c r="A3829" s="64"/>
      <c r="E3829" t="e">
        <f t="shared" si="63"/>
        <v>#N/A</v>
      </c>
    </row>
    <row r="3830" spans="1:5">
      <c r="A3830" s="64"/>
      <c r="E3830" t="e">
        <f t="shared" si="63"/>
        <v>#N/A</v>
      </c>
    </row>
    <row r="3831" spans="1:5">
      <c r="A3831" s="64"/>
      <c r="E3831" t="e">
        <f t="shared" si="63"/>
        <v>#N/A</v>
      </c>
    </row>
    <row r="3832" spans="1:5">
      <c r="A3832" s="64"/>
      <c r="E3832" t="e">
        <f t="shared" si="63"/>
        <v>#N/A</v>
      </c>
    </row>
    <row r="3833" spans="1:5">
      <c r="A3833" s="64"/>
      <c r="E3833" t="e">
        <f t="shared" si="63"/>
        <v>#N/A</v>
      </c>
    </row>
    <row r="3834" spans="1:5">
      <c r="A3834" s="64"/>
      <c r="E3834" t="e">
        <f t="shared" si="63"/>
        <v>#N/A</v>
      </c>
    </row>
    <row r="3835" spans="1:5">
      <c r="A3835" s="64"/>
      <c r="E3835" t="e">
        <f t="shared" si="63"/>
        <v>#N/A</v>
      </c>
    </row>
    <row r="3836" spans="1:5">
      <c r="A3836" s="64"/>
      <c r="E3836" t="e">
        <f t="shared" si="63"/>
        <v>#N/A</v>
      </c>
    </row>
    <row r="3837" spans="1:5">
      <c r="A3837" s="64"/>
      <c r="E3837" t="e">
        <f t="shared" si="63"/>
        <v>#N/A</v>
      </c>
    </row>
    <row r="3838" spans="1:5">
      <c r="A3838" s="64"/>
      <c r="E3838" t="e">
        <f t="shared" si="63"/>
        <v>#N/A</v>
      </c>
    </row>
    <row r="3839" spans="1:5">
      <c r="A3839" s="64"/>
      <c r="E3839" t="e">
        <f t="shared" si="63"/>
        <v>#N/A</v>
      </c>
    </row>
    <row r="3840" spans="1:5">
      <c r="A3840" s="64"/>
      <c r="E3840" t="e">
        <f t="shared" si="63"/>
        <v>#N/A</v>
      </c>
    </row>
    <row r="3841" spans="1:5">
      <c r="A3841" s="64"/>
      <c r="E3841" t="e">
        <f t="shared" si="63"/>
        <v>#N/A</v>
      </c>
    </row>
    <row r="3842" spans="1:5">
      <c r="A3842" s="64"/>
      <c r="E3842" t="e">
        <f t="shared" si="63"/>
        <v>#N/A</v>
      </c>
    </row>
    <row r="3843" spans="1:5">
      <c r="A3843" s="64"/>
      <c r="E3843" t="e">
        <f t="shared" si="63"/>
        <v>#N/A</v>
      </c>
    </row>
    <row r="3844" spans="1:5">
      <c r="A3844" s="64"/>
      <c r="E3844" t="e">
        <f t="shared" si="63"/>
        <v>#N/A</v>
      </c>
    </row>
    <row r="3845" spans="1:5">
      <c r="A3845" s="64"/>
      <c r="E3845" t="e">
        <f t="shared" si="63"/>
        <v>#N/A</v>
      </c>
    </row>
    <row r="3846" spans="1:5">
      <c r="A3846" s="64"/>
      <c r="E3846" t="e">
        <f t="shared" si="63"/>
        <v>#N/A</v>
      </c>
    </row>
    <row r="3847" spans="1:5">
      <c r="A3847" s="64"/>
      <c r="E3847" t="e">
        <f t="shared" si="63"/>
        <v>#N/A</v>
      </c>
    </row>
    <row r="3848" spans="1:5">
      <c r="A3848" s="64"/>
      <c r="E3848" t="e">
        <f t="shared" si="63"/>
        <v>#N/A</v>
      </c>
    </row>
    <row r="3849" spans="1:5">
      <c r="A3849" s="64"/>
      <c r="E3849" t="e">
        <f t="shared" si="63"/>
        <v>#N/A</v>
      </c>
    </row>
    <row r="3850" spans="1:5">
      <c r="A3850" s="64"/>
      <c r="E3850" t="e">
        <f t="shared" si="63"/>
        <v>#N/A</v>
      </c>
    </row>
    <row r="3851" spans="1:5">
      <c r="A3851" s="64"/>
      <c r="E3851" t="e">
        <f t="shared" si="63"/>
        <v>#N/A</v>
      </c>
    </row>
    <row r="3852" spans="1:5">
      <c r="A3852" s="64"/>
      <c r="E3852" t="e">
        <f t="shared" si="63"/>
        <v>#N/A</v>
      </c>
    </row>
    <row r="3853" spans="1:5">
      <c r="A3853" s="64"/>
      <c r="E3853" t="e">
        <f t="shared" ref="E3853:E3916" si="64">VLOOKUP(B3853,$Q$14:$R$62,2,FALSE)</f>
        <v>#N/A</v>
      </c>
    </row>
    <row r="3854" spans="1:5">
      <c r="A3854" s="64"/>
      <c r="E3854" t="e">
        <f t="shared" si="64"/>
        <v>#N/A</v>
      </c>
    </row>
    <row r="3855" spans="1:5">
      <c r="A3855" s="64"/>
      <c r="E3855" t="e">
        <f t="shared" si="64"/>
        <v>#N/A</v>
      </c>
    </row>
    <row r="3856" spans="1:5">
      <c r="A3856" s="64"/>
      <c r="E3856" t="e">
        <f t="shared" si="64"/>
        <v>#N/A</v>
      </c>
    </row>
    <row r="3857" spans="1:5">
      <c r="A3857" s="64"/>
      <c r="E3857" t="e">
        <f t="shared" si="64"/>
        <v>#N/A</v>
      </c>
    </row>
    <row r="3858" spans="1:5">
      <c r="A3858" s="64"/>
      <c r="E3858" t="e">
        <f t="shared" si="64"/>
        <v>#N/A</v>
      </c>
    </row>
    <row r="3859" spans="1:5">
      <c r="A3859" s="64"/>
      <c r="E3859" t="e">
        <f t="shared" si="64"/>
        <v>#N/A</v>
      </c>
    </row>
    <row r="3860" spans="1:5">
      <c r="A3860" s="64"/>
      <c r="E3860" t="e">
        <f t="shared" si="64"/>
        <v>#N/A</v>
      </c>
    </row>
    <row r="3861" spans="1:5">
      <c r="A3861" s="64"/>
      <c r="E3861" t="e">
        <f t="shared" si="64"/>
        <v>#N/A</v>
      </c>
    </row>
    <row r="3862" spans="1:5">
      <c r="A3862" s="64"/>
      <c r="E3862" t="e">
        <f t="shared" si="64"/>
        <v>#N/A</v>
      </c>
    </row>
    <row r="3863" spans="1:5">
      <c r="A3863" s="64"/>
      <c r="E3863" t="e">
        <f t="shared" si="64"/>
        <v>#N/A</v>
      </c>
    </row>
    <row r="3864" spans="1:5">
      <c r="A3864" s="64"/>
      <c r="E3864" t="e">
        <f t="shared" si="64"/>
        <v>#N/A</v>
      </c>
    </row>
    <row r="3865" spans="1:5">
      <c r="A3865" s="64"/>
      <c r="E3865" t="e">
        <f t="shared" si="64"/>
        <v>#N/A</v>
      </c>
    </row>
    <row r="3866" spans="1:5">
      <c r="A3866" s="64"/>
      <c r="E3866" t="e">
        <f t="shared" si="64"/>
        <v>#N/A</v>
      </c>
    </row>
    <row r="3867" spans="1:5">
      <c r="A3867" s="64"/>
      <c r="E3867" t="e">
        <f t="shared" si="64"/>
        <v>#N/A</v>
      </c>
    </row>
    <row r="3868" spans="1:5">
      <c r="A3868" s="64"/>
      <c r="E3868" t="e">
        <f t="shared" si="64"/>
        <v>#N/A</v>
      </c>
    </row>
    <row r="3869" spans="1:5">
      <c r="A3869" s="64"/>
      <c r="E3869" t="e">
        <f t="shared" si="64"/>
        <v>#N/A</v>
      </c>
    </row>
    <row r="3870" spans="1:5">
      <c r="A3870" s="64"/>
      <c r="E3870" t="e">
        <f t="shared" si="64"/>
        <v>#N/A</v>
      </c>
    </row>
    <row r="3871" spans="1:5">
      <c r="A3871" s="64"/>
      <c r="E3871" t="e">
        <f t="shared" si="64"/>
        <v>#N/A</v>
      </c>
    </row>
    <row r="3872" spans="1:5">
      <c r="A3872" s="64"/>
      <c r="E3872" t="e">
        <f t="shared" si="64"/>
        <v>#N/A</v>
      </c>
    </row>
    <row r="3873" spans="1:5">
      <c r="A3873" s="64"/>
      <c r="E3873" t="e">
        <f t="shared" si="64"/>
        <v>#N/A</v>
      </c>
    </row>
    <row r="3874" spans="1:5">
      <c r="A3874" s="64"/>
      <c r="E3874" t="e">
        <f t="shared" si="64"/>
        <v>#N/A</v>
      </c>
    </row>
    <row r="3875" spans="1:5">
      <c r="A3875" s="64"/>
      <c r="E3875" t="e">
        <f t="shared" si="64"/>
        <v>#N/A</v>
      </c>
    </row>
    <row r="3876" spans="1:5">
      <c r="A3876" s="64"/>
      <c r="E3876" t="e">
        <f t="shared" si="64"/>
        <v>#N/A</v>
      </c>
    </row>
    <row r="3877" spans="1:5">
      <c r="A3877" s="64"/>
      <c r="E3877" t="e">
        <f t="shared" si="64"/>
        <v>#N/A</v>
      </c>
    </row>
    <row r="3878" spans="1:5">
      <c r="A3878" s="64"/>
      <c r="E3878" t="e">
        <f t="shared" si="64"/>
        <v>#N/A</v>
      </c>
    </row>
    <row r="3879" spans="1:5">
      <c r="A3879" s="64"/>
      <c r="E3879" t="e">
        <f t="shared" si="64"/>
        <v>#N/A</v>
      </c>
    </row>
    <row r="3880" spans="1:5">
      <c r="A3880" s="64"/>
      <c r="E3880" t="e">
        <f t="shared" si="64"/>
        <v>#N/A</v>
      </c>
    </row>
    <row r="3881" spans="1:5">
      <c r="A3881" s="64"/>
      <c r="E3881" t="e">
        <f t="shared" si="64"/>
        <v>#N/A</v>
      </c>
    </row>
    <row r="3882" spans="1:5">
      <c r="A3882" s="64"/>
      <c r="E3882" t="e">
        <f t="shared" si="64"/>
        <v>#N/A</v>
      </c>
    </row>
    <row r="3883" spans="1:5">
      <c r="A3883" s="64"/>
      <c r="E3883" t="e">
        <f t="shared" si="64"/>
        <v>#N/A</v>
      </c>
    </row>
    <row r="3884" spans="1:5">
      <c r="A3884" s="64"/>
      <c r="E3884" t="e">
        <f t="shared" si="64"/>
        <v>#N/A</v>
      </c>
    </row>
    <row r="3885" spans="1:5">
      <c r="A3885" s="64"/>
      <c r="E3885" t="e">
        <f t="shared" si="64"/>
        <v>#N/A</v>
      </c>
    </row>
    <row r="3886" spans="1:5">
      <c r="A3886" s="64"/>
      <c r="E3886" t="e">
        <f t="shared" si="64"/>
        <v>#N/A</v>
      </c>
    </row>
    <row r="3887" spans="1:5">
      <c r="A3887" s="64"/>
      <c r="E3887" t="e">
        <f t="shared" si="64"/>
        <v>#N/A</v>
      </c>
    </row>
    <row r="3888" spans="1:5">
      <c r="A3888" s="64"/>
      <c r="E3888" t="e">
        <f t="shared" si="64"/>
        <v>#N/A</v>
      </c>
    </row>
    <row r="3889" spans="1:5">
      <c r="A3889" s="64"/>
      <c r="E3889" t="e">
        <f t="shared" si="64"/>
        <v>#N/A</v>
      </c>
    </row>
    <row r="3890" spans="1:5">
      <c r="A3890" s="64"/>
      <c r="E3890" t="e">
        <f t="shared" si="64"/>
        <v>#N/A</v>
      </c>
    </row>
    <row r="3891" spans="1:5">
      <c r="A3891" s="64"/>
      <c r="E3891" t="e">
        <f t="shared" si="64"/>
        <v>#N/A</v>
      </c>
    </row>
    <row r="3892" spans="1:5">
      <c r="A3892" s="64"/>
      <c r="E3892" t="e">
        <f t="shared" si="64"/>
        <v>#N/A</v>
      </c>
    </row>
    <row r="3893" spans="1:5">
      <c r="A3893" s="64"/>
      <c r="E3893" t="e">
        <f t="shared" si="64"/>
        <v>#N/A</v>
      </c>
    </row>
    <row r="3894" spans="1:5">
      <c r="A3894" s="64"/>
      <c r="E3894" t="e">
        <f t="shared" si="64"/>
        <v>#N/A</v>
      </c>
    </row>
    <row r="3895" spans="1:5">
      <c r="A3895" s="64"/>
      <c r="E3895" t="e">
        <f t="shared" si="64"/>
        <v>#N/A</v>
      </c>
    </row>
    <row r="3896" spans="1:5">
      <c r="A3896" s="64"/>
      <c r="E3896" t="e">
        <f t="shared" si="64"/>
        <v>#N/A</v>
      </c>
    </row>
    <row r="3897" spans="1:5">
      <c r="A3897" s="64"/>
      <c r="E3897" t="e">
        <f t="shared" si="64"/>
        <v>#N/A</v>
      </c>
    </row>
    <row r="3898" spans="1:5">
      <c r="A3898" s="64"/>
      <c r="E3898" t="e">
        <f t="shared" si="64"/>
        <v>#N/A</v>
      </c>
    </row>
    <row r="3899" spans="1:5">
      <c r="A3899" s="64"/>
      <c r="E3899" t="e">
        <f t="shared" si="64"/>
        <v>#N/A</v>
      </c>
    </row>
    <row r="3900" spans="1:5">
      <c r="A3900" s="64"/>
      <c r="E3900" t="e">
        <f t="shared" si="64"/>
        <v>#N/A</v>
      </c>
    </row>
    <row r="3901" spans="1:5">
      <c r="A3901" s="64"/>
      <c r="E3901" t="e">
        <f t="shared" si="64"/>
        <v>#N/A</v>
      </c>
    </row>
    <row r="3902" spans="1:5">
      <c r="A3902" s="64"/>
      <c r="E3902" t="e">
        <f t="shared" si="64"/>
        <v>#N/A</v>
      </c>
    </row>
    <row r="3903" spans="1:5">
      <c r="A3903" s="64"/>
      <c r="E3903" t="e">
        <f t="shared" si="64"/>
        <v>#N/A</v>
      </c>
    </row>
    <row r="3904" spans="1:5">
      <c r="A3904" s="64"/>
      <c r="E3904" t="e">
        <f t="shared" si="64"/>
        <v>#N/A</v>
      </c>
    </row>
    <row r="3905" spans="1:5">
      <c r="A3905" s="64"/>
      <c r="E3905" t="e">
        <f t="shared" si="64"/>
        <v>#N/A</v>
      </c>
    </row>
    <row r="3906" spans="1:5">
      <c r="A3906" s="64"/>
      <c r="E3906" t="e">
        <f t="shared" si="64"/>
        <v>#N/A</v>
      </c>
    </row>
    <row r="3907" spans="1:5">
      <c r="A3907" s="64"/>
      <c r="E3907" t="e">
        <f t="shared" si="64"/>
        <v>#N/A</v>
      </c>
    </row>
    <row r="3908" spans="1:5">
      <c r="A3908" s="64"/>
      <c r="E3908" t="e">
        <f t="shared" si="64"/>
        <v>#N/A</v>
      </c>
    </row>
    <row r="3909" spans="1:5">
      <c r="A3909" s="64"/>
      <c r="E3909" t="e">
        <f t="shared" si="64"/>
        <v>#N/A</v>
      </c>
    </row>
    <row r="3910" spans="1:5">
      <c r="A3910" s="64"/>
      <c r="E3910" t="e">
        <f t="shared" si="64"/>
        <v>#N/A</v>
      </c>
    </row>
    <row r="3911" spans="1:5">
      <c r="A3911" s="64"/>
      <c r="E3911" t="e">
        <f t="shared" si="64"/>
        <v>#N/A</v>
      </c>
    </row>
    <row r="3912" spans="1:5">
      <c r="A3912" s="64"/>
      <c r="E3912" t="e">
        <f t="shared" si="64"/>
        <v>#N/A</v>
      </c>
    </row>
    <row r="3913" spans="1:5">
      <c r="A3913" s="64"/>
      <c r="E3913" t="e">
        <f t="shared" si="64"/>
        <v>#N/A</v>
      </c>
    </row>
    <row r="3914" spans="1:5">
      <c r="A3914" s="64"/>
      <c r="E3914" t="e">
        <f t="shared" si="64"/>
        <v>#N/A</v>
      </c>
    </row>
    <row r="3915" spans="1:5">
      <c r="A3915" s="64"/>
      <c r="E3915" t="e">
        <f t="shared" si="64"/>
        <v>#N/A</v>
      </c>
    </row>
    <row r="3916" spans="1:5">
      <c r="A3916" s="64"/>
      <c r="E3916" t="e">
        <f t="shared" si="64"/>
        <v>#N/A</v>
      </c>
    </row>
    <row r="3917" spans="1:5">
      <c r="A3917" s="64"/>
      <c r="E3917" t="e">
        <f t="shared" ref="E3917:E3980" si="65">VLOOKUP(B3917,$Q$14:$R$62,2,FALSE)</f>
        <v>#N/A</v>
      </c>
    </row>
    <row r="3918" spans="1:5">
      <c r="A3918" s="64"/>
      <c r="E3918" t="e">
        <f t="shared" si="65"/>
        <v>#N/A</v>
      </c>
    </row>
    <row r="3919" spans="1:5">
      <c r="A3919" s="64"/>
      <c r="E3919" t="e">
        <f t="shared" si="65"/>
        <v>#N/A</v>
      </c>
    </row>
    <row r="3920" spans="1:5">
      <c r="A3920" s="64"/>
      <c r="E3920" t="e">
        <f t="shared" si="65"/>
        <v>#N/A</v>
      </c>
    </row>
    <row r="3921" spans="1:5">
      <c r="A3921" s="64"/>
      <c r="E3921" t="e">
        <f t="shared" si="65"/>
        <v>#N/A</v>
      </c>
    </row>
    <row r="3922" spans="1:5">
      <c r="A3922" s="64"/>
      <c r="E3922" t="e">
        <f t="shared" si="65"/>
        <v>#N/A</v>
      </c>
    </row>
    <row r="3923" spans="1:5">
      <c r="A3923" s="64"/>
      <c r="E3923" t="e">
        <f t="shared" si="65"/>
        <v>#N/A</v>
      </c>
    </row>
    <row r="3924" spans="1:5">
      <c r="A3924" s="64"/>
      <c r="E3924" t="e">
        <f t="shared" si="65"/>
        <v>#N/A</v>
      </c>
    </row>
    <row r="3925" spans="1:5">
      <c r="A3925" s="64"/>
      <c r="E3925" t="e">
        <f t="shared" si="65"/>
        <v>#N/A</v>
      </c>
    </row>
    <row r="3926" spans="1:5">
      <c r="A3926" s="64"/>
      <c r="E3926" t="e">
        <f t="shared" si="65"/>
        <v>#N/A</v>
      </c>
    </row>
    <row r="3927" spans="1:5">
      <c r="A3927" s="64"/>
      <c r="E3927" t="e">
        <f t="shared" si="65"/>
        <v>#N/A</v>
      </c>
    </row>
    <row r="3928" spans="1:5">
      <c r="A3928" s="64"/>
      <c r="E3928" t="e">
        <f t="shared" si="65"/>
        <v>#N/A</v>
      </c>
    </row>
    <row r="3929" spans="1:5">
      <c r="A3929" s="64"/>
      <c r="E3929" t="e">
        <f t="shared" si="65"/>
        <v>#N/A</v>
      </c>
    </row>
    <row r="3930" spans="1:5">
      <c r="A3930" s="64"/>
      <c r="E3930" t="e">
        <f t="shared" si="65"/>
        <v>#N/A</v>
      </c>
    </row>
    <row r="3931" spans="1:5">
      <c r="A3931" s="64"/>
      <c r="E3931" t="e">
        <f t="shared" si="65"/>
        <v>#N/A</v>
      </c>
    </row>
    <row r="3932" spans="1:5">
      <c r="A3932" s="64"/>
      <c r="E3932" t="e">
        <f t="shared" si="65"/>
        <v>#N/A</v>
      </c>
    </row>
    <row r="3933" spans="1:5">
      <c r="A3933" s="64"/>
      <c r="E3933" t="e">
        <f t="shared" si="65"/>
        <v>#N/A</v>
      </c>
    </row>
    <row r="3934" spans="1:5">
      <c r="A3934" s="64"/>
      <c r="E3934" t="e">
        <f t="shared" si="65"/>
        <v>#N/A</v>
      </c>
    </row>
    <row r="3935" spans="1:5">
      <c r="A3935" s="64"/>
      <c r="E3935" t="e">
        <f t="shared" si="65"/>
        <v>#N/A</v>
      </c>
    </row>
    <row r="3936" spans="1:5">
      <c r="A3936" s="64"/>
      <c r="E3936" t="e">
        <f t="shared" si="65"/>
        <v>#N/A</v>
      </c>
    </row>
    <row r="3937" spans="1:5">
      <c r="A3937" s="64"/>
      <c r="E3937" t="e">
        <f t="shared" si="65"/>
        <v>#N/A</v>
      </c>
    </row>
    <row r="3938" spans="1:5">
      <c r="A3938" s="64"/>
      <c r="E3938" t="e">
        <f t="shared" si="65"/>
        <v>#N/A</v>
      </c>
    </row>
    <row r="3939" spans="1:5">
      <c r="A3939" s="64"/>
      <c r="E3939" t="e">
        <f t="shared" si="65"/>
        <v>#N/A</v>
      </c>
    </row>
    <row r="3940" spans="1:5">
      <c r="A3940" s="64"/>
      <c r="E3940" t="e">
        <f t="shared" si="65"/>
        <v>#N/A</v>
      </c>
    </row>
    <row r="3941" spans="1:5">
      <c r="A3941" s="64"/>
      <c r="E3941" t="e">
        <f t="shared" si="65"/>
        <v>#N/A</v>
      </c>
    </row>
    <row r="3942" spans="1:5">
      <c r="A3942" s="64"/>
      <c r="E3942" t="e">
        <f t="shared" si="65"/>
        <v>#N/A</v>
      </c>
    </row>
    <row r="3943" spans="1:5">
      <c r="A3943" s="64"/>
      <c r="E3943" t="e">
        <f t="shared" si="65"/>
        <v>#N/A</v>
      </c>
    </row>
    <row r="3944" spans="1:5">
      <c r="A3944" s="64"/>
      <c r="E3944" t="e">
        <f t="shared" si="65"/>
        <v>#N/A</v>
      </c>
    </row>
    <row r="3945" spans="1:5">
      <c r="A3945" s="64"/>
      <c r="E3945" t="e">
        <f t="shared" si="65"/>
        <v>#N/A</v>
      </c>
    </row>
    <row r="3946" spans="1:5">
      <c r="A3946" s="64"/>
      <c r="E3946" t="e">
        <f t="shared" si="65"/>
        <v>#N/A</v>
      </c>
    </row>
    <row r="3947" spans="1:5">
      <c r="A3947" s="64"/>
      <c r="E3947" t="e">
        <f t="shared" si="65"/>
        <v>#N/A</v>
      </c>
    </row>
    <row r="3948" spans="1:5">
      <c r="A3948" s="64"/>
      <c r="E3948" t="e">
        <f t="shared" si="65"/>
        <v>#N/A</v>
      </c>
    </row>
    <row r="3949" spans="1:5">
      <c r="A3949" s="64"/>
      <c r="E3949" t="e">
        <f t="shared" si="65"/>
        <v>#N/A</v>
      </c>
    </row>
    <row r="3950" spans="1:5">
      <c r="A3950" s="64"/>
      <c r="E3950" t="e">
        <f t="shared" si="65"/>
        <v>#N/A</v>
      </c>
    </row>
    <row r="3951" spans="1:5">
      <c r="A3951" s="64"/>
      <c r="E3951" t="e">
        <f t="shared" si="65"/>
        <v>#N/A</v>
      </c>
    </row>
    <row r="3952" spans="1:5">
      <c r="A3952" s="64"/>
      <c r="E3952" t="e">
        <f t="shared" si="65"/>
        <v>#N/A</v>
      </c>
    </row>
    <row r="3953" spans="1:5">
      <c r="A3953" s="64"/>
      <c r="E3953" t="e">
        <f t="shared" si="65"/>
        <v>#N/A</v>
      </c>
    </row>
    <row r="3954" spans="1:5">
      <c r="A3954" s="64"/>
      <c r="E3954" t="e">
        <f t="shared" si="65"/>
        <v>#N/A</v>
      </c>
    </row>
    <row r="3955" spans="1:5">
      <c r="A3955" s="64"/>
      <c r="E3955" t="e">
        <f t="shared" si="65"/>
        <v>#N/A</v>
      </c>
    </row>
    <row r="3956" spans="1:5">
      <c r="A3956" s="64"/>
      <c r="E3956" t="e">
        <f t="shared" si="65"/>
        <v>#N/A</v>
      </c>
    </row>
    <row r="3957" spans="1:5">
      <c r="A3957" s="64"/>
      <c r="E3957" t="e">
        <f t="shared" si="65"/>
        <v>#N/A</v>
      </c>
    </row>
    <row r="3958" spans="1:5">
      <c r="A3958" s="64"/>
      <c r="E3958" t="e">
        <f t="shared" si="65"/>
        <v>#N/A</v>
      </c>
    </row>
    <row r="3959" spans="1:5">
      <c r="A3959" s="64"/>
      <c r="E3959" t="e">
        <f t="shared" si="65"/>
        <v>#N/A</v>
      </c>
    </row>
    <row r="3960" spans="1:5">
      <c r="A3960" s="64"/>
      <c r="E3960" t="e">
        <f t="shared" si="65"/>
        <v>#N/A</v>
      </c>
    </row>
    <row r="3961" spans="1:5">
      <c r="A3961" s="64"/>
      <c r="E3961" t="e">
        <f t="shared" si="65"/>
        <v>#N/A</v>
      </c>
    </row>
    <row r="3962" spans="1:5">
      <c r="A3962" s="64"/>
      <c r="E3962" t="e">
        <f t="shared" si="65"/>
        <v>#N/A</v>
      </c>
    </row>
    <row r="3963" spans="1:5">
      <c r="A3963" s="64"/>
      <c r="E3963" t="e">
        <f t="shared" si="65"/>
        <v>#N/A</v>
      </c>
    </row>
    <row r="3964" spans="1:5">
      <c r="A3964" s="64"/>
      <c r="E3964" t="e">
        <f t="shared" si="65"/>
        <v>#N/A</v>
      </c>
    </row>
    <row r="3965" spans="1:5">
      <c r="A3965" s="64"/>
      <c r="E3965" t="e">
        <f t="shared" si="65"/>
        <v>#N/A</v>
      </c>
    </row>
    <row r="3966" spans="1:5">
      <c r="A3966" s="64"/>
      <c r="E3966" t="e">
        <f t="shared" si="65"/>
        <v>#N/A</v>
      </c>
    </row>
    <row r="3967" spans="1:5">
      <c r="A3967" s="64"/>
      <c r="E3967" t="e">
        <f t="shared" si="65"/>
        <v>#N/A</v>
      </c>
    </row>
    <row r="3968" spans="1:5">
      <c r="A3968" s="64"/>
      <c r="E3968" t="e">
        <f t="shared" si="65"/>
        <v>#N/A</v>
      </c>
    </row>
    <row r="3969" spans="1:5">
      <c r="A3969" s="64"/>
      <c r="E3969" t="e">
        <f t="shared" si="65"/>
        <v>#N/A</v>
      </c>
    </row>
    <row r="3970" spans="1:5">
      <c r="A3970" s="64"/>
      <c r="E3970" t="e">
        <f t="shared" si="65"/>
        <v>#N/A</v>
      </c>
    </row>
    <row r="3971" spans="1:5">
      <c r="A3971" s="64"/>
      <c r="E3971" t="e">
        <f t="shared" si="65"/>
        <v>#N/A</v>
      </c>
    </row>
    <row r="3972" spans="1:5">
      <c r="A3972" s="64"/>
      <c r="E3972" t="e">
        <f t="shared" si="65"/>
        <v>#N/A</v>
      </c>
    </row>
    <row r="3973" spans="1:5">
      <c r="A3973" s="64"/>
      <c r="E3973" t="e">
        <f t="shared" si="65"/>
        <v>#N/A</v>
      </c>
    </row>
    <row r="3974" spans="1:5">
      <c r="A3974" s="64"/>
      <c r="E3974" t="e">
        <f t="shared" si="65"/>
        <v>#N/A</v>
      </c>
    </row>
    <row r="3975" spans="1:5">
      <c r="A3975" s="64"/>
      <c r="E3975" t="e">
        <f t="shared" si="65"/>
        <v>#N/A</v>
      </c>
    </row>
    <row r="3976" spans="1:5">
      <c r="A3976" s="64"/>
      <c r="E3976" t="e">
        <f t="shared" si="65"/>
        <v>#N/A</v>
      </c>
    </row>
    <row r="3977" spans="1:5">
      <c r="A3977" s="64"/>
      <c r="E3977" t="e">
        <f t="shared" si="65"/>
        <v>#N/A</v>
      </c>
    </row>
    <row r="3978" spans="1:5">
      <c r="A3978" s="64"/>
      <c r="E3978" t="e">
        <f t="shared" si="65"/>
        <v>#N/A</v>
      </c>
    </row>
    <row r="3979" spans="1:5">
      <c r="A3979" s="64"/>
      <c r="E3979" t="e">
        <f t="shared" si="65"/>
        <v>#N/A</v>
      </c>
    </row>
    <row r="3980" spans="1:5">
      <c r="A3980" s="64"/>
      <c r="E3980" t="e">
        <f t="shared" si="65"/>
        <v>#N/A</v>
      </c>
    </row>
    <row r="3981" spans="1:5">
      <c r="A3981" s="64"/>
      <c r="E3981" t="e">
        <f t="shared" ref="E3981:E4044" si="66">VLOOKUP(B3981,$Q$14:$R$62,2,FALSE)</f>
        <v>#N/A</v>
      </c>
    </row>
    <row r="3982" spans="1:5">
      <c r="A3982" s="64"/>
      <c r="E3982" t="e">
        <f t="shared" si="66"/>
        <v>#N/A</v>
      </c>
    </row>
    <row r="3983" spans="1:5">
      <c r="A3983" s="64"/>
      <c r="E3983" t="e">
        <f t="shared" si="66"/>
        <v>#N/A</v>
      </c>
    </row>
    <row r="3984" spans="1:5">
      <c r="A3984" s="64"/>
      <c r="E3984" t="e">
        <f t="shared" si="66"/>
        <v>#N/A</v>
      </c>
    </row>
    <row r="3985" spans="1:5">
      <c r="A3985" s="64"/>
      <c r="E3985" t="e">
        <f t="shared" si="66"/>
        <v>#N/A</v>
      </c>
    </row>
    <row r="3986" spans="1:5">
      <c r="A3986" s="64"/>
      <c r="E3986" t="e">
        <f t="shared" si="66"/>
        <v>#N/A</v>
      </c>
    </row>
    <row r="3987" spans="1:5">
      <c r="A3987" s="64"/>
      <c r="E3987" t="e">
        <f t="shared" si="66"/>
        <v>#N/A</v>
      </c>
    </row>
    <row r="3988" spans="1:5">
      <c r="A3988" s="64"/>
      <c r="E3988" t="e">
        <f t="shared" si="66"/>
        <v>#N/A</v>
      </c>
    </row>
    <row r="3989" spans="1:5">
      <c r="A3989" s="64"/>
      <c r="E3989" t="e">
        <f t="shared" si="66"/>
        <v>#N/A</v>
      </c>
    </row>
    <row r="3990" spans="1:5">
      <c r="A3990" s="64"/>
      <c r="E3990" t="e">
        <f t="shared" si="66"/>
        <v>#N/A</v>
      </c>
    </row>
    <row r="3991" spans="1:5">
      <c r="A3991" s="64"/>
      <c r="E3991" t="e">
        <f t="shared" si="66"/>
        <v>#N/A</v>
      </c>
    </row>
    <row r="3992" spans="1:5">
      <c r="A3992" s="64"/>
      <c r="E3992" t="e">
        <f t="shared" si="66"/>
        <v>#N/A</v>
      </c>
    </row>
    <row r="3993" spans="1:5">
      <c r="A3993" s="64"/>
      <c r="E3993" t="e">
        <f t="shared" si="66"/>
        <v>#N/A</v>
      </c>
    </row>
    <row r="3994" spans="1:5">
      <c r="A3994" s="64"/>
      <c r="E3994" t="e">
        <f t="shared" si="66"/>
        <v>#N/A</v>
      </c>
    </row>
    <row r="3995" spans="1:5">
      <c r="A3995" s="64"/>
      <c r="E3995" t="e">
        <f t="shared" si="66"/>
        <v>#N/A</v>
      </c>
    </row>
    <row r="3996" spans="1:5">
      <c r="A3996" s="64"/>
      <c r="E3996" t="e">
        <f t="shared" si="66"/>
        <v>#N/A</v>
      </c>
    </row>
    <row r="3997" spans="1:5">
      <c r="A3997" s="64"/>
      <c r="E3997" t="e">
        <f t="shared" si="66"/>
        <v>#N/A</v>
      </c>
    </row>
    <row r="3998" spans="1:5">
      <c r="A3998" s="64"/>
      <c r="E3998" t="e">
        <f t="shared" si="66"/>
        <v>#N/A</v>
      </c>
    </row>
    <row r="3999" spans="1:5">
      <c r="A3999" s="64"/>
      <c r="E3999" t="e">
        <f t="shared" si="66"/>
        <v>#N/A</v>
      </c>
    </row>
    <row r="4000" spans="1:5">
      <c r="A4000" s="64"/>
      <c r="E4000" t="e">
        <f t="shared" si="66"/>
        <v>#N/A</v>
      </c>
    </row>
    <row r="4001" spans="1:5">
      <c r="A4001" s="64"/>
      <c r="E4001" t="e">
        <f t="shared" si="66"/>
        <v>#N/A</v>
      </c>
    </row>
    <row r="4002" spans="1:5">
      <c r="A4002" s="64"/>
      <c r="E4002" t="e">
        <f t="shared" si="66"/>
        <v>#N/A</v>
      </c>
    </row>
    <row r="4003" spans="1:5">
      <c r="A4003" s="64"/>
      <c r="E4003" t="e">
        <f t="shared" si="66"/>
        <v>#N/A</v>
      </c>
    </row>
    <row r="4004" spans="1:5">
      <c r="A4004" s="64"/>
      <c r="E4004" t="e">
        <f t="shared" si="66"/>
        <v>#N/A</v>
      </c>
    </row>
    <row r="4005" spans="1:5">
      <c r="A4005" s="64"/>
      <c r="E4005" t="e">
        <f t="shared" si="66"/>
        <v>#N/A</v>
      </c>
    </row>
    <row r="4006" spans="1:5">
      <c r="A4006" s="64"/>
      <c r="E4006" t="e">
        <f t="shared" si="66"/>
        <v>#N/A</v>
      </c>
    </row>
    <row r="4007" spans="1:5">
      <c r="A4007" s="64"/>
      <c r="E4007" t="e">
        <f t="shared" si="66"/>
        <v>#N/A</v>
      </c>
    </row>
    <row r="4008" spans="1:5">
      <c r="A4008" s="64"/>
      <c r="E4008" t="e">
        <f t="shared" si="66"/>
        <v>#N/A</v>
      </c>
    </row>
    <row r="4009" spans="1:5">
      <c r="A4009" s="64"/>
      <c r="E4009" t="e">
        <f t="shared" si="66"/>
        <v>#N/A</v>
      </c>
    </row>
    <row r="4010" spans="1:5">
      <c r="A4010" s="64"/>
      <c r="E4010" t="e">
        <f t="shared" si="66"/>
        <v>#N/A</v>
      </c>
    </row>
    <row r="4011" spans="1:5">
      <c r="A4011" s="64"/>
      <c r="E4011" t="e">
        <f t="shared" si="66"/>
        <v>#N/A</v>
      </c>
    </row>
    <row r="4012" spans="1:5">
      <c r="A4012" s="64"/>
      <c r="E4012" t="e">
        <f t="shared" si="66"/>
        <v>#N/A</v>
      </c>
    </row>
    <row r="4013" spans="1:5">
      <c r="A4013" s="64"/>
      <c r="E4013" t="e">
        <f t="shared" si="66"/>
        <v>#N/A</v>
      </c>
    </row>
    <row r="4014" spans="1:5">
      <c r="A4014" s="64"/>
      <c r="E4014" t="e">
        <f t="shared" si="66"/>
        <v>#N/A</v>
      </c>
    </row>
    <row r="4015" spans="1:5">
      <c r="A4015" s="64"/>
      <c r="E4015" t="e">
        <f t="shared" si="66"/>
        <v>#N/A</v>
      </c>
    </row>
    <row r="4016" spans="1:5">
      <c r="A4016" s="64"/>
      <c r="E4016" t="e">
        <f t="shared" si="66"/>
        <v>#N/A</v>
      </c>
    </row>
    <row r="4017" spans="1:5">
      <c r="A4017" s="64"/>
      <c r="E4017" t="e">
        <f t="shared" si="66"/>
        <v>#N/A</v>
      </c>
    </row>
    <row r="4018" spans="1:5">
      <c r="A4018" s="64"/>
      <c r="E4018" t="e">
        <f t="shared" si="66"/>
        <v>#N/A</v>
      </c>
    </row>
    <row r="4019" spans="1:5">
      <c r="A4019" s="64"/>
      <c r="E4019" t="e">
        <f t="shared" si="66"/>
        <v>#N/A</v>
      </c>
    </row>
    <row r="4020" spans="1:5">
      <c r="A4020" s="64"/>
      <c r="E4020" t="e">
        <f t="shared" si="66"/>
        <v>#N/A</v>
      </c>
    </row>
    <row r="4021" spans="1:5">
      <c r="A4021" s="64"/>
      <c r="E4021" t="e">
        <f t="shared" si="66"/>
        <v>#N/A</v>
      </c>
    </row>
    <row r="4022" spans="1:5">
      <c r="A4022" s="64"/>
      <c r="E4022" t="e">
        <f t="shared" si="66"/>
        <v>#N/A</v>
      </c>
    </row>
    <row r="4023" spans="1:5">
      <c r="A4023" s="64"/>
      <c r="E4023" t="e">
        <f t="shared" si="66"/>
        <v>#N/A</v>
      </c>
    </row>
    <row r="4024" spans="1:5">
      <c r="A4024" s="64"/>
      <c r="E4024" t="e">
        <f t="shared" si="66"/>
        <v>#N/A</v>
      </c>
    </row>
    <row r="4025" spans="1:5">
      <c r="A4025" s="64"/>
      <c r="E4025" t="e">
        <f t="shared" si="66"/>
        <v>#N/A</v>
      </c>
    </row>
    <row r="4026" spans="1:5">
      <c r="A4026" s="64"/>
      <c r="E4026" t="e">
        <f t="shared" si="66"/>
        <v>#N/A</v>
      </c>
    </row>
    <row r="4027" spans="1:5">
      <c r="A4027" s="64"/>
      <c r="E4027" t="e">
        <f t="shared" si="66"/>
        <v>#N/A</v>
      </c>
    </row>
    <row r="4028" spans="1:5">
      <c r="A4028" s="64"/>
      <c r="E4028" t="e">
        <f t="shared" si="66"/>
        <v>#N/A</v>
      </c>
    </row>
    <row r="4029" spans="1:5">
      <c r="A4029" s="64"/>
      <c r="E4029" t="e">
        <f t="shared" si="66"/>
        <v>#N/A</v>
      </c>
    </row>
    <row r="4030" spans="1:5">
      <c r="A4030" s="64"/>
      <c r="E4030" t="e">
        <f t="shared" si="66"/>
        <v>#N/A</v>
      </c>
    </row>
    <row r="4031" spans="1:5">
      <c r="A4031" s="64"/>
      <c r="E4031" t="e">
        <f t="shared" si="66"/>
        <v>#N/A</v>
      </c>
    </row>
    <row r="4032" spans="1:5">
      <c r="A4032" s="64"/>
      <c r="E4032" t="e">
        <f t="shared" si="66"/>
        <v>#N/A</v>
      </c>
    </row>
    <row r="4033" spans="1:5">
      <c r="A4033" s="64"/>
      <c r="E4033" t="e">
        <f t="shared" si="66"/>
        <v>#N/A</v>
      </c>
    </row>
    <row r="4034" spans="1:5">
      <c r="A4034" s="64"/>
      <c r="E4034" t="e">
        <f t="shared" si="66"/>
        <v>#N/A</v>
      </c>
    </row>
    <row r="4035" spans="1:5">
      <c r="A4035" s="64"/>
      <c r="E4035" t="e">
        <f t="shared" si="66"/>
        <v>#N/A</v>
      </c>
    </row>
    <row r="4036" spans="1:5">
      <c r="A4036" s="64"/>
      <c r="E4036" t="e">
        <f t="shared" si="66"/>
        <v>#N/A</v>
      </c>
    </row>
    <row r="4037" spans="1:5">
      <c r="A4037" s="64"/>
      <c r="E4037" t="e">
        <f t="shared" si="66"/>
        <v>#N/A</v>
      </c>
    </row>
    <row r="4038" spans="1:5">
      <c r="A4038" s="64"/>
      <c r="E4038" t="e">
        <f t="shared" si="66"/>
        <v>#N/A</v>
      </c>
    </row>
    <row r="4039" spans="1:5">
      <c r="A4039" s="64"/>
      <c r="E4039" t="e">
        <f t="shared" si="66"/>
        <v>#N/A</v>
      </c>
    </row>
    <row r="4040" spans="1:5">
      <c r="A4040" s="64"/>
      <c r="E4040" t="e">
        <f t="shared" si="66"/>
        <v>#N/A</v>
      </c>
    </row>
    <row r="4041" spans="1:5">
      <c r="A4041" s="64"/>
      <c r="E4041" t="e">
        <f t="shared" si="66"/>
        <v>#N/A</v>
      </c>
    </row>
    <row r="4042" spans="1:5">
      <c r="A4042" s="64"/>
      <c r="E4042" t="e">
        <f t="shared" si="66"/>
        <v>#N/A</v>
      </c>
    </row>
    <row r="4043" spans="1:5">
      <c r="A4043" s="64"/>
      <c r="E4043" t="e">
        <f t="shared" si="66"/>
        <v>#N/A</v>
      </c>
    </row>
    <row r="4044" spans="1:5">
      <c r="A4044" s="64"/>
      <c r="E4044" t="e">
        <f t="shared" si="66"/>
        <v>#N/A</v>
      </c>
    </row>
    <row r="4045" spans="1:5">
      <c r="A4045" s="64"/>
      <c r="E4045" t="e">
        <f t="shared" ref="E4045:E4108" si="67">VLOOKUP(B4045,$Q$14:$R$62,2,FALSE)</f>
        <v>#N/A</v>
      </c>
    </row>
    <row r="4046" spans="1:5">
      <c r="A4046" s="64"/>
      <c r="E4046" t="e">
        <f t="shared" si="67"/>
        <v>#N/A</v>
      </c>
    </row>
    <row r="4047" spans="1:5">
      <c r="A4047" s="64"/>
      <c r="E4047" t="e">
        <f t="shared" si="67"/>
        <v>#N/A</v>
      </c>
    </row>
    <row r="4048" spans="1:5">
      <c r="A4048" s="64"/>
      <c r="E4048" t="e">
        <f t="shared" si="67"/>
        <v>#N/A</v>
      </c>
    </row>
    <row r="4049" spans="1:5">
      <c r="A4049" s="64"/>
      <c r="E4049" t="e">
        <f t="shared" si="67"/>
        <v>#N/A</v>
      </c>
    </row>
    <row r="4050" spans="1:5">
      <c r="A4050" s="64"/>
      <c r="E4050" t="e">
        <f t="shared" si="67"/>
        <v>#N/A</v>
      </c>
    </row>
    <row r="4051" spans="1:5">
      <c r="A4051" s="64"/>
      <c r="E4051" t="e">
        <f t="shared" si="67"/>
        <v>#N/A</v>
      </c>
    </row>
    <row r="4052" spans="1:5">
      <c r="A4052" s="64"/>
      <c r="E4052" t="e">
        <f t="shared" si="67"/>
        <v>#N/A</v>
      </c>
    </row>
    <row r="4053" spans="1:5">
      <c r="A4053" s="64"/>
      <c r="E4053" t="e">
        <f t="shared" si="67"/>
        <v>#N/A</v>
      </c>
    </row>
    <row r="4054" spans="1:5">
      <c r="A4054" s="64"/>
      <c r="E4054" t="e">
        <f t="shared" si="67"/>
        <v>#N/A</v>
      </c>
    </row>
    <row r="4055" spans="1:5">
      <c r="A4055" s="64"/>
      <c r="E4055" t="e">
        <f t="shared" si="67"/>
        <v>#N/A</v>
      </c>
    </row>
    <row r="4056" spans="1:5">
      <c r="A4056" s="64"/>
      <c r="E4056" t="e">
        <f t="shared" si="67"/>
        <v>#N/A</v>
      </c>
    </row>
    <row r="4057" spans="1:5">
      <c r="A4057" s="64"/>
      <c r="E4057" t="e">
        <f t="shared" si="67"/>
        <v>#N/A</v>
      </c>
    </row>
    <row r="4058" spans="1:5">
      <c r="A4058" s="64"/>
      <c r="E4058" t="e">
        <f t="shared" si="67"/>
        <v>#N/A</v>
      </c>
    </row>
    <row r="4059" spans="1:5">
      <c r="A4059" s="64"/>
      <c r="E4059" t="e">
        <f t="shared" si="67"/>
        <v>#N/A</v>
      </c>
    </row>
    <row r="4060" spans="1:5">
      <c r="A4060" s="64"/>
      <c r="E4060" t="e">
        <f t="shared" si="67"/>
        <v>#N/A</v>
      </c>
    </row>
    <row r="4061" spans="1:5">
      <c r="A4061" s="64"/>
      <c r="E4061" t="e">
        <f t="shared" si="67"/>
        <v>#N/A</v>
      </c>
    </row>
    <row r="4062" spans="1:5">
      <c r="A4062" s="64"/>
      <c r="E4062" t="e">
        <f t="shared" si="67"/>
        <v>#N/A</v>
      </c>
    </row>
    <row r="4063" spans="1:5">
      <c r="A4063" s="64"/>
      <c r="E4063" t="e">
        <f t="shared" si="67"/>
        <v>#N/A</v>
      </c>
    </row>
    <row r="4064" spans="1:5">
      <c r="A4064" s="64"/>
      <c r="E4064" t="e">
        <f t="shared" si="67"/>
        <v>#N/A</v>
      </c>
    </row>
    <row r="4065" spans="1:5">
      <c r="A4065" s="64"/>
      <c r="E4065" t="e">
        <f t="shared" si="67"/>
        <v>#N/A</v>
      </c>
    </row>
    <row r="4066" spans="1:5">
      <c r="A4066" s="64"/>
      <c r="E4066" t="e">
        <f t="shared" si="67"/>
        <v>#N/A</v>
      </c>
    </row>
    <row r="4067" spans="1:5">
      <c r="A4067" s="64"/>
      <c r="E4067" t="e">
        <f t="shared" si="67"/>
        <v>#N/A</v>
      </c>
    </row>
    <row r="4068" spans="1:5">
      <c r="A4068" s="64"/>
      <c r="E4068" t="e">
        <f t="shared" si="67"/>
        <v>#N/A</v>
      </c>
    </row>
    <row r="4069" spans="1:5">
      <c r="A4069" s="64"/>
      <c r="E4069" t="e">
        <f t="shared" si="67"/>
        <v>#N/A</v>
      </c>
    </row>
    <row r="4070" spans="1:5">
      <c r="A4070" s="64"/>
      <c r="E4070" t="e">
        <f t="shared" si="67"/>
        <v>#N/A</v>
      </c>
    </row>
    <row r="4071" spans="1:5">
      <c r="A4071" s="64"/>
      <c r="E4071" t="e">
        <f t="shared" si="67"/>
        <v>#N/A</v>
      </c>
    </row>
    <row r="4072" spans="1:5">
      <c r="A4072" s="64"/>
      <c r="E4072" t="e">
        <f t="shared" si="67"/>
        <v>#N/A</v>
      </c>
    </row>
    <row r="4073" spans="1:5">
      <c r="A4073" s="64"/>
      <c r="E4073" t="e">
        <f t="shared" si="67"/>
        <v>#N/A</v>
      </c>
    </row>
    <row r="4074" spans="1:5">
      <c r="A4074" s="64"/>
      <c r="E4074" t="e">
        <f t="shared" si="67"/>
        <v>#N/A</v>
      </c>
    </row>
    <row r="4075" spans="1:5">
      <c r="A4075" s="64"/>
      <c r="E4075" t="e">
        <f t="shared" si="67"/>
        <v>#N/A</v>
      </c>
    </row>
    <row r="4076" spans="1:5">
      <c r="A4076" s="64"/>
      <c r="E4076" t="e">
        <f t="shared" si="67"/>
        <v>#N/A</v>
      </c>
    </row>
    <row r="4077" spans="1:5">
      <c r="A4077" s="64"/>
      <c r="E4077" t="e">
        <f t="shared" si="67"/>
        <v>#N/A</v>
      </c>
    </row>
    <row r="4078" spans="1:5">
      <c r="A4078" s="64"/>
      <c r="E4078" t="e">
        <f t="shared" si="67"/>
        <v>#N/A</v>
      </c>
    </row>
    <row r="4079" spans="1:5">
      <c r="A4079" s="64"/>
      <c r="E4079" t="e">
        <f t="shared" si="67"/>
        <v>#N/A</v>
      </c>
    </row>
    <row r="4080" spans="1:5">
      <c r="A4080" s="64"/>
      <c r="E4080" t="e">
        <f t="shared" si="67"/>
        <v>#N/A</v>
      </c>
    </row>
    <row r="4081" spans="1:5">
      <c r="A4081" s="64"/>
      <c r="E4081" t="e">
        <f t="shared" si="67"/>
        <v>#N/A</v>
      </c>
    </row>
    <row r="4082" spans="1:5">
      <c r="A4082" s="64"/>
      <c r="E4082" t="e">
        <f t="shared" si="67"/>
        <v>#N/A</v>
      </c>
    </row>
    <row r="4083" spans="1:5">
      <c r="A4083" s="64"/>
      <c r="E4083" t="e">
        <f t="shared" si="67"/>
        <v>#N/A</v>
      </c>
    </row>
    <row r="4084" spans="1:5">
      <c r="A4084" s="64"/>
      <c r="E4084" t="e">
        <f t="shared" si="67"/>
        <v>#N/A</v>
      </c>
    </row>
    <row r="4085" spans="1:5">
      <c r="A4085" s="64"/>
      <c r="E4085" t="e">
        <f t="shared" si="67"/>
        <v>#N/A</v>
      </c>
    </row>
    <row r="4086" spans="1:5">
      <c r="A4086" s="64"/>
      <c r="E4086" t="e">
        <f t="shared" si="67"/>
        <v>#N/A</v>
      </c>
    </row>
    <row r="4087" spans="1:5">
      <c r="A4087" s="64"/>
      <c r="E4087" t="e">
        <f t="shared" si="67"/>
        <v>#N/A</v>
      </c>
    </row>
    <row r="4088" spans="1:5">
      <c r="A4088" s="64"/>
      <c r="E4088" t="e">
        <f t="shared" si="67"/>
        <v>#N/A</v>
      </c>
    </row>
    <row r="4089" spans="1:5">
      <c r="A4089" s="64"/>
      <c r="E4089" t="e">
        <f t="shared" si="67"/>
        <v>#N/A</v>
      </c>
    </row>
    <row r="4090" spans="1:5">
      <c r="A4090" s="64"/>
      <c r="E4090" t="e">
        <f t="shared" si="67"/>
        <v>#N/A</v>
      </c>
    </row>
    <row r="4091" spans="1:5">
      <c r="A4091" s="64"/>
      <c r="E4091" t="e">
        <f t="shared" si="67"/>
        <v>#N/A</v>
      </c>
    </row>
    <row r="4092" spans="1:5">
      <c r="A4092" s="64"/>
      <c r="E4092" t="e">
        <f t="shared" si="67"/>
        <v>#N/A</v>
      </c>
    </row>
    <row r="4093" spans="1:5">
      <c r="A4093" s="64"/>
      <c r="E4093" t="e">
        <f t="shared" si="67"/>
        <v>#N/A</v>
      </c>
    </row>
    <row r="4094" spans="1:5">
      <c r="A4094" s="64"/>
      <c r="E4094" t="e">
        <f t="shared" si="67"/>
        <v>#N/A</v>
      </c>
    </row>
    <row r="4095" spans="1:5">
      <c r="A4095" s="64"/>
      <c r="E4095" t="e">
        <f t="shared" si="67"/>
        <v>#N/A</v>
      </c>
    </row>
    <row r="4096" spans="1:5">
      <c r="A4096" s="64"/>
      <c r="E4096" t="e">
        <f t="shared" si="67"/>
        <v>#N/A</v>
      </c>
    </row>
    <row r="4097" spans="1:5">
      <c r="A4097" s="64"/>
      <c r="E4097" t="e">
        <f t="shared" si="67"/>
        <v>#N/A</v>
      </c>
    </row>
    <row r="4098" spans="1:5">
      <c r="A4098" s="64"/>
      <c r="E4098" t="e">
        <f t="shared" si="67"/>
        <v>#N/A</v>
      </c>
    </row>
    <row r="4099" spans="1:5">
      <c r="A4099" s="64"/>
      <c r="E4099" t="e">
        <f t="shared" si="67"/>
        <v>#N/A</v>
      </c>
    </row>
    <row r="4100" spans="1:5">
      <c r="A4100" s="64"/>
      <c r="E4100" t="e">
        <f t="shared" si="67"/>
        <v>#N/A</v>
      </c>
    </row>
    <row r="4101" spans="1:5">
      <c r="A4101" s="64"/>
      <c r="E4101" t="e">
        <f t="shared" si="67"/>
        <v>#N/A</v>
      </c>
    </row>
    <row r="4102" spans="1:5">
      <c r="A4102" s="64"/>
      <c r="E4102" t="e">
        <f t="shared" si="67"/>
        <v>#N/A</v>
      </c>
    </row>
    <row r="4103" spans="1:5">
      <c r="A4103" s="64"/>
      <c r="E4103" t="e">
        <f t="shared" si="67"/>
        <v>#N/A</v>
      </c>
    </row>
    <row r="4104" spans="1:5">
      <c r="A4104" s="64"/>
      <c r="E4104" t="e">
        <f t="shared" si="67"/>
        <v>#N/A</v>
      </c>
    </row>
    <row r="4105" spans="1:5">
      <c r="A4105" s="64"/>
      <c r="E4105" t="e">
        <f t="shared" si="67"/>
        <v>#N/A</v>
      </c>
    </row>
    <row r="4106" spans="1:5">
      <c r="A4106" s="64"/>
      <c r="E4106" t="e">
        <f t="shared" si="67"/>
        <v>#N/A</v>
      </c>
    </row>
    <row r="4107" spans="1:5">
      <c r="A4107" s="64"/>
      <c r="E4107" t="e">
        <f t="shared" si="67"/>
        <v>#N/A</v>
      </c>
    </row>
    <row r="4108" spans="1:5">
      <c r="A4108" s="64"/>
      <c r="E4108" t="e">
        <f t="shared" si="67"/>
        <v>#N/A</v>
      </c>
    </row>
    <row r="4109" spans="1:5">
      <c r="A4109" s="64"/>
      <c r="E4109" t="e">
        <f t="shared" ref="E4109:E4172" si="68">VLOOKUP(B4109,$Q$14:$R$62,2,FALSE)</f>
        <v>#N/A</v>
      </c>
    </row>
    <row r="4110" spans="1:5">
      <c r="A4110" s="64"/>
      <c r="E4110" t="e">
        <f t="shared" si="68"/>
        <v>#N/A</v>
      </c>
    </row>
    <row r="4111" spans="1:5">
      <c r="A4111" s="64"/>
      <c r="E4111" t="e">
        <f t="shared" si="68"/>
        <v>#N/A</v>
      </c>
    </row>
    <row r="4112" spans="1:5">
      <c r="A4112" s="64"/>
      <c r="E4112" t="e">
        <f t="shared" si="68"/>
        <v>#N/A</v>
      </c>
    </row>
    <row r="4113" spans="1:5">
      <c r="A4113" s="64"/>
      <c r="E4113" t="e">
        <f t="shared" si="68"/>
        <v>#N/A</v>
      </c>
    </row>
    <row r="4114" spans="1:5">
      <c r="A4114" s="64"/>
      <c r="E4114" t="e">
        <f t="shared" si="68"/>
        <v>#N/A</v>
      </c>
    </row>
    <row r="4115" spans="1:5">
      <c r="A4115" s="64"/>
      <c r="E4115" t="e">
        <f t="shared" si="68"/>
        <v>#N/A</v>
      </c>
    </row>
    <row r="4116" spans="1:5">
      <c r="A4116" s="64"/>
      <c r="E4116" t="e">
        <f t="shared" si="68"/>
        <v>#N/A</v>
      </c>
    </row>
    <row r="4117" spans="1:5">
      <c r="A4117" s="64"/>
      <c r="E4117" t="e">
        <f t="shared" si="68"/>
        <v>#N/A</v>
      </c>
    </row>
    <row r="4118" spans="1:5">
      <c r="A4118" s="64"/>
      <c r="E4118" t="e">
        <f t="shared" si="68"/>
        <v>#N/A</v>
      </c>
    </row>
    <row r="4119" spans="1:5">
      <c r="A4119" s="64"/>
      <c r="E4119" t="e">
        <f t="shared" si="68"/>
        <v>#N/A</v>
      </c>
    </row>
    <row r="4120" spans="1:5">
      <c r="A4120" s="64"/>
      <c r="E4120" t="e">
        <f t="shared" si="68"/>
        <v>#N/A</v>
      </c>
    </row>
    <row r="4121" spans="1:5">
      <c r="A4121" s="64"/>
      <c r="E4121" t="e">
        <f t="shared" si="68"/>
        <v>#N/A</v>
      </c>
    </row>
    <row r="4122" spans="1:5">
      <c r="A4122" s="64"/>
      <c r="E4122" t="e">
        <f t="shared" si="68"/>
        <v>#N/A</v>
      </c>
    </row>
    <row r="4123" spans="1:5">
      <c r="A4123" s="64"/>
      <c r="E4123" t="e">
        <f t="shared" si="68"/>
        <v>#N/A</v>
      </c>
    </row>
    <row r="4124" spans="1:5">
      <c r="A4124" s="64"/>
      <c r="E4124" t="e">
        <f t="shared" si="68"/>
        <v>#N/A</v>
      </c>
    </row>
    <row r="4125" spans="1:5">
      <c r="A4125" s="64"/>
      <c r="E4125" t="e">
        <f t="shared" si="68"/>
        <v>#N/A</v>
      </c>
    </row>
    <row r="4126" spans="1:5">
      <c r="A4126" s="64"/>
      <c r="E4126" t="e">
        <f t="shared" si="68"/>
        <v>#N/A</v>
      </c>
    </row>
    <row r="4127" spans="1:5">
      <c r="A4127" s="64"/>
      <c r="E4127" t="e">
        <f t="shared" si="68"/>
        <v>#N/A</v>
      </c>
    </row>
    <row r="4128" spans="1:5">
      <c r="A4128" s="64"/>
      <c r="E4128" t="e">
        <f t="shared" si="68"/>
        <v>#N/A</v>
      </c>
    </row>
    <row r="4129" spans="1:5">
      <c r="A4129" s="64"/>
      <c r="E4129" t="e">
        <f t="shared" si="68"/>
        <v>#N/A</v>
      </c>
    </row>
    <row r="4130" spans="1:5">
      <c r="A4130" s="64"/>
      <c r="E4130" t="e">
        <f t="shared" si="68"/>
        <v>#N/A</v>
      </c>
    </row>
    <row r="4131" spans="1:5">
      <c r="A4131" s="64"/>
      <c r="E4131" t="e">
        <f t="shared" si="68"/>
        <v>#N/A</v>
      </c>
    </row>
    <row r="4132" spans="1:5">
      <c r="A4132" s="64"/>
      <c r="E4132" t="e">
        <f t="shared" si="68"/>
        <v>#N/A</v>
      </c>
    </row>
    <row r="4133" spans="1:5">
      <c r="A4133" s="64"/>
      <c r="E4133" t="e">
        <f t="shared" si="68"/>
        <v>#N/A</v>
      </c>
    </row>
    <row r="4134" spans="1:5">
      <c r="A4134" s="64"/>
      <c r="E4134" t="e">
        <f t="shared" si="68"/>
        <v>#N/A</v>
      </c>
    </row>
    <row r="4135" spans="1:5">
      <c r="A4135" s="64"/>
      <c r="E4135" t="e">
        <f t="shared" si="68"/>
        <v>#N/A</v>
      </c>
    </row>
    <row r="4136" spans="1:5">
      <c r="A4136" s="64"/>
      <c r="E4136" t="e">
        <f t="shared" si="68"/>
        <v>#N/A</v>
      </c>
    </row>
    <row r="4137" spans="1:5">
      <c r="A4137" s="64"/>
      <c r="E4137" t="e">
        <f t="shared" si="68"/>
        <v>#N/A</v>
      </c>
    </row>
    <row r="4138" spans="1:5">
      <c r="A4138" s="64"/>
      <c r="E4138" t="e">
        <f t="shared" si="68"/>
        <v>#N/A</v>
      </c>
    </row>
    <row r="4139" spans="1:5">
      <c r="A4139" s="64"/>
      <c r="E4139" t="e">
        <f t="shared" si="68"/>
        <v>#N/A</v>
      </c>
    </row>
    <row r="4140" spans="1:5">
      <c r="A4140" s="64"/>
      <c r="E4140" t="e">
        <f t="shared" si="68"/>
        <v>#N/A</v>
      </c>
    </row>
    <row r="4141" spans="1:5">
      <c r="A4141" s="64"/>
      <c r="E4141" t="e">
        <f t="shared" si="68"/>
        <v>#N/A</v>
      </c>
    </row>
    <row r="4142" spans="1:5">
      <c r="A4142" s="64"/>
      <c r="E4142" t="e">
        <f t="shared" si="68"/>
        <v>#N/A</v>
      </c>
    </row>
    <row r="4143" spans="1:5">
      <c r="A4143" s="64"/>
      <c r="E4143" t="e">
        <f t="shared" si="68"/>
        <v>#N/A</v>
      </c>
    </row>
    <row r="4144" spans="1:5">
      <c r="A4144" s="64"/>
      <c r="E4144" t="e">
        <f t="shared" si="68"/>
        <v>#N/A</v>
      </c>
    </row>
    <row r="4145" spans="1:5">
      <c r="A4145" s="64"/>
      <c r="E4145" t="e">
        <f t="shared" si="68"/>
        <v>#N/A</v>
      </c>
    </row>
    <row r="4146" spans="1:5">
      <c r="A4146" s="64"/>
      <c r="E4146" t="e">
        <f t="shared" si="68"/>
        <v>#N/A</v>
      </c>
    </row>
    <row r="4147" spans="1:5">
      <c r="A4147" s="64"/>
      <c r="E4147" t="e">
        <f t="shared" si="68"/>
        <v>#N/A</v>
      </c>
    </row>
    <row r="4148" spans="1:5">
      <c r="A4148" s="64"/>
      <c r="E4148" t="e">
        <f t="shared" si="68"/>
        <v>#N/A</v>
      </c>
    </row>
    <row r="4149" spans="1:5">
      <c r="A4149" s="64"/>
      <c r="E4149" t="e">
        <f t="shared" si="68"/>
        <v>#N/A</v>
      </c>
    </row>
    <row r="4150" spans="1:5">
      <c r="A4150" s="64"/>
      <c r="E4150" t="e">
        <f t="shared" si="68"/>
        <v>#N/A</v>
      </c>
    </row>
    <row r="4151" spans="1:5">
      <c r="A4151" s="64"/>
      <c r="E4151" t="e">
        <f t="shared" si="68"/>
        <v>#N/A</v>
      </c>
    </row>
    <row r="4152" spans="1:5">
      <c r="A4152" s="64"/>
      <c r="E4152" t="e">
        <f t="shared" si="68"/>
        <v>#N/A</v>
      </c>
    </row>
    <row r="4153" spans="1:5">
      <c r="A4153" s="64"/>
      <c r="E4153" t="e">
        <f t="shared" si="68"/>
        <v>#N/A</v>
      </c>
    </row>
    <row r="4154" spans="1:5">
      <c r="A4154" s="64"/>
      <c r="E4154" t="e">
        <f t="shared" si="68"/>
        <v>#N/A</v>
      </c>
    </row>
    <row r="4155" spans="1:5">
      <c r="A4155" s="64"/>
      <c r="E4155" t="e">
        <f t="shared" si="68"/>
        <v>#N/A</v>
      </c>
    </row>
    <row r="4156" spans="1:5">
      <c r="A4156" s="64"/>
      <c r="E4156" t="e">
        <f t="shared" si="68"/>
        <v>#N/A</v>
      </c>
    </row>
    <row r="4157" spans="1:5">
      <c r="A4157" s="64"/>
      <c r="E4157" t="e">
        <f t="shared" si="68"/>
        <v>#N/A</v>
      </c>
    </row>
    <row r="4158" spans="1:5">
      <c r="A4158" s="64"/>
      <c r="E4158" t="e">
        <f t="shared" si="68"/>
        <v>#N/A</v>
      </c>
    </row>
    <row r="4159" spans="1:5">
      <c r="A4159" s="64"/>
      <c r="E4159" t="e">
        <f t="shared" si="68"/>
        <v>#N/A</v>
      </c>
    </row>
    <row r="4160" spans="1:5">
      <c r="A4160" s="64"/>
      <c r="E4160" t="e">
        <f t="shared" si="68"/>
        <v>#N/A</v>
      </c>
    </row>
    <row r="4161" spans="1:5">
      <c r="A4161" s="64"/>
      <c r="E4161" t="e">
        <f t="shared" si="68"/>
        <v>#N/A</v>
      </c>
    </row>
    <row r="4162" spans="1:5">
      <c r="A4162" s="64"/>
      <c r="E4162" t="e">
        <f t="shared" si="68"/>
        <v>#N/A</v>
      </c>
    </row>
    <row r="4163" spans="1:5">
      <c r="A4163" s="64"/>
      <c r="E4163" t="e">
        <f t="shared" si="68"/>
        <v>#N/A</v>
      </c>
    </row>
    <row r="4164" spans="1:5">
      <c r="A4164" s="64"/>
      <c r="E4164" t="e">
        <f t="shared" si="68"/>
        <v>#N/A</v>
      </c>
    </row>
    <row r="4165" spans="1:5">
      <c r="A4165" s="64"/>
      <c r="E4165" t="e">
        <f t="shared" si="68"/>
        <v>#N/A</v>
      </c>
    </row>
    <row r="4166" spans="1:5">
      <c r="A4166" s="64"/>
      <c r="E4166" t="e">
        <f t="shared" si="68"/>
        <v>#N/A</v>
      </c>
    </row>
    <row r="4167" spans="1:5">
      <c r="A4167" s="64"/>
      <c r="E4167" t="e">
        <f t="shared" si="68"/>
        <v>#N/A</v>
      </c>
    </row>
    <row r="4168" spans="1:5">
      <c r="A4168" s="64"/>
      <c r="E4168" t="e">
        <f t="shared" si="68"/>
        <v>#N/A</v>
      </c>
    </row>
    <row r="4169" spans="1:5">
      <c r="A4169" s="64"/>
      <c r="E4169" t="e">
        <f t="shared" si="68"/>
        <v>#N/A</v>
      </c>
    </row>
    <row r="4170" spans="1:5">
      <c r="A4170" s="64"/>
      <c r="E4170" t="e">
        <f t="shared" si="68"/>
        <v>#N/A</v>
      </c>
    </row>
    <row r="4171" spans="1:5">
      <c r="A4171" s="64"/>
      <c r="E4171" t="e">
        <f t="shared" si="68"/>
        <v>#N/A</v>
      </c>
    </row>
    <row r="4172" spans="1:5">
      <c r="A4172" s="64"/>
      <c r="E4172" t="e">
        <f t="shared" si="68"/>
        <v>#N/A</v>
      </c>
    </row>
    <row r="4173" spans="1:5">
      <c r="A4173" s="64"/>
      <c r="E4173" t="e">
        <f t="shared" ref="E4173:E4236" si="69">VLOOKUP(B4173,$Q$14:$R$62,2,FALSE)</f>
        <v>#N/A</v>
      </c>
    </row>
    <row r="4174" spans="1:5">
      <c r="A4174" s="64"/>
      <c r="E4174" t="e">
        <f t="shared" si="69"/>
        <v>#N/A</v>
      </c>
    </row>
    <row r="4175" spans="1:5">
      <c r="A4175" s="64"/>
      <c r="E4175" t="e">
        <f t="shared" si="69"/>
        <v>#N/A</v>
      </c>
    </row>
    <row r="4176" spans="1:5">
      <c r="A4176" s="64"/>
      <c r="E4176" t="e">
        <f t="shared" si="69"/>
        <v>#N/A</v>
      </c>
    </row>
    <row r="4177" spans="1:5">
      <c r="A4177" s="64"/>
      <c r="E4177" t="e">
        <f t="shared" si="69"/>
        <v>#N/A</v>
      </c>
    </row>
    <row r="4178" spans="1:5">
      <c r="A4178" s="64"/>
      <c r="E4178" t="e">
        <f t="shared" si="69"/>
        <v>#N/A</v>
      </c>
    </row>
    <row r="4179" spans="1:5">
      <c r="A4179" s="64"/>
      <c r="E4179" t="e">
        <f t="shared" si="69"/>
        <v>#N/A</v>
      </c>
    </row>
    <row r="4180" spans="1:5">
      <c r="A4180" s="64"/>
      <c r="E4180" t="e">
        <f t="shared" si="69"/>
        <v>#N/A</v>
      </c>
    </row>
    <row r="4181" spans="1:5">
      <c r="A4181" s="64"/>
      <c r="E4181" t="e">
        <f t="shared" si="69"/>
        <v>#N/A</v>
      </c>
    </row>
    <row r="4182" spans="1:5">
      <c r="A4182" s="64"/>
      <c r="E4182" t="e">
        <f t="shared" si="69"/>
        <v>#N/A</v>
      </c>
    </row>
    <row r="4183" spans="1:5">
      <c r="A4183" s="64"/>
      <c r="E4183" t="e">
        <f t="shared" si="69"/>
        <v>#N/A</v>
      </c>
    </row>
    <row r="4184" spans="1:5">
      <c r="A4184" s="64"/>
      <c r="E4184" t="e">
        <f t="shared" si="69"/>
        <v>#N/A</v>
      </c>
    </row>
    <row r="4185" spans="1:5">
      <c r="A4185" s="64"/>
      <c r="E4185" t="e">
        <f t="shared" si="69"/>
        <v>#N/A</v>
      </c>
    </row>
    <row r="4186" spans="1:5">
      <c r="A4186" s="64"/>
      <c r="E4186" t="e">
        <f t="shared" si="69"/>
        <v>#N/A</v>
      </c>
    </row>
    <row r="4187" spans="1:5">
      <c r="A4187" s="64"/>
      <c r="E4187" t="e">
        <f t="shared" si="69"/>
        <v>#N/A</v>
      </c>
    </row>
    <row r="4188" spans="1:5">
      <c r="A4188" s="64"/>
      <c r="E4188" t="e">
        <f t="shared" si="69"/>
        <v>#N/A</v>
      </c>
    </row>
    <row r="4189" spans="1:5">
      <c r="A4189" s="64"/>
      <c r="E4189" t="e">
        <f t="shared" si="69"/>
        <v>#N/A</v>
      </c>
    </row>
    <row r="4190" spans="1:5">
      <c r="A4190" s="64"/>
      <c r="E4190" t="e">
        <f t="shared" si="69"/>
        <v>#N/A</v>
      </c>
    </row>
    <row r="4191" spans="1:5">
      <c r="A4191" s="64"/>
      <c r="E4191" t="e">
        <f t="shared" si="69"/>
        <v>#N/A</v>
      </c>
    </row>
    <row r="4192" spans="1:5">
      <c r="A4192" s="64"/>
      <c r="E4192" t="e">
        <f t="shared" si="69"/>
        <v>#N/A</v>
      </c>
    </row>
    <row r="4193" spans="1:5">
      <c r="A4193" s="64"/>
      <c r="E4193" t="e">
        <f t="shared" si="69"/>
        <v>#N/A</v>
      </c>
    </row>
    <row r="4194" spans="1:5">
      <c r="A4194" s="64"/>
      <c r="E4194" t="e">
        <f t="shared" si="69"/>
        <v>#N/A</v>
      </c>
    </row>
    <row r="4195" spans="1:5">
      <c r="A4195" s="64"/>
      <c r="E4195" t="e">
        <f t="shared" si="69"/>
        <v>#N/A</v>
      </c>
    </row>
    <row r="4196" spans="1:5">
      <c r="A4196" s="64"/>
      <c r="E4196" t="e">
        <f t="shared" si="69"/>
        <v>#N/A</v>
      </c>
    </row>
    <row r="4197" spans="1:5">
      <c r="A4197" s="64"/>
      <c r="E4197" t="e">
        <f t="shared" si="69"/>
        <v>#N/A</v>
      </c>
    </row>
    <row r="4198" spans="1:5">
      <c r="A4198" s="64"/>
      <c r="E4198" t="e">
        <f t="shared" si="69"/>
        <v>#N/A</v>
      </c>
    </row>
    <row r="4199" spans="1:5">
      <c r="A4199" s="64"/>
      <c r="E4199" t="e">
        <f t="shared" si="69"/>
        <v>#N/A</v>
      </c>
    </row>
    <row r="4200" spans="1:5">
      <c r="A4200" s="64"/>
      <c r="E4200" t="e">
        <f t="shared" si="69"/>
        <v>#N/A</v>
      </c>
    </row>
    <row r="4201" spans="1:5">
      <c r="A4201" s="64"/>
      <c r="E4201" t="e">
        <f t="shared" si="69"/>
        <v>#N/A</v>
      </c>
    </row>
    <row r="4202" spans="1:5">
      <c r="A4202" s="64"/>
      <c r="E4202" t="e">
        <f t="shared" si="69"/>
        <v>#N/A</v>
      </c>
    </row>
    <row r="4203" spans="1:5">
      <c r="A4203" s="64"/>
      <c r="E4203" t="e">
        <f t="shared" si="69"/>
        <v>#N/A</v>
      </c>
    </row>
    <row r="4204" spans="1:5">
      <c r="A4204" s="64"/>
      <c r="E4204" t="e">
        <f t="shared" si="69"/>
        <v>#N/A</v>
      </c>
    </row>
    <row r="4205" spans="1:5">
      <c r="A4205" s="64"/>
      <c r="E4205" t="e">
        <f t="shared" si="69"/>
        <v>#N/A</v>
      </c>
    </row>
    <row r="4206" spans="1:5">
      <c r="A4206" s="64"/>
      <c r="E4206" t="e">
        <f t="shared" si="69"/>
        <v>#N/A</v>
      </c>
    </row>
    <row r="4207" spans="1:5">
      <c r="A4207" s="64"/>
      <c r="E4207" t="e">
        <f t="shared" si="69"/>
        <v>#N/A</v>
      </c>
    </row>
    <row r="4208" spans="1:5">
      <c r="A4208" s="64"/>
      <c r="E4208" t="e">
        <f t="shared" si="69"/>
        <v>#N/A</v>
      </c>
    </row>
    <row r="4209" spans="1:5">
      <c r="A4209" s="64"/>
      <c r="E4209" t="e">
        <f t="shared" si="69"/>
        <v>#N/A</v>
      </c>
    </row>
    <row r="4210" spans="1:5">
      <c r="A4210" s="64"/>
      <c r="E4210" t="e">
        <f t="shared" si="69"/>
        <v>#N/A</v>
      </c>
    </row>
    <row r="4211" spans="1:5">
      <c r="A4211" s="64"/>
      <c r="E4211" t="e">
        <f t="shared" si="69"/>
        <v>#N/A</v>
      </c>
    </row>
    <row r="4212" spans="1:5">
      <c r="A4212" s="64"/>
      <c r="E4212" t="e">
        <f t="shared" si="69"/>
        <v>#N/A</v>
      </c>
    </row>
    <row r="4213" spans="1:5">
      <c r="A4213" s="64"/>
      <c r="E4213" t="e">
        <f t="shared" si="69"/>
        <v>#N/A</v>
      </c>
    </row>
    <row r="4214" spans="1:5">
      <c r="A4214" s="64"/>
      <c r="E4214" t="e">
        <f t="shared" si="69"/>
        <v>#N/A</v>
      </c>
    </row>
    <row r="4215" spans="1:5">
      <c r="A4215" s="64"/>
      <c r="E4215" t="e">
        <f t="shared" si="69"/>
        <v>#N/A</v>
      </c>
    </row>
    <row r="4216" spans="1:5">
      <c r="A4216" s="64"/>
      <c r="E4216" t="e">
        <f t="shared" si="69"/>
        <v>#N/A</v>
      </c>
    </row>
    <row r="4217" spans="1:5">
      <c r="A4217" s="64"/>
      <c r="E4217" t="e">
        <f t="shared" si="69"/>
        <v>#N/A</v>
      </c>
    </row>
    <row r="4218" spans="1:5">
      <c r="A4218" s="64"/>
      <c r="E4218" t="e">
        <f t="shared" si="69"/>
        <v>#N/A</v>
      </c>
    </row>
    <row r="4219" spans="1:5">
      <c r="A4219" s="64"/>
      <c r="E4219" t="e">
        <f t="shared" si="69"/>
        <v>#N/A</v>
      </c>
    </row>
    <row r="4220" spans="1:5">
      <c r="A4220" s="64"/>
      <c r="E4220" t="e">
        <f t="shared" si="69"/>
        <v>#N/A</v>
      </c>
    </row>
    <row r="4221" spans="1:5">
      <c r="A4221" s="64"/>
      <c r="E4221" t="e">
        <f t="shared" si="69"/>
        <v>#N/A</v>
      </c>
    </row>
    <row r="4222" spans="1:5">
      <c r="A4222" s="64"/>
      <c r="E4222" t="e">
        <f t="shared" si="69"/>
        <v>#N/A</v>
      </c>
    </row>
    <row r="4223" spans="1:5">
      <c r="A4223" s="64"/>
      <c r="E4223" t="e">
        <f t="shared" si="69"/>
        <v>#N/A</v>
      </c>
    </row>
    <row r="4224" spans="1:5">
      <c r="A4224" s="64"/>
      <c r="E4224" t="e">
        <f t="shared" si="69"/>
        <v>#N/A</v>
      </c>
    </row>
    <row r="4225" spans="1:5">
      <c r="A4225" s="64"/>
      <c r="E4225" t="e">
        <f t="shared" si="69"/>
        <v>#N/A</v>
      </c>
    </row>
    <row r="4226" spans="1:5">
      <c r="A4226" s="64"/>
      <c r="E4226" t="e">
        <f t="shared" si="69"/>
        <v>#N/A</v>
      </c>
    </row>
    <row r="4227" spans="1:5">
      <c r="A4227" s="64"/>
      <c r="E4227" t="e">
        <f t="shared" si="69"/>
        <v>#N/A</v>
      </c>
    </row>
    <row r="4228" spans="1:5">
      <c r="A4228" s="64"/>
      <c r="E4228" t="e">
        <f t="shared" si="69"/>
        <v>#N/A</v>
      </c>
    </row>
    <row r="4229" spans="1:5">
      <c r="A4229" s="64"/>
      <c r="E4229" t="e">
        <f t="shared" si="69"/>
        <v>#N/A</v>
      </c>
    </row>
    <row r="4230" spans="1:5">
      <c r="A4230" s="64"/>
      <c r="E4230" t="e">
        <f t="shared" si="69"/>
        <v>#N/A</v>
      </c>
    </row>
    <row r="4231" spans="1:5">
      <c r="A4231" s="64"/>
      <c r="E4231" t="e">
        <f t="shared" si="69"/>
        <v>#N/A</v>
      </c>
    </row>
    <row r="4232" spans="1:5">
      <c r="A4232" s="64"/>
      <c r="E4232" t="e">
        <f t="shared" si="69"/>
        <v>#N/A</v>
      </c>
    </row>
    <row r="4233" spans="1:5">
      <c r="A4233" s="64"/>
      <c r="E4233" t="e">
        <f t="shared" si="69"/>
        <v>#N/A</v>
      </c>
    </row>
    <row r="4234" spans="1:5">
      <c r="A4234" s="64"/>
      <c r="E4234" t="e">
        <f t="shared" si="69"/>
        <v>#N/A</v>
      </c>
    </row>
    <row r="4235" spans="1:5">
      <c r="A4235" s="64"/>
      <c r="E4235" t="e">
        <f t="shared" si="69"/>
        <v>#N/A</v>
      </c>
    </row>
    <row r="4236" spans="1:5">
      <c r="A4236" s="64"/>
      <c r="E4236" t="e">
        <f t="shared" si="69"/>
        <v>#N/A</v>
      </c>
    </row>
    <row r="4237" spans="1:5">
      <c r="A4237" s="64"/>
      <c r="E4237" t="e">
        <f t="shared" ref="E4237:E4300" si="70">VLOOKUP(B4237,$Q$14:$R$62,2,FALSE)</f>
        <v>#N/A</v>
      </c>
    </row>
    <row r="4238" spans="1:5">
      <c r="A4238" s="64"/>
      <c r="E4238" t="e">
        <f t="shared" si="70"/>
        <v>#N/A</v>
      </c>
    </row>
    <row r="4239" spans="1:5">
      <c r="A4239" s="64"/>
      <c r="E4239" t="e">
        <f t="shared" si="70"/>
        <v>#N/A</v>
      </c>
    </row>
    <row r="4240" spans="1:5">
      <c r="A4240" s="64"/>
      <c r="E4240" t="e">
        <f t="shared" si="70"/>
        <v>#N/A</v>
      </c>
    </row>
    <row r="4241" spans="1:5">
      <c r="A4241" s="64"/>
      <c r="E4241" t="e">
        <f t="shared" si="70"/>
        <v>#N/A</v>
      </c>
    </row>
    <row r="4242" spans="1:5">
      <c r="A4242" s="64"/>
      <c r="E4242" t="e">
        <f t="shared" si="70"/>
        <v>#N/A</v>
      </c>
    </row>
    <row r="4243" spans="1:5">
      <c r="A4243" s="64"/>
      <c r="E4243" t="e">
        <f t="shared" si="70"/>
        <v>#N/A</v>
      </c>
    </row>
    <row r="4244" spans="1:5">
      <c r="A4244" s="64"/>
      <c r="E4244" t="e">
        <f t="shared" si="70"/>
        <v>#N/A</v>
      </c>
    </row>
    <row r="4245" spans="1:5">
      <c r="A4245" s="64"/>
      <c r="E4245" t="e">
        <f t="shared" si="70"/>
        <v>#N/A</v>
      </c>
    </row>
    <row r="4246" spans="1:5">
      <c r="A4246" s="64"/>
      <c r="E4246" t="e">
        <f t="shared" si="70"/>
        <v>#N/A</v>
      </c>
    </row>
    <row r="4247" spans="1:5">
      <c r="A4247" s="64"/>
      <c r="E4247" t="e">
        <f t="shared" si="70"/>
        <v>#N/A</v>
      </c>
    </row>
    <row r="4248" spans="1:5">
      <c r="A4248" s="64"/>
      <c r="E4248" t="e">
        <f t="shared" si="70"/>
        <v>#N/A</v>
      </c>
    </row>
    <row r="4249" spans="1:5">
      <c r="A4249" s="64"/>
      <c r="E4249" t="e">
        <f t="shared" si="70"/>
        <v>#N/A</v>
      </c>
    </row>
    <row r="4250" spans="1:5">
      <c r="A4250" s="64"/>
      <c r="E4250" t="e">
        <f t="shared" si="70"/>
        <v>#N/A</v>
      </c>
    </row>
    <row r="4251" spans="1:5">
      <c r="A4251" s="64"/>
      <c r="E4251" t="e">
        <f t="shared" si="70"/>
        <v>#N/A</v>
      </c>
    </row>
    <row r="4252" spans="1:5">
      <c r="A4252" s="64"/>
      <c r="E4252" t="e">
        <f t="shared" si="70"/>
        <v>#N/A</v>
      </c>
    </row>
    <row r="4253" spans="1:5">
      <c r="A4253" s="64"/>
      <c r="E4253" t="e">
        <f t="shared" si="70"/>
        <v>#N/A</v>
      </c>
    </row>
    <row r="4254" spans="1:5">
      <c r="A4254" s="64"/>
      <c r="E4254" t="e">
        <f t="shared" si="70"/>
        <v>#N/A</v>
      </c>
    </row>
    <row r="4255" spans="1:5">
      <c r="A4255" s="64"/>
      <c r="E4255" t="e">
        <f t="shared" si="70"/>
        <v>#N/A</v>
      </c>
    </row>
    <row r="4256" spans="1:5">
      <c r="A4256" s="64"/>
      <c r="E4256" t="e">
        <f t="shared" si="70"/>
        <v>#N/A</v>
      </c>
    </row>
    <row r="4257" spans="1:5">
      <c r="A4257" s="64"/>
      <c r="E4257" t="e">
        <f t="shared" si="70"/>
        <v>#N/A</v>
      </c>
    </row>
    <row r="4258" spans="1:5">
      <c r="A4258" s="64"/>
      <c r="E4258" t="e">
        <f t="shared" si="70"/>
        <v>#N/A</v>
      </c>
    </row>
    <row r="4259" spans="1:5">
      <c r="A4259" s="64"/>
      <c r="E4259" t="e">
        <f t="shared" si="70"/>
        <v>#N/A</v>
      </c>
    </row>
    <row r="4260" spans="1:5">
      <c r="A4260" s="64"/>
      <c r="E4260" t="e">
        <f t="shared" si="70"/>
        <v>#N/A</v>
      </c>
    </row>
    <row r="4261" spans="1:5">
      <c r="A4261" s="64"/>
      <c r="E4261" t="e">
        <f t="shared" si="70"/>
        <v>#N/A</v>
      </c>
    </row>
    <row r="4262" spans="1:5">
      <c r="A4262" s="64"/>
      <c r="E4262" t="e">
        <f t="shared" si="70"/>
        <v>#N/A</v>
      </c>
    </row>
    <row r="4263" spans="1:5">
      <c r="A4263" s="64"/>
      <c r="E4263" t="e">
        <f t="shared" si="70"/>
        <v>#N/A</v>
      </c>
    </row>
    <row r="4264" spans="1:5">
      <c r="A4264" s="64"/>
      <c r="E4264" t="e">
        <f t="shared" si="70"/>
        <v>#N/A</v>
      </c>
    </row>
    <row r="4265" spans="1:5">
      <c r="A4265" s="64"/>
      <c r="E4265" t="e">
        <f t="shared" si="70"/>
        <v>#N/A</v>
      </c>
    </row>
    <row r="4266" spans="1:5">
      <c r="A4266" s="64"/>
      <c r="E4266" t="e">
        <f t="shared" si="70"/>
        <v>#N/A</v>
      </c>
    </row>
    <row r="4267" spans="1:5">
      <c r="A4267" s="64"/>
      <c r="E4267" t="e">
        <f t="shared" si="70"/>
        <v>#N/A</v>
      </c>
    </row>
    <row r="4268" spans="1:5">
      <c r="A4268" s="64"/>
      <c r="E4268" t="e">
        <f t="shared" si="70"/>
        <v>#N/A</v>
      </c>
    </row>
    <row r="4269" spans="1:5">
      <c r="A4269" s="64"/>
      <c r="E4269" t="e">
        <f t="shared" si="70"/>
        <v>#N/A</v>
      </c>
    </row>
    <row r="4270" spans="1:5">
      <c r="A4270" s="64"/>
      <c r="E4270" t="e">
        <f t="shared" si="70"/>
        <v>#N/A</v>
      </c>
    </row>
    <row r="4271" spans="1:5">
      <c r="A4271" s="64"/>
      <c r="E4271" t="e">
        <f t="shared" si="70"/>
        <v>#N/A</v>
      </c>
    </row>
    <row r="4272" spans="1:5">
      <c r="A4272" s="64"/>
      <c r="E4272" t="e">
        <f t="shared" si="70"/>
        <v>#N/A</v>
      </c>
    </row>
    <row r="4273" spans="1:5">
      <c r="A4273" s="64"/>
      <c r="E4273" t="e">
        <f t="shared" si="70"/>
        <v>#N/A</v>
      </c>
    </row>
    <row r="4274" spans="1:5">
      <c r="A4274" s="64"/>
      <c r="E4274" t="e">
        <f t="shared" si="70"/>
        <v>#N/A</v>
      </c>
    </row>
    <row r="4275" spans="1:5">
      <c r="A4275" s="64"/>
      <c r="E4275" t="e">
        <f t="shared" si="70"/>
        <v>#N/A</v>
      </c>
    </row>
    <row r="4276" spans="1:5">
      <c r="A4276" s="64"/>
      <c r="E4276" t="e">
        <f t="shared" si="70"/>
        <v>#N/A</v>
      </c>
    </row>
    <row r="4277" spans="1:5">
      <c r="A4277" s="64"/>
      <c r="E4277" t="e">
        <f t="shared" si="70"/>
        <v>#N/A</v>
      </c>
    </row>
    <row r="4278" spans="1:5">
      <c r="A4278" s="64"/>
      <c r="E4278" t="e">
        <f t="shared" si="70"/>
        <v>#N/A</v>
      </c>
    </row>
    <row r="4279" spans="1:5">
      <c r="A4279" s="64"/>
      <c r="E4279" t="e">
        <f t="shared" si="70"/>
        <v>#N/A</v>
      </c>
    </row>
    <row r="4280" spans="1:5">
      <c r="A4280" s="64"/>
      <c r="E4280" t="e">
        <f t="shared" si="70"/>
        <v>#N/A</v>
      </c>
    </row>
    <row r="4281" spans="1:5">
      <c r="A4281" s="64"/>
      <c r="E4281" t="e">
        <f t="shared" si="70"/>
        <v>#N/A</v>
      </c>
    </row>
    <row r="4282" spans="1:5">
      <c r="A4282" s="64"/>
      <c r="E4282" t="e">
        <f t="shared" si="70"/>
        <v>#N/A</v>
      </c>
    </row>
    <row r="4283" spans="1:5">
      <c r="A4283" s="64"/>
      <c r="E4283" t="e">
        <f t="shared" si="70"/>
        <v>#N/A</v>
      </c>
    </row>
    <row r="4284" spans="1:5">
      <c r="A4284" s="64"/>
      <c r="E4284" t="e">
        <f t="shared" si="70"/>
        <v>#N/A</v>
      </c>
    </row>
    <row r="4285" spans="1:5">
      <c r="A4285" s="64"/>
      <c r="E4285" t="e">
        <f t="shared" si="70"/>
        <v>#N/A</v>
      </c>
    </row>
    <row r="4286" spans="1:5">
      <c r="A4286" s="64"/>
      <c r="E4286" t="e">
        <f t="shared" si="70"/>
        <v>#N/A</v>
      </c>
    </row>
    <row r="4287" spans="1:5">
      <c r="A4287" s="64"/>
      <c r="E4287" t="e">
        <f t="shared" si="70"/>
        <v>#N/A</v>
      </c>
    </row>
    <row r="4288" spans="1:5">
      <c r="A4288" s="64"/>
      <c r="E4288" t="e">
        <f t="shared" si="70"/>
        <v>#N/A</v>
      </c>
    </row>
    <row r="4289" spans="1:5">
      <c r="A4289" s="64"/>
      <c r="E4289" t="e">
        <f t="shared" si="70"/>
        <v>#N/A</v>
      </c>
    </row>
    <row r="4290" spans="1:5">
      <c r="A4290" s="64"/>
      <c r="E4290" t="e">
        <f t="shared" si="70"/>
        <v>#N/A</v>
      </c>
    </row>
    <row r="4291" spans="1:5">
      <c r="A4291" s="64"/>
      <c r="E4291" t="e">
        <f t="shared" si="70"/>
        <v>#N/A</v>
      </c>
    </row>
    <row r="4292" spans="1:5">
      <c r="A4292" s="64"/>
      <c r="E4292" t="e">
        <f t="shared" si="70"/>
        <v>#N/A</v>
      </c>
    </row>
    <row r="4293" spans="1:5">
      <c r="A4293" s="64"/>
      <c r="E4293" t="e">
        <f t="shared" si="70"/>
        <v>#N/A</v>
      </c>
    </row>
    <row r="4294" spans="1:5">
      <c r="A4294" s="64"/>
      <c r="E4294" t="e">
        <f t="shared" si="70"/>
        <v>#N/A</v>
      </c>
    </row>
    <row r="4295" spans="1:5">
      <c r="A4295" s="64"/>
      <c r="E4295" t="e">
        <f t="shared" si="70"/>
        <v>#N/A</v>
      </c>
    </row>
    <row r="4296" spans="1:5">
      <c r="A4296" s="64"/>
      <c r="E4296" t="e">
        <f t="shared" si="70"/>
        <v>#N/A</v>
      </c>
    </row>
    <row r="4297" spans="1:5">
      <c r="A4297" s="64"/>
      <c r="E4297" t="e">
        <f t="shared" si="70"/>
        <v>#N/A</v>
      </c>
    </row>
    <row r="4298" spans="1:5">
      <c r="A4298" s="64"/>
      <c r="E4298" t="e">
        <f t="shared" si="70"/>
        <v>#N/A</v>
      </c>
    </row>
    <row r="4299" spans="1:5">
      <c r="A4299" s="64"/>
      <c r="E4299" t="e">
        <f t="shared" si="70"/>
        <v>#N/A</v>
      </c>
    </row>
    <row r="4300" spans="1:5">
      <c r="A4300" s="64"/>
      <c r="E4300" t="e">
        <f t="shared" si="70"/>
        <v>#N/A</v>
      </c>
    </row>
    <row r="4301" spans="1:5">
      <c r="A4301" s="64"/>
      <c r="E4301" t="e">
        <f t="shared" ref="E4301:E4364" si="71">VLOOKUP(B4301,$Q$14:$R$62,2,FALSE)</f>
        <v>#N/A</v>
      </c>
    </row>
    <row r="4302" spans="1:5">
      <c r="A4302" s="64"/>
      <c r="E4302" t="e">
        <f t="shared" si="71"/>
        <v>#N/A</v>
      </c>
    </row>
    <row r="4303" spans="1:5">
      <c r="A4303" s="64"/>
      <c r="E4303" t="e">
        <f t="shared" si="71"/>
        <v>#N/A</v>
      </c>
    </row>
    <row r="4304" spans="1:5">
      <c r="A4304" s="64"/>
      <c r="E4304" t="e">
        <f t="shared" si="71"/>
        <v>#N/A</v>
      </c>
    </row>
    <row r="4305" spans="1:5">
      <c r="A4305" s="64"/>
      <c r="E4305" t="e">
        <f t="shared" si="71"/>
        <v>#N/A</v>
      </c>
    </row>
    <row r="4306" spans="1:5">
      <c r="A4306" s="64"/>
      <c r="E4306" t="e">
        <f t="shared" si="71"/>
        <v>#N/A</v>
      </c>
    </row>
    <row r="4307" spans="1:5">
      <c r="A4307" s="64"/>
      <c r="E4307" t="e">
        <f t="shared" si="71"/>
        <v>#N/A</v>
      </c>
    </row>
    <row r="4308" spans="1:5">
      <c r="A4308" s="64"/>
      <c r="E4308" t="e">
        <f t="shared" si="71"/>
        <v>#N/A</v>
      </c>
    </row>
    <row r="4309" spans="1:5">
      <c r="A4309" s="64"/>
      <c r="E4309" t="e">
        <f t="shared" si="71"/>
        <v>#N/A</v>
      </c>
    </row>
    <row r="4310" spans="1:5">
      <c r="A4310" s="64"/>
      <c r="E4310" t="e">
        <f t="shared" si="71"/>
        <v>#N/A</v>
      </c>
    </row>
    <row r="4311" spans="1:5">
      <c r="A4311" s="64"/>
      <c r="E4311" t="e">
        <f t="shared" si="71"/>
        <v>#N/A</v>
      </c>
    </row>
    <row r="4312" spans="1:5">
      <c r="A4312" s="64"/>
      <c r="E4312" t="e">
        <f t="shared" si="71"/>
        <v>#N/A</v>
      </c>
    </row>
    <row r="4313" spans="1:5">
      <c r="A4313" s="64"/>
      <c r="E4313" t="e">
        <f t="shared" si="71"/>
        <v>#N/A</v>
      </c>
    </row>
    <row r="4314" spans="1:5">
      <c r="A4314" s="64"/>
      <c r="E4314" t="e">
        <f t="shared" si="71"/>
        <v>#N/A</v>
      </c>
    </row>
    <row r="4315" spans="1:5">
      <c r="A4315" s="64"/>
      <c r="E4315" t="e">
        <f t="shared" si="71"/>
        <v>#N/A</v>
      </c>
    </row>
    <row r="4316" spans="1:5">
      <c r="A4316" s="64"/>
      <c r="E4316" t="e">
        <f t="shared" si="71"/>
        <v>#N/A</v>
      </c>
    </row>
    <row r="4317" spans="1:5">
      <c r="A4317" s="64"/>
      <c r="E4317" t="e">
        <f t="shared" si="71"/>
        <v>#N/A</v>
      </c>
    </row>
    <row r="4318" spans="1:5">
      <c r="A4318" s="64"/>
      <c r="E4318" t="e">
        <f t="shared" si="71"/>
        <v>#N/A</v>
      </c>
    </row>
    <row r="4319" spans="1:5">
      <c r="A4319" s="64"/>
      <c r="E4319" t="e">
        <f t="shared" si="71"/>
        <v>#N/A</v>
      </c>
    </row>
    <row r="4320" spans="1:5">
      <c r="A4320" s="64"/>
      <c r="E4320" t="e">
        <f t="shared" si="71"/>
        <v>#N/A</v>
      </c>
    </row>
    <row r="4321" spans="1:5">
      <c r="A4321" s="64"/>
      <c r="E4321" t="e">
        <f t="shared" si="71"/>
        <v>#N/A</v>
      </c>
    </row>
    <row r="4322" spans="1:5">
      <c r="A4322" s="64"/>
      <c r="E4322" t="e">
        <f t="shared" si="71"/>
        <v>#N/A</v>
      </c>
    </row>
    <row r="4323" spans="1:5">
      <c r="A4323" s="64"/>
      <c r="E4323" t="e">
        <f t="shared" si="71"/>
        <v>#N/A</v>
      </c>
    </row>
    <row r="4324" spans="1:5">
      <c r="A4324" s="64"/>
      <c r="E4324" t="e">
        <f t="shared" si="71"/>
        <v>#N/A</v>
      </c>
    </row>
    <row r="4325" spans="1:5">
      <c r="A4325" s="64"/>
      <c r="E4325" t="e">
        <f t="shared" si="71"/>
        <v>#N/A</v>
      </c>
    </row>
    <row r="4326" spans="1:5">
      <c r="A4326" s="64"/>
      <c r="E4326" t="e">
        <f t="shared" si="71"/>
        <v>#N/A</v>
      </c>
    </row>
    <row r="4327" spans="1:5">
      <c r="A4327" s="64"/>
      <c r="E4327" t="e">
        <f t="shared" si="71"/>
        <v>#N/A</v>
      </c>
    </row>
    <row r="4328" spans="1:5">
      <c r="A4328" s="64"/>
      <c r="E4328" t="e">
        <f t="shared" si="71"/>
        <v>#N/A</v>
      </c>
    </row>
    <row r="4329" spans="1:5">
      <c r="A4329" s="64"/>
      <c r="E4329" t="e">
        <f t="shared" si="71"/>
        <v>#N/A</v>
      </c>
    </row>
    <row r="4330" spans="1:5">
      <c r="A4330" s="64"/>
      <c r="E4330" t="e">
        <f t="shared" si="71"/>
        <v>#N/A</v>
      </c>
    </row>
    <row r="4331" spans="1:5">
      <c r="A4331" s="64"/>
      <c r="E4331" t="e">
        <f t="shared" si="71"/>
        <v>#N/A</v>
      </c>
    </row>
    <row r="4332" spans="1:5">
      <c r="A4332" s="64"/>
      <c r="E4332" t="e">
        <f t="shared" si="71"/>
        <v>#N/A</v>
      </c>
    </row>
    <row r="4333" spans="1:5">
      <c r="A4333" s="64"/>
      <c r="E4333" t="e">
        <f t="shared" si="71"/>
        <v>#N/A</v>
      </c>
    </row>
    <row r="4334" spans="1:5">
      <c r="A4334" s="64"/>
      <c r="E4334" t="e">
        <f t="shared" si="71"/>
        <v>#N/A</v>
      </c>
    </row>
    <row r="4335" spans="1:5">
      <c r="A4335" s="64"/>
      <c r="E4335" t="e">
        <f t="shared" si="71"/>
        <v>#N/A</v>
      </c>
    </row>
    <row r="4336" spans="1:5">
      <c r="A4336" s="64"/>
      <c r="E4336" t="e">
        <f t="shared" si="71"/>
        <v>#N/A</v>
      </c>
    </row>
    <row r="4337" spans="1:5">
      <c r="A4337" s="64"/>
      <c r="E4337" t="e">
        <f t="shared" si="71"/>
        <v>#N/A</v>
      </c>
    </row>
    <row r="4338" spans="1:5">
      <c r="A4338" s="64"/>
      <c r="E4338" t="e">
        <f t="shared" si="71"/>
        <v>#N/A</v>
      </c>
    </row>
    <row r="4339" spans="1:5">
      <c r="A4339" s="64"/>
      <c r="E4339" t="e">
        <f t="shared" si="71"/>
        <v>#N/A</v>
      </c>
    </row>
    <row r="4340" spans="1:5">
      <c r="A4340" s="64"/>
      <c r="E4340" t="e">
        <f t="shared" si="71"/>
        <v>#N/A</v>
      </c>
    </row>
    <row r="4341" spans="1:5">
      <c r="A4341" s="64"/>
      <c r="E4341" t="e">
        <f t="shared" si="71"/>
        <v>#N/A</v>
      </c>
    </row>
    <row r="4342" spans="1:5">
      <c r="A4342" s="64"/>
      <c r="E4342" t="e">
        <f t="shared" si="71"/>
        <v>#N/A</v>
      </c>
    </row>
    <row r="4343" spans="1:5">
      <c r="A4343" s="64"/>
      <c r="E4343" t="e">
        <f t="shared" si="71"/>
        <v>#N/A</v>
      </c>
    </row>
    <row r="4344" spans="1:5">
      <c r="A4344" s="64"/>
      <c r="E4344" t="e">
        <f t="shared" si="71"/>
        <v>#N/A</v>
      </c>
    </row>
    <row r="4345" spans="1:5">
      <c r="A4345" s="64"/>
      <c r="E4345" t="e">
        <f t="shared" si="71"/>
        <v>#N/A</v>
      </c>
    </row>
    <row r="4346" spans="1:5">
      <c r="A4346" s="64"/>
      <c r="E4346" t="e">
        <f t="shared" si="71"/>
        <v>#N/A</v>
      </c>
    </row>
    <row r="4347" spans="1:5">
      <c r="A4347" s="64"/>
      <c r="E4347" t="e">
        <f t="shared" si="71"/>
        <v>#N/A</v>
      </c>
    </row>
    <row r="4348" spans="1:5">
      <c r="A4348" s="64"/>
      <c r="E4348" t="e">
        <f t="shared" si="71"/>
        <v>#N/A</v>
      </c>
    </row>
    <row r="4349" spans="1:5">
      <c r="A4349" s="64"/>
      <c r="E4349" t="e">
        <f t="shared" si="71"/>
        <v>#N/A</v>
      </c>
    </row>
    <row r="4350" spans="1:5">
      <c r="A4350" s="64"/>
      <c r="E4350" t="e">
        <f t="shared" si="71"/>
        <v>#N/A</v>
      </c>
    </row>
    <row r="4351" spans="1:5">
      <c r="A4351" s="64"/>
      <c r="E4351" t="e">
        <f t="shared" si="71"/>
        <v>#N/A</v>
      </c>
    </row>
    <row r="4352" spans="1:5">
      <c r="A4352" s="64"/>
      <c r="E4352" t="e">
        <f t="shared" si="71"/>
        <v>#N/A</v>
      </c>
    </row>
    <row r="4353" spans="1:5">
      <c r="A4353" s="64"/>
      <c r="E4353" t="e">
        <f t="shared" si="71"/>
        <v>#N/A</v>
      </c>
    </row>
    <row r="4354" spans="1:5">
      <c r="A4354" s="64"/>
      <c r="E4354" t="e">
        <f t="shared" si="71"/>
        <v>#N/A</v>
      </c>
    </row>
    <row r="4355" spans="1:5">
      <c r="A4355" s="64"/>
      <c r="E4355" t="e">
        <f t="shared" si="71"/>
        <v>#N/A</v>
      </c>
    </row>
    <row r="4356" spans="1:5">
      <c r="A4356" s="64"/>
      <c r="E4356" t="e">
        <f t="shared" si="71"/>
        <v>#N/A</v>
      </c>
    </row>
    <row r="4357" spans="1:5">
      <c r="A4357" s="64"/>
      <c r="E4357" t="e">
        <f t="shared" si="71"/>
        <v>#N/A</v>
      </c>
    </row>
    <row r="4358" spans="1:5">
      <c r="A4358" s="64"/>
      <c r="E4358" t="e">
        <f t="shared" si="71"/>
        <v>#N/A</v>
      </c>
    </row>
    <row r="4359" spans="1:5">
      <c r="A4359" s="64"/>
      <c r="E4359" t="e">
        <f t="shared" si="71"/>
        <v>#N/A</v>
      </c>
    </row>
    <row r="4360" spans="1:5">
      <c r="A4360" s="64"/>
      <c r="E4360" t="e">
        <f t="shared" si="71"/>
        <v>#N/A</v>
      </c>
    </row>
    <row r="4361" spans="1:5">
      <c r="A4361" s="64"/>
      <c r="E4361" t="e">
        <f t="shared" si="71"/>
        <v>#N/A</v>
      </c>
    </row>
    <row r="4362" spans="1:5">
      <c r="A4362" s="64"/>
      <c r="E4362" t="e">
        <f t="shared" si="71"/>
        <v>#N/A</v>
      </c>
    </row>
    <row r="4363" spans="1:5">
      <c r="A4363" s="64"/>
      <c r="E4363" t="e">
        <f t="shared" si="71"/>
        <v>#N/A</v>
      </c>
    </row>
    <row r="4364" spans="1:5">
      <c r="A4364" s="64"/>
      <c r="E4364" t="e">
        <f t="shared" si="71"/>
        <v>#N/A</v>
      </c>
    </row>
    <row r="4365" spans="1:5">
      <c r="A4365" s="64"/>
      <c r="E4365" t="e">
        <f t="shared" ref="E4365:E4428" si="72">VLOOKUP(B4365,$Q$14:$R$62,2,FALSE)</f>
        <v>#N/A</v>
      </c>
    </row>
    <row r="4366" spans="1:5">
      <c r="A4366" s="64"/>
      <c r="E4366" t="e">
        <f t="shared" si="72"/>
        <v>#N/A</v>
      </c>
    </row>
    <row r="4367" spans="1:5">
      <c r="A4367" s="64"/>
      <c r="E4367" t="e">
        <f t="shared" si="72"/>
        <v>#N/A</v>
      </c>
    </row>
    <row r="4368" spans="1:5">
      <c r="A4368" s="64"/>
      <c r="E4368" t="e">
        <f t="shared" si="72"/>
        <v>#N/A</v>
      </c>
    </row>
    <row r="4369" spans="1:5">
      <c r="A4369" s="64"/>
      <c r="E4369" t="e">
        <f t="shared" si="72"/>
        <v>#N/A</v>
      </c>
    </row>
    <row r="4370" spans="1:5">
      <c r="A4370" s="64"/>
      <c r="E4370" t="e">
        <f t="shared" si="72"/>
        <v>#N/A</v>
      </c>
    </row>
    <row r="4371" spans="1:5">
      <c r="A4371" s="64"/>
      <c r="E4371" t="e">
        <f t="shared" si="72"/>
        <v>#N/A</v>
      </c>
    </row>
    <row r="4372" spans="1:5">
      <c r="A4372" s="64"/>
      <c r="E4372" t="e">
        <f t="shared" si="72"/>
        <v>#N/A</v>
      </c>
    </row>
    <row r="4373" spans="1:5">
      <c r="A4373" s="64"/>
      <c r="E4373" t="e">
        <f t="shared" si="72"/>
        <v>#N/A</v>
      </c>
    </row>
    <row r="4374" spans="1:5">
      <c r="A4374" s="64"/>
      <c r="E4374" t="e">
        <f t="shared" si="72"/>
        <v>#N/A</v>
      </c>
    </row>
    <row r="4375" spans="1:5">
      <c r="A4375" s="64"/>
      <c r="E4375" t="e">
        <f t="shared" si="72"/>
        <v>#N/A</v>
      </c>
    </row>
    <row r="4376" spans="1:5">
      <c r="A4376" s="64"/>
      <c r="E4376" t="e">
        <f t="shared" si="72"/>
        <v>#N/A</v>
      </c>
    </row>
    <row r="4377" spans="1:5">
      <c r="A4377" s="64"/>
      <c r="E4377" t="e">
        <f t="shared" si="72"/>
        <v>#N/A</v>
      </c>
    </row>
    <row r="4378" spans="1:5">
      <c r="A4378" s="64"/>
      <c r="E4378" t="e">
        <f t="shared" si="72"/>
        <v>#N/A</v>
      </c>
    </row>
    <row r="4379" spans="1:5">
      <c r="A4379" s="64"/>
      <c r="E4379" t="e">
        <f t="shared" si="72"/>
        <v>#N/A</v>
      </c>
    </row>
    <row r="4380" spans="1:5">
      <c r="A4380" s="64"/>
      <c r="E4380" t="e">
        <f t="shared" si="72"/>
        <v>#N/A</v>
      </c>
    </row>
    <row r="4381" spans="1:5">
      <c r="A4381" s="64"/>
      <c r="E4381" t="e">
        <f t="shared" si="72"/>
        <v>#N/A</v>
      </c>
    </row>
    <row r="4382" spans="1:5">
      <c r="A4382" s="64"/>
      <c r="E4382" t="e">
        <f t="shared" si="72"/>
        <v>#N/A</v>
      </c>
    </row>
    <row r="4383" spans="1:5">
      <c r="A4383" s="64"/>
      <c r="E4383" t="e">
        <f t="shared" si="72"/>
        <v>#N/A</v>
      </c>
    </row>
    <row r="4384" spans="1:5">
      <c r="A4384" s="64"/>
      <c r="E4384" t="e">
        <f t="shared" si="72"/>
        <v>#N/A</v>
      </c>
    </row>
    <row r="4385" spans="1:5">
      <c r="A4385" s="64"/>
      <c r="E4385" t="e">
        <f t="shared" si="72"/>
        <v>#N/A</v>
      </c>
    </row>
    <row r="4386" spans="1:5">
      <c r="A4386" s="64"/>
      <c r="E4386" t="e">
        <f t="shared" si="72"/>
        <v>#N/A</v>
      </c>
    </row>
    <row r="4387" spans="1:5">
      <c r="A4387" s="64"/>
      <c r="E4387" t="e">
        <f t="shared" si="72"/>
        <v>#N/A</v>
      </c>
    </row>
    <row r="4388" spans="1:5">
      <c r="A4388" s="64"/>
      <c r="E4388" t="e">
        <f t="shared" si="72"/>
        <v>#N/A</v>
      </c>
    </row>
    <row r="4389" spans="1:5">
      <c r="A4389" s="64"/>
      <c r="E4389" t="e">
        <f t="shared" si="72"/>
        <v>#N/A</v>
      </c>
    </row>
    <row r="4390" spans="1:5">
      <c r="A4390" s="64"/>
      <c r="E4390" t="e">
        <f t="shared" si="72"/>
        <v>#N/A</v>
      </c>
    </row>
    <row r="4391" spans="1:5">
      <c r="A4391" s="64"/>
      <c r="E4391" t="e">
        <f t="shared" si="72"/>
        <v>#N/A</v>
      </c>
    </row>
    <row r="4392" spans="1:5">
      <c r="A4392" s="64"/>
      <c r="E4392" t="e">
        <f t="shared" si="72"/>
        <v>#N/A</v>
      </c>
    </row>
    <row r="4393" spans="1:5">
      <c r="A4393" s="64"/>
      <c r="E4393" t="e">
        <f t="shared" si="72"/>
        <v>#N/A</v>
      </c>
    </row>
    <row r="4394" spans="1:5">
      <c r="A4394" s="64"/>
      <c r="E4394" t="e">
        <f t="shared" si="72"/>
        <v>#N/A</v>
      </c>
    </row>
    <row r="4395" spans="1:5">
      <c r="A4395" s="64"/>
      <c r="E4395" t="e">
        <f t="shared" si="72"/>
        <v>#N/A</v>
      </c>
    </row>
    <row r="4396" spans="1:5">
      <c r="A4396" s="64"/>
      <c r="E4396" t="e">
        <f t="shared" si="72"/>
        <v>#N/A</v>
      </c>
    </row>
    <row r="4397" spans="1:5">
      <c r="A4397" s="64"/>
      <c r="E4397" t="e">
        <f t="shared" si="72"/>
        <v>#N/A</v>
      </c>
    </row>
    <row r="4398" spans="1:5">
      <c r="A4398" s="64"/>
      <c r="E4398" t="e">
        <f t="shared" si="72"/>
        <v>#N/A</v>
      </c>
    </row>
    <row r="4399" spans="1:5">
      <c r="A4399" s="64"/>
      <c r="E4399" t="e">
        <f t="shared" si="72"/>
        <v>#N/A</v>
      </c>
    </row>
    <row r="4400" spans="1:5">
      <c r="A4400" s="64"/>
      <c r="E4400" t="e">
        <f t="shared" si="72"/>
        <v>#N/A</v>
      </c>
    </row>
    <row r="4401" spans="1:5">
      <c r="A4401" s="64"/>
      <c r="E4401" t="e">
        <f t="shared" si="72"/>
        <v>#N/A</v>
      </c>
    </row>
    <row r="4402" spans="1:5">
      <c r="A4402" s="64"/>
      <c r="E4402" t="e">
        <f t="shared" si="72"/>
        <v>#N/A</v>
      </c>
    </row>
    <row r="4403" spans="1:5">
      <c r="A4403" s="64"/>
      <c r="E4403" t="e">
        <f t="shared" si="72"/>
        <v>#N/A</v>
      </c>
    </row>
    <row r="4404" spans="1:5">
      <c r="A4404" s="64"/>
      <c r="E4404" t="e">
        <f t="shared" si="72"/>
        <v>#N/A</v>
      </c>
    </row>
    <row r="4405" spans="1:5">
      <c r="A4405" s="64"/>
      <c r="E4405" t="e">
        <f t="shared" si="72"/>
        <v>#N/A</v>
      </c>
    </row>
    <row r="4406" spans="1:5">
      <c r="A4406" s="64"/>
      <c r="E4406" t="e">
        <f t="shared" si="72"/>
        <v>#N/A</v>
      </c>
    </row>
    <row r="4407" spans="1:5">
      <c r="A4407" s="64"/>
      <c r="E4407" t="e">
        <f t="shared" si="72"/>
        <v>#N/A</v>
      </c>
    </row>
    <row r="4408" spans="1:5">
      <c r="A4408" s="64"/>
      <c r="E4408" t="e">
        <f t="shared" si="72"/>
        <v>#N/A</v>
      </c>
    </row>
    <row r="4409" spans="1:5">
      <c r="A4409" s="64"/>
      <c r="E4409" t="e">
        <f t="shared" si="72"/>
        <v>#N/A</v>
      </c>
    </row>
    <row r="4410" spans="1:5">
      <c r="A4410" s="64"/>
      <c r="E4410" t="e">
        <f t="shared" si="72"/>
        <v>#N/A</v>
      </c>
    </row>
    <row r="4411" spans="1:5">
      <c r="A4411" s="64"/>
      <c r="E4411" t="e">
        <f t="shared" si="72"/>
        <v>#N/A</v>
      </c>
    </row>
    <row r="4412" spans="1:5">
      <c r="A4412" s="64"/>
      <c r="E4412" t="e">
        <f t="shared" si="72"/>
        <v>#N/A</v>
      </c>
    </row>
    <row r="4413" spans="1:5">
      <c r="A4413" s="64"/>
      <c r="E4413" t="e">
        <f t="shared" si="72"/>
        <v>#N/A</v>
      </c>
    </row>
    <row r="4414" spans="1:5">
      <c r="A4414" s="64"/>
      <c r="E4414" t="e">
        <f t="shared" si="72"/>
        <v>#N/A</v>
      </c>
    </row>
    <row r="4415" spans="1:5">
      <c r="A4415" s="64"/>
      <c r="E4415" t="e">
        <f t="shared" si="72"/>
        <v>#N/A</v>
      </c>
    </row>
    <row r="4416" spans="1:5">
      <c r="A4416" s="64"/>
      <c r="E4416" t="e">
        <f t="shared" si="72"/>
        <v>#N/A</v>
      </c>
    </row>
    <row r="4417" spans="1:5">
      <c r="A4417" s="64"/>
      <c r="E4417" t="e">
        <f t="shared" si="72"/>
        <v>#N/A</v>
      </c>
    </row>
    <row r="4418" spans="1:5">
      <c r="A4418" s="64"/>
      <c r="E4418" t="e">
        <f t="shared" si="72"/>
        <v>#N/A</v>
      </c>
    </row>
    <row r="4419" spans="1:5">
      <c r="A4419" s="64"/>
      <c r="E4419" t="e">
        <f t="shared" si="72"/>
        <v>#N/A</v>
      </c>
    </row>
    <row r="4420" spans="1:5">
      <c r="A4420" s="64"/>
      <c r="E4420" t="e">
        <f t="shared" si="72"/>
        <v>#N/A</v>
      </c>
    </row>
    <row r="4421" spans="1:5">
      <c r="A4421" s="64"/>
      <c r="E4421" t="e">
        <f t="shared" si="72"/>
        <v>#N/A</v>
      </c>
    </row>
    <row r="4422" spans="1:5">
      <c r="A4422" s="64"/>
      <c r="E4422" t="e">
        <f t="shared" si="72"/>
        <v>#N/A</v>
      </c>
    </row>
    <row r="4423" spans="1:5">
      <c r="A4423" s="64"/>
      <c r="E4423" t="e">
        <f t="shared" si="72"/>
        <v>#N/A</v>
      </c>
    </row>
    <row r="4424" spans="1:5">
      <c r="A4424" s="64"/>
      <c r="E4424" t="e">
        <f t="shared" si="72"/>
        <v>#N/A</v>
      </c>
    </row>
    <row r="4425" spans="1:5">
      <c r="A4425" s="64"/>
      <c r="E4425" t="e">
        <f t="shared" si="72"/>
        <v>#N/A</v>
      </c>
    </row>
    <row r="4426" spans="1:5">
      <c r="A4426" s="64"/>
      <c r="E4426" t="e">
        <f t="shared" si="72"/>
        <v>#N/A</v>
      </c>
    </row>
    <row r="4427" spans="1:5">
      <c r="A4427" s="64"/>
      <c r="E4427" t="e">
        <f t="shared" si="72"/>
        <v>#N/A</v>
      </c>
    </row>
    <row r="4428" spans="1:5">
      <c r="A4428" s="64"/>
      <c r="E4428" t="e">
        <f t="shared" si="72"/>
        <v>#N/A</v>
      </c>
    </row>
    <row r="4429" spans="1:5">
      <c r="A4429" s="64"/>
      <c r="E4429" t="e">
        <f t="shared" ref="E4429:E4492" si="73">VLOOKUP(B4429,$Q$14:$R$62,2,FALSE)</f>
        <v>#N/A</v>
      </c>
    </row>
    <row r="4430" spans="1:5">
      <c r="A4430" s="64"/>
      <c r="E4430" t="e">
        <f t="shared" si="73"/>
        <v>#N/A</v>
      </c>
    </row>
    <row r="4431" spans="1:5">
      <c r="A4431" s="64"/>
      <c r="E4431" t="e">
        <f t="shared" si="73"/>
        <v>#N/A</v>
      </c>
    </row>
    <row r="4432" spans="1:5">
      <c r="A4432" s="64"/>
      <c r="E4432" t="e">
        <f t="shared" si="73"/>
        <v>#N/A</v>
      </c>
    </row>
    <row r="4433" spans="1:5">
      <c r="A4433" s="64"/>
      <c r="E4433" t="e">
        <f t="shared" si="73"/>
        <v>#N/A</v>
      </c>
    </row>
    <row r="4434" spans="1:5">
      <c r="A4434" s="64"/>
      <c r="E4434" t="e">
        <f t="shared" si="73"/>
        <v>#N/A</v>
      </c>
    </row>
    <row r="4435" spans="1:5">
      <c r="A4435" s="64"/>
      <c r="E4435" t="e">
        <f t="shared" si="73"/>
        <v>#N/A</v>
      </c>
    </row>
    <row r="4436" spans="1:5">
      <c r="A4436" s="64"/>
      <c r="E4436" t="e">
        <f t="shared" si="73"/>
        <v>#N/A</v>
      </c>
    </row>
    <row r="4437" spans="1:5">
      <c r="A4437" s="64"/>
      <c r="E4437" t="e">
        <f t="shared" si="73"/>
        <v>#N/A</v>
      </c>
    </row>
    <row r="4438" spans="1:5">
      <c r="A4438" s="64"/>
      <c r="E4438" t="e">
        <f t="shared" si="73"/>
        <v>#N/A</v>
      </c>
    </row>
    <row r="4439" spans="1:5">
      <c r="A4439" s="64"/>
      <c r="E4439" t="e">
        <f t="shared" si="73"/>
        <v>#N/A</v>
      </c>
    </row>
    <row r="4440" spans="1:5">
      <c r="A4440" s="64"/>
      <c r="E4440" t="e">
        <f t="shared" si="73"/>
        <v>#N/A</v>
      </c>
    </row>
    <row r="4441" spans="1:5">
      <c r="A4441" s="64"/>
      <c r="E4441" t="e">
        <f t="shared" si="73"/>
        <v>#N/A</v>
      </c>
    </row>
    <row r="4442" spans="1:5">
      <c r="A4442" s="64"/>
      <c r="E4442" t="e">
        <f t="shared" si="73"/>
        <v>#N/A</v>
      </c>
    </row>
    <row r="4443" spans="1:5">
      <c r="A4443" s="64"/>
      <c r="E4443" t="e">
        <f t="shared" si="73"/>
        <v>#N/A</v>
      </c>
    </row>
    <row r="4444" spans="1:5">
      <c r="A4444" s="64"/>
      <c r="E4444" t="e">
        <f t="shared" si="73"/>
        <v>#N/A</v>
      </c>
    </row>
    <row r="4445" spans="1:5">
      <c r="A4445" s="64"/>
      <c r="E4445" t="e">
        <f t="shared" si="73"/>
        <v>#N/A</v>
      </c>
    </row>
    <row r="4446" spans="1:5">
      <c r="A4446" s="64"/>
      <c r="E4446" t="e">
        <f t="shared" si="73"/>
        <v>#N/A</v>
      </c>
    </row>
    <row r="4447" spans="1:5">
      <c r="A4447" s="64"/>
      <c r="E4447" t="e">
        <f t="shared" si="73"/>
        <v>#N/A</v>
      </c>
    </row>
    <row r="4448" spans="1:5">
      <c r="A4448" s="64"/>
      <c r="E4448" t="e">
        <f t="shared" si="73"/>
        <v>#N/A</v>
      </c>
    </row>
    <row r="4449" spans="1:5">
      <c r="A4449" s="64"/>
      <c r="E4449" t="e">
        <f t="shared" si="73"/>
        <v>#N/A</v>
      </c>
    </row>
    <row r="4450" spans="1:5">
      <c r="A4450" s="64"/>
      <c r="E4450" t="e">
        <f t="shared" si="73"/>
        <v>#N/A</v>
      </c>
    </row>
    <row r="4451" spans="1:5">
      <c r="A4451" s="64"/>
      <c r="E4451" t="e">
        <f t="shared" si="73"/>
        <v>#N/A</v>
      </c>
    </row>
    <row r="4452" spans="1:5">
      <c r="A4452" s="64"/>
      <c r="E4452" t="e">
        <f t="shared" si="73"/>
        <v>#N/A</v>
      </c>
    </row>
    <row r="4453" spans="1:5">
      <c r="A4453" s="64"/>
      <c r="E4453" t="e">
        <f t="shared" si="73"/>
        <v>#N/A</v>
      </c>
    </row>
    <row r="4454" spans="1:5">
      <c r="A4454" s="64"/>
      <c r="E4454" t="e">
        <f t="shared" si="73"/>
        <v>#N/A</v>
      </c>
    </row>
    <row r="4455" spans="1:5">
      <c r="A4455" s="64"/>
      <c r="E4455" t="e">
        <f t="shared" si="73"/>
        <v>#N/A</v>
      </c>
    </row>
    <row r="4456" spans="1:5">
      <c r="A4456" s="64"/>
      <c r="E4456" t="e">
        <f t="shared" si="73"/>
        <v>#N/A</v>
      </c>
    </row>
    <row r="4457" spans="1:5">
      <c r="A4457" s="64"/>
      <c r="E4457" t="e">
        <f t="shared" si="73"/>
        <v>#N/A</v>
      </c>
    </row>
    <row r="4458" spans="1:5">
      <c r="A4458" s="64"/>
      <c r="E4458" t="e">
        <f t="shared" si="73"/>
        <v>#N/A</v>
      </c>
    </row>
    <row r="4459" spans="1:5">
      <c r="A4459" s="64"/>
      <c r="E4459" t="e">
        <f t="shared" si="73"/>
        <v>#N/A</v>
      </c>
    </row>
    <row r="4460" spans="1:5">
      <c r="A4460" s="64"/>
      <c r="E4460" t="e">
        <f t="shared" si="73"/>
        <v>#N/A</v>
      </c>
    </row>
    <row r="4461" spans="1:5">
      <c r="A4461" s="64"/>
      <c r="E4461" t="e">
        <f t="shared" si="73"/>
        <v>#N/A</v>
      </c>
    </row>
    <row r="4462" spans="1:5">
      <c r="A4462" s="64"/>
      <c r="E4462" t="e">
        <f t="shared" si="73"/>
        <v>#N/A</v>
      </c>
    </row>
    <row r="4463" spans="1:5">
      <c r="A4463" s="64"/>
      <c r="E4463" t="e">
        <f t="shared" si="73"/>
        <v>#N/A</v>
      </c>
    </row>
    <row r="4464" spans="1:5">
      <c r="A4464" s="64"/>
      <c r="E4464" t="e">
        <f t="shared" si="73"/>
        <v>#N/A</v>
      </c>
    </row>
    <row r="4465" spans="1:5">
      <c r="A4465" s="64"/>
      <c r="E4465" t="e">
        <f t="shared" si="73"/>
        <v>#N/A</v>
      </c>
    </row>
    <row r="4466" spans="1:5">
      <c r="A4466" s="64"/>
      <c r="E4466" t="e">
        <f t="shared" si="73"/>
        <v>#N/A</v>
      </c>
    </row>
    <row r="4467" spans="1:5">
      <c r="A4467" s="64"/>
      <c r="E4467" t="e">
        <f t="shared" si="73"/>
        <v>#N/A</v>
      </c>
    </row>
    <row r="4468" spans="1:5">
      <c r="A4468" s="64"/>
      <c r="E4468" t="e">
        <f t="shared" si="73"/>
        <v>#N/A</v>
      </c>
    </row>
    <row r="4469" spans="1:5">
      <c r="A4469" s="64"/>
      <c r="E4469" t="e">
        <f t="shared" si="73"/>
        <v>#N/A</v>
      </c>
    </row>
    <row r="4470" spans="1:5">
      <c r="A4470" s="64"/>
      <c r="E4470" t="e">
        <f t="shared" si="73"/>
        <v>#N/A</v>
      </c>
    </row>
    <row r="4471" spans="1:5">
      <c r="A4471" s="64"/>
      <c r="E4471" t="e">
        <f t="shared" si="73"/>
        <v>#N/A</v>
      </c>
    </row>
    <row r="4472" spans="1:5">
      <c r="A4472" s="64"/>
      <c r="E4472" t="e">
        <f t="shared" si="73"/>
        <v>#N/A</v>
      </c>
    </row>
    <row r="4473" spans="1:5">
      <c r="A4473" s="64"/>
      <c r="E4473" t="e">
        <f t="shared" si="73"/>
        <v>#N/A</v>
      </c>
    </row>
    <row r="4474" spans="1:5">
      <c r="A4474" s="64"/>
      <c r="E4474" t="e">
        <f t="shared" si="73"/>
        <v>#N/A</v>
      </c>
    </row>
    <row r="4475" spans="1:5">
      <c r="A4475" s="64"/>
      <c r="E4475" t="e">
        <f t="shared" si="73"/>
        <v>#N/A</v>
      </c>
    </row>
    <row r="4476" spans="1:5">
      <c r="A4476" s="64"/>
      <c r="E4476" t="e">
        <f t="shared" si="73"/>
        <v>#N/A</v>
      </c>
    </row>
    <row r="4477" spans="1:5">
      <c r="A4477" s="64"/>
      <c r="E4477" t="e">
        <f t="shared" si="73"/>
        <v>#N/A</v>
      </c>
    </row>
    <row r="4478" spans="1:5">
      <c r="A4478" s="64"/>
      <c r="E4478" t="e">
        <f t="shared" si="73"/>
        <v>#N/A</v>
      </c>
    </row>
    <row r="4479" spans="1:5">
      <c r="A4479" s="64"/>
      <c r="E4479" t="e">
        <f t="shared" si="73"/>
        <v>#N/A</v>
      </c>
    </row>
    <row r="4480" spans="1:5">
      <c r="A4480" s="64"/>
      <c r="E4480" t="e">
        <f t="shared" si="73"/>
        <v>#N/A</v>
      </c>
    </row>
    <row r="4481" spans="1:5">
      <c r="A4481" s="64"/>
      <c r="E4481" t="e">
        <f t="shared" si="73"/>
        <v>#N/A</v>
      </c>
    </row>
    <row r="4482" spans="1:5">
      <c r="A4482" s="64"/>
      <c r="E4482" t="e">
        <f t="shared" si="73"/>
        <v>#N/A</v>
      </c>
    </row>
    <row r="4483" spans="1:5">
      <c r="A4483" s="64"/>
      <c r="E4483" t="e">
        <f t="shared" si="73"/>
        <v>#N/A</v>
      </c>
    </row>
    <row r="4484" spans="1:5">
      <c r="A4484" s="64"/>
      <c r="E4484" t="e">
        <f t="shared" si="73"/>
        <v>#N/A</v>
      </c>
    </row>
    <row r="4485" spans="1:5">
      <c r="A4485" s="64"/>
      <c r="E4485" t="e">
        <f t="shared" si="73"/>
        <v>#N/A</v>
      </c>
    </row>
    <row r="4486" spans="1:5">
      <c r="A4486" s="64"/>
      <c r="E4486" t="e">
        <f t="shared" si="73"/>
        <v>#N/A</v>
      </c>
    </row>
    <row r="4487" spans="1:5">
      <c r="A4487" s="64"/>
      <c r="E4487" t="e">
        <f t="shared" si="73"/>
        <v>#N/A</v>
      </c>
    </row>
    <row r="4488" spans="1:5">
      <c r="A4488" s="64"/>
      <c r="E4488" t="e">
        <f t="shared" si="73"/>
        <v>#N/A</v>
      </c>
    </row>
    <row r="4489" spans="1:5">
      <c r="A4489" s="64"/>
      <c r="E4489" t="e">
        <f t="shared" si="73"/>
        <v>#N/A</v>
      </c>
    </row>
    <row r="4490" spans="1:5">
      <c r="A4490" s="64"/>
      <c r="E4490" t="e">
        <f t="shared" si="73"/>
        <v>#N/A</v>
      </c>
    </row>
    <row r="4491" spans="1:5">
      <c r="A4491" s="64"/>
      <c r="E4491" t="e">
        <f t="shared" si="73"/>
        <v>#N/A</v>
      </c>
    </row>
    <row r="4492" spans="1:5">
      <c r="A4492" s="64"/>
      <c r="E4492" t="e">
        <f t="shared" si="73"/>
        <v>#N/A</v>
      </c>
    </row>
    <row r="4493" spans="1:5">
      <c r="A4493" s="64"/>
      <c r="E4493" t="e">
        <f t="shared" ref="E4493:E4556" si="74">VLOOKUP(B4493,$Q$14:$R$62,2,FALSE)</f>
        <v>#N/A</v>
      </c>
    </row>
    <row r="4494" spans="1:5">
      <c r="A4494" s="64"/>
      <c r="E4494" t="e">
        <f t="shared" si="74"/>
        <v>#N/A</v>
      </c>
    </row>
    <row r="4495" spans="1:5">
      <c r="A4495" s="64"/>
      <c r="E4495" t="e">
        <f t="shared" si="74"/>
        <v>#N/A</v>
      </c>
    </row>
    <row r="4496" spans="1:5">
      <c r="A4496" s="64"/>
      <c r="E4496" t="e">
        <f t="shared" si="74"/>
        <v>#N/A</v>
      </c>
    </row>
    <row r="4497" spans="1:5">
      <c r="A4497" s="64"/>
      <c r="E4497" t="e">
        <f t="shared" si="74"/>
        <v>#N/A</v>
      </c>
    </row>
    <row r="4498" spans="1:5">
      <c r="A4498" s="64"/>
      <c r="E4498" t="e">
        <f t="shared" si="74"/>
        <v>#N/A</v>
      </c>
    </row>
    <row r="4499" spans="1:5">
      <c r="A4499" s="64"/>
      <c r="E4499" t="e">
        <f t="shared" si="74"/>
        <v>#N/A</v>
      </c>
    </row>
    <row r="4500" spans="1:5">
      <c r="A4500" s="64"/>
      <c r="E4500" t="e">
        <f t="shared" si="74"/>
        <v>#N/A</v>
      </c>
    </row>
    <row r="4501" spans="1:5">
      <c r="A4501" s="64"/>
      <c r="E4501" t="e">
        <f t="shared" si="74"/>
        <v>#N/A</v>
      </c>
    </row>
    <row r="4502" spans="1:5">
      <c r="A4502" s="64"/>
      <c r="E4502" t="e">
        <f t="shared" si="74"/>
        <v>#N/A</v>
      </c>
    </row>
    <row r="4503" spans="1:5">
      <c r="A4503" s="64"/>
      <c r="E4503" t="e">
        <f t="shared" si="74"/>
        <v>#N/A</v>
      </c>
    </row>
    <row r="4504" spans="1:5">
      <c r="A4504" s="64"/>
      <c r="E4504" t="e">
        <f t="shared" si="74"/>
        <v>#N/A</v>
      </c>
    </row>
    <row r="4505" spans="1:5">
      <c r="A4505" s="64"/>
      <c r="E4505" t="e">
        <f t="shared" si="74"/>
        <v>#N/A</v>
      </c>
    </row>
    <row r="4506" spans="1:5">
      <c r="A4506" s="64"/>
      <c r="E4506" t="e">
        <f t="shared" si="74"/>
        <v>#N/A</v>
      </c>
    </row>
    <row r="4507" spans="1:5">
      <c r="A4507" s="64"/>
      <c r="E4507" t="e">
        <f t="shared" si="74"/>
        <v>#N/A</v>
      </c>
    </row>
    <row r="4508" spans="1:5">
      <c r="A4508" s="64"/>
      <c r="E4508" t="e">
        <f t="shared" si="74"/>
        <v>#N/A</v>
      </c>
    </row>
    <row r="4509" spans="1:5">
      <c r="A4509" s="64"/>
      <c r="E4509" t="e">
        <f t="shared" si="74"/>
        <v>#N/A</v>
      </c>
    </row>
    <row r="4510" spans="1:5">
      <c r="A4510" s="64"/>
      <c r="E4510" t="e">
        <f t="shared" si="74"/>
        <v>#N/A</v>
      </c>
    </row>
    <row r="4511" spans="1:5">
      <c r="A4511" s="64"/>
      <c r="E4511" t="e">
        <f t="shared" si="74"/>
        <v>#N/A</v>
      </c>
    </row>
    <row r="4512" spans="1:5">
      <c r="A4512" s="64"/>
      <c r="E4512" t="e">
        <f t="shared" si="74"/>
        <v>#N/A</v>
      </c>
    </row>
    <row r="4513" spans="1:5">
      <c r="A4513" s="64"/>
      <c r="E4513" t="e">
        <f t="shared" si="74"/>
        <v>#N/A</v>
      </c>
    </row>
    <row r="4514" spans="1:5">
      <c r="A4514" s="64"/>
      <c r="E4514" t="e">
        <f t="shared" si="74"/>
        <v>#N/A</v>
      </c>
    </row>
    <row r="4515" spans="1:5">
      <c r="A4515" s="64"/>
      <c r="E4515" t="e">
        <f t="shared" si="74"/>
        <v>#N/A</v>
      </c>
    </row>
    <row r="4516" spans="1:5">
      <c r="A4516" s="64"/>
      <c r="E4516" t="e">
        <f t="shared" si="74"/>
        <v>#N/A</v>
      </c>
    </row>
    <row r="4517" spans="1:5">
      <c r="A4517" s="64"/>
      <c r="E4517" t="e">
        <f t="shared" si="74"/>
        <v>#N/A</v>
      </c>
    </row>
    <row r="4518" spans="1:5">
      <c r="A4518" s="64"/>
      <c r="E4518" t="e">
        <f t="shared" si="74"/>
        <v>#N/A</v>
      </c>
    </row>
    <row r="4519" spans="1:5">
      <c r="A4519" s="64"/>
      <c r="E4519" t="e">
        <f t="shared" si="74"/>
        <v>#N/A</v>
      </c>
    </row>
    <row r="4520" spans="1:5">
      <c r="A4520" s="64"/>
      <c r="E4520" t="e">
        <f t="shared" si="74"/>
        <v>#N/A</v>
      </c>
    </row>
    <row r="4521" spans="1:5">
      <c r="A4521" s="64"/>
      <c r="E4521" t="e">
        <f t="shared" si="74"/>
        <v>#N/A</v>
      </c>
    </row>
    <row r="4522" spans="1:5">
      <c r="A4522" s="64"/>
      <c r="E4522" t="e">
        <f t="shared" si="74"/>
        <v>#N/A</v>
      </c>
    </row>
    <row r="4523" spans="1:5">
      <c r="A4523" s="64"/>
      <c r="E4523" t="e">
        <f t="shared" si="74"/>
        <v>#N/A</v>
      </c>
    </row>
    <row r="4524" spans="1:5">
      <c r="A4524" s="64"/>
      <c r="E4524" t="e">
        <f t="shared" si="74"/>
        <v>#N/A</v>
      </c>
    </row>
    <row r="4525" spans="1:5">
      <c r="A4525" s="64"/>
      <c r="E4525" t="e">
        <f t="shared" si="74"/>
        <v>#N/A</v>
      </c>
    </row>
    <row r="4526" spans="1:5">
      <c r="A4526" s="64"/>
      <c r="E4526" t="e">
        <f t="shared" si="74"/>
        <v>#N/A</v>
      </c>
    </row>
    <row r="4527" spans="1:5">
      <c r="A4527" s="64"/>
      <c r="E4527" t="e">
        <f t="shared" si="74"/>
        <v>#N/A</v>
      </c>
    </row>
    <row r="4528" spans="1:5">
      <c r="A4528" s="64"/>
      <c r="E4528" t="e">
        <f t="shared" si="74"/>
        <v>#N/A</v>
      </c>
    </row>
    <row r="4529" spans="1:5">
      <c r="A4529" s="64"/>
      <c r="E4529" t="e">
        <f t="shared" si="74"/>
        <v>#N/A</v>
      </c>
    </row>
    <row r="4530" spans="1:5">
      <c r="A4530" s="64"/>
      <c r="E4530" t="e">
        <f t="shared" si="74"/>
        <v>#N/A</v>
      </c>
    </row>
    <row r="4531" spans="1:5">
      <c r="A4531" s="64"/>
      <c r="E4531" t="e">
        <f t="shared" si="74"/>
        <v>#N/A</v>
      </c>
    </row>
    <row r="4532" spans="1:5">
      <c r="A4532" s="64"/>
      <c r="E4532" t="e">
        <f t="shared" si="74"/>
        <v>#N/A</v>
      </c>
    </row>
    <row r="4533" spans="1:5">
      <c r="A4533" s="64"/>
      <c r="E4533" t="e">
        <f t="shared" si="74"/>
        <v>#N/A</v>
      </c>
    </row>
    <row r="4534" spans="1:5">
      <c r="A4534" s="64"/>
      <c r="E4534" t="e">
        <f t="shared" si="74"/>
        <v>#N/A</v>
      </c>
    </row>
    <row r="4535" spans="1:5">
      <c r="A4535" s="64"/>
      <c r="E4535" t="e">
        <f t="shared" si="74"/>
        <v>#N/A</v>
      </c>
    </row>
    <row r="4536" spans="1:5">
      <c r="A4536" s="64"/>
      <c r="E4536" t="e">
        <f t="shared" si="74"/>
        <v>#N/A</v>
      </c>
    </row>
    <row r="4537" spans="1:5">
      <c r="A4537" s="64"/>
      <c r="E4537" t="e">
        <f t="shared" si="74"/>
        <v>#N/A</v>
      </c>
    </row>
    <row r="4538" spans="1:5">
      <c r="A4538" s="64"/>
      <c r="E4538" t="e">
        <f t="shared" si="74"/>
        <v>#N/A</v>
      </c>
    </row>
    <row r="4539" spans="1:5">
      <c r="A4539" s="64"/>
      <c r="E4539" t="e">
        <f t="shared" si="74"/>
        <v>#N/A</v>
      </c>
    </row>
    <row r="4540" spans="1:5">
      <c r="A4540" s="64"/>
      <c r="E4540" t="e">
        <f t="shared" si="74"/>
        <v>#N/A</v>
      </c>
    </row>
    <row r="4541" spans="1:5">
      <c r="A4541" s="64"/>
      <c r="E4541" t="e">
        <f t="shared" si="74"/>
        <v>#N/A</v>
      </c>
    </row>
    <row r="4542" spans="1:5">
      <c r="A4542" s="64"/>
      <c r="E4542" t="e">
        <f t="shared" si="74"/>
        <v>#N/A</v>
      </c>
    </row>
    <row r="4543" spans="1:5">
      <c r="A4543" s="64"/>
      <c r="E4543" t="e">
        <f t="shared" si="74"/>
        <v>#N/A</v>
      </c>
    </row>
    <row r="4544" spans="1:5">
      <c r="A4544" s="64"/>
      <c r="E4544" t="e">
        <f t="shared" si="74"/>
        <v>#N/A</v>
      </c>
    </row>
    <row r="4545" spans="1:5">
      <c r="A4545" s="64"/>
      <c r="E4545" t="e">
        <f t="shared" si="74"/>
        <v>#N/A</v>
      </c>
    </row>
    <row r="4546" spans="1:5">
      <c r="A4546" s="64"/>
      <c r="E4546" t="e">
        <f t="shared" si="74"/>
        <v>#N/A</v>
      </c>
    </row>
    <row r="4547" spans="1:5">
      <c r="A4547" s="64"/>
      <c r="E4547" t="e">
        <f t="shared" si="74"/>
        <v>#N/A</v>
      </c>
    </row>
    <row r="4548" spans="1:5">
      <c r="A4548" s="64"/>
      <c r="E4548" t="e">
        <f t="shared" si="74"/>
        <v>#N/A</v>
      </c>
    </row>
    <row r="4549" spans="1:5">
      <c r="A4549" s="64"/>
      <c r="E4549" t="e">
        <f t="shared" si="74"/>
        <v>#N/A</v>
      </c>
    </row>
    <row r="4550" spans="1:5">
      <c r="A4550" s="64"/>
      <c r="E4550" t="e">
        <f t="shared" si="74"/>
        <v>#N/A</v>
      </c>
    </row>
    <row r="4551" spans="1:5">
      <c r="A4551" s="64"/>
      <c r="E4551" t="e">
        <f t="shared" si="74"/>
        <v>#N/A</v>
      </c>
    </row>
    <row r="4552" spans="1:5">
      <c r="A4552" s="64"/>
      <c r="E4552" t="e">
        <f t="shared" si="74"/>
        <v>#N/A</v>
      </c>
    </row>
    <row r="4553" spans="1:5">
      <c r="A4553" s="64"/>
      <c r="E4553" t="e">
        <f t="shared" si="74"/>
        <v>#N/A</v>
      </c>
    </row>
    <row r="4554" spans="1:5">
      <c r="A4554" s="64"/>
      <c r="E4554" t="e">
        <f t="shared" si="74"/>
        <v>#N/A</v>
      </c>
    </row>
    <row r="4555" spans="1:5">
      <c r="A4555" s="64"/>
      <c r="E4555" t="e">
        <f t="shared" si="74"/>
        <v>#N/A</v>
      </c>
    </row>
    <row r="4556" spans="1:5">
      <c r="A4556" s="64"/>
      <c r="E4556" t="e">
        <f t="shared" si="74"/>
        <v>#N/A</v>
      </c>
    </row>
    <row r="4557" spans="1:5">
      <c r="A4557" s="64"/>
      <c r="E4557" t="e">
        <f t="shared" ref="E4557:E4620" si="75">VLOOKUP(B4557,$Q$14:$R$62,2,FALSE)</f>
        <v>#N/A</v>
      </c>
    </row>
    <row r="4558" spans="1:5">
      <c r="A4558" s="64"/>
      <c r="E4558" t="e">
        <f t="shared" si="75"/>
        <v>#N/A</v>
      </c>
    </row>
    <row r="4559" spans="1:5">
      <c r="A4559" s="64"/>
      <c r="E4559" t="e">
        <f t="shared" si="75"/>
        <v>#N/A</v>
      </c>
    </row>
    <row r="4560" spans="1:5">
      <c r="A4560" s="64"/>
      <c r="E4560" t="e">
        <f t="shared" si="75"/>
        <v>#N/A</v>
      </c>
    </row>
    <row r="4561" spans="1:5">
      <c r="A4561" s="64"/>
      <c r="E4561" t="e">
        <f t="shared" si="75"/>
        <v>#N/A</v>
      </c>
    </row>
    <row r="4562" spans="1:5">
      <c r="A4562" s="64"/>
      <c r="E4562" t="e">
        <f t="shared" si="75"/>
        <v>#N/A</v>
      </c>
    </row>
    <row r="4563" spans="1:5">
      <c r="A4563" s="64"/>
      <c r="E4563" t="e">
        <f t="shared" si="75"/>
        <v>#N/A</v>
      </c>
    </row>
    <row r="4564" spans="1:5">
      <c r="A4564" s="64"/>
      <c r="E4564" t="e">
        <f t="shared" si="75"/>
        <v>#N/A</v>
      </c>
    </row>
    <row r="4565" spans="1:5">
      <c r="A4565" s="64"/>
      <c r="E4565" t="e">
        <f t="shared" si="75"/>
        <v>#N/A</v>
      </c>
    </row>
    <row r="4566" spans="1:5">
      <c r="A4566" s="64"/>
      <c r="E4566" t="e">
        <f t="shared" si="75"/>
        <v>#N/A</v>
      </c>
    </row>
    <row r="4567" spans="1:5">
      <c r="A4567" s="64"/>
      <c r="E4567" t="e">
        <f t="shared" si="75"/>
        <v>#N/A</v>
      </c>
    </row>
    <row r="4568" spans="1:5">
      <c r="A4568" s="64"/>
      <c r="E4568" t="e">
        <f t="shared" si="75"/>
        <v>#N/A</v>
      </c>
    </row>
    <row r="4569" spans="1:5">
      <c r="A4569" s="64"/>
      <c r="E4569" t="e">
        <f t="shared" si="75"/>
        <v>#N/A</v>
      </c>
    </row>
    <row r="4570" spans="1:5">
      <c r="A4570" s="64"/>
      <c r="E4570" t="e">
        <f t="shared" si="75"/>
        <v>#N/A</v>
      </c>
    </row>
    <row r="4571" spans="1:5">
      <c r="A4571" s="64"/>
      <c r="E4571" t="e">
        <f t="shared" si="75"/>
        <v>#N/A</v>
      </c>
    </row>
    <row r="4572" spans="1:5">
      <c r="A4572" s="64"/>
      <c r="E4572" t="e">
        <f t="shared" si="75"/>
        <v>#N/A</v>
      </c>
    </row>
    <row r="4573" spans="1:5">
      <c r="A4573" s="64"/>
      <c r="E4573" t="e">
        <f t="shared" si="75"/>
        <v>#N/A</v>
      </c>
    </row>
    <row r="4574" spans="1:5">
      <c r="A4574" s="64"/>
      <c r="E4574" t="e">
        <f t="shared" si="75"/>
        <v>#N/A</v>
      </c>
    </row>
    <row r="4575" spans="1:5">
      <c r="A4575" s="64"/>
      <c r="E4575" t="e">
        <f t="shared" si="75"/>
        <v>#N/A</v>
      </c>
    </row>
    <row r="4576" spans="1:5">
      <c r="A4576" s="64"/>
      <c r="E4576" t="e">
        <f t="shared" si="75"/>
        <v>#N/A</v>
      </c>
    </row>
    <row r="4577" spans="1:5">
      <c r="A4577" s="64"/>
      <c r="E4577" t="e">
        <f t="shared" si="75"/>
        <v>#N/A</v>
      </c>
    </row>
    <row r="4578" spans="1:5">
      <c r="A4578" s="64"/>
      <c r="E4578" t="e">
        <f t="shared" si="75"/>
        <v>#N/A</v>
      </c>
    </row>
    <row r="4579" spans="1:5">
      <c r="A4579" s="64"/>
      <c r="E4579" t="e">
        <f t="shared" si="75"/>
        <v>#N/A</v>
      </c>
    </row>
    <row r="4580" spans="1:5">
      <c r="A4580" s="64"/>
      <c r="E4580" t="e">
        <f t="shared" si="75"/>
        <v>#N/A</v>
      </c>
    </row>
    <row r="4581" spans="1:5">
      <c r="A4581" s="64"/>
      <c r="E4581" t="e">
        <f t="shared" si="75"/>
        <v>#N/A</v>
      </c>
    </row>
    <row r="4582" spans="1:5">
      <c r="A4582" s="64"/>
      <c r="E4582" t="e">
        <f t="shared" si="75"/>
        <v>#N/A</v>
      </c>
    </row>
    <row r="4583" spans="1:5">
      <c r="A4583" s="64"/>
      <c r="E4583" t="e">
        <f t="shared" si="75"/>
        <v>#N/A</v>
      </c>
    </row>
    <row r="4584" spans="1:5">
      <c r="A4584" s="64"/>
      <c r="E4584" t="e">
        <f t="shared" si="75"/>
        <v>#N/A</v>
      </c>
    </row>
    <row r="4585" spans="1:5">
      <c r="A4585" s="64"/>
      <c r="E4585" t="e">
        <f t="shared" si="75"/>
        <v>#N/A</v>
      </c>
    </row>
    <row r="4586" spans="1:5">
      <c r="A4586" s="64"/>
      <c r="E4586" t="e">
        <f t="shared" si="75"/>
        <v>#N/A</v>
      </c>
    </row>
    <row r="4587" spans="1:5">
      <c r="A4587" s="64"/>
      <c r="E4587" t="e">
        <f t="shared" si="75"/>
        <v>#N/A</v>
      </c>
    </row>
    <row r="4588" spans="1:5">
      <c r="A4588" s="64"/>
      <c r="E4588" t="e">
        <f t="shared" si="75"/>
        <v>#N/A</v>
      </c>
    </row>
    <row r="4589" spans="1:5">
      <c r="A4589" s="64"/>
      <c r="E4589" t="e">
        <f t="shared" si="75"/>
        <v>#N/A</v>
      </c>
    </row>
    <row r="4590" spans="1:5">
      <c r="A4590" s="64"/>
      <c r="E4590" t="e">
        <f t="shared" si="75"/>
        <v>#N/A</v>
      </c>
    </row>
    <row r="4591" spans="1:5">
      <c r="A4591" s="64"/>
      <c r="E4591" t="e">
        <f t="shared" si="75"/>
        <v>#N/A</v>
      </c>
    </row>
    <row r="4592" spans="1:5">
      <c r="A4592" s="64"/>
      <c r="E4592" t="e">
        <f t="shared" si="75"/>
        <v>#N/A</v>
      </c>
    </row>
    <row r="4593" spans="1:5">
      <c r="A4593" s="64"/>
      <c r="E4593" t="e">
        <f t="shared" si="75"/>
        <v>#N/A</v>
      </c>
    </row>
    <row r="4594" spans="1:5">
      <c r="A4594" s="64"/>
      <c r="E4594" t="e">
        <f t="shared" si="75"/>
        <v>#N/A</v>
      </c>
    </row>
    <row r="4595" spans="1:5">
      <c r="A4595" s="64"/>
      <c r="E4595" t="e">
        <f t="shared" si="75"/>
        <v>#N/A</v>
      </c>
    </row>
    <row r="4596" spans="1:5">
      <c r="A4596" s="64"/>
      <c r="E4596" t="e">
        <f t="shared" si="75"/>
        <v>#N/A</v>
      </c>
    </row>
    <row r="4597" spans="1:5">
      <c r="A4597" s="64"/>
      <c r="E4597" t="e">
        <f t="shared" si="75"/>
        <v>#N/A</v>
      </c>
    </row>
    <row r="4598" spans="1:5">
      <c r="A4598" s="64"/>
      <c r="E4598" t="e">
        <f t="shared" si="75"/>
        <v>#N/A</v>
      </c>
    </row>
    <row r="4599" spans="1:5">
      <c r="A4599" s="64"/>
      <c r="E4599" t="e">
        <f t="shared" si="75"/>
        <v>#N/A</v>
      </c>
    </row>
    <row r="4600" spans="1:5">
      <c r="A4600" s="64"/>
      <c r="E4600" t="e">
        <f t="shared" si="75"/>
        <v>#N/A</v>
      </c>
    </row>
    <row r="4601" spans="1:5">
      <c r="A4601" s="64"/>
      <c r="E4601" t="e">
        <f t="shared" si="75"/>
        <v>#N/A</v>
      </c>
    </row>
    <row r="4602" spans="1:5">
      <c r="A4602" s="64"/>
      <c r="E4602" t="e">
        <f t="shared" si="75"/>
        <v>#N/A</v>
      </c>
    </row>
    <row r="4603" spans="1:5">
      <c r="A4603" s="64"/>
      <c r="E4603" t="e">
        <f t="shared" si="75"/>
        <v>#N/A</v>
      </c>
    </row>
    <row r="4604" spans="1:5">
      <c r="A4604" s="64"/>
      <c r="E4604" t="e">
        <f t="shared" si="75"/>
        <v>#N/A</v>
      </c>
    </row>
    <row r="4605" spans="1:5">
      <c r="A4605" s="64"/>
      <c r="E4605" t="e">
        <f t="shared" si="75"/>
        <v>#N/A</v>
      </c>
    </row>
    <row r="4606" spans="1:5">
      <c r="A4606" s="64"/>
      <c r="E4606" t="e">
        <f t="shared" si="75"/>
        <v>#N/A</v>
      </c>
    </row>
    <row r="4607" spans="1:5">
      <c r="A4607" s="64"/>
      <c r="E4607" t="e">
        <f t="shared" si="75"/>
        <v>#N/A</v>
      </c>
    </row>
    <row r="4608" spans="1:5">
      <c r="A4608" s="64"/>
      <c r="E4608" t="e">
        <f t="shared" si="75"/>
        <v>#N/A</v>
      </c>
    </row>
    <row r="4609" spans="1:5">
      <c r="A4609" s="64"/>
      <c r="E4609" t="e">
        <f t="shared" si="75"/>
        <v>#N/A</v>
      </c>
    </row>
    <row r="4610" spans="1:5">
      <c r="A4610" s="64"/>
      <c r="E4610" t="e">
        <f t="shared" si="75"/>
        <v>#N/A</v>
      </c>
    </row>
    <row r="4611" spans="1:5">
      <c r="A4611" s="64"/>
      <c r="E4611" t="e">
        <f t="shared" si="75"/>
        <v>#N/A</v>
      </c>
    </row>
    <row r="4612" spans="1:5">
      <c r="A4612" s="64"/>
      <c r="E4612" t="e">
        <f t="shared" si="75"/>
        <v>#N/A</v>
      </c>
    </row>
    <row r="4613" spans="1:5">
      <c r="A4613" s="64"/>
      <c r="E4613" t="e">
        <f t="shared" si="75"/>
        <v>#N/A</v>
      </c>
    </row>
    <row r="4614" spans="1:5">
      <c r="A4614" s="64"/>
      <c r="E4614" t="e">
        <f t="shared" si="75"/>
        <v>#N/A</v>
      </c>
    </row>
    <row r="4615" spans="1:5">
      <c r="A4615" s="64"/>
      <c r="E4615" t="e">
        <f t="shared" si="75"/>
        <v>#N/A</v>
      </c>
    </row>
    <row r="4616" spans="1:5">
      <c r="A4616" s="64"/>
      <c r="E4616" t="e">
        <f t="shared" si="75"/>
        <v>#N/A</v>
      </c>
    </row>
    <row r="4617" spans="1:5">
      <c r="A4617" s="64"/>
      <c r="E4617" t="e">
        <f t="shared" si="75"/>
        <v>#N/A</v>
      </c>
    </row>
    <row r="4618" spans="1:5">
      <c r="A4618" s="64"/>
      <c r="E4618" t="e">
        <f t="shared" si="75"/>
        <v>#N/A</v>
      </c>
    </row>
    <row r="4619" spans="1:5">
      <c r="A4619" s="64"/>
      <c r="E4619" t="e">
        <f t="shared" si="75"/>
        <v>#N/A</v>
      </c>
    </row>
    <row r="4620" spans="1:5">
      <c r="A4620" s="64"/>
      <c r="E4620" t="e">
        <f t="shared" si="75"/>
        <v>#N/A</v>
      </c>
    </row>
    <row r="4621" spans="1:5">
      <c r="A4621" s="64"/>
      <c r="E4621" t="e">
        <f t="shared" ref="E4621:E4684" si="76">VLOOKUP(B4621,$Q$14:$R$62,2,FALSE)</f>
        <v>#N/A</v>
      </c>
    </row>
    <row r="4622" spans="1:5">
      <c r="A4622" s="64"/>
      <c r="E4622" t="e">
        <f t="shared" si="76"/>
        <v>#N/A</v>
      </c>
    </row>
    <row r="4623" spans="1:5">
      <c r="A4623" s="64"/>
      <c r="E4623" t="e">
        <f t="shared" si="76"/>
        <v>#N/A</v>
      </c>
    </row>
    <row r="4624" spans="1:5">
      <c r="A4624" s="64"/>
      <c r="E4624" t="e">
        <f t="shared" si="76"/>
        <v>#N/A</v>
      </c>
    </row>
    <row r="4625" spans="1:5">
      <c r="A4625" s="64"/>
      <c r="E4625" t="e">
        <f t="shared" si="76"/>
        <v>#N/A</v>
      </c>
    </row>
    <row r="4626" spans="1:5">
      <c r="A4626" s="64"/>
      <c r="E4626" t="e">
        <f t="shared" si="76"/>
        <v>#N/A</v>
      </c>
    </row>
    <row r="4627" spans="1:5">
      <c r="A4627" s="64"/>
      <c r="E4627" t="e">
        <f t="shared" si="76"/>
        <v>#N/A</v>
      </c>
    </row>
    <row r="4628" spans="1:5">
      <c r="A4628" s="64"/>
      <c r="E4628" t="e">
        <f t="shared" si="76"/>
        <v>#N/A</v>
      </c>
    </row>
    <row r="4629" spans="1:5">
      <c r="A4629" s="64"/>
      <c r="E4629" t="e">
        <f t="shared" si="76"/>
        <v>#N/A</v>
      </c>
    </row>
    <row r="4630" spans="1:5">
      <c r="A4630" s="64"/>
      <c r="E4630" t="e">
        <f t="shared" si="76"/>
        <v>#N/A</v>
      </c>
    </row>
    <row r="4631" spans="1:5">
      <c r="A4631" s="64"/>
      <c r="E4631" t="e">
        <f t="shared" si="76"/>
        <v>#N/A</v>
      </c>
    </row>
    <row r="4632" spans="1:5">
      <c r="A4632" s="64"/>
      <c r="E4632" t="e">
        <f t="shared" si="76"/>
        <v>#N/A</v>
      </c>
    </row>
    <row r="4633" spans="1:5">
      <c r="A4633" s="64"/>
      <c r="E4633" t="e">
        <f t="shared" si="76"/>
        <v>#N/A</v>
      </c>
    </row>
    <row r="4634" spans="1:5">
      <c r="A4634" s="64"/>
      <c r="E4634" t="e">
        <f t="shared" si="76"/>
        <v>#N/A</v>
      </c>
    </row>
    <row r="4635" spans="1:5">
      <c r="A4635" s="64"/>
      <c r="E4635" t="e">
        <f t="shared" si="76"/>
        <v>#N/A</v>
      </c>
    </row>
    <row r="4636" spans="1:5">
      <c r="A4636" s="64"/>
      <c r="E4636" t="e">
        <f t="shared" si="76"/>
        <v>#N/A</v>
      </c>
    </row>
    <row r="4637" spans="1:5">
      <c r="A4637" s="64"/>
      <c r="E4637" t="e">
        <f t="shared" si="76"/>
        <v>#N/A</v>
      </c>
    </row>
    <row r="4638" spans="1:5">
      <c r="A4638" s="64"/>
      <c r="E4638" t="e">
        <f t="shared" si="76"/>
        <v>#N/A</v>
      </c>
    </row>
    <row r="4639" spans="1:5">
      <c r="A4639" s="64"/>
      <c r="E4639" t="e">
        <f t="shared" si="76"/>
        <v>#N/A</v>
      </c>
    </row>
    <row r="4640" spans="1:5">
      <c r="A4640" s="64"/>
      <c r="E4640" t="e">
        <f t="shared" si="76"/>
        <v>#N/A</v>
      </c>
    </row>
    <row r="4641" spans="1:5">
      <c r="A4641" s="64"/>
      <c r="E4641" t="e">
        <f t="shared" si="76"/>
        <v>#N/A</v>
      </c>
    </row>
    <row r="4642" spans="1:5">
      <c r="A4642" s="64"/>
      <c r="E4642" t="e">
        <f t="shared" si="76"/>
        <v>#N/A</v>
      </c>
    </row>
    <row r="4643" spans="1:5">
      <c r="A4643" s="64"/>
      <c r="E4643" t="e">
        <f t="shared" si="76"/>
        <v>#N/A</v>
      </c>
    </row>
    <row r="4644" spans="1:5">
      <c r="A4644" s="64"/>
      <c r="E4644" t="e">
        <f t="shared" si="76"/>
        <v>#N/A</v>
      </c>
    </row>
    <row r="4645" spans="1:5">
      <c r="A4645" s="64"/>
      <c r="E4645" t="e">
        <f t="shared" si="76"/>
        <v>#N/A</v>
      </c>
    </row>
    <row r="4646" spans="1:5">
      <c r="A4646" s="64"/>
      <c r="E4646" t="e">
        <f t="shared" si="76"/>
        <v>#N/A</v>
      </c>
    </row>
    <row r="4647" spans="1:5">
      <c r="A4647" s="64"/>
      <c r="E4647" t="e">
        <f t="shared" si="76"/>
        <v>#N/A</v>
      </c>
    </row>
    <row r="4648" spans="1:5">
      <c r="A4648" s="64"/>
      <c r="E4648" t="e">
        <f t="shared" si="76"/>
        <v>#N/A</v>
      </c>
    </row>
    <row r="4649" spans="1:5">
      <c r="A4649" s="64"/>
      <c r="E4649" t="e">
        <f t="shared" si="76"/>
        <v>#N/A</v>
      </c>
    </row>
    <row r="4650" spans="1:5">
      <c r="A4650" s="64"/>
      <c r="E4650" t="e">
        <f t="shared" si="76"/>
        <v>#N/A</v>
      </c>
    </row>
    <row r="4651" spans="1:5">
      <c r="A4651" s="64"/>
      <c r="E4651" t="e">
        <f t="shared" si="76"/>
        <v>#N/A</v>
      </c>
    </row>
    <row r="4652" spans="1:5">
      <c r="A4652" s="64"/>
      <c r="E4652" t="e">
        <f t="shared" si="76"/>
        <v>#N/A</v>
      </c>
    </row>
    <row r="4653" spans="1:5">
      <c r="A4653" s="64"/>
      <c r="E4653" t="e">
        <f t="shared" si="76"/>
        <v>#N/A</v>
      </c>
    </row>
    <row r="4654" spans="1:5">
      <c r="A4654" s="64"/>
      <c r="E4654" t="e">
        <f t="shared" si="76"/>
        <v>#N/A</v>
      </c>
    </row>
    <row r="4655" spans="1:5">
      <c r="A4655" s="64"/>
      <c r="E4655" t="e">
        <f t="shared" si="76"/>
        <v>#N/A</v>
      </c>
    </row>
    <row r="4656" spans="1:5">
      <c r="A4656" s="64"/>
      <c r="E4656" t="e">
        <f t="shared" si="76"/>
        <v>#N/A</v>
      </c>
    </row>
    <row r="4657" spans="1:5">
      <c r="A4657" s="64"/>
      <c r="E4657" t="e">
        <f t="shared" si="76"/>
        <v>#N/A</v>
      </c>
    </row>
    <row r="4658" spans="1:5">
      <c r="A4658" s="64"/>
      <c r="E4658" t="e">
        <f t="shared" si="76"/>
        <v>#N/A</v>
      </c>
    </row>
    <row r="4659" spans="1:5">
      <c r="A4659" s="64"/>
      <c r="E4659" t="e">
        <f t="shared" si="76"/>
        <v>#N/A</v>
      </c>
    </row>
    <row r="4660" spans="1:5">
      <c r="A4660" s="64"/>
      <c r="E4660" t="e">
        <f t="shared" si="76"/>
        <v>#N/A</v>
      </c>
    </row>
    <row r="4661" spans="1:5">
      <c r="A4661" s="64"/>
      <c r="E4661" t="e">
        <f t="shared" si="76"/>
        <v>#N/A</v>
      </c>
    </row>
    <row r="4662" spans="1:5">
      <c r="A4662" s="64"/>
      <c r="E4662" t="e">
        <f t="shared" si="76"/>
        <v>#N/A</v>
      </c>
    </row>
    <row r="4663" spans="1:5">
      <c r="A4663" s="64"/>
      <c r="E4663" t="e">
        <f t="shared" si="76"/>
        <v>#N/A</v>
      </c>
    </row>
    <row r="4664" spans="1:5">
      <c r="A4664" s="64"/>
      <c r="E4664" t="e">
        <f t="shared" si="76"/>
        <v>#N/A</v>
      </c>
    </row>
    <row r="4665" spans="1:5">
      <c r="A4665" s="64"/>
      <c r="E4665" t="e">
        <f t="shared" si="76"/>
        <v>#N/A</v>
      </c>
    </row>
    <row r="4666" spans="1:5">
      <c r="A4666" s="64"/>
      <c r="E4666" t="e">
        <f t="shared" si="76"/>
        <v>#N/A</v>
      </c>
    </row>
    <row r="4667" spans="1:5">
      <c r="A4667" s="64"/>
      <c r="E4667" t="e">
        <f t="shared" si="76"/>
        <v>#N/A</v>
      </c>
    </row>
    <row r="4668" spans="1:5">
      <c r="A4668" s="64"/>
      <c r="E4668" t="e">
        <f t="shared" si="76"/>
        <v>#N/A</v>
      </c>
    </row>
    <row r="4669" spans="1:5">
      <c r="A4669" s="64"/>
      <c r="E4669" t="e">
        <f t="shared" si="76"/>
        <v>#N/A</v>
      </c>
    </row>
    <row r="4670" spans="1:5">
      <c r="A4670" s="64"/>
      <c r="E4670" t="e">
        <f t="shared" si="76"/>
        <v>#N/A</v>
      </c>
    </row>
    <row r="4671" spans="1:5">
      <c r="A4671" s="64"/>
      <c r="E4671" t="e">
        <f t="shared" si="76"/>
        <v>#N/A</v>
      </c>
    </row>
    <row r="4672" spans="1:5">
      <c r="A4672" s="64"/>
      <c r="E4672" t="e">
        <f t="shared" si="76"/>
        <v>#N/A</v>
      </c>
    </row>
    <row r="4673" spans="1:5">
      <c r="A4673" s="64"/>
      <c r="E4673" t="e">
        <f t="shared" si="76"/>
        <v>#N/A</v>
      </c>
    </row>
    <row r="4674" spans="1:5">
      <c r="A4674" s="64"/>
      <c r="E4674" t="e">
        <f t="shared" si="76"/>
        <v>#N/A</v>
      </c>
    </row>
    <row r="4675" spans="1:5">
      <c r="A4675" s="64"/>
      <c r="E4675" t="e">
        <f t="shared" si="76"/>
        <v>#N/A</v>
      </c>
    </row>
    <row r="4676" spans="1:5">
      <c r="A4676" s="64"/>
      <c r="E4676" t="e">
        <f t="shared" si="76"/>
        <v>#N/A</v>
      </c>
    </row>
    <row r="4677" spans="1:5">
      <c r="A4677" s="64"/>
      <c r="E4677" t="e">
        <f t="shared" si="76"/>
        <v>#N/A</v>
      </c>
    </row>
    <row r="4678" spans="1:5">
      <c r="A4678" s="64"/>
      <c r="E4678" t="e">
        <f t="shared" si="76"/>
        <v>#N/A</v>
      </c>
    </row>
    <row r="4679" spans="1:5">
      <c r="A4679" s="64"/>
      <c r="E4679" t="e">
        <f t="shared" si="76"/>
        <v>#N/A</v>
      </c>
    </row>
    <row r="4680" spans="1:5">
      <c r="A4680" s="64"/>
      <c r="E4680" t="e">
        <f t="shared" si="76"/>
        <v>#N/A</v>
      </c>
    </row>
    <row r="4681" spans="1:5">
      <c r="A4681" s="64"/>
      <c r="E4681" t="e">
        <f t="shared" si="76"/>
        <v>#N/A</v>
      </c>
    </row>
    <row r="4682" spans="1:5">
      <c r="A4682" s="64"/>
      <c r="E4682" t="e">
        <f t="shared" si="76"/>
        <v>#N/A</v>
      </c>
    </row>
    <row r="4683" spans="1:5">
      <c r="A4683" s="64"/>
      <c r="E4683" t="e">
        <f t="shared" si="76"/>
        <v>#N/A</v>
      </c>
    </row>
    <row r="4684" spans="1:5">
      <c r="A4684" s="64"/>
      <c r="E4684" t="e">
        <f t="shared" si="76"/>
        <v>#N/A</v>
      </c>
    </row>
    <row r="4685" spans="1:5">
      <c r="A4685" s="64"/>
      <c r="E4685" t="e">
        <f t="shared" ref="E4685:E4748" si="77">VLOOKUP(B4685,$Q$14:$R$62,2,FALSE)</f>
        <v>#N/A</v>
      </c>
    </row>
    <row r="4686" spans="1:5">
      <c r="A4686" s="64"/>
      <c r="E4686" t="e">
        <f t="shared" si="77"/>
        <v>#N/A</v>
      </c>
    </row>
    <row r="4687" spans="1:5">
      <c r="A4687" s="64"/>
      <c r="E4687" t="e">
        <f t="shared" si="77"/>
        <v>#N/A</v>
      </c>
    </row>
    <row r="4688" spans="1:5">
      <c r="A4688" s="64"/>
      <c r="E4688" t="e">
        <f t="shared" si="77"/>
        <v>#N/A</v>
      </c>
    </row>
    <row r="4689" spans="1:5">
      <c r="A4689" s="64"/>
      <c r="E4689" t="e">
        <f t="shared" si="77"/>
        <v>#N/A</v>
      </c>
    </row>
    <row r="4690" spans="1:5">
      <c r="A4690" s="64"/>
      <c r="E4690" t="e">
        <f t="shared" si="77"/>
        <v>#N/A</v>
      </c>
    </row>
    <row r="4691" spans="1:5">
      <c r="A4691" s="64"/>
      <c r="E4691" t="e">
        <f t="shared" si="77"/>
        <v>#N/A</v>
      </c>
    </row>
    <row r="4692" spans="1:5">
      <c r="A4692" s="64"/>
      <c r="E4692" t="e">
        <f t="shared" si="77"/>
        <v>#N/A</v>
      </c>
    </row>
    <row r="4693" spans="1:5">
      <c r="A4693" s="64"/>
      <c r="E4693" t="e">
        <f t="shared" si="77"/>
        <v>#N/A</v>
      </c>
    </row>
    <row r="4694" spans="1:5">
      <c r="A4694" s="64"/>
      <c r="E4694" t="e">
        <f t="shared" si="77"/>
        <v>#N/A</v>
      </c>
    </row>
    <row r="4695" spans="1:5">
      <c r="A4695" s="64"/>
      <c r="E4695" t="e">
        <f t="shared" si="77"/>
        <v>#N/A</v>
      </c>
    </row>
    <row r="4696" spans="1:5">
      <c r="A4696" s="64"/>
      <c r="E4696" t="e">
        <f t="shared" si="77"/>
        <v>#N/A</v>
      </c>
    </row>
    <row r="4697" spans="1:5">
      <c r="A4697" s="64"/>
      <c r="E4697" t="e">
        <f t="shared" si="77"/>
        <v>#N/A</v>
      </c>
    </row>
    <row r="4698" spans="1:5">
      <c r="A4698" s="64"/>
      <c r="E4698" t="e">
        <f t="shared" si="77"/>
        <v>#N/A</v>
      </c>
    </row>
    <row r="4699" spans="1:5">
      <c r="A4699" s="64"/>
      <c r="E4699" t="e">
        <f t="shared" si="77"/>
        <v>#N/A</v>
      </c>
    </row>
    <row r="4700" spans="1:5">
      <c r="A4700" s="64"/>
      <c r="E4700" t="e">
        <f t="shared" si="77"/>
        <v>#N/A</v>
      </c>
    </row>
    <row r="4701" spans="1:5">
      <c r="A4701" s="64"/>
      <c r="E4701" t="e">
        <f t="shared" si="77"/>
        <v>#N/A</v>
      </c>
    </row>
    <row r="4702" spans="1:5">
      <c r="A4702" s="64"/>
      <c r="E4702" t="e">
        <f t="shared" si="77"/>
        <v>#N/A</v>
      </c>
    </row>
    <row r="4703" spans="1:5">
      <c r="A4703" s="64"/>
      <c r="E4703" t="e">
        <f t="shared" si="77"/>
        <v>#N/A</v>
      </c>
    </row>
    <row r="4704" spans="1:5">
      <c r="A4704" s="64"/>
      <c r="E4704" t="e">
        <f t="shared" si="77"/>
        <v>#N/A</v>
      </c>
    </row>
    <row r="4705" spans="1:5">
      <c r="A4705" s="64"/>
      <c r="E4705" t="e">
        <f t="shared" si="77"/>
        <v>#N/A</v>
      </c>
    </row>
    <row r="4706" spans="1:5">
      <c r="A4706" s="64"/>
      <c r="E4706" t="e">
        <f t="shared" si="77"/>
        <v>#N/A</v>
      </c>
    </row>
    <row r="4707" spans="1:5">
      <c r="A4707" s="64"/>
      <c r="E4707" t="e">
        <f t="shared" si="77"/>
        <v>#N/A</v>
      </c>
    </row>
    <row r="4708" spans="1:5">
      <c r="A4708" s="64"/>
      <c r="E4708" t="e">
        <f t="shared" si="77"/>
        <v>#N/A</v>
      </c>
    </row>
    <row r="4709" spans="1:5">
      <c r="A4709" s="64"/>
      <c r="E4709" t="e">
        <f t="shared" si="77"/>
        <v>#N/A</v>
      </c>
    </row>
    <row r="4710" spans="1:5">
      <c r="A4710" s="64"/>
      <c r="E4710" t="e">
        <f t="shared" si="77"/>
        <v>#N/A</v>
      </c>
    </row>
    <row r="4711" spans="1:5">
      <c r="A4711" s="64"/>
      <c r="E4711" t="e">
        <f t="shared" si="77"/>
        <v>#N/A</v>
      </c>
    </row>
    <row r="4712" spans="1:5">
      <c r="A4712" s="64"/>
      <c r="E4712" t="e">
        <f t="shared" si="77"/>
        <v>#N/A</v>
      </c>
    </row>
    <row r="4713" spans="1:5">
      <c r="A4713" s="64"/>
      <c r="E4713" t="e">
        <f t="shared" si="77"/>
        <v>#N/A</v>
      </c>
    </row>
    <row r="4714" spans="1:5">
      <c r="A4714" s="64"/>
      <c r="E4714" t="e">
        <f t="shared" si="77"/>
        <v>#N/A</v>
      </c>
    </row>
    <row r="4715" spans="1:5">
      <c r="A4715" s="64"/>
      <c r="E4715" t="e">
        <f t="shared" si="77"/>
        <v>#N/A</v>
      </c>
    </row>
    <row r="4716" spans="1:5">
      <c r="A4716" s="64"/>
      <c r="E4716" t="e">
        <f t="shared" si="77"/>
        <v>#N/A</v>
      </c>
    </row>
    <row r="4717" spans="1:5">
      <c r="A4717" s="64"/>
      <c r="E4717" t="e">
        <f t="shared" si="77"/>
        <v>#N/A</v>
      </c>
    </row>
    <row r="4718" spans="1:5">
      <c r="A4718" s="64"/>
      <c r="E4718" t="e">
        <f t="shared" si="77"/>
        <v>#N/A</v>
      </c>
    </row>
    <row r="4719" spans="1:5">
      <c r="A4719" s="64"/>
      <c r="E4719" t="e">
        <f t="shared" si="77"/>
        <v>#N/A</v>
      </c>
    </row>
    <row r="4720" spans="1:5">
      <c r="A4720" s="64"/>
      <c r="E4720" t="e">
        <f t="shared" si="77"/>
        <v>#N/A</v>
      </c>
    </row>
    <row r="4721" spans="1:5">
      <c r="A4721" s="64"/>
      <c r="E4721" t="e">
        <f t="shared" si="77"/>
        <v>#N/A</v>
      </c>
    </row>
    <row r="4722" spans="1:5">
      <c r="A4722" s="64"/>
      <c r="E4722" t="e">
        <f t="shared" si="77"/>
        <v>#N/A</v>
      </c>
    </row>
    <row r="4723" spans="1:5">
      <c r="A4723" s="64"/>
      <c r="E4723" t="e">
        <f t="shared" si="77"/>
        <v>#N/A</v>
      </c>
    </row>
    <row r="4724" spans="1:5">
      <c r="A4724" s="64"/>
      <c r="E4724" t="e">
        <f t="shared" si="77"/>
        <v>#N/A</v>
      </c>
    </row>
    <row r="4725" spans="1:5">
      <c r="A4725" s="64"/>
      <c r="E4725" t="e">
        <f t="shared" si="77"/>
        <v>#N/A</v>
      </c>
    </row>
    <row r="4726" spans="1:5">
      <c r="A4726" s="64"/>
      <c r="E4726" t="e">
        <f t="shared" si="77"/>
        <v>#N/A</v>
      </c>
    </row>
    <row r="4727" spans="1:5">
      <c r="A4727" s="64"/>
      <c r="E4727" t="e">
        <f t="shared" si="77"/>
        <v>#N/A</v>
      </c>
    </row>
    <row r="4728" spans="1:5">
      <c r="A4728" s="64"/>
      <c r="E4728" t="e">
        <f t="shared" si="77"/>
        <v>#N/A</v>
      </c>
    </row>
    <row r="4729" spans="1:5">
      <c r="A4729" s="64"/>
      <c r="E4729" t="e">
        <f t="shared" si="77"/>
        <v>#N/A</v>
      </c>
    </row>
    <row r="4730" spans="1:5">
      <c r="A4730" s="64"/>
      <c r="E4730" t="e">
        <f t="shared" si="77"/>
        <v>#N/A</v>
      </c>
    </row>
    <row r="4731" spans="1:5">
      <c r="A4731" s="64"/>
      <c r="E4731" t="e">
        <f t="shared" si="77"/>
        <v>#N/A</v>
      </c>
    </row>
    <row r="4732" spans="1:5">
      <c r="A4732" s="64"/>
      <c r="E4732" t="e">
        <f t="shared" si="77"/>
        <v>#N/A</v>
      </c>
    </row>
    <row r="4733" spans="1:5">
      <c r="A4733" s="64"/>
      <c r="E4733" t="e">
        <f t="shared" si="77"/>
        <v>#N/A</v>
      </c>
    </row>
    <row r="4734" spans="1:5">
      <c r="A4734" s="64"/>
      <c r="E4734" t="e">
        <f t="shared" si="77"/>
        <v>#N/A</v>
      </c>
    </row>
    <row r="4735" spans="1:5">
      <c r="A4735" s="64"/>
      <c r="E4735" t="e">
        <f t="shared" si="77"/>
        <v>#N/A</v>
      </c>
    </row>
    <row r="4736" spans="1:5">
      <c r="A4736" s="64"/>
      <c r="E4736" t="e">
        <f t="shared" si="77"/>
        <v>#N/A</v>
      </c>
    </row>
    <row r="4737" spans="1:5">
      <c r="A4737" s="64"/>
      <c r="E4737" t="e">
        <f t="shared" si="77"/>
        <v>#N/A</v>
      </c>
    </row>
    <row r="4738" spans="1:5">
      <c r="A4738" s="64"/>
      <c r="E4738" t="e">
        <f t="shared" si="77"/>
        <v>#N/A</v>
      </c>
    </row>
    <row r="4739" spans="1:5">
      <c r="A4739" s="64"/>
      <c r="E4739" t="e">
        <f t="shared" si="77"/>
        <v>#N/A</v>
      </c>
    </row>
    <row r="4740" spans="1:5">
      <c r="A4740" s="64"/>
      <c r="E4740" t="e">
        <f t="shared" si="77"/>
        <v>#N/A</v>
      </c>
    </row>
    <row r="4741" spans="1:5">
      <c r="A4741" s="64"/>
      <c r="E4741" t="e">
        <f t="shared" si="77"/>
        <v>#N/A</v>
      </c>
    </row>
    <row r="4742" spans="1:5">
      <c r="A4742" s="64"/>
      <c r="E4742" t="e">
        <f t="shared" si="77"/>
        <v>#N/A</v>
      </c>
    </row>
    <row r="4743" spans="1:5">
      <c r="A4743" s="64"/>
      <c r="E4743" t="e">
        <f t="shared" si="77"/>
        <v>#N/A</v>
      </c>
    </row>
    <row r="4744" spans="1:5">
      <c r="A4744" s="64"/>
      <c r="E4744" t="e">
        <f t="shared" si="77"/>
        <v>#N/A</v>
      </c>
    </row>
    <row r="4745" spans="1:5">
      <c r="A4745" s="64"/>
      <c r="E4745" t="e">
        <f t="shared" si="77"/>
        <v>#N/A</v>
      </c>
    </row>
    <row r="4746" spans="1:5">
      <c r="A4746" s="64"/>
      <c r="E4746" t="e">
        <f t="shared" si="77"/>
        <v>#N/A</v>
      </c>
    </row>
    <row r="4747" spans="1:5">
      <c r="A4747" s="64"/>
      <c r="E4747" t="e">
        <f t="shared" si="77"/>
        <v>#N/A</v>
      </c>
    </row>
    <row r="4748" spans="1:5">
      <c r="A4748" s="64"/>
      <c r="E4748" t="e">
        <f t="shared" si="77"/>
        <v>#N/A</v>
      </c>
    </row>
    <row r="4749" spans="1:5">
      <c r="A4749" s="64"/>
      <c r="E4749" t="e">
        <f t="shared" ref="E4749:E4812" si="78">VLOOKUP(B4749,$Q$14:$R$62,2,FALSE)</f>
        <v>#N/A</v>
      </c>
    </row>
    <row r="4750" spans="1:5">
      <c r="A4750" s="64"/>
      <c r="E4750" t="e">
        <f t="shared" si="78"/>
        <v>#N/A</v>
      </c>
    </row>
    <row r="4751" spans="1:5">
      <c r="A4751" s="64"/>
      <c r="E4751" t="e">
        <f t="shared" si="78"/>
        <v>#N/A</v>
      </c>
    </row>
    <row r="4752" spans="1:5">
      <c r="A4752" s="64"/>
      <c r="E4752" t="e">
        <f t="shared" si="78"/>
        <v>#N/A</v>
      </c>
    </row>
    <row r="4753" spans="1:5">
      <c r="A4753" s="64"/>
      <c r="E4753" t="e">
        <f t="shared" si="78"/>
        <v>#N/A</v>
      </c>
    </row>
    <row r="4754" spans="1:5">
      <c r="A4754" s="64"/>
      <c r="E4754" t="e">
        <f t="shared" si="78"/>
        <v>#N/A</v>
      </c>
    </row>
    <row r="4755" spans="1:5">
      <c r="A4755" s="64"/>
      <c r="E4755" t="e">
        <f t="shared" si="78"/>
        <v>#N/A</v>
      </c>
    </row>
    <row r="4756" spans="1:5">
      <c r="A4756" s="64"/>
      <c r="E4756" t="e">
        <f t="shared" si="78"/>
        <v>#N/A</v>
      </c>
    </row>
    <row r="4757" spans="1:5">
      <c r="A4757" s="64"/>
      <c r="E4757" t="e">
        <f t="shared" si="78"/>
        <v>#N/A</v>
      </c>
    </row>
    <row r="4758" spans="1:5">
      <c r="A4758" s="64"/>
      <c r="E4758" t="e">
        <f t="shared" si="78"/>
        <v>#N/A</v>
      </c>
    </row>
    <row r="4759" spans="1:5">
      <c r="A4759" s="64"/>
      <c r="E4759" t="e">
        <f t="shared" si="78"/>
        <v>#N/A</v>
      </c>
    </row>
    <row r="4760" spans="1:5">
      <c r="A4760" s="64"/>
      <c r="E4760" t="e">
        <f t="shared" si="78"/>
        <v>#N/A</v>
      </c>
    </row>
    <row r="4761" spans="1:5">
      <c r="A4761" s="64"/>
      <c r="E4761" t="e">
        <f t="shared" si="78"/>
        <v>#N/A</v>
      </c>
    </row>
    <row r="4762" spans="1:5">
      <c r="A4762" s="64"/>
      <c r="E4762" t="e">
        <f t="shared" si="78"/>
        <v>#N/A</v>
      </c>
    </row>
    <row r="4763" spans="1:5">
      <c r="A4763" s="64"/>
      <c r="E4763" t="e">
        <f t="shared" si="78"/>
        <v>#N/A</v>
      </c>
    </row>
    <row r="4764" spans="1:5">
      <c r="A4764" s="64"/>
      <c r="E4764" t="e">
        <f t="shared" si="78"/>
        <v>#N/A</v>
      </c>
    </row>
    <row r="4765" spans="1:5">
      <c r="A4765" s="64"/>
      <c r="E4765" t="e">
        <f t="shared" si="78"/>
        <v>#N/A</v>
      </c>
    </row>
    <row r="4766" spans="1:5">
      <c r="A4766" s="64"/>
      <c r="E4766" t="e">
        <f t="shared" si="78"/>
        <v>#N/A</v>
      </c>
    </row>
    <row r="4767" spans="1:5">
      <c r="A4767" s="64"/>
      <c r="E4767" t="e">
        <f t="shared" si="78"/>
        <v>#N/A</v>
      </c>
    </row>
    <row r="4768" spans="1:5">
      <c r="A4768" s="64"/>
      <c r="E4768" t="e">
        <f t="shared" si="78"/>
        <v>#N/A</v>
      </c>
    </row>
    <row r="4769" spans="1:5">
      <c r="A4769" s="64"/>
      <c r="E4769" t="e">
        <f t="shared" si="78"/>
        <v>#N/A</v>
      </c>
    </row>
    <row r="4770" spans="1:5">
      <c r="A4770" s="64"/>
      <c r="E4770" t="e">
        <f t="shared" si="78"/>
        <v>#N/A</v>
      </c>
    </row>
    <row r="4771" spans="1:5">
      <c r="A4771" s="64"/>
      <c r="E4771" t="e">
        <f t="shared" si="78"/>
        <v>#N/A</v>
      </c>
    </row>
    <row r="4772" spans="1:5">
      <c r="A4772" s="64"/>
      <c r="E4772" t="e">
        <f t="shared" si="78"/>
        <v>#N/A</v>
      </c>
    </row>
    <row r="4773" spans="1:5">
      <c r="A4773" s="64"/>
      <c r="E4773" t="e">
        <f t="shared" si="78"/>
        <v>#N/A</v>
      </c>
    </row>
    <row r="4774" spans="1:5">
      <c r="A4774" s="64"/>
      <c r="E4774" t="e">
        <f t="shared" si="78"/>
        <v>#N/A</v>
      </c>
    </row>
    <row r="4775" spans="1:5">
      <c r="A4775" s="64"/>
      <c r="E4775" t="e">
        <f t="shared" si="78"/>
        <v>#N/A</v>
      </c>
    </row>
    <row r="4776" spans="1:5">
      <c r="A4776" s="64"/>
      <c r="E4776" t="e">
        <f t="shared" si="78"/>
        <v>#N/A</v>
      </c>
    </row>
    <row r="4777" spans="1:5">
      <c r="A4777" s="64"/>
      <c r="E4777" t="e">
        <f t="shared" si="78"/>
        <v>#N/A</v>
      </c>
    </row>
    <row r="4778" spans="1:5">
      <c r="A4778" s="64"/>
      <c r="E4778" t="e">
        <f t="shared" si="78"/>
        <v>#N/A</v>
      </c>
    </row>
    <row r="4779" spans="1:5">
      <c r="A4779" s="64"/>
      <c r="E4779" t="e">
        <f t="shared" si="78"/>
        <v>#N/A</v>
      </c>
    </row>
    <row r="4780" spans="1:5">
      <c r="A4780" s="64"/>
      <c r="E4780" t="e">
        <f t="shared" si="78"/>
        <v>#N/A</v>
      </c>
    </row>
    <row r="4781" spans="1:5">
      <c r="A4781" s="64"/>
      <c r="E4781" t="e">
        <f t="shared" si="78"/>
        <v>#N/A</v>
      </c>
    </row>
    <row r="4782" spans="1:5">
      <c r="A4782" s="64"/>
      <c r="E4782" t="e">
        <f t="shared" si="78"/>
        <v>#N/A</v>
      </c>
    </row>
    <row r="4783" spans="1:5">
      <c r="A4783" s="64"/>
      <c r="E4783" t="e">
        <f t="shared" si="78"/>
        <v>#N/A</v>
      </c>
    </row>
    <row r="4784" spans="1:5">
      <c r="A4784" s="64"/>
      <c r="E4784" t="e">
        <f t="shared" si="78"/>
        <v>#N/A</v>
      </c>
    </row>
    <row r="4785" spans="1:5">
      <c r="A4785" s="64"/>
      <c r="E4785" t="e">
        <f t="shared" si="78"/>
        <v>#N/A</v>
      </c>
    </row>
    <row r="4786" spans="1:5">
      <c r="A4786" s="64"/>
      <c r="E4786" t="e">
        <f t="shared" si="78"/>
        <v>#N/A</v>
      </c>
    </row>
    <row r="4787" spans="1:5">
      <c r="A4787" s="64"/>
      <c r="E4787" t="e">
        <f t="shared" si="78"/>
        <v>#N/A</v>
      </c>
    </row>
    <row r="4788" spans="1:5">
      <c r="A4788" s="64"/>
      <c r="E4788" t="e">
        <f t="shared" si="78"/>
        <v>#N/A</v>
      </c>
    </row>
    <row r="4789" spans="1:5">
      <c r="A4789" s="64"/>
      <c r="E4789" t="e">
        <f t="shared" si="78"/>
        <v>#N/A</v>
      </c>
    </row>
    <row r="4790" spans="1:5">
      <c r="A4790" s="64"/>
      <c r="E4790" t="e">
        <f t="shared" si="78"/>
        <v>#N/A</v>
      </c>
    </row>
    <row r="4791" spans="1:5">
      <c r="A4791" s="64"/>
      <c r="E4791" t="e">
        <f t="shared" si="78"/>
        <v>#N/A</v>
      </c>
    </row>
    <row r="4792" spans="1:5">
      <c r="A4792" s="64"/>
      <c r="E4792" t="e">
        <f t="shared" si="78"/>
        <v>#N/A</v>
      </c>
    </row>
    <row r="4793" spans="1:5">
      <c r="A4793" s="64"/>
      <c r="E4793" t="e">
        <f t="shared" si="78"/>
        <v>#N/A</v>
      </c>
    </row>
    <row r="4794" spans="1:5">
      <c r="A4794" s="64"/>
      <c r="E4794" t="e">
        <f t="shared" si="78"/>
        <v>#N/A</v>
      </c>
    </row>
    <row r="4795" spans="1:5">
      <c r="A4795" s="64"/>
      <c r="E4795" t="e">
        <f t="shared" si="78"/>
        <v>#N/A</v>
      </c>
    </row>
    <row r="4796" spans="1:5">
      <c r="A4796" s="64"/>
      <c r="E4796" t="e">
        <f t="shared" si="78"/>
        <v>#N/A</v>
      </c>
    </row>
    <row r="4797" spans="1:5">
      <c r="A4797" s="64"/>
      <c r="E4797" t="e">
        <f t="shared" si="78"/>
        <v>#N/A</v>
      </c>
    </row>
    <row r="4798" spans="1:5">
      <c r="A4798" s="64"/>
      <c r="E4798" t="e">
        <f t="shared" si="78"/>
        <v>#N/A</v>
      </c>
    </row>
    <row r="4799" spans="1:5">
      <c r="A4799" s="64"/>
      <c r="E4799" t="e">
        <f t="shared" si="78"/>
        <v>#N/A</v>
      </c>
    </row>
    <row r="4800" spans="1:5">
      <c r="A4800" s="64"/>
      <c r="E4800" t="e">
        <f t="shared" si="78"/>
        <v>#N/A</v>
      </c>
    </row>
    <row r="4801" spans="1:5">
      <c r="A4801" s="64"/>
      <c r="E4801" t="e">
        <f t="shared" si="78"/>
        <v>#N/A</v>
      </c>
    </row>
    <row r="4802" spans="1:5">
      <c r="A4802" s="64"/>
      <c r="E4802" t="e">
        <f t="shared" si="78"/>
        <v>#N/A</v>
      </c>
    </row>
    <row r="4803" spans="1:5">
      <c r="A4803" s="64"/>
      <c r="E4803" t="e">
        <f t="shared" si="78"/>
        <v>#N/A</v>
      </c>
    </row>
    <row r="4804" spans="1:5">
      <c r="A4804" s="64"/>
      <c r="E4804" t="e">
        <f t="shared" si="78"/>
        <v>#N/A</v>
      </c>
    </row>
    <row r="4805" spans="1:5">
      <c r="A4805" s="64"/>
      <c r="E4805" t="e">
        <f t="shared" si="78"/>
        <v>#N/A</v>
      </c>
    </row>
    <row r="4806" spans="1:5">
      <c r="A4806" s="64"/>
      <c r="E4806" t="e">
        <f t="shared" si="78"/>
        <v>#N/A</v>
      </c>
    </row>
    <row r="4807" spans="1:5">
      <c r="A4807" s="64"/>
      <c r="E4807" t="e">
        <f t="shared" si="78"/>
        <v>#N/A</v>
      </c>
    </row>
    <row r="4808" spans="1:5">
      <c r="A4808" s="64"/>
      <c r="E4808" t="e">
        <f t="shared" si="78"/>
        <v>#N/A</v>
      </c>
    </row>
    <row r="4809" spans="1:5">
      <c r="A4809" s="64"/>
      <c r="E4809" t="e">
        <f t="shared" si="78"/>
        <v>#N/A</v>
      </c>
    </row>
    <row r="4810" spans="1:5">
      <c r="A4810" s="64"/>
      <c r="E4810" t="e">
        <f t="shared" si="78"/>
        <v>#N/A</v>
      </c>
    </row>
    <row r="4811" spans="1:5">
      <c r="A4811" s="64"/>
      <c r="E4811" t="e">
        <f t="shared" si="78"/>
        <v>#N/A</v>
      </c>
    </row>
    <row r="4812" spans="1:5">
      <c r="A4812" s="64"/>
      <c r="E4812" t="e">
        <f t="shared" si="78"/>
        <v>#N/A</v>
      </c>
    </row>
    <row r="4813" spans="1:5">
      <c r="A4813" s="64"/>
      <c r="E4813" t="e">
        <f t="shared" ref="E4813:E4876" si="79">VLOOKUP(B4813,$Q$14:$R$62,2,FALSE)</f>
        <v>#N/A</v>
      </c>
    </row>
    <row r="4814" spans="1:5">
      <c r="A4814" s="64"/>
      <c r="E4814" t="e">
        <f t="shared" si="79"/>
        <v>#N/A</v>
      </c>
    </row>
    <row r="4815" spans="1:5">
      <c r="A4815" s="64"/>
      <c r="E4815" t="e">
        <f t="shared" si="79"/>
        <v>#N/A</v>
      </c>
    </row>
    <row r="4816" spans="1:5">
      <c r="A4816" s="64"/>
      <c r="E4816" t="e">
        <f t="shared" si="79"/>
        <v>#N/A</v>
      </c>
    </row>
    <row r="4817" spans="1:5">
      <c r="A4817" s="64"/>
      <c r="E4817" t="e">
        <f t="shared" si="79"/>
        <v>#N/A</v>
      </c>
    </row>
    <row r="4818" spans="1:5">
      <c r="A4818" s="64"/>
      <c r="E4818" t="e">
        <f t="shared" si="79"/>
        <v>#N/A</v>
      </c>
    </row>
    <row r="4819" spans="1:5">
      <c r="A4819" s="64"/>
      <c r="E4819" t="e">
        <f t="shared" si="79"/>
        <v>#N/A</v>
      </c>
    </row>
    <row r="4820" spans="1:5">
      <c r="A4820" s="64"/>
      <c r="E4820" t="e">
        <f t="shared" si="79"/>
        <v>#N/A</v>
      </c>
    </row>
    <row r="4821" spans="1:5">
      <c r="A4821" s="64"/>
      <c r="E4821" t="e">
        <f t="shared" si="79"/>
        <v>#N/A</v>
      </c>
    </row>
    <row r="4822" spans="1:5">
      <c r="A4822" s="64"/>
      <c r="E4822" t="e">
        <f t="shared" si="79"/>
        <v>#N/A</v>
      </c>
    </row>
    <row r="4823" spans="1:5">
      <c r="A4823" s="64"/>
      <c r="E4823" t="e">
        <f t="shared" si="79"/>
        <v>#N/A</v>
      </c>
    </row>
    <row r="4824" spans="1:5">
      <c r="A4824" s="64"/>
      <c r="E4824" t="e">
        <f t="shared" si="79"/>
        <v>#N/A</v>
      </c>
    </row>
    <row r="4825" spans="1:5">
      <c r="A4825" s="64"/>
      <c r="E4825" t="e">
        <f t="shared" si="79"/>
        <v>#N/A</v>
      </c>
    </row>
    <row r="4826" spans="1:5">
      <c r="A4826" s="64"/>
      <c r="E4826" t="e">
        <f t="shared" si="79"/>
        <v>#N/A</v>
      </c>
    </row>
    <row r="4827" spans="1:5">
      <c r="A4827" s="64"/>
      <c r="E4827" t="e">
        <f t="shared" si="79"/>
        <v>#N/A</v>
      </c>
    </row>
    <row r="4828" spans="1:5">
      <c r="A4828" s="64"/>
      <c r="E4828" t="e">
        <f t="shared" si="79"/>
        <v>#N/A</v>
      </c>
    </row>
    <row r="4829" spans="1:5">
      <c r="A4829" s="64"/>
      <c r="E4829" t="e">
        <f t="shared" si="79"/>
        <v>#N/A</v>
      </c>
    </row>
    <row r="4830" spans="1:5">
      <c r="A4830" s="64"/>
      <c r="E4830" t="e">
        <f t="shared" si="79"/>
        <v>#N/A</v>
      </c>
    </row>
    <row r="4831" spans="1:5">
      <c r="A4831" s="64"/>
      <c r="E4831" t="e">
        <f t="shared" si="79"/>
        <v>#N/A</v>
      </c>
    </row>
    <row r="4832" spans="1:5">
      <c r="A4832" s="64"/>
      <c r="E4832" t="e">
        <f t="shared" si="79"/>
        <v>#N/A</v>
      </c>
    </row>
    <row r="4833" spans="1:5">
      <c r="A4833" s="64"/>
      <c r="E4833" t="e">
        <f t="shared" si="79"/>
        <v>#N/A</v>
      </c>
    </row>
    <row r="4834" spans="1:5">
      <c r="A4834" s="64"/>
      <c r="E4834" t="e">
        <f t="shared" si="79"/>
        <v>#N/A</v>
      </c>
    </row>
    <row r="4835" spans="1:5">
      <c r="A4835" s="64"/>
      <c r="E4835" t="e">
        <f t="shared" si="79"/>
        <v>#N/A</v>
      </c>
    </row>
    <row r="4836" spans="1:5">
      <c r="A4836" s="64"/>
      <c r="E4836" t="e">
        <f t="shared" si="79"/>
        <v>#N/A</v>
      </c>
    </row>
    <row r="4837" spans="1:5">
      <c r="A4837" s="64"/>
      <c r="E4837" t="e">
        <f t="shared" si="79"/>
        <v>#N/A</v>
      </c>
    </row>
    <row r="4838" spans="1:5">
      <c r="A4838" s="64"/>
      <c r="E4838" t="e">
        <f t="shared" si="79"/>
        <v>#N/A</v>
      </c>
    </row>
    <row r="4839" spans="1:5">
      <c r="A4839" s="64"/>
      <c r="E4839" t="e">
        <f t="shared" si="79"/>
        <v>#N/A</v>
      </c>
    </row>
    <row r="4840" spans="1:5">
      <c r="A4840" s="64"/>
      <c r="E4840" t="e">
        <f t="shared" si="79"/>
        <v>#N/A</v>
      </c>
    </row>
    <row r="4841" spans="1:5">
      <c r="A4841" s="64"/>
      <c r="E4841" t="e">
        <f t="shared" si="79"/>
        <v>#N/A</v>
      </c>
    </row>
    <row r="4842" spans="1:5">
      <c r="A4842" s="64"/>
      <c r="E4842" t="e">
        <f t="shared" si="79"/>
        <v>#N/A</v>
      </c>
    </row>
    <row r="4843" spans="1:5">
      <c r="A4843" s="64"/>
      <c r="E4843" t="e">
        <f t="shared" si="79"/>
        <v>#N/A</v>
      </c>
    </row>
    <row r="4844" spans="1:5">
      <c r="A4844" s="64"/>
      <c r="E4844" t="e">
        <f t="shared" si="79"/>
        <v>#N/A</v>
      </c>
    </row>
    <row r="4845" spans="1:5">
      <c r="A4845" s="64"/>
      <c r="E4845" t="e">
        <f t="shared" si="79"/>
        <v>#N/A</v>
      </c>
    </row>
    <row r="4846" spans="1:5">
      <c r="A4846" s="64"/>
      <c r="E4846" t="e">
        <f t="shared" si="79"/>
        <v>#N/A</v>
      </c>
    </row>
    <row r="4847" spans="1:5">
      <c r="A4847" s="64"/>
      <c r="E4847" t="e">
        <f t="shared" si="79"/>
        <v>#N/A</v>
      </c>
    </row>
    <row r="4848" spans="1:5">
      <c r="A4848" s="64"/>
      <c r="E4848" t="e">
        <f t="shared" si="79"/>
        <v>#N/A</v>
      </c>
    </row>
    <row r="4849" spans="1:5">
      <c r="A4849" s="64"/>
      <c r="E4849" t="e">
        <f t="shared" si="79"/>
        <v>#N/A</v>
      </c>
    </row>
    <row r="4850" spans="1:5">
      <c r="A4850" s="64"/>
      <c r="E4850" t="e">
        <f t="shared" si="79"/>
        <v>#N/A</v>
      </c>
    </row>
    <row r="4851" spans="1:5">
      <c r="A4851" s="64"/>
      <c r="E4851" t="e">
        <f t="shared" si="79"/>
        <v>#N/A</v>
      </c>
    </row>
    <row r="4852" spans="1:5">
      <c r="A4852" s="64"/>
      <c r="E4852" t="e">
        <f t="shared" si="79"/>
        <v>#N/A</v>
      </c>
    </row>
    <row r="4853" spans="1:5">
      <c r="A4853" s="64"/>
      <c r="E4853" t="e">
        <f t="shared" si="79"/>
        <v>#N/A</v>
      </c>
    </row>
    <row r="4854" spans="1:5">
      <c r="A4854" s="64"/>
      <c r="E4854" t="e">
        <f t="shared" si="79"/>
        <v>#N/A</v>
      </c>
    </row>
    <row r="4855" spans="1:5">
      <c r="A4855" s="64"/>
      <c r="E4855" t="e">
        <f t="shared" si="79"/>
        <v>#N/A</v>
      </c>
    </row>
    <row r="4856" spans="1:5">
      <c r="A4856" s="64"/>
      <c r="E4856" t="e">
        <f t="shared" si="79"/>
        <v>#N/A</v>
      </c>
    </row>
    <row r="4857" spans="1:5">
      <c r="A4857" s="64"/>
      <c r="E4857" t="e">
        <f t="shared" si="79"/>
        <v>#N/A</v>
      </c>
    </row>
    <row r="4858" spans="1:5">
      <c r="A4858" s="64"/>
      <c r="E4858" t="e">
        <f t="shared" si="79"/>
        <v>#N/A</v>
      </c>
    </row>
    <row r="4859" spans="1:5">
      <c r="A4859" s="64"/>
      <c r="E4859" t="e">
        <f t="shared" si="79"/>
        <v>#N/A</v>
      </c>
    </row>
    <row r="4860" spans="1:5">
      <c r="A4860" s="64"/>
      <c r="E4860" t="e">
        <f t="shared" si="79"/>
        <v>#N/A</v>
      </c>
    </row>
    <row r="4861" spans="1:5">
      <c r="A4861" s="64"/>
      <c r="E4861" t="e">
        <f t="shared" si="79"/>
        <v>#N/A</v>
      </c>
    </row>
    <row r="4862" spans="1:5">
      <c r="A4862" s="64"/>
      <c r="E4862" t="e">
        <f t="shared" si="79"/>
        <v>#N/A</v>
      </c>
    </row>
    <row r="4863" spans="1:5">
      <c r="A4863" s="64"/>
      <c r="E4863" t="e">
        <f t="shared" si="79"/>
        <v>#N/A</v>
      </c>
    </row>
    <row r="4864" spans="1:5">
      <c r="A4864" s="64"/>
      <c r="E4864" t="e">
        <f t="shared" si="79"/>
        <v>#N/A</v>
      </c>
    </row>
    <row r="4865" spans="1:5">
      <c r="A4865" s="64"/>
      <c r="E4865" t="e">
        <f t="shared" si="79"/>
        <v>#N/A</v>
      </c>
    </row>
    <row r="4866" spans="1:5">
      <c r="A4866" s="64"/>
      <c r="E4866" t="e">
        <f t="shared" si="79"/>
        <v>#N/A</v>
      </c>
    </row>
    <row r="4867" spans="1:5">
      <c r="A4867" s="64"/>
      <c r="E4867" t="e">
        <f t="shared" si="79"/>
        <v>#N/A</v>
      </c>
    </row>
    <row r="4868" spans="1:5">
      <c r="A4868" s="64"/>
      <c r="E4868" t="e">
        <f t="shared" si="79"/>
        <v>#N/A</v>
      </c>
    </row>
    <row r="4869" spans="1:5">
      <c r="A4869" s="64"/>
      <c r="E4869" t="e">
        <f t="shared" si="79"/>
        <v>#N/A</v>
      </c>
    </row>
    <row r="4870" spans="1:5">
      <c r="A4870" s="64"/>
      <c r="E4870" t="e">
        <f t="shared" si="79"/>
        <v>#N/A</v>
      </c>
    </row>
    <row r="4871" spans="1:5">
      <c r="A4871" s="64"/>
      <c r="E4871" t="e">
        <f t="shared" si="79"/>
        <v>#N/A</v>
      </c>
    </row>
    <row r="4872" spans="1:5">
      <c r="A4872" s="64"/>
      <c r="E4872" t="e">
        <f t="shared" si="79"/>
        <v>#N/A</v>
      </c>
    </row>
    <row r="4873" spans="1:5">
      <c r="A4873" s="64"/>
      <c r="E4873" t="e">
        <f t="shared" si="79"/>
        <v>#N/A</v>
      </c>
    </row>
    <row r="4874" spans="1:5">
      <c r="A4874" s="64"/>
      <c r="E4874" t="e">
        <f t="shared" si="79"/>
        <v>#N/A</v>
      </c>
    </row>
    <row r="4875" spans="1:5">
      <c r="A4875" s="64"/>
      <c r="E4875" t="e">
        <f t="shared" si="79"/>
        <v>#N/A</v>
      </c>
    </row>
    <row r="4876" spans="1:5">
      <c r="A4876" s="64"/>
      <c r="E4876" t="e">
        <f t="shared" si="79"/>
        <v>#N/A</v>
      </c>
    </row>
    <row r="4877" spans="1:5">
      <c r="A4877" s="64"/>
      <c r="E4877" t="e">
        <f t="shared" ref="E4877:E4940" si="80">VLOOKUP(B4877,$Q$14:$R$62,2,FALSE)</f>
        <v>#N/A</v>
      </c>
    </row>
    <row r="4878" spans="1:5">
      <c r="A4878" s="64"/>
      <c r="E4878" t="e">
        <f t="shared" si="80"/>
        <v>#N/A</v>
      </c>
    </row>
    <row r="4879" spans="1:5">
      <c r="A4879" s="64"/>
      <c r="E4879" t="e">
        <f t="shared" si="80"/>
        <v>#N/A</v>
      </c>
    </row>
    <row r="4880" spans="1:5">
      <c r="A4880" s="64"/>
      <c r="E4880" t="e">
        <f t="shared" si="80"/>
        <v>#N/A</v>
      </c>
    </row>
    <row r="4881" spans="1:5">
      <c r="A4881" s="64"/>
      <c r="E4881" t="e">
        <f t="shared" si="80"/>
        <v>#N/A</v>
      </c>
    </row>
    <row r="4882" spans="1:5">
      <c r="A4882" s="64"/>
      <c r="E4882" t="e">
        <f t="shared" si="80"/>
        <v>#N/A</v>
      </c>
    </row>
    <row r="4883" spans="1:5">
      <c r="A4883" s="64"/>
      <c r="E4883" t="e">
        <f t="shared" si="80"/>
        <v>#N/A</v>
      </c>
    </row>
    <row r="4884" spans="1:5">
      <c r="A4884" s="64"/>
      <c r="E4884" t="e">
        <f t="shared" si="80"/>
        <v>#N/A</v>
      </c>
    </row>
    <row r="4885" spans="1:5">
      <c r="A4885" s="64"/>
      <c r="E4885" t="e">
        <f t="shared" si="80"/>
        <v>#N/A</v>
      </c>
    </row>
    <row r="4886" spans="1:5">
      <c r="A4886" s="64"/>
      <c r="E4886" t="e">
        <f t="shared" si="80"/>
        <v>#N/A</v>
      </c>
    </row>
    <row r="4887" spans="1:5">
      <c r="A4887" s="64"/>
      <c r="E4887" t="e">
        <f t="shared" si="80"/>
        <v>#N/A</v>
      </c>
    </row>
    <row r="4888" spans="1:5">
      <c r="A4888" s="64"/>
      <c r="E4888" t="e">
        <f t="shared" si="80"/>
        <v>#N/A</v>
      </c>
    </row>
    <row r="4889" spans="1:5">
      <c r="A4889" s="64"/>
      <c r="E4889" t="e">
        <f t="shared" si="80"/>
        <v>#N/A</v>
      </c>
    </row>
    <row r="4890" spans="1:5">
      <c r="A4890" s="64"/>
      <c r="E4890" t="e">
        <f t="shared" si="80"/>
        <v>#N/A</v>
      </c>
    </row>
    <row r="4891" spans="1:5">
      <c r="A4891" s="64"/>
      <c r="E4891" t="e">
        <f t="shared" si="80"/>
        <v>#N/A</v>
      </c>
    </row>
    <row r="4892" spans="1:5">
      <c r="A4892" s="64"/>
      <c r="E4892" t="e">
        <f t="shared" si="80"/>
        <v>#N/A</v>
      </c>
    </row>
    <row r="4893" spans="1:5">
      <c r="A4893" s="64"/>
      <c r="E4893" t="e">
        <f t="shared" si="80"/>
        <v>#N/A</v>
      </c>
    </row>
    <row r="4894" spans="1:5">
      <c r="A4894" s="64"/>
      <c r="E4894" t="e">
        <f t="shared" si="80"/>
        <v>#N/A</v>
      </c>
    </row>
    <row r="4895" spans="1:5">
      <c r="A4895" s="64"/>
      <c r="E4895" t="e">
        <f t="shared" si="80"/>
        <v>#N/A</v>
      </c>
    </row>
    <row r="4896" spans="1:5">
      <c r="A4896" s="64"/>
      <c r="E4896" t="e">
        <f t="shared" si="80"/>
        <v>#N/A</v>
      </c>
    </row>
    <row r="4897" spans="1:5">
      <c r="A4897" s="64"/>
      <c r="E4897" t="e">
        <f t="shared" si="80"/>
        <v>#N/A</v>
      </c>
    </row>
    <row r="4898" spans="1:5">
      <c r="A4898" s="64"/>
      <c r="E4898" t="e">
        <f t="shared" si="80"/>
        <v>#N/A</v>
      </c>
    </row>
    <row r="4899" spans="1:5">
      <c r="A4899" s="64"/>
      <c r="E4899" t="e">
        <f t="shared" si="80"/>
        <v>#N/A</v>
      </c>
    </row>
    <row r="4900" spans="1:5">
      <c r="A4900" s="64"/>
      <c r="E4900" t="e">
        <f t="shared" si="80"/>
        <v>#N/A</v>
      </c>
    </row>
    <row r="4901" spans="1:5">
      <c r="A4901" s="64"/>
      <c r="E4901" t="e">
        <f t="shared" si="80"/>
        <v>#N/A</v>
      </c>
    </row>
    <row r="4902" spans="1:5">
      <c r="A4902" s="64"/>
      <c r="E4902" t="e">
        <f t="shared" si="80"/>
        <v>#N/A</v>
      </c>
    </row>
    <row r="4903" spans="1:5">
      <c r="A4903" s="64"/>
      <c r="E4903" t="e">
        <f t="shared" si="80"/>
        <v>#N/A</v>
      </c>
    </row>
    <row r="4904" spans="1:5">
      <c r="A4904" s="64"/>
      <c r="E4904" t="e">
        <f t="shared" si="80"/>
        <v>#N/A</v>
      </c>
    </row>
    <row r="4905" spans="1:5">
      <c r="A4905" s="64"/>
      <c r="E4905" t="e">
        <f t="shared" si="80"/>
        <v>#N/A</v>
      </c>
    </row>
    <row r="4906" spans="1:5">
      <c r="A4906" s="64"/>
      <c r="E4906" t="e">
        <f t="shared" si="80"/>
        <v>#N/A</v>
      </c>
    </row>
    <row r="4907" spans="1:5">
      <c r="A4907" s="64"/>
      <c r="E4907" t="e">
        <f t="shared" si="80"/>
        <v>#N/A</v>
      </c>
    </row>
    <row r="4908" spans="1:5">
      <c r="A4908" s="64"/>
      <c r="E4908" t="e">
        <f t="shared" si="80"/>
        <v>#N/A</v>
      </c>
    </row>
    <row r="4909" spans="1:5">
      <c r="A4909" s="64"/>
      <c r="E4909" t="e">
        <f t="shared" si="80"/>
        <v>#N/A</v>
      </c>
    </row>
    <row r="4910" spans="1:5">
      <c r="A4910" s="64"/>
      <c r="E4910" t="e">
        <f t="shared" si="80"/>
        <v>#N/A</v>
      </c>
    </row>
    <row r="4911" spans="1:5">
      <c r="A4911" s="64"/>
      <c r="E4911" t="e">
        <f t="shared" si="80"/>
        <v>#N/A</v>
      </c>
    </row>
    <row r="4912" spans="1:5">
      <c r="A4912" s="64"/>
      <c r="E4912" t="e">
        <f t="shared" si="80"/>
        <v>#N/A</v>
      </c>
    </row>
    <row r="4913" spans="1:5">
      <c r="A4913" s="64"/>
      <c r="E4913" t="e">
        <f t="shared" si="80"/>
        <v>#N/A</v>
      </c>
    </row>
    <row r="4914" spans="1:5">
      <c r="A4914" s="64"/>
      <c r="E4914" t="e">
        <f t="shared" si="80"/>
        <v>#N/A</v>
      </c>
    </row>
    <row r="4915" spans="1:5">
      <c r="A4915" s="64"/>
      <c r="E4915" t="e">
        <f t="shared" si="80"/>
        <v>#N/A</v>
      </c>
    </row>
    <row r="4916" spans="1:5">
      <c r="A4916" s="64"/>
      <c r="E4916" t="e">
        <f t="shared" si="80"/>
        <v>#N/A</v>
      </c>
    </row>
    <row r="4917" spans="1:5">
      <c r="A4917" s="64"/>
      <c r="E4917" t="e">
        <f t="shared" si="80"/>
        <v>#N/A</v>
      </c>
    </row>
    <row r="4918" spans="1:5">
      <c r="A4918" s="64"/>
      <c r="E4918" t="e">
        <f t="shared" si="80"/>
        <v>#N/A</v>
      </c>
    </row>
    <row r="4919" spans="1:5">
      <c r="A4919" s="64"/>
      <c r="E4919" t="e">
        <f t="shared" si="80"/>
        <v>#N/A</v>
      </c>
    </row>
    <row r="4920" spans="1:5">
      <c r="A4920" s="64"/>
      <c r="E4920" t="e">
        <f t="shared" si="80"/>
        <v>#N/A</v>
      </c>
    </row>
    <row r="4921" spans="1:5">
      <c r="A4921" s="64"/>
      <c r="E4921" t="e">
        <f t="shared" si="80"/>
        <v>#N/A</v>
      </c>
    </row>
    <row r="4922" spans="1:5">
      <c r="A4922" s="64"/>
      <c r="E4922" t="e">
        <f t="shared" si="80"/>
        <v>#N/A</v>
      </c>
    </row>
    <row r="4923" spans="1:5">
      <c r="A4923" s="64"/>
      <c r="E4923" t="e">
        <f t="shared" si="80"/>
        <v>#N/A</v>
      </c>
    </row>
    <row r="4924" spans="1:5">
      <c r="A4924" s="64"/>
      <c r="E4924" t="e">
        <f t="shared" si="80"/>
        <v>#N/A</v>
      </c>
    </row>
    <row r="4925" spans="1:5">
      <c r="A4925" s="64"/>
      <c r="E4925" t="e">
        <f t="shared" si="80"/>
        <v>#N/A</v>
      </c>
    </row>
    <row r="4926" spans="1:5">
      <c r="A4926" s="64"/>
      <c r="E4926" t="e">
        <f t="shared" si="80"/>
        <v>#N/A</v>
      </c>
    </row>
    <row r="4927" spans="1:5">
      <c r="A4927" s="64"/>
      <c r="E4927" t="e">
        <f t="shared" si="80"/>
        <v>#N/A</v>
      </c>
    </row>
    <row r="4928" spans="1:5">
      <c r="A4928" s="64"/>
      <c r="E4928" t="e">
        <f t="shared" si="80"/>
        <v>#N/A</v>
      </c>
    </row>
    <row r="4929" spans="1:5">
      <c r="A4929" s="64"/>
      <c r="E4929" t="e">
        <f t="shared" si="80"/>
        <v>#N/A</v>
      </c>
    </row>
    <row r="4930" spans="1:5">
      <c r="A4930" s="64"/>
      <c r="E4930" t="e">
        <f t="shared" si="80"/>
        <v>#N/A</v>
      </c>
    </row>
    <row r="4931" spans="1:5">
      <c r="A4931" s="64"/>
      <c r="E4931" t="e">
        <f t="shared" si="80"/>
        <v>#N/A</v>
      </c>
    </row>
    <row r="4932" spans="1:5">
      <c r="A4932" s="64"/>
      <c r="E4932" t="e">
        <f t="shared" si="80"/>
        <v>#N/A</v>
      </c>
    </row>
    <row r="4933" spans="1:5">
      <c r="A4933" s="64"/>
      <c r="E4933" t="e">
        <f t="shared" si="80"/>
        <v>#N/A</v>
      </c>
    </row>
    <row r="4934" spans="1:5">
      <c r="A4934" s="64"/>
      <c r="E4934" t="e">
        <f t="shared" si="80"/>
        <v>#N/A</v>
      </c>
    </row>
    <row r="4935" spans="1:5">
      <c r="A4935" s="64"/>
      <c r="E4935" t="e">
        <f t="shared" si="80"/>
        <v>#N/A</v>
      </c>
    </row>
    <row r="4936" spans="1:5">
      <c r="A4936" s="64"/>
      <c r="E4936" t="e">
        <f t="shared" si="80"/>
        <v>#N/A</v>
      </c>
    </row>
    <row r="4937" spans="1:5">
      <c r="A4937" s="64"/>
      <c r="E4937" t="e">
        <f t="shared" si="80"/>
        <v>#N/A</v>
      </c>
    </row>
    <row r="4938" spans="1:5">
      <c r="A4938" s="64"/>
      <c r="E4938" t="e">
        <f t="shared" si="80"/>
        <v>#N/A</v>
      </c>
    </row>
    <row r="4939" spans="1:5">
      <c r="A4939" s="64"/>
      <c r="E4939" t="e">
        <f t="shared" si="80"/>
        <v>#N/A</v>
      </c>
    </row>
    <row r="4940" spans="1:5">
      <c r="A4940" s="64"/>
      <c r="E4940" t="e">
        <f t="shared" si="80"/>
        <v>#N/A</v>
      </c>
    </row>
    <row r="4941" spans="1:5">
      <c r="A4941" s="64"/>
      <c r="E4941" t="e">
        <f t="shared" ref="E4941:E5004" si="81">VLOOKUP(B4941,$Q$14:$R$62,2,FALSE)</f>
        <v>#N/A</v>
      </c>
    </row>
    <row r="4942" spans="1:5">
      <c r="A4942" s="64"/>
      <c r="E4942" t="e">
        <f t="shared" si="81"/>
        <v>#N/A</v>
      </c>
    </row>
    <row r="4943" spans="1:5">
      <c r="A4943" s="64"/>
      <c r="E4943" t="e">
        <f t="shared" si="81"/>
        <v>#N/A</v>
      </c>
    </row>
    <row r="4944" spans="1:5">
      <c r="A4944" s="64"/>
      <c r="E4944" t="e">
        <f t="shared" si="81"/>
        <v>#N/A</v>
      </c>
    </row>
    <row r="4945" spans="1:5">
      <c r="A4945" s="64"/>
      <c r="E4945" t="e">
        <f t="shared" si="81"/>
        <v>#N/A</v>
      </c>
    </row>
    <row r="4946" spans="1:5">
      <c r="A4946" s="64"/>
      <c r="E4946" t="e">
        <f t="shared" si="81"/>
        <v>#N/A</v>
      </c>
    </row>
    <row r="4947" spans="1:5">
      <c r="A4947" s="64"/>
      <c r="E4947" t="e">
        <f t="shared" si="81"/>
        <v>#N/A</v>
      </c>
    </row>
    <row r="4948" spans="1:5">
      <c r="A4948" s="64"/>
      <c r="E4948" t="e">
        <f t="shared" si="81"/>
        <v>#N/A</v>
      </c>
    </row>
    <row r="4949" spans="1:5">
      <c r="A4949" s="64"/>
      <c r="E4949" t="e">
        <f t="shared" si="81"/>
        <v>#N/A</v>
      </c>
    </row>
    <row r="4950" spans="1:5">
      <c r="A4950" s="64"/>
      <c r="E4950" t="e">
        <f t="shared" si="81"/>
        <v>#N/A</v>
      </c>
    </row>
    <row r="4951" spans="1:5">
      <c r="A4951" s="64"/>
      <c r="E4951" t="e">
        <f t="shared" si="81"/>
        <v>#N/A</v>
      </c>
    </row>
    <row r="4952" spans="1:5">
      <c r="A4952" s="64"/>
      <c r="E4952" t="e">
        <f t="shared" si="81"/>
        <v>#N/A</v>
      </c>
    </row>
    <row r="4953" spans="1:5">
      <c r="A4953" s="64"/>
      <c r="E4953" t="e">
        <f t="shared" si="81"/>
        <v>#N/A</v>
      </c>
    </row>
    <row r="4954" spans="1:5">
      <c r="A4954" s="64"/>
      <c r="E4954" t="e">
        <f t="shared" si="81"/>
        <v>#N/A</v>
      </c>
    </row>
    <row r="4955" spans="1:5">
      <c r="A4955" s="64"/>
      <c r="E4955" t="e">
        <f t="shared" si="81"/>
        <v>#N/A</v>
      </c>
    </row>
    <row r="4956" spans="1:5">
      <c r="A4956" s="64"/>
      <c r="E4956" t="e">
        <f t="shared" si="81"/>
        <v>#N/A</v>
      </c>
    </row>
    <row r="4957" spans="1:5">
      <c r="A4957" s="64"/>
      <c r="E4957" t="e">
        <f t="shared" si="81"/>
        <v>#N/A</v>
      </c>
    </row>
    <row r="4958" spans="1:5">
      <c r="A4958" s="64"/>
      <c r="E4958" t="e">
        <f t="shared" si="81"/>
        <v>#N/A</v>
      </c>
    </row>
    <row r="4959" spans="1:5">
      <c r="A4959" s="64"/>
      <c r="E4959" t="e">
        <f t="shared" si="81"/>
        <v>#N/A</v>
      </c>
    </row>
    <row r="4960" spans="1:5">
      <c r="A4960" s="64"/>
      <c r="E4960" t="e">
        <f t="shared" si="81"/>
        <v>#N/A</v>
      </c>
    </row>
    <row r="4961" spans="1:5">
      <c r="A4961" s="64"/>
      <c r="E4961" t="e">
        <f t="shared" si="81"/>
        <v>#N/A</v>
      </c>
    </row>
    <row r="4962" spans="1:5">
      <c r="A4962" s="64"/>
      <c r="E4962" t="e">
        <f t="shared" si="81"/>
        <v>#N/A</v>
      </c>
    </row>
    <row r="4963" spans="1:5">
      <c r="A4963" s="64"/>
      <c r="E4963" t="e">
        <f t="shared" si="81"/>
        <v>#N/A</v>
      </c>
    </row>
    <row r="4964" spans="1:5">
      <c r="A4964" s="64"/>
      <c r="E4964" t="e">
        <f t="shared" si="81"/>
        <v>#N/A</v>
      </c>
    </row>
    <row r="4965" spans="1:5">
      <c r="A4965" s="64"/>
      <c r="E4965" t="e">
        <f t="shared" si="81"/>
        <v>#N/A</v>
      </c>
    </row>
    <row r="4966" spans="1:5">
      <c r="A4966" s="64"/>
      <c r="E4966" t="e">
        <f t="shared" si="81"/>
        <v>#N/A</v>
      </c>
    </row>
    <row r="4967" spans="1:5">
      <c r="A4967" s="64"/>
      <c r="E4967" t="e">
        <f t="shared" si="81"/>
        <v>#N/A</v>
      </c>
    </row>
    <row r="4968" spans="1:5">
      <c r="A4968" s="64"/>
      <c r="E4968" t="e">
        <f t="shared" si="81"/>
        <v>#N/A</v>
      </c>
    </row>
    <row r="4969" spans="1:5">
      <c r="A4969" s="64"/>
      <c r="E4969" t="e">
        <f t="shared" si="81"/>
        <v>#N/A</v>
      </c>
    </row>
    <row r="4970" spans="1:5">
      <c r="A4970" s="64"/>
      <c r="E4970" t="e">
        <f t="shared" si="81"/>
        <v>#N/A</v>
      </c>
    </row>
    <row r="4971" spans="1:5">
      <c r="A4971" s="64"/>
      <c r="E4971" t="e">
        <f t="shared" si="81"/>
        <v>#N/A</v>
      </c>
    </row>
    <row r="4972" spans="1:5">
      <c r="A4972" s="64"/>
      <c r="E4972" t="e">
        <f t="shared" si="81"/>
        <v>#N/A</v>
      </c>
    </row>
    <row r="4973" spans="1:5">
      <c r="A4973" s="64"/>
      <c r="E4973" t="e">
        <f t="shared" si="81"/>
        <v>#N/A</v>
      </c>
    </row>
    <row r="4974" spans="1:5">
      <c r="A4974" s="64"/>
      <c r="E4974" t="e">
        <f t="shared" si="81"/>
        <v>#N/A</v>
      </c>
    </row>
    <row r="4975" spans="1:5">
      <c r="A4975" s="64"/>
      <c r="E4975" t="e">
        <f t="shared" si="81"/>
        <v>#N/A</v>
      </c>
    </row>
    <row r="4976" spans="1:5">
      <c r="A4976" s="64"/>
      <c r="E4976" t="e">
        <f t="shared" si="81"/>
        <v>#N/A</v>
      </c>
    </row>
    <row r="4977" spans="1:5">
      <c r="A4977" s="64"/>
      <c r="E4977" t="e">
        <f t="shared" si="81"/>
        <v>#N/A</v>
      </c>
    </row>
    <row r="4978" spans="1:5">
      <c r="A4978" s="64"/>
      <c r="E4978" t="e">
        <f t="shared" si="81"/>
        <v>#N/A</v>
      </c>
    </row>
    <row r="4979" spans="1:5">
      <c r="A4979" s="64"/>
      <c r="E4979" t="e">
        <f t="shared" si="81"/>
        <v>#N/A</v>
      </c>
    </row>
    <row r="4980" spans="1:5">
      <c r="A4980" s="64"/>
      <c r="E4980" t="e">
        <f t="shared" si="81"/>
        <v>#N/A</v>
      </c>
    </row>
    <row r="4981" spans="1:5">
      <c r="A4981" s="64"/>
      <c r="E4981" t="e">
        <f t="shared" si="81"/>
        <v>#N/A</v>
      </c>
    </row>
    <row r="4982" spans="1:5">
      <c r="A4982" s="64"/>
      <c r="E4982" t="e">
        <f t="shared" si="81"/>
        <v>#N/A</v>
      </c>
    </row>
    <row r="4983" spans="1:5">
      <c r="A4983" s="64"/>
      <c r="E4983" t="e">
        <f t="shared" si="81"/>
        <v>#N/A</v>
      </c>
    </row>
    <row r="4984" spans="1:5">
      <c r="A4984" s="64"/>
      <c r="E4984" t="e">
        <f t="shared" si="81"/>
        <v>#N/A</v>
      </c>
    </row>
    <row r="4985" spans="1:5">
      <c r="A4985" s="64"/>
      <c r="E4985" t="e">
        <f t="shared" si="81"/>
        <v>#N/A</v>
      </c>
    </row>
    <row r="4986" spans="1:5">
      <c r="A4986" s="64"/>
      <c r="E4986" t="e">
        <f t="shared" si="81"/>
        <v>#N/A</v>
      </c>
    </row>
    <row r="4987" spans="1:5">
      <c r="A4987" s="64"/>
      <c r="E4987" t="e">
        <f t="shared" si="81"/>
        <v>#N/A</v>
      </c>
    </row>
    <row r="4988" spans="1:5">
      <c r="A4988" s="64"/>
      <c r="E4988" t="e">
        <f t="shared" si="81"/>
        <v>#N/A</v>
      </c>
    </row>
    <row r="4989" spans="1:5">
      <c r="A4989" s="64"/>
      <c r="E4989" t="e">
        <f t="shared" si="81"/>
        <v>#N/A</v>
      </c>
    </row>
    <row r="4990" spans="1:5">
      <c r="A4990" s="64"/>
      <c r="E4990" t="e">
        <f t="shared" si="81"/>
        <v>#N/A</v>
      </c>
    </row>
    <row r="4991" spans="1:5">
      <c r="A4991" s="64"/>
      <c r="E4991" t="e">
        <f t="shared" si="81"/>
        <v>#N/A</v>
      </c>
    </row>
    <row r="4992" spans="1:5">
      <c r="A4992" s="64"/>
      <c r="E4992" t="e">
        <f t="shared" si="81"/>
        <v>#N/A</v>
      </c>
    </row>
    <row r="4993" spans="1:5">
      <c r="A4993" s="64"/>
      <c r="E4993" t="e">
        <f t="shared" si="81"/>
        <v>#N/A</v>
      </c>
    </row>
    <row r="4994" spans="1:5">
      <c r="A4994" s="64"/>
      <c r="E4994" t="e">
        <f t="shared" si="81"/>
        <v>#N/A</v>
      </c>
    </row>
    <row r="4995" spans="1:5">
      <c r="A4995" s="64"/>
      <c r="E4995" t="e">
        <f t="shared" si="81"/>
        <v>#N/A</v>
      </c>
    </row>
    <row r="4996" spans="1:5">
      <c r="A4996" s="64"/>
      <c r="E4996" t="e">
        <f t="shared" si="81"/>
        <v>#N/A</v>
      </c>
    </row>
    <row r="4997" spans="1:5">
      <c r="A4997" s="64"/>
      <c r="E4997" t="e">
        <f t="shared" si="81"/>
        <v>#N/A</v>
      </c>
    </row>
    <row r="4998" spans="1:5">
      <c r="A4998" s="64"/>
      <c r="E4998" t="e">
        <f t="shared" si="81"/>
        <v>#N/A</v>
      </c>
    </row>
    <row r="4999" spans="1:5">
      <c r="A4999" s="64"/>
      <c r="E4999" t="e">
        <f t="shared" si="81"/>
        <v>#N/A</v>
      </c>
    </row>
    <row r="5000" spans="1:5">
      <c r="A5000" s="64"/>
      <c r="E5000" t="e">
        <f t="shared" si="81"/>
        <v>#N/A</v>
      </c>
    </row>
    <row r="5001" spans="1:5">
      <c r="A5001" s="64"/>
      <c r="E5001" t="e">
        <f t="shared" si="81"/>
        <v>#N/A</v>
      </c>
    </row>
    <row r="5002" spans="1:5">
      <c r="A5002" s="64"/>
      <c r="E5002" t="e">
        <f t="shared" si="81"/>
        <v>#N/A</v>
      </c>
    </row>
    <row r="5003" spans="1:5">
      <c r="A5003" s="64"/>
      <c r="E5003" t="e">
        <f t="shared" si="81"/>
        <v>#N/A</v>
      </c>
    </row>
    <row r="5004" spans="1:5">
      <c r="A5004" s="64"/>
      <c r="E5004" t="e">
        <f t="shared" si="81"/>
        <v>#N/A</v>
      </c>
    </row>
    <row r="5005" spans="1:5">
      <c r="A5005" s="64"/>
      <c r="E5005" t="e">
        <f t="shared" ref="E5005:E5068" si="82">VLOOKUP(B5005,$Q$14:$R$62,2,FALSE)</f>
        <v>#N/A</v>
      </c>
    </row>
    <row r="5006" spans="1:5">
      <c r="A5006" s="64"/>
      <c r="E5006" t="e">
        <f t="shared" si="82"/>
        <v>#N/A</v>
      </c>
    </row>
    <row r="5007" spans="1:5">
      <c r="A5007" s="64"/>
      <c r="E5007" t="e">
        <f t="shared" si="82"/>
        <v>#N/A</v>
      </c>
    </row>
    <row r="5008" spans="1:5">
      <c r="A5008" s="64"/>
      <c r="E5008" t="e">
        <f t="shared" si="82"/>
        <v>#N/A</v>
      </c>
    </row>
    <row r="5009" spans="1:5">
      <c r="A5009" s="64"/>
      <c r="E5009" t="e">
        <f t="shared" si="82"/>
        <v>#N/A</v>
      </c>
    </row>
    <row r="5010" spans="1:5">
      <c r="A5010" s="64"/>
      <c r="E5010" t="e">
        <f t="shared" si="82"/>
        <v>#N/A</v>
      </c>
    </row>
    <row r="5011" spans="1:5">
      <c r="A5011" s="64"/>
      <c r="E5011" t="e">
        <f t="shared" si="82"/>
        <v>#N/A</v>
      </c>
    </row>
    <row r="5012" spans="1:5">
      <c r="A5012" s="64"/>
      <c r="E5012" t="e">
        <f t="shared" si="82"/>
        <v>#N/A</v>
      </c>
    </row>
    <row r="5013" spans="1:5">
      <c r="A5013" s="64"/>
      <c r="E5013" t="e">
        <f t="shared" si="82"/>
        <v>#N/A</v>
      </c>
    </row>
    <row r="5014" spans="1:5">
      <c r="A5014" s="64"/>
      <c r="E5014" t="e">
        <f t="shared" si="82"/>
        <v>#N/A</v>
      </c>
    </row>
    <row r="5015" spans="1:5">
      <c r="A5015" s="64"/>
      <c r="E5015" t="e">
        <f t="shared" si="82"/>
        <v>#N/A</v>
      </c>
    </row>
    <row r="5016" spans="1:5">
      <c r="A5016" s="64"/>
      <c r="E5016" t="e">
        <f t="shared" si="82"/>
        <v>#N/A</v>
      </c>
    </row>
    <row r="5017" spans="1:5">
      <c r="A5017" s="64"/>
      <c r="E5017" t="e">
        <f t="shared" si="82"/>
        <v>#N/A</v>
      </c>
    </row>
    <row r="5018" spans="1:5">
      <c r="A5018" s="64"/>
      <c r="E5018" t="e">
        <f t="shared" si="82"/>
        <v>#N/A</v>
      </c>
    </row>
    <row r="5019" spans="1:5">
      <c r="A5019" s="64"/>
      <c r="E5019" t="e">
        <f t="shared" si="82"/>
        <v>#N/A</v>
      </c>
    </row>
    <row r="5020" spans="1:5">
      <c r="A5020" s="64"/>
      <c r="E5020" t="e">
        <f t="shared" si="82"/>
        <v>#N/A</v>
      </c>
    </row>
    <row r="5021" spans="1:5">
      <c r="A5021" s="64"/>
      <c r="E5021" t="e">
        <f t="shared" si="82"/>
        <v>#N/A</v>
      </c>
    </row>
    <row r="5022" spans="1:5">
      <c r="A5022" s="64"/>
      <c r="E5022" t="e">
        <f t="shared" si="82"/>
        <v>#N/A</v>
      </c>
    </row>
    <row r="5023" spans="1:5">
      <c r="A5023" s="64"/>
      <c r="E5023" t="e">
        <f t="shared" si="82"/>
        <v>#N/A</v>
      </c>
    </row>
    <row r="5024" spans="1:5">
      <c r="A5024" s="64"/>
      <c r="E5024" t="e">
        <f t="shared" si="82"/>
        <v>#N/A</v>
      </c>
    </row>
    <row r="5025" spans="1:5">
      <c r="A5025" s="64"/>
      <c r="E5025" t="e">
        <f t="shared" si="82"/>
        <v>#N/A</v>
      </c>
    </row>
    <row r="5026" spans="1:5">
      <c r="A5026" s="64"/>
      <c r="E5026" t="e">
        <f t="shared" si="82"/>
        <v>#N/A</v>
      </c>
    </row>
    <row r="5027" spans="1:5">
      <c r="A5027" s="64"/>
      <c r="E5027" t="e">
        <f t="shared" si="82"/>
        <v>#N/A</v>
      </c>
    </row>
    <row r="5028" spans="1:5">
      <c r="A5028" s="64"/>
      <c r="E5028" t="e">
        <f t="shared" si="82"/>
        <v>#N/A</v>
      </c>
    </row>
    <row r="5029" spans="1:5">
      <c r="A5029" s="64"/>
      <c r="E5029" t="e">
        <f t="shared" si="82"/>
        <v>#N/A</v>
      </c>
    </row>
    <row r="5030" spans="1:5">
      <c r="A5030" s="64"/>
      <c r="E5030" t="e">
        <f t="shared" si="82"/>
        <v>#N/A</v>
      </c>
    </row>
    <row r="5031" spans="1:5">
      <c r="A5031" s="64"/>
      <c r="E5031" t="e">
        <f t="shared" si="82"/>
        <v>#N/A</v>
      </c>
    </row>
    <row r="5032" spans="1:5">
      <c r="A5032" s="64"/>
      <c r="E5032" t="e">
        <f t="shared" si="82"/>
        <v>#N/A</v>
      </c>
    </row>
    <row r="5033" spans="1:5">
      <c r="A5033" s="64"/>
      <c r="E5033" t="e">
        <f t="shared" si="82"/>
        <v>#N/A</v>
      </c>
    </row>
    <row r="5034" spans="1:5">
      <c r="A5034" s="64"/>
      <c r="E5034" t="e">
        <f t="shared" si="82"/>
        <v>#N/A</v>
      </c>
    </row>
    <row r="5035" spans="1:5">
      <c r="A5035" s="64"/>
      <c r="E5035" t="e">
        <f t="shared" si="82"/>
        <v>#N/A</v>
      </c>
    </row>
    <row r="5036" spans="1:5">
      <c r="A5036" s="64"/>
      <c r="E5036" t="e">
        <f t="shared" si="82"/>
        <v>#N/A</v>
      </c>
    </row>
    <row r="5037" spans="1:5">
      <c r="A5037" s="64"/>
      <c r="E5037" t="e">
        <f t="shared" si="82"/>
        <v>#N/A</v>
      </c>
    </row>
    <row r="5038" spans="1:5">
      <c r="A5038" s="64"/>
      <c r="E5038" t="e">
        <f t="shared" si="82"/>
        <v>#N/A</v>
      </c>
    </row>
    <row r="5039" spans="1:5">
      <c r="A5039" s="64"/>
      <c r="E5039" t="e">
        <f t="shared" si="82"/>
        <v>#N/A</v>
      </c>
    </row>
    <row r="5040" spans="1:5">
      <c r="A5040" s="64"/>
      <c r="E5040" t="e">
        <f t="shared" si="82"/>
        <v>#N/A</v>
      </c>
    </row>
    <row r="5041" spans="1:5">
      <c r="A5041" s="64"/>
      <c r="E5041" t="e">
        <f t="shared" si="82"/>
        <v>#N/A</v>
      </c>
    </row>
    <row r="5042" spans="1:5">
      <c r="A5042" s="64"/>
      <c r="E5042" t="e">
        <f t="shared" si="82"/>
        <v>#N/A</v>
      </c>
    </row>
    <row r="5043" spans="1:5">
      <c r="A5043" s="64"/>
      <c r="E5043" t="e">
        <f t="shared" si="82"/>
        <v>#N/A</v>
      </c>
    </row>
    <row r="5044" spans="1:5">
      <c r="A5044" s="64"/>
      <c r="E5044" t="e">
        <f t="shared" si="82"/>
        <v>#N/A</v>
      </c>
    </row>
    <row r="5045" spans="1:5">
      <c r="A5045" s="64"/>
      <c r="E5045" t="e">
        <f t="shared" si="82"/>
        <v>#N/A</v>
      </c>
    </row>
    <row r="5046" spans="1:5">
      <c r="A5046" s="64"/>
      <c r="E5046" t="e">
        <f t="shared" si="82"/>
        <v>#N/A</v>
      </c>
    </row>
    <row r="5047" spans="1:5">
      <c r="A5047" s="64"/>
      <c r="E5047" t="e">
        <f t="shared" si="82"/>
        <v>#N/A</v>
      </c>
    </row>
    <row r="5048" spans="1:5">
      <c r="A5048" s="64"/>
      <c r="E5048" t="e">
        <f t="shared" si="82"/>
        <v>#N/A</v>
      </c>
    </row>
    <row r="5049" spans="1:5">
      <c r="A5049" s="64"/>
      <c r="E5049" t="e">
        <f t="shared" si="82"/>
        <v>#N/A</v>
      </c>
    </row>
    <row r="5050" spans="1:5">
      <c r="A5050" s="64"/>
      <c r="E5050" t="e">
        <f t="shared" si="82"/>
        <v>#N/A</v>
      </c>
    </row>
    <row r="5051" spans="1:5">
      <c r="A5051" s="64"/>
      <c r="E5051" t="e">
        <f t="shared" si="82"/>
        <v>#N/A</v>
      </c>
    </row>
    <row r="5052" spans="1:5">
      <c r="A5052" s="64"/>
      <c r="E5052" t="e">
        <f t="shared" si="82"/>
        <v>#N/A</v>
      </c>
    </row>
    <row r="5053" spans="1:5">
      <c r="A5053" s="64"/>
      <c r="E5053" t="e">
        <f t="shared" si="82"/>
        <v>#N/A</v>
      </c>
    </row>
    <row r="5054" spans="1:5">
      <c r="A5054" s="64"/>
      <c r="E5054" t="e">
        <f t="shared" si="82"/>
        <v>#N/A</v>
      </c>
    </row>
    <row r="5055" spans="1:5">
      <c r="A5055" s="64"/>
      <c r="E5055" t="e">
        <f t="shared" si="82"/>
        <v>#N/A</v>
      </c>
    </row>
    <row r="5056" spans="1:5">
      <c r="A5056" s="64"/>
      <c r="E5056" t="e">
        <f t="shared" si="82"/>
        <v>#N/A</v>
      </c>
    </row>
    <row r="5057" spans="1:5">
      <c r="A5057" s="64"/>
      <c r="E5057" t="e">
        <f t="shared" si="82"/>
        <v>#N/A</v>
      </c>
    </row>
    <row r="5058" spans="1:5">
      <c r="A5058" s="64"/>
      <c r="E5058" t="e">
        <f t="shared" si="82"/>
        <v>#N/A</v>
      </c>
    </row>
    <row r="5059" spans="1:5">
      <c r="A5059" s="64"/>
      <c r="E5059" t="e">
        <f t="shared" si="82"/>
        <v>#N/A</v>
      </c>
    </row>
    <row r="5060" spans="1:5">
      <c r="A5060" s="64"/>
      <c r="E5060" t="e">
        <f t="shared" si="82"/>
        <v>#N/A</v>
      </c>
    </row>
    <row r="5061" spans="1:5">
      <c r="A5061" s="64"/>
      <c r="E5061" t="e">
        <f t="shared" si="82"/>
        <v>#N/A</v>
      </c>
    </row>
    <row r="5062" spans="1:5">
      <c r="A5062" s="64"/>
      <c r="E5062" t="e">
        <f t="shared" si="82"/>
        <v>#N/A</v>
      </c>
    </row>
    <row r="5063" spans="1:5">
      <c r="A5063" s="64"/>
      <c r="E5063" t="e">
        <f t="shared" si="82"/>
        <v>#N/A</v>
      </c>
    </row>
    <row r="5064" spans="1:5">
      <c r="A5064" s="64"/>
      <c r="E5064" t="e">
        <f t="shared" si="82"/>
        <v>#N/A</v>
      </c>
    </row>
    <row r="5065" spans="1:5">
      <c r="A5065" s="64"/>
      <c r="E5065" t="e">
        <f t="shared" si="82"/>
        <v>#N/A</v>
      </c>
    </row>
    <row r="5066" spans="1:5">
      <c r="A5066" s="64"/>
      <c r="E5066" t="e">
        <f t="shared" si="82"/>
        <v>#N/A</v>
      </c>
    </row>
    <row r="5067" spans="1:5">
      <c r="A5067" s="64"/>
      <c r="E5067" t="e">
        <f t="shared" si="82"/>
        <v>#N/A</v>
      </c>
    </row>
    <row r="5068" spans="1:5">
      <c r="A5068" s="64"/>
      <c r="E5068" t="e">
        <f t="shared" si="82"/>
        <v>#N/A</v>
      </c>
    </row>
    <row r="5069" spans="1:5">
      <c r="A5069" s="64"/>
      <c r="E5069" t="e">
        <f t="shared" ref="E5069:E5132" si="83">VLOOKUP(B5069,$Q$14:$R$62,2,FALSE)</f>
        <v>#N/A</v>
      </c>
    </row>
    <row r="5070" spans="1:5">
      <c r="A5070" s="64"/>
      <c r="E5070" t="e">
        <f t="shared" si="83"/>
        <v>#N/A</v>
      </c>
    </row>
    <row r="5071" spans="1:5">
      <c r="A5071" s="64"/>
      <c r="E5071" t="e">
        <f t="shared" si="83"/>
        <v>#N/A</v>
      </c>
    </row>
    <row r="5072" spans="1:5">
      <c r="A5072" s="64"/>
      <c r="E5072" t="e">
        <f t="shared" si="83"/>
        <v>#N/A</v>
      </c>
    </row>
    <row r="5073" spans="1:5">
      <c r="A5073" s="64"/>
      <c r="E5073" t="e">
        <f t="shared" si="83"/>
        <v>#N/A</v>
      </c>
    </row>
    <row r="5074" spans="1:5">
      <c r="A5074" s="64"/>
      <c r="E5074" t="e">
        <f t="shared" si="83"/>
        <v>#N/A</v>
      </c>
    </row>
    <row r="5075" spans="1:5">
      <c r="A5075" s="64"/>
      <c r="E5075" t="e">
        <f t="shared" si="83"/>
        <v>#N/A</v>
      </c>
    </row>
    <row r="5076" spans="1:5">
      <c r="A5076" s="64"/>
      <c r="E5076" t="e">
        <f t="shared" si="83"/>
        <v>#N/A</v>
      </c>
    </row>
    <row r="5077" spans="1:5">
      <c r="A5077" s="64"/>
      <c r="E5077" t="e">
        <f t="shared" si="83"/>
        <v>#N/A</v>
      </c>
    </row>
    <row r="5078" spans="1:5">
      <c r="A5078" s="64"/>
      <c r="E5078" t="e">
        <f t="shared" si="83"/>
        <v>#N/A</v>
      </c>
    </row>
    <row r="5079" spans="1:5">
      <c r="A5079" s="64"/>
      <c r="E5079" t="e">
        <f t="shared" si="83"/>
        <v>#N/A</v>
      </c>
    </row>
    <row r="5080" spans="1:5">
      <c r="A5080" s="64"/>
      <c r="E5080" t="e">
        <f t="shared" si="83"/>
        <v>#N/A</v>
      </c>
    </row>
    <row r="5081" spans="1:5">
      <c r="A5081" s="64"/>
      <c r="E5081" t="e">
        <f t="shared" si="83"/>
        <v>#N/A</v>
      </c>
    </row>
    <row r="5082" spans="1:5">
      <c r="A5082" s="64"/>
      <c r="E5082" t="e">
        <f t="shared" si="83"/>
        <v>#N/A</v>
      </c>
    </row>
    <row r="5083" spans="1:5">
      <c r="A5083" s="64"/>
      <c r="E5083" t="e">
        <f t="shared" si="83"/>
        <v>#N/A</v>
      </c>
    </row>
    <row r="5084" spans="1:5">
      <c r="A5084" s="64"/>
      <c r="E5084" t="e">
        <f t="shared" si="83"/>
        <v>#N/A</v>
      </c>
    </row>
    <row r="5085" spans="1:5">
      <c r="A5085" s="64"/>
      <c r="E5085" t="e">
        <f t="shared" si="83"/>
        <v>#N/A</v>
      </c>
    </row>
    <row r="5086" spans="1:5">
      <c r="A5086" s="64"/>
      <c r="E5086" t="e">
        <f t="shared" si="83"/>
        <v>#N/A</v>
      </c>
    </row>
    <row r="5087" spans="1:5">
      <c r="A5087" s="64"/>
      <c r="E5087" t="e">
        <f t="shared" si="83"/>
        <v>#N/A</v>
      </c>
    </row>
    <row r="5088" spans="1:5">
      <c r="A5088" s="64"/>
      <c r="E5088" t="e">
        <f t="shared" si="83"/>
        <v>#N/A</v>
      </c>
    </row>
    <row r="5089" spans="1:5">
      <c r="A5089" s="64"/>
      <c r="E5089" t="e">
        <f t="shared" si="83"/>
        <v>#N/A</v>
      </c>
    </row>
    <row r="5090" spans="1:5">
      <c r="A5090" s="64"/>
      <c r="E5090" t="e">
        <f t="shared" si="83"/>
        <v>#N/A</v>
      </c>
    </row>
    <row r="5091" spans="1:5">
      <c r="A5091" s="64"/>
      <c r="E5091" t="e">
        <f t="shared" si="83"/>
        <v>#N/A</v>
      </c>
    </row>
    <row r="5092" spans="1:5">
      <c r="A5092" s="64"/>
      <c r="E5092" t="e">
        <f t="shared" si="83"/>
        <v>#N/A</v>
      </c>
    </row>
    <row r="5093" spans="1:5">
      <c r="A5093" s="64"/>
      <c r="E5093" t="e">
        <f t="shared" si="83"/>
        <v>#N/A</v>
      </c>
    </row>
    <row r="5094" spans="1:5">
      <c r="A5094" s="64"/>
      <c r="E5094" t="e">
        <f t="shared" si="83"/>
        <v>#N/A</v>
      </c>
    </row>
    <row r="5095" spans="1:5">
      <c r="A5095" s="64"/>
      <c r="E5095" t="e">
        <f t="shared" si="83"/>
        <v>#N/A</v>
      </c>
    </row>
    <row r="5096" spans="1:5">
      <c r="A5096" s="64"/>
      <c r="E5096" t="e">
        <f t="shared" si="83"/>
        <v>#N/A</v>
      </c>
    </row>
    <row r="5097" spans="1:5">
      <c r="A5097" s="64"/>
      <c r="E5097" t="e">
        <f t="shared" si="83"/>
        <v>#N/A</v>
      </c>
    </row>
    <row r="5098" spans="1:5">
      <c r="A5098" s="64"/>
      <c r="E5098" t="e">
        <f t="shared" si="83"/>
        <v>#N/A</v>
      </c>
    </row>
    <row r="5099" spans="1:5">
      <c r="A5099" s="64"/>
      <c r="E5099" t="e">
        <f t="shared" si="83"/>
        <v>#N/A</v>
      </c>
    </row>
    <row r="5100" spans="1:5">
      <c r="A5100" s="64"/>
      <c r="E5100" t="e">
        <f t="shared" si="83"/>
        <v>#N/A</v>
      </c>
    </row>
    <row r="5101" spans="1:5">
      <c r="A5101" s="64"/>
      <c r="E5101" t="e">
        <f t="shared" si="83"/>
        <v>#N/A</v>
      </c>
    </row>
    <row r="5102" spans="1:5">
      <c r="A5102" s="64"/>
      <c r="E5102" t="e">
        <f t="shared" si="83"/>
        <v>#N/A</v>
      </c>
    </row>
    <row r="5103" spans="1:5">
      <c r="A5103" s="64"/>
      <c r="E5103" t="e">
        <f t="shared" si="83"/>
        <v>#N/A</v>
      </c>
    </row>
    <row r="5104" spans="1:5">
      <c r="A5104" s="64"/>
      <c r="E5104" t="e">
        <f t="shared" si="83"/>
        <v>#N/A</v>
      </c>
    </row>
    <row r="5105" spans="1:5">
      <c r="A5105" s="64"/>
      <c r="E5105" t="e">
        <f t="shared" si="83"/>
        <v>#N/A</v>
      </c>
    </row>
    <row r="5106" spans="1:5">
      <c r="A5106" s="64"/>
      <c r="E5106" t="e">
        <f t="shared" si="83"/>
        <v>#N/A</v>
      </c>
    </row>
    <row r="5107" spans="1:5">
      <c r="A5107" s="64"/>
      <c r="E5107" t="e">
        <f t="shared" si="83"/>
        <v>#N/A</v>
      </c>
    </row>
    <row r="5108" spans="1:5">
      <c r="A5108" s="64"/>
      <c r="E5108" t="e">
        <f t="shared" si="83"/>
        <v>#N/A</v>
      </c>
    </row>
    <row r="5109" spans="1:5">
      <c r="A5109" s="64"/>
      <c r="E5109" t="e">
        <f t="shared" si="83"/>
        <v>#N/A</v>
      </c>
    </row>
    <row r="5110" spans="1:5">
      <c r="A5110" s="64"/>
      <c r="E5110" t="e">
        <f t="shared" si="83"/>
        <v>#N/A</v>
      </c>
    </row>
    <row r="5111" spans="1:5">
      <c r="A5111" s="64"/>
      <c r="E5111" t="e">
        <f t="shared" si="83"/>
        <v>#N/A</v>
      </c>
    </row>
    <row r="5112" spans="1:5">
      <c r="A5112" s="64"/>
      <c r="E5112" t="e">
        <f t="shared" si="83"/>
        <v>#N/A</v>
      </c>
    </row>
    <row r="5113" spans="1:5">
      <c r="A5113" s="64"/>
      <c r="E5113" t="e">
        <f t="shared" si="83"/>
        <v>#N/A</v>
      </c>
    </row>
    <row r="5114" spans="1:5">
      <c r="A5114" s="64"/>
      <c r="E5114" t="e">
        <f t="shared" si="83"/>
        <v>#N/A</v>
      </c>
    </row>
    <row r="5115" spans="1:5">
      <c r="A5115" s="64"/>
      <c r="E5115" t="e">
        <f t="shared" si="83"/>
        <v>#N/A</v>
      </c>
    </row>
    <row r="5116" spans="1:5">
      <c r="A5116" s="64"/>
      <c r="E5116" t="e">
        <f t="shared" si="83"/>
        <v>#N/A</v>
      </c>
    </row>
    <row r="5117" spans="1:5">
      <c r="A5117" s="64"/>
      <c r="E5117" t="e">
        <f t="shared" si="83"/>
        <v>#N/A</v>
      </c>
    </row>
    <row r="5118" spans="1:5">
      <c r="A5118" s="64"/>
      <c r="E5118" t="e">
        <f t="shared" si="83"/>
        <v>#N/A</v>
      </c>
    </row>
    <row r="5119" spans="1:5">
      <c r="A5119" s="64"/>
      <c r="E5119" t="e">
        <f t="shared" si="83"/>
        <v>#N/A</v>
      </c>
    </row>
    <row r="5120" spans="1:5">
      <c r="A5120" s="64"/>
      <c r="E5120" t="e">
        <f t="shared" si="83"/>
        <v>#N/A</v>
      </c>
    </row>
    <row r="5121" spans="1:5">
      <c r="A5121" s="64"/>
      <c r="E5121" t="e">
        <f t="shared" si="83"/>
        <v>#N/A</v>
      </c>
    </row>
    <row r="5122" spans="1:5">
      <c r="A5122" s="64"/>
      <c r="E5122" t="e">
        <f t="shared" si="83"/>
        <v>#N/A</v>
      </c>
    </row>
    <row r="5123" spans="1:5">
      <c r="A5123" s="64"/>
      <c r="E5123" t="e">
        <f t="shared" si="83"/>
        <v>#N/A</v>
      </c>
    </row>
    <row r="5124" spans="1:5">
      <c r="A5124" s="64"/>
      <c r="E5124" t="e">
        <f t="shared" si="83"/>
        <v>#N/A</v>
      </c>
    </row>
    <row r="5125" spans="1:5">
      <c r="A5125" s="64"/>
      <c r="E5125" t="e">
        <f t="shared" si="83"/>
        <v>#N/A</v>
      </c>
    </row>
    <row r="5126" spans="1:5">
      <c r="A5126" s="64"/>
      <c r="E5126" t="e">
        <f t="shared" si="83"/>
        <v>#N/A</v>
      </c>
    </row>
    <row r="5127" spans="1:5">
      <c r="A5127" s="64"/>
      <c r="E5127" t="e">
        <f t="shared" si="83"/>
        <v>#N/A</v>
      </c>
    </row>
    <row r="5128" spans="1:5">
      <c r="A5128" s="64"/>
      <c r="E5128" t="e">
        <f t="shared" si="83"/>
        <v>#N/A</v>
      </c>
    </row>
    <row r="5129" spans="1:5">
      <c r="A5129" s="64"/>
      <c r="E5129" t="e">
        <f t="shared" si="83"/>
        <v>#N/A</v>
      </c>
    </row>
    <row r="5130" spans="1:5">
      <c r="A5130" s="64"/>
      <c r="E5130" t="e">
        <f t="shared" si="83"/>
        <v>#N/A</v>
      </c>
    </row>
    <row r="5131" spans="1:5">
      <c r="A5131" s="64"/>
      <c r="E5131" t="e">
        <f t="shared" si="83"/>
        <v>#N/A</v>
      </c>
    </row>
    <row r="5132" spans="1:5">
      <c r="A5132" s="64"/>
      <c r="E5132" t="e">
        <f t="shared" si="83"/>
        <v>#N/A</v>
      </c>
    </row>
    <row r="5133" spans="1:5">
      <c r="A5133" s="64"/>
      <c r="E5133" t="e">
        <f t="shared" ref="E5133:E5196" si="84">VLOOKUP(B5133,$Q$14:$R$62,2,FALSE)</f>
        <v>#N/A</v>
      </c>
    </row>
    <row r="5134" spans="1:5">
      <c r="A5134" s="64"/>
      <c r="E5134" t="e">
        <f t="shared" si="84"/>
        <v>#N/A</v>
      </c>
    </row>
    <row r="5135" spans="1:5">
      <c r="A5135" s="64"/>
      <c r="E5135" t="e">
        <f t="shared" si="84"/>
        <v>#N/A</v>
      </c>
    </row>
    <row r="5136" spans="1:5">
      <c r="A5136" s="64"/>
      <c r="E5136" t="e">
        <f t="shared" si="84"/>
        <v>#N/A</v>
      </c>
    </row>
    <row r="5137" spans="1:5">
      <c r="A5137" s="64"/>
      <c r="E5137" t="e">
        <f t="shared" si="84"/>
        <v>#N/A</v>
      </c>
    </row>
    <row r="5138" spans="1:5">
      <c r="A5138" s="64"/>
      <c r="E5138" t="e">
        <f t="shared" si="84"/>
        <v>#N/A</v>
      </c>
    </row>
    <row r="5139" spans="1:5">
      <c r="A5139" s="64"/>
      <c r="E5139" t="e">
        <f t="shared" si="84"/>
        <v>#N/A</v>
      </c>
    </row>
    <row r="5140" spans="1:5">
      <c r="A5140" s="64"/>
      <c r="E5140" t="e">
        <f t="shared" si="84"/>
        <v>#N/A</v>
      </c>
    </row>
    <row r="5141" spans="1:5">
      <c r="A5141" s="64"/>
      <c r="E5141" t="e">
        <f t="shared" si="84"/>
        <v>#N/A</v>
      </c>
    </row>
    <row r="5142" spans="1:5">
      <c r="A5142" s="64"/>
      <c r="E5142" t="e">
        <f t="shared" si="84"/>
        <v>#N/A</v>
      </c>
    </row>
    <row r="5143" spans="1:5">
      <c r="A5143" s="64"/>
      <c r="E5143" t="e">
        <f t="shared" si="84"/>
        <v>#N/A</v>
      </c>
    </row>
    <row r="5144" spans="1:5">
      <c r="A5144" s="64"/>
      <c r="E5144" t="e">
        <f t="shared" si="84"/>
        <v>#N/A</v>
      </c>
    </row>
    <row r="5145" spans="1:5">
      <c r="A5145" s="64"/>
      <c r="E5145" t="e">
        <f t="shared" si="84"/>
        <v>#N/A</v>
      </c>
    </row>
    <row r="5146" spans="1:5">
      <c r="A5146" s="64"/>
      <c r="E5146" t="e">
        <f t="shared" si="84"/>
        <v>#N/A</v>
      </c>
    </row>
    <row r="5147" spans="1:5">
      <c r="A5147" s="64"/>
      <c r="E5147" t="e">
        <f t="shared" si="84"/>
        <v>#N/A</v>
      </c>
    </row>
    <row r="5148" spans="1:5">
      <c r="A5148" s="64"/>
      <c r="E5148" t="e">
        <f t="shared" si="84"/>
        <v>#N/A</v>
      </c>
    </row>
    <row r="5149" spans="1:5">
      <c r="A5149" s="64"/>
      <c r="E5149" t="e">
        <f t="shared" si="84"/>
        <v>#N/A</v>
      </c>
    </row>
    <row r="5150" spans="1:5">
      <c r="A5150" s="64"/>
      <c r="E5150" t="e">
        <f t="shared" si="84"/>
        <v>#N/A</v>
      </c>
    </row>
    <row r="5151" spans="1:5">
      <c r="A5151" s="64"/>
      <c r="E5151" t="e">
        <f t="shared" si="84"/>
        <v>#N/A</v>
      </c>
    </row>
    <row r="5152" spans="1:5">
      <c r="A5152" s="64"/>
      <c r="E5152" t="e">
        <f t="shared" si="84"/>
        <v>#N/A</v>
      </c>
    </row>
    <row r="5153" spans="1:5">
      <c r="A5153" s="64"/>
      <c r="E5153" t="e">
        <f t="shared" si="84"/>
        <v>#N/A</v>
      </c>
    </row>
    <row r="5154" spans="1:5">
      <c r="A5154" s="64"/>
      <c r="E5154" t="e">
        <f t="shared" si="84"/>
        <v>#N/A</v>
      </c>
    </row>
    <row r="5155" spans="1:5">
      <c r="A5155" s="64"/>
      <c r="E5155" t="e">
        <f t="shared" si="84"/>
        <v>#N/A</v>
      </c>
    </row>
    <row r="5156" spans="1:5">
      <c r="A5156" s="64"/>
      <c r="E5156" t="e">
        <f t="shared" si="84"/>
        <v>#N/A</v>
      </c>
    </row>
    <row r="5157" spans="1:5">
      <c r="A5157" s="64"/>
      <c r="E5157" t="e">
        <f t="shared" si="84"/>
        <v>#N/A</v>
      </c>
    </row>
    <row r="5158" spans="1:5">
      <c r="A5158" s="64"/>
      <c r="E5158" t="e">
        <f t="shared" si="84"/>
        <v>#N/A</v>
      </c>
    </row>
    <row r="5159" spans="1:5">
      <c r="A5159" s="64"/>
      <c r="E5159" t="e">
        <f t="shared" si="84"/>
        <v>#N/A</v>
      </c>
    </row>
    <row r="5160" spans="1:5">
      <c r="A5160" s="64"/>
      <c r="E5160" t="e">
        <f t="shared" si="84"/>
        <v>#N/A</v>
      </c>
    </row>
    <row r="5161" spans="1:5">
      <c r="A5161" s="64"/>
      <c r="E5161" t="e">
        <f t="shared" si="84"/>
        <v>#N/A</v>
      </c>
    </row>
    <row r="5162" spans="1:5">
      <c r="A5162" s="64"/>
      <c r="E5162" t="e">
        <f t="shared" si="84"/>
        <v>#N/A</v>
      </c>
    </row>
    <row r="5163" spans="1:5">
      <c r="A5163" s="64"/>
      <c r="E5163" t="e">
        <f t="shared" si="84"/>
        <v>#N/A</v>
      </c>
    </row>
    <row r="5164" spans="1:5">
      <c r="A5164" s="64"/>
      <c r="E5164" t="e">
        <f t="shared" si="84"/>
        <v>#N/A</v>
      </c>
    </row>
    <row r="5165" spans="1:5">
      <c r="A5165" s="64"/>
      <c r="E5165" t="e">
        <f t="shared" si="84"/>
        <v>#N/A</v>
      </c>
    </row>
    <row r="5166" spans="1:5">
      <c r="A5166" s="64"/>
      <c r="E5166" t="e">
        <f t="shared" si="84"/>
        <v>#N/A</v>
      </c>
    </row>
    <row r="5167" spans="1:5">
      <c r="A5167" s="64"/>
      <c r="E5167" t="e">
        <f t="shared" si="84"/>
        <v>#N/A</v>
      </c>
    </row>
    <row r="5168" spans="1:5">
      <c r="A5168" s="64"/>
      <c r="E5168" t="e">
        <f t="shared" si="84"/>
        <v>#N/A</v>
      </c>
    </row>
    <row r="5169" spans="1:5">
      <c r="A5169" s="64"/>
      <c r="E5169" t="e">
        <f t="shared" si="84"/>
        <v>#N/A</v>
      </c>
    </row>
    <row r="5170" spans="1:5">
      <c r="A5170" s="64"/>
      <c r="E5170" t="e">
        <f t="shared" si="84"/>
        <v>#N/A</v>
      </c>
    </row>
    <row r="5171" spans="1:5">
      <c r="A5171" s="64"/>
      <c r="E5171" t="e">
        <f t="shared" si="84"/>
        <v>#N/A</v>
      </c>
    </row>
    <row r="5172" spans="1:5">
      <c r="A5172" s="64"/>
      <c r="E5172" t="e">
        <f t="shared" si="84"/>
        <v>#N/A</v>
      </c>
    </row>
    <row r="5173" spans="1:5">
      <c r="A5173" s="64"/>
      <c r="E5173" t="e">
        <f t="shared" si="84"/>
        <v>#N/A</v>
      </c>
    </row>
    <row r="5174" spans="1:5">
      <c r="A5174" s="64"/>
      <c r="E5174" t="e">
        <f t="shared" si="84"/>
        <v>#N/A</v>
      </c>
    </row>
    <row r="5175" spans="1:5">
      <c r="A5175" s="64"/>
      <c r="E5175" t="e">
        <f t="shared" si="84"/>
        <v>#N/A</v>
      </c>
    </row>
    <row r="5176" spans="1:5">
      <c r="A5176" s="64"/>
      <c r="E5176" t="e">
        <f t="shared" si="84"/>
        <v>#N/A</v>
      </c>
    </row>
    <row r="5177" spans="1:5">
      <c r="A5177" s="64"/>
      <c r="E5177" t="e">
        <f t="shared" si="84"/>
        <v>#N/A</v>
      </c>
    </row>
    <row r="5178" spans="1:5">
      <c r="A5178" s="64"/>
      <c r="E5178" t="e">
        <f t="shared" si="84"/>
        <v>#N/A</v>
      </c>
    </row>
    <row r="5179" spans="1:5">
      <c r="A5179" s="64"/>
      <c r="E5179" t="e">
        <f t="shared" si="84"/>
        <v>#N/A</v>
      </c>
    </row>
    <row r="5180" spans="1:5">
      <c r="A5180" s="64"/>
      <c r="E5180" t="e">
        <f t="shared" si="84"/>
        <v>#N/A</v>
      </c>
    </row>
    <row r="5181" spans="1:5">
      <c r="A5181" s="64"/>
      <c r="E5181" t="e">
        <f t="shared" si="84"/>
        <v>#N/A</v>
      </c>
    </row>
    <row r="5182" spans="1:5">
      <c r="A5182" s="64"/>
      <c r="E5182" t="e">
        <f t="shared" si="84"/>
        <v>#N/A</v>
      </c>
    </row>
    <row r="5183" spans="1:5">
      <c r="A5183" s="64"/>
      <c r="E5183" t="e">
        <f t="shared" si="84"/>
        <v>#N/A</v>
      </c>
    </row>
    <row r="5184" spans="1:5">
      <c r="A5184" s="64"/>
      <c r="E5184" t="e">
        <f t="shared" si="84"/>
        <v>#N/A</v>
      </c>
    </row>
    <row r="5185" spans="1:5">
      <c r="A5185" s="64"/>
      <c r="E5185" t="e">
        <f t="shared" si="84"/>
        <v>#N/A</v>
      </c>
    </row>
    <row r="5186" spans="1:5">
      <c r="A5186" s="64"/>
      <c r="E5186" t="e">
        <f t="shared" si="84"/>
        <v>#N/A</v>
      </c>
    </row>
    <row r="5187" spans="1:5">
      <c r="A5187" s="64"/>
      <c r="E5187" t="e">
        <f t="shared" si="84"/>
        <v>#N/A</v>
      </c>
    </row>
    <row r="5188" spans="1:5">
      <c r="A5188" s="64"/>
      <c r="E5188" t="e">
        <f t="shared" si="84"/>
        <v>#N/A</v>
      </c>
    </row>
    <row r="5189" spans="1:5">
      <c r="A5189" s="64"/>
      <c r="E5189" t="e">
        <f t="shared" si="84"/>
        <v>#N/A</v>
      </c>
    </row>
    <row r="5190" spans="1:5">
      <c r="A5190" s="64"/>
      <c r="E5190" t="e">
        <f t="shared" si="84"/>
        <v>#N/A</v>
      </c>
    </row>
    <row r="5191" spans="1:5">
      <c r="A5191" s="64"/>
      <c r="E5191" t="e">
        <f t="shared" si="84"/>
        <v>#N/A</v>
      </c>
    </row>
    <row r="5192" spans="1:5">
      <c r="A5192" s="64"/>
      <c r="E5192" t="e">
        <f t="shared" si="84"/>
        <v>#N/A</v>
      </c>
    </row>
    <row r="5193" spans="1:5">
      <c r="A5193" s="64"/>
      <c r="E5193" t="e">
        <f t="shared" si="84"/>
        <v>#N/A</v>
      </c>
    </row>
    <row r="5194" spans="1:5">
      <c r="A5194" s="64"/>
      <c r="E5194" t="e">
        <f t="shared" si="84"/>
        <v>#N/A</v>
      </c>
    </row>
    <row r="5195" spans="1:5">
      <c r="A5195" s="64"/>
      <c r="E5195" t="e">
        <f t="shared" si="84"/>
        <v>#N/A</v>
      </c>
    </row>
    <row r="5196" spans="1:5">
      <c r="A5196" s="64"/>
      <c r="E5196" t="e">
        <f t="shared" si="84"/>
        <v>#N/A</v>
      </c>
    </row>
    <row r="5197" spans="1:5">
      <c r="A5197" s="64"/>
      <c r="E5197" t="e">
        <f t="shared" ref="E5197:E5260" si="85">VLOOKUP(B5197,$Q$14:$R$62,2,FALSE)</f>
        <v>#N/A</v>
      </c>
    </row>
    <row r="5198" spans="1:5">
      <c r="A5198" s="64"/>
      <c r="E5198" t="e">
        <f t="shared" si="85"/>
        <v>#N/A</v>
      </c>
    </row>
    <row r="5199" spans="1:5">
      <c r="A5199" s="64"/>
      <c r="E5199" t="e">
        <f t="shared" si="85"/>
        <v>#N/A</v>
      </c>
    </row>
    <row r="5200" spans="1:5">
      <c r="A5200" s="64"/>
      <c r="E5200" t="e">
        <f t="shared" si="85"/>
        <v>#N/A</v>
      </c>
    </row>
    <row r="5201" spans="1:5">
      <c r="A5201" s="64"/>
      <c r="E5201" t="e">
        <f t="shared" si="85"/>
        <v>#N/A</v>
      </c>
    </row>
    <row r="5202" spans="1:5">
      <c r="A5202" s="64"/>
      <c r="E5202" t="e">
        <f t="shared" si="85"/>
        <v>#N/A</v>
      </c>
    </row>
    <row r="5203" spans="1:5">
      <c r="A5203" s="64"/>
      <c r="E5203" t="e">
        <f t="shared" si="85"/>
        <v>#N/A</v>
      </c>
    </row>
    <row r="5204" spans="1:5">
      <c r="A5204" s="64"/>
      <c r="E5204" t="e">
        <f t="shared" si="85"/>
        <v>#N/A</v>
      </c>
    </row>
    <row r="5205" spans="1:5">
      <c r="A5205" s="64"/>
      <c r="E5205" t="e">
        <f t="shared" si="85"/>
        <v>#N/A</v>
      </c>
    </row>
    <row r="5206" spans="1:5">
      <c r="A5206" s="64"/>
      <c r="E5206" t="e">
        <f t="shared" si="85"/>
        <v>#N/A</v>
      </c>
    </row>
    <row r="5207" spans="1:5">
      <c r="A5207" s="64"/>
      <c r="E5207" t="e">
        <f t="shared" si="85"/>
        <v>#N/A</v>
      </c>
    </row>
    <row r="5208" spans="1:5">
      <c r="A5208" s="64"/>
      <c r="E5208" t="e">
        <f t="shared" si="85"/>
        <v>#N/A</v>
      </c>
    </row>
    <row r="5209" spans="1:5">
      <c r="A5209" s="64"/>
      <c r="E5209" t="e">
        <f t="shared" si="85"/>
        <v>#N/A</v>
      </c>
    </row>
    <row r="5210" spans="1:5">
      <c r="A5210" s="64"/>
      <c r="E5210" t="e">
        <f t="shared" si="85"/>
        <v>#N/A</v>
      </c>
    </row>
    <row r="5211" spans="1:5">
      <c r="A5211" s="64"/>
      <c r="E5211" t="e">
        <f t="shared" si="85"/>
        <v>#N/A</v>
      </c>
    </row>
    <row r="5212" spans="1:5">
      <c r="A5212" s="64"/>
      <c r="E5212" t="e">
        <f t="shared" si="85"/>
        <v>#N/A</v>
      </c>
    </row>
    <row r="5213" spans="1:5">
      <c r="A5213" s="64"/>
      <c r="E5213" t="e">
        <f t="shared" si="85"/>
        <v>#N/A</v>
      </c>
    </row>
    <row r="5214" spans="1:5">
      <c r="A5214" s="64"/>
      <c r="E5214" t="e">
        <f t="shared" si="85"/>
        <v>#N/A</v>
      </c>
    </row>
    <row r="5215" spans="1:5">
      <c r="A5215" s="64"/>
      <c r="E5215" t="e">
        <f t="shared" si="85"/>
        <v>#N/A</v>
      </c>
    </row>
    <row r="5216" spans="1:5">
      <c r="A5216" s="64"/>
      <c r="E5216" t="e">
        <f t="shared" si="85"/>
        <v>#N/A</v>
      </c>
    </row>
    <row r="5217" spans="1:5">
      <c r="A5217" s="64"/>
      <c r="E5217" t="e">
        <f t="shared" si="85"/>
        <v>#N/A</v>
      </c>
    </row>
    <row r="5218" spans="1:5">
      <c r="A5218" s="64"/>
      <c r="E5218" t="e">
        <f t="shared" si="85"/>
        <v>#N/A</v>
      </c>
    </row>
    <row r="5219" spans="1:5">
      <c r="A5219" s="64"/>
      <c r="E5219" t="e">
        <f t="shared" si="85"/>
        <v>#N/A</v>
      </c>
    </row>
    <row r="5220" spans="1:5">
      <c r="A5220" s="64"/>
      <c r="E5220" t="e">
        <f t="shared" si="85"/>
        <v>#N/A</v>
      </c>
    </row>
    <row r="5221" spans="1:5">
      <c r="A5221" s="64"/>
      <c r="E5221" t="e">
        <f t="shared" si="85"/>
        <v>#N/A</v>
      </c>
    </row>
    <row r="5222" spans="1:5">
      <c r="A5222" s="64"/>
      <c r="E5222" t="e">
        <f t="shared" si="85"/>
        <v>#N/A</v>
      </c>
    </row>
    <row r="5223" spans="1:5">
      <c r="A5223" s="64"/>
      <c r="E5223" t="e">
        <f t="shared" si="85"/>
        <v>#N/A</v>
      </c>
    </row>
    <row r="5224" spans="1:5">
      <c r="A5224" s="64"/>
      <c r="E5224" t="e">
        <f t="shared" si="85"/>
        <v>#N/A</v>
      </c>
    </row>
    <row r="5225" spans="1:5">
      <c r="A5225" s="64"/>
      <c r="E5225" t="e">
        <f t="shared" si="85"/>
        <v>#N/A</v>
      </c>
    </row>
    <row r="5226" spans="1:5">
      <c r="A5226" s="64"/>
      <c r="E5226" t="e">
        <f t="shared" si="85"/>
        <v>#N/A</v>
      </c>
    </row>
    <row r="5227" spans="1:5">
      <c r="A5227" s="64"/>
      <c r="E5227" t="e">
        <f t="shared" si="85"/>
        <v>#N/A</v>
      </c>
    </row>
    <row r="5228" spans="1:5">
      <c r="A5228" s="64"/>
      <c r="E5228" t="e">
        <f t="shared" si="85"/>
        <v>#N/A</v>
      </c>
    </row>
    <row r="5229" spans="1:5">
      <c r="A5229" s="64"/>
      <c r="E5229" t="e">
        <f t="shared" si="85"/>
        <v>#N/A</v>
      </c>
    </row>
    <row r="5230" spans="1:5">
      <c r="A5230" s="64"/>
      <c r="E5230" t="e">
        <f t="shared" si="85"/>
        <v>#N/A</v>
      </c>
    </row>
    <row r="5231" spans="1:5">
      <c r="A5231" s="64"/>
      <c r="E5231" t="e">
        <f t="shared" si="85"/>
        <v>#N/A</v>
      </c>
    </row>
    <row r="5232" spans="1:5">
      <c r="A5232" s="64"/>
      <c r="E5232" t="e">
        <f t="shared" si="85"/>
        <v>#N/A</v>
      </c>
    </row>
    <row r="5233" spans="1:5">
      <c r="A5233" s="64"/>
      <c r="E5233" t="e">
        <f t="shared" si="85"/>
        <v>#N/A</v>
      </c>
    </row>
    <row r="5234" spans="1:5">
      <c r="A5234" s="64"/>
      <c r="E5234" t="e">
        <f t="shared" si="85"/>
        <v>#N/A</v>
      </c>
    </row>
    <row r="5235" spans="1:5">
      <c r="A5235" s="64"/>
      <c r="E5235" t="e">
        <f t="shared" si="85"/>
        <v>#N/A</v>
      </c>
    </row>
    <row r="5236" spans="1:5">
      <c r="A5236" s="64"/>
      <c r="E5236" t="e">
        <f t="shared" si="85"/>
        <v>#N/A</v>
      </c>
    </row>
    <row r="5237" spans="1:5">
      <c r="A5237" s="64"/>
      <c r="E5237" t="e">
        <f t="shared" si="85"/>
        <v>#N/A</v>
      </c>
    </row>
    <row r="5238" spans="1:5">
      <c r="A5238" s="64"/>
      <c r="E5238" t="e">
        <f t="shared" si="85"/>
        <v>#N/A</v>
      </c>
    </row>
    <row r="5239" spans="1:5">
      <c r="A5239" s="64"/>
      <c r="E5239" t="e">
        <f t="shared" si="85"/>
        <v>#N/A</v>
      </c>
    </row>
    <row r="5240" spans="1:5">
      <c r="A5240" s="64"/>
      <c r="E5240" t="e">
        <f t="shared" si="85"/>
        <v>#N/A</v>
      </c>
    </row>
    <row r="5241" spans="1:5">
      <c r="A5241" s="64"/>
      <c r="E5241" t="e">
        <f t="shared" si="85"/>
        <v>#N/A</v>
      </c>
    </row>
    <row r="5242" spans="1:5">
      <c r="A5242" s="64"/>
      <c r="E5242" t="e">
        <f t="shared" si="85"/>
        <v>#N/A</v>
      </c>
    </row>
    <row r="5243" spans="1:5">
      <c r="A5243" s="64"/>
      <c r="E5243" t="e">
        <f t="shared" si="85"/>
        <v>#N/A</v>
      </c>
    </row>
    <row r="5244" spans="1:5">
      <c r="A5244" s="64"/>
      <c r="E5244" t="e">
        <f t="shared" si="85"/>
        <v>#N/A</v>
      </c>
    </row>
    <row r="5245" spans="1:5">
      <c r="A5245" s="64"/>
      <c r="E5245" t="e">
        <f t="shared" si="85"/>
        <v>#N/A</v>
      </c>
    </row>
    <row r="5246" spans="1:5">
      <c r="A5246" s="64"/>
      <c r="E5246" t="e">
        <f t="shared" si="85"/>
        <v>#N/A</v>
      </c>
    </row>
    <row r="5247" spans="1:5">
      <c r="A5247" s="64"/>
      <c r="E5247" t="e">
        <f t="shared" si="85"/>
        <v>#N/A</v>
      </c>
    </row>
    <row r="5248" spans="1:5">
      <c r="A5248" s="64"/>
      <c r="E5248" t="e">
        <f t="shared" si="85"/>
        <v>#N/A</v>
      </c>
    </row>
    <row r="5249" spans="1:5">
      <c r="A5249" s="64"/>
      <c r="E5249" t="e">
        <f t="shared" si="85"/>
        <v>#N/A</v>
      </c>
    </row>
    <row r="5250" spans="1:5">
      <c r="A5250" s="64"/>
      <c r="E5250" t="e">
        <f t="shared" si="85"/>
        <v>#N/A</v>
      </c>
    </row>
    <row r="5251" spans="1:5">
      <c r="A5251" s="64"/>
      <c r="E5251" t="e">
        <f t="shared" si="85"/>
        <v>#N/A</v>
      </c>
    </row>
    <row r="5252" spans="1:5">
      <c r="A5252" s="64"/>
      <c r="E5252" t="e">
        <f t="shared" si="85"/>
        <v>#N/A</v>
      </c>
    </row>
    <row r="5253" spans="1:5">
      <c r="A5253" s="64"/>
      <c r="E5253" t="e">
        <f t="shared" si="85"/>
        <v>#N/A</v>
      </c>
    </row>
    <row r="5254" spans="1:5">
      <c r="A5254" s="64"/>
      <c r="E5254" t="e">
        <f t="shared" si="85"/>
        <v>#N/A</v>
      </c>
    </row>
    <row r="5255" spans="1:5">
      <c r="A5255" s="64"/>
      <c r="E5255" t="e">
        <f t="shared" si="85"/>
        <v>#N/A</v>
      </c>
    </row>
    <row r="5256" spans="1:5">
      <c r="A5256" s="64"/>
      <c r="E5256" t="e">
        <f t="shared" si="85"/>
        <v>#N/A</v>
      </c>
    </row>
    <row r="5257" spans="1:5">
      <c r="A5257" s="64"/>
      <c r="E5257" t="e">
        <f t="shared" si="85"/>
        <v>#N/A</v>
      </c>
    </row>
    <row r="5258" spans="1:5">
      <c r="A5258" s="64"/>
      <c r="E5258" t="e">
        <f t="shared" si="85"/>
        <v>#N/A</v>
      </c>
    </row>
    <row r="5259" spans="1:5">
      <c r="A5259" s="64"/>
      <c r="E5259" t="e">
        <f t="shared" si="85"/>
        <v>#N/A</v>
      </c>
    </row>
    <row r="5260" spans="1:5">
      <c r="A5260" s="64"/>
      <c r="E5260" t="e">
        <f t="shared" si="85"/>
        <v>#N/A</v>
      </c>
    </row>
    <row r="5261" spans="1:5">
      <c r="A5261" s="64"/>
      <c r="E5261" t="e">
        <f t="shared" ref="E5261:E5324" si="86">VLOOKUP(B5261,$Q$14:$R$62,2,FALSE)</f>
        <v>#N/A</v>
      </c>
    </row>
    <row r="5262" spans="1:5">
      <c r="A5262" s="64"/>
      <c r="E5262" t="e">
        <f t="shared" si="86"/>
        <v>#N/A</v>
      </c>
    </row>
    <row r="5263" spans="1:5">
      <c r="A5263" s="64"/>
      <c r="E5263" t="e">
        <f t="shared" si="86"/>
        <v>#N/A</v>
      </c>
    </row>
    <row r="5264" spans="1:5">
      <c r="A5264" s="64"/>
      <c r="E5264" t="e">
        <f t="shared" si="86"/>
        <v>#N/A</v>
      </c>
    </row>
    <row r="5265" spans="1:5">
      <c r="A5265" s="64"/>
      <c r="E5265" t="e">
        <f t="shared" si="86"/>
        <v>#N/A</v>
      </c>
    </row>
    <row r="5266" spans="1:5">
      <c r="A5266" s="64"/>
      <c r="E5266" t="e">
        <f t="shared" si="86"/>
        <v>#N/A</v>
      </c>
    </row>
    <row r="5267" spans="1:5">
      <c r="A5267" s="64"/>
      <c r="E5267" t="e">
        <f t="shared" si="86"/>
        <v>#N/A</v>
      </c>
    </row>
    <row r="5268" spans="1:5">
      <c r="A5268" s="64"/>
      <c r="E5268" t="e">
        <f t="shared" si="86"/>
        <v>#N/A</v>
      </c>
    </row>
    <row r="5269" spans="1:5">
      <c r="A5269" s="64"/>
      <c r="E5269" t="e">
        <f t="shared" si="86"/>
        <v>#N/A</v>
      </c>
    </row>
    <row r="5270" spans="1:5">
      <c r="A5270" s="64"/>
      <c r="E5270" t="e">
        <f t="shared" si="86"/>
        <v>#N/A</v>
      </c>
    </row>
    <row r="5271" spans="1:5">
      <c r="A5271" s="64"/>
      <c r="E5271" t="e">
        <f t="shared" si="86"/>
        <v>#N/A</v>
      </c>
    </row>
    <row r="5272" spans="1:5">
      <c r="A5272" s="64"/>
      <c r="E5272" t="e">
        <f t="shared" si="86"/>
        <v>#N/A</v>
      </c>
    </row>
    <row r="5273" spans="1:5">
      <c r="A5273" s="64"/>
      <c r="E5273" t="e">
        <f t="shared" si="86"/>
        <v>#N/A</v>
      </c>
    </row>
    <row r="5274" spans="1:5">
      <c r="A5274" s="64"/>
      <c r="E5274" t="e">
        <f t="shared" si="86"/>
        <v>#N/A</v>
      </c>
    </row>
    <row r="5275" spans="1:5">
      <c r="A5275" s="64"/>
      <c r="E5275" t="e">
        <f t="shared" si="86"/>
        <v>#N/A</v>
      </c>
    </row>
    <row r="5276" spans="1:5">
      <c r="A5276" s="64"/>
      <c r="E5276" t="e">
        <f t="shared" si="86"/>
        <v>#N/A</v>
      </c>
    </row>
    <row r="5277" spans="1:5">
      <c r="A5277" s="64"/>
      <c r="E5277" t="e">
        <f t="shared" si="86"/>
        <v>#N/A</v>
      </c>
    </row>
    <row r="5278" spans="1:5">
      <c r="A5278" s="64"/>
      <c r="E5278" t="e">
        <f t="shared" si="86"/>
        <v>#N/A</v>
      </c>
    </row>
    <row r="5279" spans="1:5">
      <c r="A5279" s="64"/>
      <c r="E5279" t="e">
        <f t="shared" si="86"/>
        <v>#N/A</v>
      </c>
    </row>
    <row r="5280" spans="1:5">
      <c r="A5280" s="64"/>
      <c r="E5280" t="e">
        <f t="shared" si="86"/>
        <v>#N/A</v>
      </c>
    </row>
    <row r="5281" spans="1:5">
      <c r="A5281" s="64"/>
      <c r="E5281" t="e">
        <f t="shared" si="86"/>
        <v>#N/A</v>
      </c>
    </row>
    <row r="5282" spans="1:5">
      <c r="A5282" s="64"/>
      <c r="E5282" t="e">
        <f t="shared" si="86"/>
        <v>#N/A</v>
      </c>
    </row>
    <row r="5283" spans="1:5">
      <c r="A5283" s="64"/>
      <c r="E5283" t="e">
        <f t="shared" si="86"/>
        <v>#N/A</v>
      </c>
    </row>
    <row r="5284" spans="1:5">
      <c r="A5284" s="64"/>
      <c r="E5284" t="e">
        <f t="shared" si="86"/>
        <v>#N/A</v>
      </c>
    </row>
    <row r="5285" spans="1:5">
      <c r="A5285" s="64"/>
      <c r="E5285" t="e">
        <f t="shared" si="86"/>
        <v>#N/A</v>
      </c>
    </row>
    <row r="5286" spans="1:5">
      <c r="A5286" s="64"/>
      <c r="E5286" t="e">
        <f t="shared" si="86"/>
        <v>#N/A</v>
      </c>
    </row>
    <row r="5287" spans="1:5">
      <c r="A5287" s="64"/>
      <c r="E5287" t="e">
        <f t="shared" si="86"/>
        <v>#N/A</v>
      </c>
    </row>
    <row r="5288" spans="1:5">
      <c r="A5288" s="64"/>
      <c r="E5288" t="e">
        <f t="shared" si="86"/>
        <v>#N/A</v>
      </c>
    </row>
    <row r="5289" spans="1:5">
      <c r="A5289" s="64"/>
      <c r="E5289" t="e">
        <f t="shared" si="86"/>
        <v>#N/A</v>
      </c>
    </row>
    <row r="5290" spans="1:5">
      <c r="A5290" s="64"/>
      <c r="E5290" t="e">
        <f t="shared" si="86"/>
        <v>#N/A</v>
      </c>
    </row>
    <row r="5291" spans="1:5">
      <c r="A5291" s="64"/>
      <c r="E5291" t="e">
        <f t="shared" si="86"/>
        <v>#N/A</v>
      </c>
    </row>
    <row r="5292" spans="1:5">
      <c r="A5292" s="64"/>
      <c r="E5292" t="e">
        <f t="shared" si="86"/>
        <v>#N/A</v>
      </c>
    </row>
    <row r="5293" spans="1:5">
      <c r="A5293" s="64"/>
      <c r="E5293" t="e">
        <f t="shared" si="86"/>
        <v>#N/A</v>
      </c>
    </row>
    <row r="5294" spans="1:5">
      <c r="A5294" s="64"/>
      <c r="E5294" t="e">
        <f t="shared" si="86"/>
        <v>#N/A</v>
      </c>
    </row>
    <row r="5295" spans="1:5">
      <c r="A5295" s="64"/>
      <c r="E5295" t="e">
        <f t="shared" si="86"/>
        <v>#N/A</v>
      </c>
    </row>
    <row r="5296" spans="1:5">
      <c r="A5296" s="64"/>
      <c r="E5296" t="e">
        <f t="shared" si="86"/>
        <v>#N/A</v>
      </c>
    </row>
    <row r="5297" spans="1:5">
      <c r="A5297" s="64"/>
      <c r="E5297" t="e">
        <f t="shared" si="86"/>
        <v>#N/A</v>
      </c>
    </row>
    <row r="5298" spans="1:5">
      <c r="A5298" s="64"/>
      <c r="E5298" t="e">
        <f t="shared" si="86"/>
        <v>#N/A</v>
      </c>
    </row>
    <row r="5299" spans="1:5">
      <c r="A5299" s="64"/>
      <c r="E5299" t="e">
        <f t="shared" si="86"/>
        <v>#N/A</v>
      </c>
    </row>
    <row r="5300" spans="1:5">
      <c r="A5300" s="64"/>
      <c r="E5300" t="e">
        <f t="shared" si="86"/>
        <v>#N/A</v>
      </c>
    </row>
    <row r="5301" spans="1:5">
      <c r="A5301" s="64"/>
      <c r="E5301" t="e">
        <f t="shared" si="86"/>
        <v>#N/A</v>
      </c>
    </row>
    <row r="5302" spans="1:5">
      <c r="A5302" s="64"/>
      <c r="E5302" t="e">
        <f t="shared" si="86"/>
        <v>#N/A</v>
      </c>
    </row>
    <row r="5303" spans="1:5">
      <c r="A5303" s="64"/>
      <c r="E5303" t="e">
        <f t="shared" si="86"/>
        <v>#N/A</v>
      </c>
    </row>
    <row r="5304" spans="1:5">
      <c r="A5304" s="64"/>
      <c r="E5304" t="e">
        <f t="shared" si="86"/>
        <v>#N/A</v>
      </c>
    </row>
    <row r="5305" spans="1:5">
      <c r="A5305" s="64"/>
      <c r="E5305" t="e">
        <f t="shared" si="86"/>
        <v>#N/A</v>
      </c>
    </row>
    <row r="5306" spans="1:5">
      <c r="A5306" s="64"/>
      <c r="E5306" t="e">
        <f t="shared" si="86"/>
        <v>#N/A</v>
      </c>
    </row>
    <row r="5307" spans="1:5">
      <c r="A5307" s="64"/>
      <c r="E5307" t="e">
        <f t="shared" si="86"/>
        <v>#N/A</v>
      </c>
    </row>
    <row r="5308" spans="1:5">
      <c r="A5308" s="64"/>
      <c r="E5308" t="e">
        <f t="shared" si="86"/>
        <v>#N/A</v>
      </c>
    </row>
    <row r="5309" spans="1:5">
      <c r="A5309" s="64"/>
      <c r="E5309" t="e">
        <f t="shared" si="86"/>
        <v>#N/A</v>
      </c>
    </row>
    <row r="5310" spans="1:5">
      <c r="A5310" s="64"/>
      <c r="E5310" t="e">
        <f t="shared" si="86"/>
        <v>#N/A</v>
      </c>
    </row>
    <row r="5311" spans="1:5">
      <c r="A5311" s="64"/>
      <c r="E5311" t="e">
        <f t="shared" si="86"/>
        <v>#N/A</v>
      </c>
    </row>
    <row r="5312" spans="1:5">
      <c r="A5312" s="64"/>
      <c r="E5312" t="e">
        <f t="shared" si="86"/>
        <v>#N/A</v>
      </c>
    </row>
    <row r="5313" spans="1:5">
      <c r="A5313" s="64"/>
      <c r="E5313" t="e">
        <f t="shared" si="86"/>
        <v>#N/A</v>
      </c>
    </row>
    <row r="5314" spans="1:5">
      <c r="A5314" s="64"/>
      <c r="E5314" t="e">
        <f t="shared" si="86"/>
        <v>#N/A</v>
      </c>
    </row>
    <row r="5315" spans="1:5">
      <c r="A5315" s="64"/>
      <c r="E5315" t="e">
        <f t="shared" si="86"/>
        <v>#N/A</v>
      </c>
    </row>
    <row r="5316" spans="1:5">
      <c r="A5316" s="64"/>
      <c r="E5316" t="e">
        <f t="shared" si="86"/>
        <v>#N/A</v>
      </c>
    </row>
    <row r="5317" spans="1:5">
      <c r="A5317" s="64"/>
      <c r="E5317" t="e">
        <f t="shared" si="86"/>
        <v>#N/A</v>
      </c>
    </row>
    <row r="5318" spans="1:5">
      <c r="A5318" s="64"/>
      <c r="E5318" t="e">
        <f t="shared" si="86"/>
        <v>#N/A</v>
      </c>
    </row>
    <row r="5319" spans="1:5">
      <c r="A5319" s="64"/>
      <c r="E5319" t="e">
        <f t="shared" si="86"/>
        <v>#N/A</v>
      </c>
    </row>
    <row r="5320" spans="1:5">
      <c r="A5320" s="64"/>
      <c r="E5320" t="e">
        <f t="shared" si="86"/>
        <v>#N/A</v>
      </c>
    </row>
    <row r="5321" spans="1:5">
      <c r="A5321" s="64"/>
      <c r="E5321" t="e">
        <f t="shared" si="86"/>
        <v>#N/A</v>
      </c>
    </row>
    <row r="5322" spans="1:5">
      <c r="A5322" s="64"/>
      <c r="E5322" t="e">
        <f t="shared" si="86"/>
        <v>#N/A</v>
      </c>
    </row>
    <row r="5323" spans="1:5">
      <c r="A5323" s="64"/>
      <c r="E5323" t="e">
        <f t="shared" si="86"/>
        <v>#N/A</v>
      </c>
    </row>
    <row r="5324" spans="1:5">
      <c r="A5324" s="64"/>
      <c r="E5324" t="e">
        <f t="shared" si="86"/>
        <v>#N/A</v>
      </c>
    </row>
    <row r="5325" spans="1:5">
      <c r="A5325" s="64"/>
      <c r="E5325" t="e">
        <f t="shared" ref="E5325:E5388" si="87">VLOOKUP(B5325,$Q$14:$R$62,2,FALSE)</f>
        <v>#N/A</v>
      </c>
    </row>
    <row r="5326" spans="1:5">
      <c r="A5326" s="64"/>
      <c r="E5326" t="e">
        <f t="shared" si="87"/>
        <v>#N/A</v>
      </c>
    </row>
    <row r="5327" spans="1:5">
      <c r="A5327" s="64"/>
      <c r="E5327" t="e">
        <f t="shared" si="87"/>
        <v>#N/A</v>
      </c>
    </row>
    <row r="5328" spans="1:5">
      <c r="A5328" s="64"/>
      <c r="E5328" t="e">
        <f t="shared" si="87"/>
        <v>#N/A</v>
      </c>
    </row>
    <row r="5329" spans="1:5">
      <c r="A5329" s="64"/>
      <c r="E5329" t="e">
        <f t="shared" si="87"/>
        <v>#N/A</v>
      </c>
    </row>
    <row r="5330" spans="1:5">
      <c r="A5330" s="64"/>
      <c r="E5330" t="e">
        <f t="shared" si="87"/>
        <v>#N/A</v>
      </c>
    </row>
    <row r="5331" spans="1:5">
      <c r="A5331" s="64"/>
      <c r="E5331" t="e">
        <f t="shared" si="87"/>
        <v>#N/A</v>
      </c>
    </row>
    <row r="5332" spans="1:5">
      <c r="A5332" s="64"/>
      <c r="E5332" t="e">
        <f t="shared" si="87"/>
        <v>#N/A</v>
      </c>
    </row>
    <row r="5333" spans="1:5">
      <c r="A5333" s="64"/>
      <c r="E5333" t="e">
        <f t="shared" si="87"/>
        <v>#N/A</v>
      </c>
    </row>
    <row r="5334" spans="1:5">
      <c r="A5334" s="64"/>
      <c r="E5334" t="e">
        <f t="shared" si="87"/>
        <v>#N/A</v>
      </c>
    </row>
    <row r="5335" spans="1:5">
      <c r="A5335" s="64"/>
      <c r="E5335" t="e">
        <f t="shared" si="87"/>
        <v>#N/A</v>
      </c>
    </row>
    <row r="5336" spans="1:5">
      <c r="A5336" s="64"/>
      <c r="E5336" t="e">
        <f t="shared" si="87"/>
        <v>#N/A</v>
      </c>
    </row>
    <row r="5337" spans="1:5">
      <c r="A5337" s="64"/>
      <c r="E5337" t="e">
        <f t="shared" si="87"/>
        <v>#N/A</v>
      </c>
    </row>
    <row r="5338" spans="1:5">
      <c r="A5338" s="64"/>
      <c r="E5338" t="e">
        <f t="shared" si="87"/>
        <v>#N/A</v>
      </c>
    </row>
    <row r="5339" spans="1:5">
      <c r="A5339" s="64"/>
      <c r="E5339" t="e">
        <f t="shared" si="87"/>
        <v>#N/A</v>
      </c>
    </row>
    <row r="5340" spans="1:5">
      <c r="A5340" s="64"/>
      <c r="E5340" t="e">
        <f t="shared" si="87"/>
        <v>#N/A</v>
      </c>
    </row>
    <row r="5341" spans="1:5">
      <c r="A5341" s="64"/>
      <c r="E5341" t="e">
        <f t="shared" si="87"/>
        <v>#N/A</v>
      </c>
    </row>
    <row r="5342" spans="1:5">
      <c r="A5342" s="64"/>
      <c r="E5342" t="e">
        <f t="shared" si="87"/>
        <v>#N/A</v>
      </c>
    </row>
    <row r="5343" spans="1:5">
      <c r="A5343" s="64"/>
      <c r="E5343" t="e">
        <f t="shared" si="87"/>
        <v>#N/A</v>
      </c>
    </row>
    <row r="5344" spans="1:5">
      <c r="A5344" s="64"/>
      <c r="E5344" t="e">
        <f t="shared" si="87"/>
        <v>#N/A</v>
      </c>
    </row>
    <row r="5345" spans="1:5">
      <c r="A5345" s="64"/>
      <c r="E5345" t="e">
        <f t="shared" si="87"/>
        <v>#N/A</v>
      </c>
    </row>
    <row r="5346" spans="1:5">
      <c r="A5346" s="64"/>
      <c r="E5346" t="e">
        <f t="shared" si="87"/>
        <v>#N/A</v>
      </c>
    </row>
    <row r="5347" spans="1:5">
      <c r="A5347" s="64"/>
      <c r="E5347" t="e">
        <f t="shared" si="87"/>
        <v>#N/A</v>
      </c>
    </row>
    <row r="5348" spans="1:5">
      <c r="A5348" s="64"/>
      <c r="E5348" t="e">
        <f t="shared" si="87"/>
        <v>#N/A</v>
      </c>
    </row>
    <row r="5349" spans="1:5">
      <c r="A5349" s="64"/>
      <c r="E5349" t="e">
        <f t="shared" si="87"/>
        <v>#N/A</v>
      </c>
    </row>
    <row r="5350" spans="1:5">
      <c r="A5350" s="64"/>
      <c r="E5350" t="e">
        <f t="shared" si="87"/>
        <v>#N/A</v>
      </c>
    </row>
    <row r="5351" spans="1:5">
      <c r="A5351" s="64"/>
      <c r="E5351" t="e">
        <f t="shared" si="87"/>
        <v>#N/A</v>
      </c>
    </row>
    <row r="5352" spans="1:5">
      <c r="A5352" s="64"/>
      <c r="E5352" t="e">
        <f t="shared" si="87"/>
        <v>#N/A</v>
      </c>
    </row>
    <row r="5353" spans="1:5">
      <c r="A5353" s="64"/>
      <c r="E5353" t="e">
        <f t="shared" si="87"/>
        <v>#N/A</v>
      </c>
    </row>
    <row r="5354" spans="1:5">
      <c r="A5354" s="64"/>
      <c r="E5354" t="e">
        <f t="shared" si="87"/>
        <v>#N/A</v>
      </c>
    </row>
    <row r="5355" spans="1:5">
      <c r="A5355" s="64"/>
      <c r="E5355" t="e">
        <f t="shared" si="87"/>
        <v>#N/A</v>
      </c>
    </row>
    <row r="5356" spans="1:5">
      <c r="A5356" s="64"/>
      <c r="E5356" t="e">
        <f t="shared" si="87"/>
        <v>#N/A</v>
      </c>
    </row>
    <row r="5357" spans="1:5">
      <c r="A5357" s="64"/>
      <c r="E5357" t="e">
        <f t="shared" si="87"/>
        <v>#N/A</v>
      </c>
    </row>
    <row r="5358" spans="1:5">
      <c r="A5358" s="64"/>
      <c r="E5358" t="e">
        <f t="shared" si="87"/>
        <v>#N/A</v>
      </c>
    </row>
    <row r="5359" spans="1:5">
      <c r="A5359" s="64"/>
      <c r="E5359" t="e">
        <f t="shared" si="87"/>
        <v>#N/A</v>
      </c>
    </row>
    <row r="5360" spans="1:5">
      <c r="A5360" s="64"/>
      <c r="E5360" t="e">
        <f t="shared" si="87"/>
        <v>#N/A</v>
      </c>
    </row>
    <row r="5361" spans="1:5">
      <c r="A5361" s="64"/>
      <c r="E5361" t="e">
        <f t="shared" si="87"/>
        <v>#N/A</v>
      </c>
    </row>
    <row r="5362" spans="1:5">
      <c r="A5362" s="64"/>
      <c r="E5362" t="e">
        <f t="shared" si="87"/>
        <v>#N/A</v>
      </c>
    </row>
    <row r="5363" spans="1:5">
      <c r="A5363" s="64"/>
      <c r="E5363" t="e">
        <f t="shared" si="87"/>
        <v>#N/A</v>
      </c>
    </row>
    <row r="5364" spans="1:5">
      <c r="A5364" s="64"/>
      <c r="E5364" t="e">
        <f t="shared" si="87"/>
        <v>#N/A</v>
      </c>
    </row>
    <row r="5365" spans="1:5">
      <c r="A5365" s="64"/>
      <c r="E5365" t="e">
        <f t="shared" si="87"/>
        <v>#N/A</v>
      </c>
    </row>
    <row r="5366" spans="1:5">
      <c r="A5366" s="64"/>
      <c r="E5366" t="e">
        <f t="shared" si="87"/>
        <v>#N/A</v>
      </c>
    </row>
    <row r="5367" spans="1:5">
      <c r="A5367" s="64"/>
      <c r="E5367" t="e">
        <f t="shared" si="87"/>
        <v>#N/A</v>
      </c>
    </row>
    <row r="5368" spans="1:5">
      <c r="A5368" s="64"/>
      <c r="E5368" t="e">
        <f t="shared" si="87"/>
        <v>#N/A</v>
      </c>
    </row>
    <row r="5369" spans="1:5">
      <c r="A5369" s="64"/>
      <c r="E5369" t="e">
        <f t="shared" si="87"/>
        <v>#N/A</v>
      </c>
    </row>
    <row r="5370" spans="1:5">
      <c r="A5370" s="64"/>
      <c r="E5370" t="e">
        <f t="shared" si="87"/>
        <v>#N/A</v>
      </c>
    </row>
    <row r="5371" spans="1:5">
      <c r="A5371" s="64"/>
      <c r="E5371" t="e">
        <f t="shared" si="87"/>
        <v>#N/A</v>
      </c>
    </row>
    <row r="5372" spans="1:5">
      <c r="A5372" s="64"/>
      <c r="E5372" t="e">
        <f t="shared" si="87"/>
        <v>#N/A</v>
      </c>
    </row>
    <row r="5373" spans="1:5">
      <c r="A5373" s="64"/>
      <c r="E5373" t="e">
        <f t="shared" si="87"/>
        <v>#N/A</v>
      </c>
    </row>
    <row r="5374" spans="1:5">
      <c r="A5374" s="64"/>
      <c r="E5374" t="e">
        <f t="shared" si="87"/>
        <v>#N/A</v>
      </c>
    </row>
    <row r="5375" spans="1:5">
      <c r="A5375" s="64"/>
      <c r="E5375" t="e">
        <f t="shared" si="87"/>
        <v>#N/A</v>
      </c>
    </row>
    <row r="5376" spans="1:5">
      <c r="A5376" s="64"/>
      <c r="E5376" t="e">
        <f t="shared" si="87"/>
        <v>#N/A</v>
      </c>
    </row>
    <row r="5377" spans="1:5">
      <c r="A5377" s="64"/>
      <c r="E5377" t="e">
        <f t="shared" si="87"/>
        <v>#N/A</v>
      </c>
    </row>
    <row r="5378" spans="1:5">
      <c r="A5378" s="64"/>
      <c r="E5378" t="e">
        <f t="shared" si="87"/>
        <v>#N/A</v>
      </c>
    </row>
    <row r="5379" spans="1:5">
      <c r="A5379" s="64"/>
      <c r="E5379" t="e">
        <f t="shared" si="87"/>
        <v>#N/A</v>
      </c>
    </row>
    <row r="5380" spans="1:5">
      <c r="A5380" s="64"/>
      <c r="E5380" t="e">
        <f t="shared" si="87"/>
        <v>#N/A</v>
      </c>
    </row>
    <row r="5381" spans="1:5">
      <c r="A5381" s="64"/>
      <c r="E5381" t="e">
        <f t="shared" si="87"/>
        <v>#N/A</v>
      </c>
    </row>
    <row r="5382" spans="1:5">
      <c r="A5382" s="64"/>
      <c r="E5382" t="e">
        <f t="shared" si="87"/>
        <v>#N/A</v>
      </c>
    </row>
    <row r="5383" spans="1:5">
      <c r="A5383" s="64"/>
      <c r="E5383" t="e">
        <f t="shared" si="87"/>
        <v>#N/A</v>
      </c>
    </row>
    <row r="5384" spans="1:5">
      <c r="A5384" s="64"/>
      <c r="E5384" t="e">
        <f t="shared" si="87"/>
        <v>#N/A</v>
      </c>
    </row>
    <row r="5385" spans="1:5">
      <c r="A5385" s="64"/>
      <c r="E5385" t="e">
        <f t="shared" si="87"/>
        <v>#N/A</v>
      </c>
    </row>
    <row r="5386" spans="1:5">
      <c r="A5386" s="64"/>
      <c r="E5386" t="e">
        <f t="shared" si="87"/>
        <v>#N/A</v>
      </c>
    </row>
    <row r="5387" spans="1:5">
      <c r="A5387" s="64"/>
      <c r="E5387" t="e">
        <f t="shared" si="87"/>
        <v>#N/A</v>
      </c>
    </row>
    <row r="5388" spans="1:5">
      <c r="A5388" s="64"/>
      <c r="E5388" t="e">
        <f t="shared" si="87"/>
        <v>#N/A</v>
      </c>
    </row>
    <row r="5389" spans="1:5">
      <c r="A5389" s="64"/>
      <c r="E5389" t="e">
        <f t="shared" ref="E5389:E5452" si="88">VLOOKUP(B5389,$Q$14:$R$62,2,FALSE)</f>
        <v>#N/A</v>
      </c>
    </row>
    <row r="5390" spans="1:5">
      <c r="A5390" s="64"/>
      <c r="E5390" t="e">
        <f t="shared" si="88"/>
        <v>#N/A</v>
      </c>
    </row>
    <row r="5391" spans="1:5">
      <c r="A5391" s="64"/>
      <c r="E5391" t="e">
        <f t="shared" si="88"/>
        <v>#N/A</v>
      </c>
    </row>
    <row r="5392" spans="1:5">
      <c r="A5392" s="64"/>
      <c r="E5392" t="e">
        <f t="shared" si="88"/>
        <v>#N/A</v>
      </c>
    </row>
    <row r="5393" spans="1:5">
      <c r="A5393" s="64"/>
      <c r="E5393" t="e">
        <f t="shared" si="88"/>
        <v>#N/A</v>
      </c>
    </row>
    <row r="5394" spans="1:5">
      <c r="A5394" s="64"/>
      <c r="E5394" t="e">
        <f t="shared" si="88"/>
        <v>#N/A</v>
      </c>
    </row>
    <row r="5395" spans="1:5">
      <c r="A5395" s="64"/>
      <c r="E5395" t="e">
        <f t="shared" si="88"/>
        <v>#N/A</v>
      </c>
    </row>
    <row r="5396" spans="1:5">
      <c r="A5396" s="64"/>
      <c r="E5396" t="e">
        <f t="shared" si="88"/>
        <v>#N/A</v>
      </c>
    </row>
    <row r="5397" spans="1:5">
      <c r="A5397" s="64"/>
      <c r="E5397" t="e">
        <f t="shared" si="88"/>
        <v>#N/A</v>
      </c>
    </row>
    <row r="5398" spans="1:5">
      <c r="A5398" s="64"/>
      <c r="E5398" t="e">
        <f t="shared" si="88"/>
        <v>#N/A</v>
      </c>
    </row>
    <row r="5399" spans="1:5">
      <c r="A5399" s="64"/>
      <c r="E5399" t="e">
        <f t="shared" si="88"/>
        <v>#N/A</v>
      </c>
    </row>
    <row r="5400" spans="1:5">
      <c r="A5400" s="64"/>
      <c r="E5400" t="e">
        <f t="shared" si="88"/>
        <v>#N/A</v>
      </c>
    </row>
    <row r="5401" spans="1:5">
      <c r="A5401" s="64"/>
      <c r="E5401" t="e">
        <f t="shared" si="88"/>
        <v>#N/A</v>
      </c>
    </row>
    <row r="5402" spans="1:5">
      <c r="A5402" s="64"/>
      <c r="E5402" t="e">
        <f t="shared" si="88"/>
        <v>#N/A</v>
      </c>
    </row>
    <row r="5403" spans="1:5">
      <c r="A5403" s="64"/>
      <c r="E5403" t="e">
        <f t="shared" si="88"/>
        <v>#N/A</v>
      </c>
    </row>
    <row r="5404" spans="1:5">
      <c r="A5404" s="64"/>
      <c r="E5404" t="e">
        <f t="shared" si="88"/>
        <v>#N/A</v>
      </c>
    </row>
    <row r="5405" spans="1:5">
      <c r="A5405" s="64"/>
      <c r="E5405" t="e">
        <f t="shared" si="88"/>
        <v>#N/A</v>
      </c>
    </row>
    <row r="5406" spans="1:5">
      <c r="A5406" s="64"/>
      <c r="E5406" t="e">
        <f t="shared" si="88"/>
        <v>#N/A</v>
      </c>
    </row>
    <row r="5407" spans="1:5">
      <c r="A5407" s="64"/>
      <c r="E5407" t="e">
        <f t="shared" si="88"/>
        <v>#N/A</v>
      </c>
    </row>
    <row r="5408" spans="1:5">
      <c r="A5408" s="64"/>
      <c r="E5408" t="e">
        <f t="shared" si="88"/>
        <v>#N/A</v>
      </c>
    </row>
    <row r="5409" spans="1:5">
      <c r="A5409" s="64"/>
      <c r="E5409" t="e">
        <f t="shared" si="88"/>
        <v>#N/A</v>
      </c>
    </row>
    <row r="5410" spans="1:5">
      <c r="A5410" s="64"/>
      <c r="E5410" t="e">
        <f t="shared" si="88"/>
        <v>#N/A</v>
      </c>
    </row>
    <row r="5411" spans="1:5">
      <c r="A5411" s="64"/>
      <c r="E5411" t="e">
        <f t="shared" si="88"/>
        <v>#N/A</v>
      </c>
    </row>
    <row r="5412" spans="1:5">
      <c r="A5412" s="64"/>
      <c r="E5412" t="e">
        <f t="shared" si="88"/>
        <v>#N/A</v>
      </c>
    </row>
    <row r="5413" spans="1:5">
      <c r="A5413" s="64"/>
      <c r="E5413" t="e">
        <f t="shared" si="88"/>
        <v>#N/A</v>
      </c>
    </row>
    <row r="5414" spans="1:5">
      <c r="A5414" s="64"/>
      <c r="E5414" t="e">
        <f t="shared" si="88"/>
        <v>#N/A</v>
      </c>
    </row>
    <row r="5415" spans="1:5">
      <c r="A5415" s="64"/>
      <c r="E5415" t="e">
        <f t="shared" si="88"/>
        <v>#N/A</v>
      </c>
    </row>
    <row r="5416" spans="1:5">
      <c r="A5416" s="64"/>
      <c r="E5416" t="e">
        <f t="shared" si="88"/>
        <v>#N/A</v>
      </c>
    </row>
    <row r="5417" spans="1:5">
      <c r="A5417" s="64"/>
      <c r="E5417" t="e">
        <f t="shared" si="88"/>
        <v>#N/A</v>
      </c>
    </row>
    <row r="5418" spans="1:5">
      <c r="A5418" s="64"/>
      <c r="E5418" t="e">
        <f t="shared" si="88"/>
        <v>#N/A</v>
      </c>
    </row>
    <row r="5419" spans="1:5">
      <c r="A5419" s="64"/>
      <c r="E5419" t="e">
        <f t="shared" si="88"/>
        <v>#N/A</v>
      </c>
    </row>
    <row r="5420" spans="1:5">
      <c r="A5420" s="64"/>
      <c r="E5420" t="e">
        <f t="shared" si="88"/>
        <v>#N/A</v>
      </c>
    </row>
    <row r="5421" spans="1:5">
      <c r="A5421" s="64"/>
      <c r="E5421" t="e">
        <f t="shared" si="88"/>
        <v>#N/A</v>
      </c>
    </row>
    <row r="5422" spans="1:5">
      <c r="A5422" s="64"/>
      <c r="E5422" t="e">
        <f t="shared" si="88"/>
        <v>#N/A</v>
      </c>
    </row>
    <row r="5423" spans="1:5">
      <c r="A5423" s="64"/>
      <c r="E5423" t="e">
        <f t="shared" si="88"/>
        <v>#N/A</v>
      </c>
    </row>
    <row r="5424" spans="1:5">
      <c r="A5424" s="64"/>
      <c r="E5424" t="e">
        <f t="shared" si="88"/>
        <v>#N/A</v>
      </c>
    </row>
    <row r="5425" spans="1:5">
      <c r="A5425" s="64"/>
      <c r="E5425" t="e">
        <f t="shared" si="88"/>
        <v>#N/A</v>
      </c>
    </row>
    <row r="5426" spans="1:5">
      <c r="A5426" s="64"/>
      <c r="E5426" t="e">
        <f t="shared" si="88"/>
        <v>#N/A</v>
      </c>
    </row>
    <row r="5427" spans="1:5">
      <c r="A5427" s="64"/>
      <c r="E5427" t="e">
        <f t="shared" si="88"/>
        <v>#N/A</v>
      </c>
    </row>
    <row r="5428" spans="1:5">
      <c r="A5428" s="64"/>
      <c r="E5428" t="e">
        <f t="shared" si="88"/>
        <v>#N/A</v>
      </c>
    </row>
    <row r="5429" spans="1:5">
      <c r="A5429" s="64"/>
      <c r="E5429" t="e">
        <f t="shared" si="88"/>
        <v>#N/A</v>
      </c>
    </row>
    <row r="5430" spans="1:5">
      <c r="A5430" s="64"/>
      <c r="E5430" t="e">
        <f t="shared" si="88"/>
        <v>#N/A</v>
      </c>
    </row>
    <row r="5431" spans="1:5">
      <c r="A5431" s="64"/>
      <c r="E5431" t="e">
        <f t="shared" si="88"/>
        <v>#N/A</v>
      </c>
    </row>
    <row r="5432" spans="1:5">
      <c r="A5432" s="64"/>
      <c r="E5432" t="e">
        <f t="shared" si="88"/>
        <v>#N/A</v>
      </c>
    </row>
    <row r="5433" spans="1:5">
      <c r="A5433" s="64"/>
      <c r="E5433" t="e">
        <f t="shared" si="88"/>
        <v>#N/A</v>
      </c>
    </row>
    <row r="5434" spans="1:5">
      <c r="A5434" s="64"/>
      <c r="E5434" t="e">
        <f t="shared" si="88"/>
        <v>#N/A</v>
      </c>
    </row>
    <row r="5435" spans="1:5">
      <c r="A5435" s="64"/>
      <c r="E5435" t="e">
        <f t="shared" si="88"/>
        <v>#N/A</v>
      </c>
    </row>
    <row r="5436" spans="1:5">
      <c r="A5436" s="64"/>
      <c r="E5436" t="e">
        <f t="shared" si="88"/>
        <v>#N/A</v>
      </c>
    </row>
    <row r="5437" spans="1:5">
      <c r="A5437" s="64"/>
      <c r="E5437" t="e">
        <f t="shared" si="88"/>
        <v>#N/A</v>
      </c>
    </row>
    <row r="5438" spans="1:5">
      <c r="A5438" s="64"/>
      <c r="E5438" t="e">
        <f t="shared" si="88"/>
        <v>#N/A</v>
      </c>
    </row>
    <row r="5439" spans="1:5">
      <c r="A5439" s="64"/>
      <c r="E5439" t="e">
        <f t="shared" si="88"/>
        <v>#N/A</v>
      </c>
    </row>
    <row r="5440" spans="1:5">
      <c r="A5440" s="64"/>
      <c r="E5440" t="e">
        <f t="shared" si="88"/>
        <v>#N/A</v>
      </c>
    </row>
    <row r="5441" spans="1:5">
      <c r="A5441" s="64"/>
      <c r="E5441" t="e">
        <f t="shared" si="88"/>
        <v>#N/A</v>
      </c>
    </row>
    <row r="5442" spans="1:5">
      <c r="A5442" s="64"/>
      <c r="E5442" t="e">
        <f t="shared" si="88"/>
        <v>#N/A</v>
      </c>
    </row>
    <row r="5443" spans="1:5">
      <c r="A5443" s="64"/>
      <c r="E5443" t="e">
        <f t="shared" si="88"/>
        <v>#N/A</v>
      </c>
    </row>
    <row r="5444" spans="1:5">
      <c r="A5444" s="64"/>
      <c r="E5444" t="e">
        <f t="shared" si="88"/>
        <v>#N/A</v>
      </c>
    </row>
    <row r="5445" spans="1:5">
      <c r="A5445" s="64"/>
      <c r="E5445" t="e">
        <f t="shared" si="88"/>
        <v>#N/A</v>
      </c>
    </row>
    <row r="5446" spans="1:5">
      <c r="A5446" s="64"/>
      <c r="E5446" t="e">
        <f t="shared" si="88"/>
        <v>#N/A</v>
      </c>
    </row>
    <row r="5447" spans="1:5">
      <c r="A5447" s="64"/>
      <c r="E5447" t="e">
        <f t="shared" si="88"/>
        <v>#N/A</v>
      </c>
    </row>
    <row r="5448" spans="1:5">
      <c r="A5448" s="64"/>
      <c r="E5448" t="e">
        <f t="shared" si="88"/>
        <v>#N/A</v>
      </c>
    </row>
    <row r="5449" spans="1:5">
      <c r="A5449" s="64"/>
      <c r="E5449" t="e">
        <f t="shared" si="88"/>
        <v>#N/A</v>
      </c>
    </row>
    <row r="5450" spans="1:5">
      <c r="A5450" s="64"/>
      <c r="E5450" t="e">
        <f t="shared" si="88"/>
        <v>#N/A</v>
      </c>
    </row>
    <row r="5451" spans="1:5">
      <c r="A5451" s="64"/>
      <c r="E5451" t="e">
        <f t="shared" si="88"/>
        <v>#N/A</v>
      </c>
    </row>
    <row r="5452" spans="1:5">
      <c r="A5452" s="64"/>
      <c r="E5452" t="e">
        <f t="shared" si="88"/>
        <v>#N/A</v>
      </c>
    </row>
    <row r="5453" spans="1:5">
      <c r="A5453" s="64"/>
      <c r="E5453" t="e">
        <f t="shared" ref="E5453:E5516" si="89">VLOOKUP(B5453,$Q$14:$R$62,2,FALSE)</f>
        <v>#N/A</v>
      </c>
    </row>
    <row r="5454" spans="1:5">
      <c r="A5454" s="64"/>
      <c r="E5454" t="e">
        <f t="shared" si="89"/>
        <v>#N/A</v>
      </c>
    </row>
    <row r="5455" spans="1:5">
      <c r="A5455" s="64"/>
      <c r="E5455" t="e">
        <f t="shared" si="89"/>
        <v>#N/A</v>
      </c>
    </row>
    <row r="5456" spans="1:5">
      <c r="A5456" s="64"/>
      <c r="E5456" t="e">
        <f t="shared" si="89"/>
        <v>#N/A</v>
      </c>
    </row>
    <row r="5457" spans="1:5">
      <c r="A5457" s="64"/>
      <c r="E5457" t="e">
        <f t="shared" si="89"/>
        <v>#N/A</v>
      </c>
    </row>
    <row r="5458" spans="1:5">
      <c r="A5458" s="64"/>
      <c r="E5458" t="e">
        <f t="shared" si="89"/>
        <v>#N/A</v>
      </c>
    </row>
    <row r="5459" spans="1:5">
      <c r="A5459" s="64"/>
      <c r="E5459" t="e">
        <f t="shared" si="89"/>
        <v>#N/A</v>
      </c>
    </row>
    <row r="5460" spans="1:5">
      <c r="A5460" s="64"/>
      <c r="E5460" t="e">
        <f t="shared" si="89"/>
        <v>#N/A</v>
      </c>
    </row>
    <row r="5461" spans="1:5">
      <c r="A5461" s="64"/>
      <c r="E5461" t="e">
        <f t="shared" si="89"/>
        <v>#N/A</v>
      </c>
    </row>
    <row r="5462" spans="1:5">
      <c r="A5462" s="64"/>
      <c r="E5462" t="e">
        <f t="shared" si="89"/>
        <v>#N/A</v>
      </c>
    </row>
    <row r="5463" spans="1:5">
      <c r="A5463" s="64"/>
      <c r="E5463" t="e">
        <f t="shared" si="89"/>
        <v>#N/A</v>
      </c>
    </row>
    <row r="5464" spans="1:5">
      <c r="A5464" s="64"/>
      <c r="E5464" t="e">
        <f t="shared" si="89"/>
        <v>#N/A</v>
      </c>
    </row>
    <row r="5465" spans="1:5">
      <c r="A5465" s="64"/>
      <c r="E5465" t="e">
        <f t="shared" si="89"/>
        <v>#N/A</v>
      </c>
    </row>
    <row r="5466" spans="1:5">
      <c r="A5466" s="64"/>
      <c r="E5466" t="e">
        <f t="shared" si="89"/>
        <v>#N/A</v>
      </c>
    </row>
    <row r="5467" spans="1:5">
      <c r="A5467" s="64"/>
      <c r="E5467" t="e">
        <f t="shared" si="89"/>
        <v>#N/A</v>
      </c>
    </row>
    <row r="5468" spans="1:5">
      <c r="A5468" s="64"/>
      <c r="E5468" t="e">
        <f t="shared" si="89"/>
        <v>#N/A</v>
      </c>
    </row>
    <row r="5469" spans="1:5">
      <c r="A5469" s="64"/>
      <c r="E5469" t="e">
        <f t="shared" si="89"/>
        <v>#N/A</v>
      </c>
    </row>
    <row r="5470" spans="1:5">
      <c r="A5470" s="64"/>
      <c r="E5470" t="e">
        <f t="shared" si="89"/>
        <v>#N/A</v>
      </c>
    </row>
    <row r="5471" spans="1:5">
      <c r="A5471" s="64"/>
      <c r="E5471" t="e">
        <f t="shared" si="89"/>
        <v>#N/A</v>
      </c>
    </row>
    <row r="5472" spans="1:5">
      <c r="A5472" s="64"/>
      <c r="E5472" t="e">
        <f t="shared" si="89"/>
        <v>#N/A</v>
      </c>
    </row>
    <row r="5473" spans="1:5">
      <c r="A5473" s="64"/>
      <c r="E5473" t="e">
        <f t="shared" si="89"/>
        <v>#N/A</v>
      </c>
    </row>
    <row r="5474" spans="1:5">
      <c r="A5474" s="64"/>
      <c r="E5474" t="e">
        <f t="shared" si="89"/>
        <v>#N/A</v>
      </c>
    </row>
    <row r="5475" spans="1:5">
      <c r="A5475" s="64"/>
      <c r="E5475" t="e">
        <f t="shared" si="89"/>
        <v>#N/A</v>
      </c>
    </row>
    <row r="5476" spans="1:5">
      <c r="A5476" s="64"/>
      <c r="E5476" t="e">
        <f t="shared" si="89"/>
        <v>#N/A</v>
      </c>
    </row>
    <row r="5477" spans="1:5">
      <c r="A5477" s="64"/>
      <c r="E5477" t="e">
        <f t="shared" si="89"/>
        <v>#N/A</v>
      </c>
    </row>
    <row r="5478" spans="1:5">
      <c r="A5478" s="64"/>
      <c r="E5478" t="e">
        <f t="shared" si="89"/>
        <v>#N/A</v>
      </c>
    </row>
    <row r="5479" spans="1:5">
      <c r="A5479" s="64"/>
      <c r="E5479" t="e">
        <f t="shared" si="89"/>
        <v>#N/A</v>
      </c>
    </row>
    <row r="5480" spans="1:5">
      <c r="A5480" s="64"/>
      <c r="E5480" t="e">
        <f t="shared" si="89"/>
        <v>#N/A</v>
      </c>
    </row>
    <row r="5481" spans="1:5">
      <c r="A5481" s="64"/>
      <c r="E5481" t="e">
        <f t="shared" si="89"/>
        <v>#N/A</v>
      </c>
    </row>
    <row r="5482" spans="1:5">
      <c r="A5482" s="64"/>
      <c r="E5482" t="e">
        <f t="shared" si="89"/>
        <v>#N/A</v>
      </c>
    </row>
    <row r="5483" spans="1:5">
      <c r="A5483" s="64"/>
      <c r="E5483" t="e">
        <f t="shared" si="89"/>
        <v>#N/A</v>
      </c>
    </row>
    <row r="5484" spans="1:5">
      <c r="A5484" s="64"/>
      <c r="E5484" t="e">
        <f t="shared" si="89"/>
        <v>#N/A</v>
      </c>
    </row>
    <row r="5485" spans="1:5">
      <c r="A5485" s="64"/>
      <c r="E5485" t="e">
        <f t="shared" si="89"/>
        <v>#N/A</v>
      </c>
    </row>
    <row r="5486" spans="1:5">
      <c r="A5486" s="64"/>
      <c r="E5486" t="e">
        <f t="shared" si="89"/>
        <v>#N/A</v>
      </c>
    </row>
    <row r="5487" spans="1:5">
      <c r="A5487" s="64"/>
      <c r="E5487" t="e">
        <f t="shared" si="89"/>
        <v>#N/A</v>
      </c>
    </row>
    <row r="5488" spans="1:5">
      <c r="A5488" s="64"/>
      <c r="E5488" t="e">
        <f t="shared" si="89"/>
        <v>#N/A</v>
      </c>
    </row>
    <row r="5489" spans="1:5">
      <c r="A5489" s="64"/>
      <c r="E5489" t="e">
        <f t="shared" si="89"/>
        <v>#N/A</v>
      </c>
    </row>
    <row r="5490" spans="1:5">
      <c r="A5490" s="64"/>
      <c r="E5490" t="e">
        <f t="shared" si="89"/>
        <v>#N/A</v>
      </c>
    </row>
    <row r="5491" spans="1:5">
      <c r="A5491" s="64"/>
      <c r="E5491" t="e">
        <f t="shared" si="89"/>
        <v>#N/A</v>
      </c>
    </row>
    <row r="5492" spans="1:5">
      <c r="A5492" s="64"/>
      <c r="E5492" t="e">
        <f t="shared" si="89"/>
        <v>#N/A</v>
      </c>
    </row>
    <row r="5493" spans="1:5">
      <c r="A5493" s="64"/>
      <c r="E5493" t="e">
        <f t="shared" si="89"/>
        <v>#N/A</v>
      </c>
    </row>
    <row r="5494" spans="1:5">
      <c r="A5494" s="64"/>
      <c r="E5494" t="e">
        <f t="shared" si="89"/>
        <v>#N/A</v>
      </c>
    </row>
    <row r="5495" spans="1:5">
      <c r="A5495" s="64"/>
      <c r="E5495" t="e">
        <f t="shared" si="89"/>
        <v>#N/A</v>
      </c>
    </row>
    <row r="5496" spans="1:5">
      <c r="A5496" s="64"/>
      <c r="E5496" t="e">
        <f t="shared" si="89"/>
        <v>#N/A</v>
      </c>
    </row>
    <row r="5497" spans="1:5">
      <c r="A5497" s="64"/>
      <c r="E5497" t="e">
        <f t="shared" si="89"/>
        <v>#N/A</v>
      </c>
    </row>
    <row r="5498" spans="1:5">
      <c r="A5498" s="64"/>
      <c r="E5498" t="e">
        <f t="shared" si="89"/>
        <v>#N/A</v>
      </c>
    </row>
    <row r="5499" spans="1:5">
      <c r="A5499" s="64"/>
      <c r="E5499" t="e">
        <f t="shared" si="89"/>
        <v>#N/A</v>
      </c>
    </row>
    <row r="5500" spans="1:5">
      <c r="A5500" s="64"/>
      <c r="E5500" t="e">
        <f t="shared" si="89"/>
        <v>#N/A</v>
      </c>
    </row>
    <row r="5501" spans="1:5">
      <c r="A5501" s="64"/>
      <c r="E5501" t="e">
        <f t="shared" si="89"/>
        <v>#N/A</v>
      </c>
    </row>
    <row r="5502" spans="1:5">
      <c r="A5502" s="64"/>
      <c r="E5502" t="e">
        <f t="shared" si="89"/>
        <v>#N/A</v>
      </c>
    </row>
    <row r="5503" spans="1:5">
      <c r="A5503" s="64"/>
      <c r="E5503" t="e">
        <f t="shared" si="89"/>
        <v>#N/A</v>
      </c>
    </row>
    <row r="5504" spans="1:5">
      <c r="A5504" s="64"/>
      <c r="E5504" t="e">
        <f t="shared" si="89"/>
        <v>#N/A</v>
      </c>
    </row>
    <row r="5505" spans="1:5">
      <c r="A5505" s="64"/>
      <c r="E5505" t="e">
        <f t="shared" si="89"/>
        <v>#N/A</v>
      </c>
    </row>
    <row r="5506" spans="1:5">
      <c r="A5506" s="64"/>
      <c r="E5506" t="e">
        <f t="shared" si="89"/>
        <v>#N/A</v>
      </c>
    </row>
    <row r="5507" spans="1:5">
      <c r="A5507" s="64"/>
      <c r="E5507" t="e">
        <f t="shared" si="89"/>
        <v>#N/A</v>
      </c>
    </row>
    <row r="5508" spans="1:5">
      <c r="A5508" s="64"/>
      <c r="E5508" t="e">
        <f t="shared" si="89"/>
        <v>#N/A</v>
      </c>
    </row>
    <row r="5509" spans="1:5">
      <c r="A5509" s="64"/>
      <c r="E5509" t="e">
        <f t="shared" si="89"/>
        <v>#N/A</v>
      </c>
    </row>
    <row r="5510" spans="1:5">
      <c r="A5510" s="64"/>
      <c r="E5510" t="e">
        <f t="shared" si="89"/>
        <v>#N/A</v>
      </c>
    </row>
    <row r="5511" spans="1:5">
      <c r="A5511" s="64"/>
      <c r="E5511" t="e">
        <f t="shared" si="89"/>
        <v>#N/A</v>
      </c>
    </row>
    <row r="5512" spans="1:5">
      <c r="A5512" s="64"/>
      <c r="E5512" t="e">
        <f t="shared" si="89"/>
        <v>#N/A</v>
      </c>
    </row>
    <row r="5513" spans="1:5">
      <c r="A5513" s="64"/>
      <c r="E5513" t="e">
        <f t="shared" si="89"/>
        <v>#N/A</v>
      </c>
    </row>
    <row r="5514" spans="1:5">
      <c r="A5514" s="64"/>
      <c r="E5514" t="e">
        <f t="shared" si="89"/>
        <v>#N/A</v>
      </c>
    </row>
    <row r="5515" spans="1:5">
      <c r="A5515" s="64"/>
      <c r="E5515" t="e">
        <f t="shared" si="89"/>
        <v>#N/A</v>
      </c>
    </row>
    <row r="5516" spans="1:5">
      <c r="A5516" s="64"/>
      <c r="E5516" t="e">
        <f t="shared" si="89"/>
        <v>#N/A</v>
      </c>
    </row>
    <row r="5517" spans="1:5">
      <c r="A5517" s="64"/>
      <c r="E5517" t="e">
        <f t="shared" ref="E5517:E5580" si="90">VLOOKUP(B5517,$Q$14:$R$62,2,FALSE)</f>
        <v>#N/A</v>
      </c>
    </row>
    <row r="5518" spans="1:5">
      <c r="A5518" s="64"/>
      <c r="E5518" t="e">
        <f t="shared" si="90"/>
        <v>#N/A</v>
      </c>
    </row>
    <row r="5519" spans="1:5">
      <c r="A5519" s="64"/>
      <c r="E5519" t="e">
        <f t="shared" si="90"/>
        <v>#N/A</v>
      </c>
    </row>
    <row r="5520" spans="1:5">
      <c r="A5520" s="64"/>
      <c r="E5520" t="e">
        <f t="shared" si="90"/>
        <v>#N/A</v>
      </c>
    </row>
    <row r="5521" spans="1:5">
      <c r="A5521" s="64"/>
      <c r="E5521" t="e">
        <f t="shared" si="90"/>
        <v>#N/A</v>
      </c>
    </row>
    <row r="5522" spans="1:5">
      <c r="A5522" s="64"/>
      <c r="E5522" t="e">
        <f t="shared" si="90"/>
        <v>#N/A</v>
      </c>
    </row>
    <row r="5523" spans="1:5">
      <c r="A5523" s="64"/>
      <c r="E5523" t="e">
        <f t="shared" si="90"/>
        <v>#N/A</v>
      </c>
    </row>
    <row r="5524" spans="1:5">
      <c r="A5524" s="64"/>
      <c r="E5524" t="e">
        <f t="shared" si="90"/>
        <v>#N/A</v>
      </c>
    </row>
    <row r="5525" spans="1:5">
      <c r="A5525" s="64"/>
      <c r="E5525" t="e">
        <f t="shared" si="90"/>
        <v>#N/A</v>
      </c>
    </row>
    <row r="5526" spans="1:5">
      <c r="A5526" s="64"/>
      <c r="E5526" t="e">
        <f t="shared" si="90"/>
        <v>#N/A</v>
      </c>
    </row>
    <row r="5527" spans="1:5">
      <c r="A5527" s="64"/>
      <c r="E5527" t="e">
        <f t="shared" si="90"/>
        <v>#N/A</v>
      </c>
    </row>
    <row r="5528" spans="1:5">
      <c r="A5528" s="64"/>
      <c r="E5528" t="e">
        <f t="shared" si="90"/>
        <v>#N/A</v>
      </c>
    </row>
    <row r="5529" spans="1:5">
      <c r="A5529" s="64"/>
      <c r="E5529" t="e">
        <f t="shared" si="90"/>
        <v>#N/A</v>
      </c>
    </row>
    <row r="5530" spans="1:5">
      <c r="A5530" s="64"/>
      <c r="E5530" t="e">
        <f t="shared" si="90"/>
        <v>#N/A</v>
      </c>
    </row>
    <row r="5531" spans="1:5">
      <c r="A5531" s="64"/>
      <c r="E5531" t="e">
        <f t="shared" si="90"/>
        <v>#N/A</v>
      </c>
    </row>
    <row r="5532" spans="1:5">
      <c r="A5532" s="64"/>
      <c r="E5532" t="e">
        <f t="shared" si="90"/>
        <v>#N/A</v>
      </c>
    </row>
    <row r="5533" spans="1:5">
      <c r="A5533" s="64"/>
      <c r="E5533" t="e">
        <f t="shared" si="90"/>
        <v>#N/A</v>
      </c>
    </row>
    <row r="5534" spans="1:5">
      <c r="A5534" s="64"/>
      <c r="E5534" t="e">
        <f t="shared" si="90"/>
        <v>#N/A</v>
      </c>
    </row>
    <row r="5535" spans="1:5">
      <c r="A5535" s="64"/>
      <c r="E5535" t="e">
        <f t="shared" si="90"/>
        <v>#N/A</v>
      </c>
    </row>
    <row r="5536" spans="1:5">
      <c r="A5536" s="64"/>
      <c r="E5536" t="e">
        <f t="shared" si="90"/>
        <v>#N/A</v>
      </c>
    </row>
    <row r="5537" spans="1:5">
      <c r="A5537" s="64"/>
      <c r="E5537" t="e">
        <f t="shared" si="90"/>
        <v>#N/A</v>
      </c>
    </row>
    <row r="5538" spans="1:5">
      <c r="A5538" s="64"/>
      <c r="E5538" t="e">
        <f t="shared" si="90"/>
        <v>#N/A</v>
      </c>
    </row>
    <row r="5539" spans="1:5">
      <c r="A5539" s="64"/>
      <c r="E5539" t="e">
        <f t="shared" si="90"/>
        <v>#N/A</v>
      </c>
    </row>
    <row r="5540" spans="1:5">
      <c r="A5540" s="64"/>
      <c r="E5540" t="e">
        <f t="shared" si="90"/>
        <v>#N/A</v>
      </c>
    </row>
    <row r="5541" spans="1:5">
      <c r="A5541" s="64"/>
      <c r="E5541" t="e">
        <f t="shared" si="90"/>
        <v>#N/A</v>
      </c>
    </row>
    <row r="5542" spans="1:5">
      <c r="A5542" s="64"/>
      <c r="E5542" t="e">
        <f t="shared" si="90"/>
        <v>#N/A</v>
      </c>
    </row>
    <row r="5543" spans="1:5">
      <c r="A5543" s="64"/>
      <c r="E5543" t="e">
        <f t="shared" si="90"/>
        <v>#N/A</v>
      </c>
    </row>
    <row r="5544" spans="1:5">
      <c r="A5544" s="64"/>
      <c r="E5544" t="e">
        <f t="shared" si="90"/>
        <v>#N/A</v>
      </c>
    </row>
    <row r="5545" spans="1:5">
      <c r="A5545" s="64"/>
      <c r="E5545" t="e">
        <f t="shared" si="90"/>
        <v>#N/A</v>
      </c>
    </row>
    <row r="5546" spans="1:5">
      <c r="A5546" s="64"/>
      <c r="E5546" t="e">
        <f t="shared" si="90"/>
        <v>#N/A</v>
      </c>
    </row>
    <row r="5547" spans="1:5">
      <c r="A5547" s="64"/>
      <c r="E5547" t="e">
        <f t="shared" si="90"/>
        <v>#N/A</v>
      </c>
    </row>
    <row r="5548" spans="1:5">
      <c r="A5548" s="64"/>
      <c r="E5548" t="e">
        <f t="shared" si="90"/>
        <v>#N/A</v>
      </c>
    </row>
    <row r="5549" spans="1:5">
      <c r="A5549" s="64"/>
      <c r="E5549" t="e">
        <f t="shared" si="90"/>
        <v>#N/A</v>
      </c>
    </row>
    <row r="5550" spans="1:5">
      <c r="A5550" s="64"/>
      <c r="E5550" t="e">
        <f t="shared" si="90"/>
        <v>#N/A</v>
      </c>
    </row>
    <row r="5551" spans="1:5">
      <c r="A5551" s="64"/>
      <c r="E5551" t="e">
        <f t="shared" si="90"/>
        <v>#N/A</v>
      </c>
    </row>
    <row r="5552" spans="1:5">
      <c r="A5552" s="64"/>
      <c r="E5552" t="e">
        <f t="shared" si="90"/>
        <v>#N/A</v>
      </c>
    </row>
    <row r="5553" spans="1:5">
      <c r="A5553" s="64"/>
      <c r="E5553" t="e">
        <f t="shared" si="90"/>
        <v>#N/A</v>
      </c>
    </row>
    <row r="5554" spans="1:5">
      <c r="A5554" s="64"/>
      <c r="E5554" t="e">
        <f t="shared" si="90"/>
        <v>#N/A</v>
      </c>
    </row>
    <row r="5555" spans="1:5">
      <c r="A5555" s="64"/>
      <c r="E5555" t="e">
        <f t="shared" si="90"/>
        <v>#N/A</v>
      </c>
    </row>
    <row r="5556" spans="1:5">
      <c r="A5556" s="64"/>
      <c r="E5556" t="e">
        <f t="shared" si="90"/>
        <v>#N/A</v>
      </c>
    </row>
    <row r="5557" spans="1:5">
      <c r="A5557" s="64"/>
      <c r="E5557" t="e">
        <f t="shared" si="90"/>
        <v>#N/A</v>
      </c>
    </row>
    <row r="5558" spans="1:5">
      <c r="A5558" s="64"/>
      <c r="E5558" t="e">
        <f t="shared" si="90"/>
        <v>#N/A</v>
      </c>
    </row>
    <row r="5559" spans="1:5">
      <c r="A5559" s="64"/>
      <c r="E5559" t="e">
        <f t="shared" si="90"/>
        <v>#N/A</v>
      </c>
    </row>
    <row r="5560" spans="1:5">
      <c r="A5560" s="64"/>
      <c r="E5560" t="e">
        <f t="shared" si="90"/>
        <v>#N/A</v>
      </c>
    </row>
    <row r="5561" spans="1:5">
      <c r="A5561" s="64"/>
      <c r="E5561" t="e">
        <f t="shared" si="90"/>
        <v>#N/A</v>
      </c>
    </row>
    <row r="5562" spans="1:5">
      <c r="A5562" s="64"/>
      <c r="E5562" t="e">
        <f t="shared" si="90"/>
        <v>#N/A</v>
      </c>
    </row>
    <row r="5563" spans="1:5">
      <c r="A5563" s="64"/>
      <c r="E5563" t="e">
        <f t="shared" si="90"/>
        <v>#N/A</v>
      </c>
    </row>
    <row r="5564" spans="1:5">
      <c r="A5564" s="64"/>
      <c r="E5564" t="e">
        <f t="shared" si="90"/>
        <v>#N/A</v>
      </c>
    </row>
    <row r="5565" spans="1:5">
      <c r="A5565" s="64"/>
      <c r="E5565" t="e">
        <f t="shared" si="90"/>
        <v>#N/A</v>
      </c>
    </row>
    <row r="5566" spans="1:5">
      <c r="A5566" s="64"/>
      <c r="E5566" t="e">
        <f t="shared" si="90"/>
        <v>#N/A</v>
      </c>
    </row>
    <row r="5567" spans="1:5">
      <c r="A5567" s="64"/>
      <c r="E5567" t="e">
        <f t="shared" si="90"/>
        <v>#N/A</v>
      </c>
    </row>
    <row r="5568" spans="1:5">
      <c r="A5568" s="64"/>
      <c r="E5568" t="e">
        <f t="shared" si="90"/>
        <v>#N/A</v>
      </c>
    </row>
    <row r="5569" spans="1:5">
      <c r="A5569" s="64"/>
      <c r="E5569" t="e">
        <f t="shared" si="90"/>
        <v>#N/A</v>
      </c>
    </row>
    <row r="5570" spans="1:5">
      <c r="A5570" s="64"/>
      <c r="E5570" t="e">
        <f t="shared" si="90"/>
        <v>#N/A</v>
      </c>
    </row>
    <row r="5571" spans="1:5">
      <c r="A5571" s="64"/>
      <c r="E5571" t="e">
        <f t="shared" si="90"/>
        <v>#N/A</v>
      </c>
    </row>
    <row r="5572" spans="1:5">
      <c r="A5572" s="64"/>
      <c r="E5572" t="e">
        <f t="shared" si="90"/>
        <v>#N/A</v>
      </c>
    </row>
    <row r="5573" spans="1:5">
      <c r="A5573" s="64"/>
      <c r="E5573" t="e">
        <f t="shared" si="90"/>
        <v>#N/A</v>
      </c>
    </row>
    <row r="5574" spans="1:5">
      <c r="A5574" s="64"/>
      <c r="E5574" t="e">
        <f t="shared" si="90"/>
        <v>#N/A</v>
      </c>
    </row>
    <row r="5575" spans="1:5">
      <c r="A5575" s="64"/>
      <c r="E5575" t="e">
        <f t="shared" si="90"/>
        <v>#N/A</v>
      </c>
    </row>
    <row r="5576" spans="1:5">
      <c r="A5576" s="64"/>
      <c r="E5576" t="e">
        <f t="shared" si="90"/>
        <v>#N/A</v>
      </c>
    </row>
    <row r="5577" spans="1:5">
      <c r="A5577" s="64"/>
      <c r="E5577" t="e">
        <f t="shared" si="90"/>
        <v>#N/A</v>
      </c>
    </row>
    <row r="5578" spans="1:5">
      <c r="A5578" s="64"/>
      <c r="E5578" t="e">
        <f t="shared" si="90"/>
        <v>#N/A</v>
      </c>
    </row>
    <row r="5579" spans="1:5">
      <c r="A5579" s="64"/>
      <c r="E5579" t="e">
        <f t="shared" si="90"/>
        <v>#N/A</v>
      </c>
    </row>
    <row r="5580" spans="1:5">
      <c r="A5580" s="64"/>
      <c r="E5580" t="e">
        <f t="shared" si="90"/>
        <v>#N/A</v>
      </c>
    </row>
    <row r="5581" spans="1:5">
      <c r="A5581" s="64"/>
      <c r="E5581" t="e">
        <f t="shared" ref="E5581:E5644" si="91">VLOOKUP(B5581,$Q$14:$R$62,2,FALSE)</f>
        <v>#N/A</v>
      </c>
    </row>
    <row r="5582" spans="1:5">
      <c r="A5582" s="64"/>
      <c r="E5582" t="e">
        <f t="shared" si="91"/>
        <v>#N/A</v>
      </c>
    </row>
    <row r="5583" spans="1:5">
      <c r="A5583" s="64"/>
      <c r="E5583" t="e">
        <f t="shared" si="91"/>
        <v>#N/A</v>
      </c>
    </row>
    <row r="5584" spans="1:5">
      <c r="A5584" s="64"/>
      <c r="E5584" t="e">
        <f t="shared" si="91"/>
        <v>#N/A</v>
      </c>
    </row>
    <row r="5585" spans="1:5">
      <c r="A5585" s="64"/>
      <c r="E5585" t="e">
        <f t="shared" si="91"/>
        <v>#N/A</v>
      </c>
    </row>
    <row r="5586" spans="1:5">
      <c r="A5586" s="64"/>
      <c r="E5586" t="e">
        <f t="shared" si="91"/>
        <v>#N/A</v>
      </c>
    </row>
    <row r="5587" spans="1:5">
      <c r="A5587" s="64"/>
      <c r="E5587" t="e">
        <f t="shared" si="91"/>
        <v>#N/A</v>
      </c>
    </row>
    <row r="5588" spans="1:5">
      <c r="A5588" s="64"/>
      <c r="E5588" t="e">
        <f t="shared" si="91"/>
        <v>#N/A</v>
      </c>
    </row>
    <row r="5589" spans="1:5">
      <c r="A5589" s="64"/>
      <c r="E5589" t="e">
        <f t="shared" si="91"/>
        <v>#N/A</v>
      </c>
    </row>
    <row r="5590" spans="1:5">
      <c r="A5590" s="64"/>
      <c r="E5590" t="e">
        <f t="shared" si="91"/>
        <v>#N/A</v>
      </c>
    </row>
    <row r="5591" spans="1:5">
      <c r="A5591" s="64"/>
      <c r="E5591" t="e">
        <f t="shared" si="91"/>
        <v>#N/A</v>
      </c>
    </row>
    <row r="5592" spans="1:5">
      <c r="A5592" s="64"/>
      <c r="E5592" t="e">
        <f t="shared" si="91"/>
        <v>#N/A</v>
      </c>
    </row>
    <row r="5593" spans="1:5">
      <c r="A5593" s="64"/>
      <c r="E5593" t="e">
        <f t="shared" si="91"/>
        <v>#N/A</v>
      </c>
    </row>
    <row r="5594" spans="1:5">
      <c r="A5594" s="64"/>
      <c r="E5594" t="e">
        <f t="shared" si="91"/>
        <v>#N/A</v>
      </c>
    </row>
    <row r="5595" spans="1:5">
      <c r="A5595" s="64"/>
      <c r="E5595" t="e">
        <f t="shared" si="91"/>
        <v>#N/A</v>
      </c>
    </row>
    <row r="5596" spans="1:5">
      <c r="A5596" s="64"/>
      <c r="E5596" t="e">
        <f t="shared" si="91"/>
        <v>#N/A</v>
      </c>
    </row>
    <row r="5597" spans="1:5">
      <c r="A5597" s="64"/>
      <c r="E5597" t="e">
        <f t="shared" si="91"/>
        <v>#N/A</v>
      </c>
    </row>
    <row r="5598" spans="1:5">
      <c r="A5598" s="64"/>
      <c r="E5598" t="e">
        <f t="shared" si="91"/>
        <v>#N/A</v>
      </c>
    </row>
    <row r="5599" spans="1:5">
      <c r="A5599" s="64"/>
      <c r="E5599" t="e">
        <f t="shared" si="91"/>
        <v>#N/A</v>
      </c>
    </row>
    <row r="5600" spans="1:5">
      <c r="A5600" s="64"/>
      <c r="E5600" t="e">
        <f t="shared" si="91"/>
        <v>#N/A</v>
      </c>
    </row>
    <row r="5601" spans="1:5">
      <c r="A5601" s="64"/>
      <c r="E5601" t="e">
        <f t="shared" si="91"/>
        <v>#N/A</v>
      </c>
    </row>
    <row r="5602" spans="1:5">
      <c r="A5602" s="64"/>
      <c r="E5602" t="e">
        <f t="shared" si="91"/>
        <v>#N/A</v>
      </c>
    </row>
    <row r="5603" spans="1:5">
      <c r="A5603" s="64"/>
      <c r="E5603" t="e">
        <f t="shared" si="91"/>
        <v>#N/A</v>
      </c>
    </row>
    <row r="5604" spans="1:5">
      <c r="A5604" s="64"/>
      <c r="E5604" t="e">
        <f t="shared" si="91"/>
        <v>#N/A</v>
      </c>
    </row>
    <row r="5605" spans="1:5">
      <c r="A5605" s="64"/>
      <c r="E5605" t="e">
        <f t="shared" si="91"/>
        <v>#N/A</v>
      </c>
    </row>
    <row r="5606" spans="1:5">
      <c r="A5606" s="64"/>
      <c r="E5606" t="e">
        <f t="shared" si="91"/>
        <v>#N/A</v>
      </c>
    </row>
    <row r="5607" spans="1:5">
      <c r="A5607" s="64"/>
      <c r="E5607" t="e">
        <f t="shared" si="91"/>
        <v>#N/A</v>
      </c>
    </row>
    <row r="5608" spans="1:5">
      <c r="A5608" s="64"/>
      <c r="E5608" t="e">
        <f t="shared" si="91"/>
        <v>#N/A</v>
      </c>
    </row>
    <row r="5609" spans="1:5">
      <c r="A5609" s="64"/>
      <c r="E5609" t="e">
        <f t="shared" si="91"/>
        <v>#N/A</v>
      </c>
    </row>
    <row r="5610" spans="1:5">
      <c r="A5610" s="64"/>
      <c r="E5610" t="e">
        <f t="shared" si="91"/>
        <v>#N/A</v>
      </c>
    </row>
    <row r="5611" spans="1:5">
      <c r="A5611" s="64"/>
      <c r="E5611" t="e">
        <f t="shared" si="91"/>
        <v>#N/A</v>
      </c>
    </row>
    <row r="5612" spans="1:5">
      <c r="A5612" s="64"/>
      <c r="E5612" t="e">
        <f t="shared" si="91"/>
        <v>#N/A</v>
      </c>
    </row>
    <row r="5613" spans="1:5">
      <c r="A5613" s="64"/>
      <c r="E5613" t="e">
        <f t="shared" si="91"/>
        <v>#N/A</v>
      </c>
    </row>
    <row r="5614" spans="1:5">
      <c r="A5614" s="64"/>
      <c r="E5614" t="e">
        <f t="shared" si="91"/>
        <v>#N/A</v>
      </c>
    </row>
    <row r="5615" spans="1:5">
      <c r="A5615" s="64"/>
      <c r="E5615" t="e">
        <f t="shared" si="91"/>
        <v>#N/A</v>
      </c>
    </row>
    <row r="5616" spans="1:5">
      <c r="A5616" s="64"/>
      <c r="E5616" t="e">
        <f t="shared" si="91"/>
        <v>#N/A</v>
      </c>
    </row>
    <row r="5617" spans="1:5">
      <c r="A5617" s="64"/>
      <c r="E5617" t="e">
        <f t="shared" si="91"/>
        <v>#N/A</v>
      </c>
    </row>
    <row r="5618" spans="1:5">
      <c r="A5618" s="64"/>
      <c r="E5618" t="e">
        <f t="shared" si="91"/>
        <v>#N/A</v>
      </c>
    </row>
    <row r="5619" spans="1:5">
      <c r="A5619" s="64"/>
      <c r="E5619" t="e">
        <f t="shared" si="91"/>
        <v>#N/A</v>
      </c>
    </row>
    <row r="5620" spans="1:5">
      <c r="A5620" s="64"/>
      <c r="E5620" t="e">
        <f t="shared" si="91"/>
        <v>#N/A</v>
      </c>
    </row>
    <row r="5621" spans="1:5">
      <c r="A5621" s="64"/>
      <c r="E5621" t="e">
        <f t="shared" si="91"/>
        <v>#N/A</v>
      </c>
    </row>
    <row r="5622" spans="1:5">
      <c r="A5622" s="64"/>
      <c r="E5622" t="e">
        <f t="shared" si="91"/>
        <v>#N/A</v>
      </c>
    </row>
    <row r="5623" spans="1:5">
      <c r="A5623" s="64"/>
      <c r="E5623" t="e">
        <f t="shared" si="91"/>
        <v>#N/A</v>
      </c>
    </row>
    <row r="5624" spans="1:5">
      <c r="A5624" s="64"/>
      <c r="E5624" t="e">
        <f t="shared" si="91"/>
        <v>#N/A</v>
      </c>
    </row>
    <row r="5625" spans="1:5">
      <c r="A5625" s="64"/>
      <c r="E5625" t="e">
        <f t="shared" si="91"/>
        <v>#N/A</v>
      </c>
    </row>
    <row r="5626" spans="1:5">
      <c r="A5626" s="64"/>
      <c r="E5626" t="e">
        <f t="shared" si="91"/>
        <v>#N/A</v>
      </c>
    </row>
    <row r="5627" spans="1:5">
      <c r="A5627" s="64"/>
      <c r="E5627" t="e">
        <f t="shared" si="91"/>
        <v>#N/A</v>
      </c>
    </row>
    <row r="5628" spans="1:5">
      <c r="A5628" s="64"/>
      <c r="E5628" t="e">
        <f t="shared" si="91"/>
        <v>#N/A</v>
      </c>
    </row>
    <row r="5629" spans="1:5">
      <c r="A5629" s="64"/>
      <c r="E5629" t="e">
        <f t="shared" si="91"/>
        <v>#N/A</v>
      </c>
    </row>
    <row r="5630" spans="1:5">
      <c r="A5630" s="64"/>
      <c r="E5630" t="e">
        <f t="shared" si="91"/>
        <v>#N/A</v>
      </c>
    </row>
    <row r="5631" spans="1:5">
      <c r="A5631" s="64"/>
      <c r="E5631" t="e">
        <f t="shared" si="91"/>
        <v>#N/A</v>
      </c>
    </row>
    <row r="5632" spans="1:5">
      <c r="A5632" s="64"/>
      <c r="E5632" t="e">
        <f t="shared" si="91"/>
        <v>#N/A</v>
      </c>
    </row>
    <row r="5633" spans="1:5">
      <c r="A5633" s="64"/>
      <c r="E5633" t="e">
        <f t="shared" si="91"/>
        <v>#N/A</v>
      </c>
    </row>
    <row r="5634" spans="1:5">
      <c r="A5634" s="64"/>
      <c r="E5634" t="e">
        <f t="shared" si="91"/>
        <v>#N/A</v>
      </c>
    </row>
    <row r="5635" spans="1:5">
      <c r="A5635" s="64"/>
      <c r="E5635" t="e">
        <f t="shared" si="91"/>
        <v>#N/A</v>
      </c>
    </row>
    <row r="5636" spans="1:5">
      <c r="A5636" s="64"/>
      <c r="E5636" t="e">
        <f t="shared" si="91"/>
        <v>#N/A</v>
      </c>
    </row>
    <row r="5637" spans="1:5">
      <c r="A5637" s="64"/>
      <c r="E5637" t="e">
        <f t="shared" si="91"/>
        <v>#N/A</v>
      </c>
    </row>
    <row r="5638" spans="1:5">
      <c r="A5638" s="64"/>
      <c r="E5638" t="e">
        <f t="shared" si="91"/>
        <v>#N/A</v>
      </c>
    </row>
    <row r="5639" spans="1:5">
      <c r="A5639" s="64"/>
      <c r="E5639" t="e">
        <f t="shared" si="91"/>
        <v>#N/A</v>
      </c>
    </row>
    <row r="5640" spans="1:5">
      <c r="A5640" s="64"/>
      <c r="E5640" t="e">
        <f t="shared" si="91"/>
        <v>#N/A</v>
      </c>
    </row>
    <row r="5641" spans="1:5">
      <c r="A5641" s="64"/>
      <c r="E5641" t="e">
        <f t="shared" si="91"/>
        <v>#N/A</v>
      </c>
    </row>
    <row r="5642" spans="1:5">
      <c r="A5642" s="64"/>
      <c r="E5642" t="e">
        <f t="shared" si="91"/>
        <v>#N/A</v>
      </c>
    </row>
    <row r="5643" spans="1:5">
      <c r="A5643" s="64"/>
      <c r="E5643" t="e">
        <f t="shared" si="91"/>
        <v>#N/A</v>
      </c>
    </row>
    <row r="5644" spans="1:5">
      <c r="A5644" s="64"/>
      <c r="E5644" t="e">
        <f t="shared" si="91"/>
        <v>#N/A</v>
      </c>
    </row>
    <row r="5645" spans="1:5">
      <c r="A5645" s="64"/>
      <c r="E5645" t="e">
        <f t="shared" ref="E5645:E5708" si="92">VLOOKUP(B5645,$Q$14:$R$62,2,FALSE)</f>
        <v>#N/A</v>
      </c>
    </row>
    <row r="5646" spans="1:5">
      <c r="A5646" s="64"/>
      <c r="E5646" t="e">
        <f t="shared" si="92"/>
        <v>#N/A</v>
      </c>
    </row>
    <row r="5647" spans="1:5">
      <c r="A5647" s="64"/>
      <c r="E5647" t="e">
        <f t="shared" si="92"/>
        <v>#N/A</v>
      </c>
    </row>
    <row r="5648" spans="1:5">
      <c r="A5648" s="64"/>
      <c r="E5648" t="e">
        <f t="shared" si="92"/>
        <v>#N/A</v>
      </c>
    </row>
    <row r="5649" spans="1:5">
      <c r="A5649" s="64"/>
      <c r="E5649" t="e">
        <f t="shared" si="92"/>
        <v>#N/A</v>
      </c>
    </row>
    <row r="5650" spans="1:5">
      <c r="A5650" s="64"/>
      <c r="E5650" t="e">
        <f t="shared" si="92"/>
        <v>#N/A</v>
      </c>
    </row>
    <row r="5651" spans="1:5">
      <c r="A5651" s="64"/>
      <c r="E5651" t="e">
        <f t="shared" si="92"/>
        <v>#N/A</v>
      </c>
    </row>
    <row r="5652" spans="1:5">
      <c r="A5652" s="64"/>
      <c r="E5652" t="e">
        <f t="shared" si="92"/>
        <v>#N/A</v>
      </c>
    </row>
    <row r="5653" spans="1:5">
      <c r="A5653" s="64"/>
      <c r="E5653" t="e">
        <f t="shared" si="92"/>
        <v>#N/A</v>
      </c>
    </row>
    <row r="5654" spans="1:5">
      <c r="A5654" s="64"/>
      <c r="E5654" t="e">
        <f t="shared" si="92"/>
        <v>#N/A</v>
      </c>
    </row>
    <row r="5655" spans="1:5">
      <c r="A5655" s="64"/>
      <c r="E5655" t="e">
        <f t="shared" si="92"/>
        <v>#N/A</v>
      </c>
    </row>
    <row r="5656" spans="1:5">
      <c r="A5656" s="64"/>
      <c r="E5656" t="e">
        <f t="shared" si="92"/>
        <v>#N/A</v>
      </c>
    </row>
    <row r="5657" spans="1:5">
      <c r="A5657" s="64"/>
      <c r="E5657" t="e">
        <f t="shared" si="92"/>
        <v>#N/A</v>
      </c>
    </row>
    <row r="5658" spans="1:5">
      <c r="A5658" s="64"/>
      <c r="E5658" t="e">
        <f t="shared" si="92"/>
        <v>#N/A</v>
      </c>
    </row>
    <row r="5659" spans="1:5">
      <c r="A5659" s="64"/>
      <c r="E5659" t="e">
        <f t="shared" si="92"/>
        <v>#N/A</v>
      </c>
    </row>
    <row r="5660" spans="1:5">
      <c r="A5660" s="64"/>
      <c r="E5660" t="e">
        <f t="shared" si="92"/>
        <v>#N/A</v>
      </c>
    </row>
    <row r="5661" spans="1:5">
      <c r="A5661" s="64"/>
      <c r="E5661" t="e">
        <f t="shared" si="92"/>
        <v>#N/A</v>
      </c>
    </row>
    <row r="5662" spans="1:5">
      <c r="A5662" s="64"/>
      <c r="E5662" t="e">
        <f t="shared" si="92"/>
        <v>#N/A</v>
      </c>
    </row>
    <row r="5663" spans="1:5">
      <c r="A5663" s="64"/>
      <c r="E5663" t="e">
        <f t="shared" si="92"/>
        <v>#N/A</v>
      </c>
    </row>
    <row r="5664" spans="1:5">
      <c r="A5664" s="64"/>
      <c r="E5664" t="e">
        <f t="shared" si="92"/>
        <v>#N/A</v>
      </c>
    </row>
    <row r="5665" spans="1:5">
      <c r="A5665" s="64"/>
      <c r="E5665" t="e">
        <f t="shared" si="92"/>
        <v>#N/A</v>
      </c>
    </row>
    <row r="5666" spans="1:5">
      <c r="A5666" s="64"/>
      <c r="E5666" t="e">
        <f t="shared" si="92"/>
        <v>#N/A</v>
      </c>
    </row>
    <row r="5667" spans="1:5">
      <c r="A5667" s="64"/>
      <c r="E5667" t="e">
        <f t="shared" si="92"/>
        <v>#N/A</v>
      </c>
    </row>
    <row r="5668" spans="1:5">
      <c r="A5668" s="64"/>
      <c r="E5668" t="e">
        <f t="shared" si="92"/>
        <v>#N/A</v>
      </c>
    </row>
    <row r="5669" spans="1:5">
      <c r="A5669" s="64"/>
      <c r="E5669" t="e">
        <f t="shared" si="92"/>
        <v>#N/A</v>
      </c>
    </row>
    <row r="5670" spans="1:5">
      <c r="A5670" s="64"/>
      <c r="E5670" t="e">
        <f t="shared" si="92"/>
        <v>#N/A</v>
      </c>
    </row>
    <row r="5671" spans="1:5">
      <c r="A5671" s="64"/>
      <c r="E5671" t="e">
        <f t="shared" si="92"/>
        <v>#N/A</v>
      </c>
    </row>
    <row r="5672" spans="1:5">
      <c r="A5672" s="64"/>
      <c r="E5672" t="e">
        <f t="shared" si="92"/>
        <v>#N/A</v>
      </c>
    </row>
    <row r="5673" spans="1:5">
      <c r="A5673" s="64"/>
      <c r="E5673" t="e">
        <f t="shared" si="92"/>
        <v>#N/A</v>
      </c>
    </row>
    <row r="5674" spans="1:5">
      <c r="A5674" s="64"/>
      <c r="E5674" t="e">
        <f t="shared" si="92"/>
        <v>#N/A</v>
      </c>
    </row>
    <row r="5675" spans="1:5">
      <c r="A5675" s="64"/>
      <c r="E5675" t="e">
        <f t="shared" si="92"/>
        <v>#N/A</v>
      </c>
    </row>
    <row r="5676" spans="1:5">
      <c r="A5676" s="64"/>
      <c r="E5676" t="e">
        <f t="shared" si="92"/>
        <v>#N/A</v>
      </c>
    </row>
    <row r="5677" spans="1:5">
      <c r="A5677" s="64"/>
      <c r="E5677" t="e">
        <f t="shared" si="92"/>
        <v>#N/A</v>
      </c>
    </row>
    <row r="5678" spans="1:5">
      <c r="A5678" s="64"/>
      <c r="E5678" t="e">
        <f t="shared" si="92"/>
        <v>#N/A</v>
      </c>
    </row>
    <row r="5679" spans="1:5">
      <c r="A5679" s="64"/>
      <c r="E5679" t="e">
        <f t="shared" si="92"/>
        <v>#N/A</v>
      </c>
    </row>
    <row r="5680" spans="1:5">
      <c r="A5680" s="64"/>
      <c r="E5680" t="e">
        <f t="shared" si="92"/>
        <v>#N/A</v>
      </c>
    </row>
    <row r="5681" spans="1:5">
      <c r="A5681" s="64"/>
      <c r="E5681" t="e">
        <f t="shared" si="92"/>
        <v>#N/A</v>
      </c>
    </row>
    <row r="5682" spans="1:5">
      <c r="A5682" s="64"/>
      <c r="E5682" t="e">
        <f t="shared" si="92"/>
        <v>#N/A</v>
      </c>
    </row>
    <row r="5683" spans="1:5">
      <c r="A5683" s="64"/>
      <c r="E5683" t="e">
        <f t="shared" si="92"/>
        <v>#N/A</v>
      </c>
    </row>
    <row r="5684" spans="1:5">
      <c r="A5684" s="64"/>
      <c r="E5684" t="e">
        <f t="shared" si="92"/>
        <v>#N/A</v>
      </c>
    </row>
    <row r="5685" spans="1:5">
      <c r="A5685" s="64"/>
      <c r="E5685" t="e">
        <f t="shared" si="92"/>
        <v>#N/A</v>
      </c>
    </row>
    <row r="5686" spans="1:5">
      <c r="A5686" s="64"/>
      <c r="E5686" t="e">
        <f t="shared" si="92"/>
        <v>#N/A</v>
      </c>
    </row>
    <row r="5687" spans="1:5">
      <c r="A5687" s="64"/>
      <c r="E5687" t="e">
        <f t="shared" si="92"/>
        <v>#N/A</v>
      </c>
    </row>
    <row r="5688" spans="1:5">
      <c r="A5688" s="64"/>
      <c r="E5688" t="e">
        <f t="shared" si="92"/>
        <v>#N/A</v>
      </c>
    </row>
    <row r="5689" spans="1:5">
      <c r="A5689" s="64"/>
      <c r="E5689" t="e">
        <f t="shared" si="92"/>
        <v>#N/A</v>
      </c>
    </row>
    <row r="5690" spans="1:5">
      <c r="A5690" s="64"/>
      <c r="E5690" t="e">
        <f t="shared" si="92"/>
        <v>#N/A</v>
      </c>
    </row>
    <row r="5691" spans="1:5">
      <c r="A5691" s="64"/>
      <c r="E5691" t="e">
        <f t="shared" si="92"/>
        <v>#N/A</v>
      </c>
    </row>
    <row r="5692" spans="1:5">
      <c r="A5692" s="64"/>
      <c r="E5692" t="e">
        <f t="shared" si="92"/>
        <v>#N/A</v>
      </c>
    </row>
    <row r="5693" spans="1:5">
      <c r="A5693" s="64"/>
      <c r="E5693" t="e">
        <f t="shared" si="92"/>
        <v>#N/A</v>
      </c>
    </row>
    <row r="5694" spans="1:5">
      <c r="A5694" s="64"/>
      <c r="E5694" t="e">
        <f t="shared" si="92"/>
        <v>#N/A</v>
      </c>
    </row>
    <row r="5695" spans="1:5">
      <c r="A5695" s="64"/>
      <c r="E5695" t="e">
        <f t="shared" si="92"/>
        <v>#N/A</v>
      </c>
    </row>
    <row r="5696" spans="1:5">
      <c r="A5696" s="64"/>
      <c r="E5696" t="e">
        <f t="shared" si="92"/>
        <v>#N/A</v>
      </c>
    </row>
    <row r="5697" spans="1:5">
      <c r="A5697" s="64"/>
      <c r="E5697" t="e">
        <f t="shared" si="92"/>
        <v>#N/A</v>
      </c>
    </row>
    <row r="5698" spans="1:5">
      <c r="A5698" s="64"/>
      <c r="E5698" t="e">
        <f t="shared" si="92"/>
        <v>#N/A</v>
      </c>
    </row>
    <row r="5699" spans="1:5">
      <c r="A5699" s="64"/>
      <c r="E5699" t="e">
        <f t="shared" si="92"/>
        <v>#N/A</v>
      </c>
    </row>
    <row r="5700" spans="1:5">
      <c r="A5700" s="64"/>
      <c r="E5700" t="e">
        <f t="shared" si="92"/>
        <v>#N/A</v>
      </c>
    </row>
    <row r="5701" spans="1:5">
      <c r="A5701" s="64"/>
      <c r="E5701" t="e">
        <f t="shared" si="92"/>
        <v>#N/A</v>
      </c>
    </row>
    <row r="5702" spans="1:5">
      <c r="A5702" s="64"/>
      <c r="E5702" t="e">
        <f t="shared" si="92"/>
        <v>#N/A</v>
      </c>
    </row>
    <row r="5703" spans="1:5">
      <c r="A5703" s="64"/>
      <c r="E5703" t="e">
        <f t="shared" si="92"/>
        <v>#N/A</v>
      </c>
    </row>
    <row r="5704" spans="1:5">
      <c r="A5704" s="64"/>
      <c r="E5704" t="e">
        <f t="shared" si="92"/>
        <v>#N/A</v>
      </c>
    </row>
    <row r="5705" spans="1:5">
      <c r="A5705" s="64"/>
      <c r="E5705" t="e">
        <f t="shared" si="92"/>
        <v>#N/A</v>
      </c>
    </row>
    <row r="5706" spans="1:5">
      <c r="A5706" s="64"/>
      <c r="E5706" t="e">
        <f t="shared" si="92"/>
        <v>#N/A</v>
      </c>
    </row>
    <row r="5707" spans="1:5">
      <c r="A5707" s="64"/>
      <c r="E5707" t="e">
        <f t="shared" si="92"/>
        <v>#N/A</v>
      </c>
    </row>
    <row r="5708" spans="1:5">
      <c r="A5708" s="64"/>
      <c r="E5708" t="e">
        <f t="shared" si="92"/>
        <v>#N/A</v>
      </c>
    </row>
    <row r="5709" spans="1:5">
      <c r="A5709" s="64"/>
      <c r="E5709" t="e">
        <f t="shared" ref="E5709:E5772" si="93">VLOOKUP(B5709,$Q$14:$R$62,2,FALSE)</f>
        <v>#N/A</v>
      </c>
    </row>
    <row r="5710" spans="1:5">
      <c r="A5710" s="64"/>
      <c r="E5710" t="e">
        <f t="shared" si="93"/>
        <v>#N/A</v>
      </c>
    </row>
    <row r="5711" spans="1:5">
      <c r="A5711" s="64"/>
      <c r="E5711" t="e">
        <f t="shared" si="93"/>
        <v>#N/A</v>
      </c>
    </row>
    <row r="5712" spans="1:5">
      <c r="A5712" s="64"/>
      <c r="E5712" t="e">
        <f t="shared" si="93"/>
        <v>#N/A</v>
      </c>
    </row>
    <row r="5713" spans="1:5">
      <c r="A5713" s="64"/>
      <c r="E5713" t="e">
        <f t="shared" si="93"/>
        <v>#N/A</v>
      </c>
    </row>
    <row r="5714" spans="1:5">
      <c r="A5714" s="64"/>
      <c r="E5714" t="e">
        <f t="shared" si="93"/>
        <v>#N/A</v>
      </c>
    </row>
    <row r="5715" spans="1:5">
      <c r="A5715" s="64"/>
      <c r="E5715" t="e">
        <f t="shared" si="93"/>
        <v>#N/A</v>
      </c>
    </row>
    <row r="5716" spans="1:5">
      <c r="A5716" s="64"/>
      <c r="E5716" t="e">
        <f t="shared" si="93"/>
        <v>#N/A</v>
      </c>
    </row>
    <row r="5717" spans="1:5">
      <c r="A5717" s="64"/>
      <c r="E5717" t="e">
        <f t="shared" si="93"/>
        <v>#N/A</v>
      </c>
    </row>
    <row r="5718" spans="1:5">
      <c r="A5718" s="64"/>
      <c r="E5718" t="e">
        <f t="shared" si="93"/>
        <v>#N/A</v>
      </c>
    </row>
    <row r="5719" spans="1:5">
      <c r="A5719" s="64"/>
      <c r="E5719" t="e">
        <f t="shared" si="93"/>
        <v>#N/A</v>
      </c>
    </row>
    <row r="5720" spans="1:5">
      <c r="A5720" s="64"/>
      <c r="E5720" t="e">
        <f t="shared" si="93"/>
        <v>#N/A</v>
      </c>
    </row>
    <row r="5721" spans="1:5">
      <c r="A5721" s="64"/>
      <c r="E5721" t="e">
        <f t="shared" si="93"/>
        <v>#N/A</v>
      </c>
    </row>
    <row r="5722" spans="1:5">
      <c r="A5722" s="64"/>
      <c r="E5722" t="e">
        <f t="shared" si="93"/>
        <v>#N/A</v>
      </c>
    </row>
    <row r="5723" spans="1:5">
      <c r="A5723" s="64"/>
      <c r="E5723" t="e">
        <f t="shared" si="93"/>
        <v>#N/A</v>
      </c>
    </row>
    <row r="5724" spans="1:5">
      <c r="A5724" s="64"/>
      <c r="E5724" t="e">
        <f t="shared" si="93"/>
        <v>#N/A</v>
      </c>
    </row>
    <row r="5725" spans="1:5">
      <c r="A5725" s="64"/>
      <c r="E5725" t="e">
        <f t="shared" si="93"/>
        <v>#N/A</v>
      </c>
    </row>
    <row r="5726" spans="1:5">
      <c r="A5726" s="64"/>
      <c r="E5726" t="e">
        <f t="shared" si="93"/>
        <v>#N/A</v>
      </c>
    </row>
    <row r="5727" spans="1:5">
      <c r="A5727" s="64"/>
      <c r="E5727" t="e">
        <f t="shared" si="93"/>
        <v>#N/A</v>
      </c>
    </row>
    <row r="5728" spans="1:5">
      <c r="A5728" s="64"/>
      <c r="E5728" t="e">
        <f t="shared" si="93"/>
        <v>#N/A</v>
      </c>
    </row>
    <row r="5729" spans="1:5">
      <c r="A5729" s="64"/>
      <c r="E5729" t="e">
        <f t="shared" si="93"/>
        <v>#N/A</v>
      </c>
    </row>
    <row r="5730" spans="1:5">
      <c r="A5730" s="64"/>
      <c r="E5730" t="e">
        <f t="shared" si="93"/>
        <v>#N/A</v>
      </c>
    </row>
    <row r="5731" spans="1:5">
      <c r="A5731" s="64"/>
      <c r="E5731" t="e">
        <f t="shared" si="93"/>
        <v>#N/A</v>
      </c>
    </row>
    <row r="5732" spans="1:5">
      <c r="A5732" s="64"/>
      <c r="E5732" t="e">
        <f t="shared" si="93"/>
        <v>#N/A</v>
      </c>
    </row>
    <row r="5733" spans="1:5">
      <c r="A5733" s="64"/>
      <c r="E5733" t="e">
        <f t="shared" si="93"/>
        <v>#N/A</v>
      </c>
    </row>
    <row r="5734" spans="1:5">
      <c r="A5734" s="64"/>
      <c r="E5734" t="e">
        <f t="shared" si="93"/>
        <v>#N/A</v>
      </c>
    </row>
    <row r="5735" spans="1:5">
      <c r="A5735" s="64"/>
      <c r="E5735" t="e">
        <f t="shared" si="93"/>
        <v>#N/A</v>
      </c>
    </row>
    <row r="5736" spans="1:5">
      <c r="A5736" s="64"/>
      <c r="E5736" t="e">
        <f t="shared" si="93"/>
        <v>#N/A</v>
      </c>
    </row>
    <row r="5737" spans="1:5">
      <c r="A5737" s="64"/>
      <c r="E5737" t="e">
        <f t="shared" si="93"/>
        <v>#N/A</v>
      </c>
    </row>
    <row r="5738" spans="1:5">
      <c r="A5738" s="64"/>
      <c r="E5738" t="e">
        <f t="shared" si="93"/>
        <v>#N/A</v>
      </c>
    </row>
    <row r="5739" spans="1:5">
      <c r="A5739" s="64"/>
      <c r="E5739" t="e">
        <f t="shared" si="93"/>
        <v>#N/A</v>
      </c>
    </row>
    <row r="5740" spans="1:5">
      <c r="A5740" s="64"/>
      <c r="E5740" t="e">
        <f t="shared" si="93"/>
        <v>#N/A</v>
      </c>
    </row>
    <row r="5741" spans="1:5">
      <c r="A5741" s="64"/>
      <c r="E5741" t="e">
        <f t="shared" si="93"/>
        <v>#N/A</v>
      </c>
    </row>
    <row r="5742" spans="1:5">
      <c r="A5742" s="64"/>
      <c r="E5742" t="e">
        <f t="shared" si="93"/>
        <v>#N/A</v>
      </c>
    </row>
    <row r="5743" spans="1:5">
      <c r="A5743" s="64"/>
      <c r="E5743" t="e">
        <f t="shared" si="93"/>
        <v>#N/A</v>
      </c>
    </row>
    <row r="5744" spans="1:5">
      <c r="A5744" s="64"/>
      <c r="E5744" t="e">
        <f t="shared" si="93"/>
        <v>#N/A</v>
      </c>
    </row>
    <row r="5745" spans="1:5">
      <c r="A5745" s="64"/>
      <c r="E5745" t="e">
        <f t="shared" si="93"/>
        <v>#N/A</v>
      </c>
    </row>
    <row r="5746" spans="1:5">
      <c r="A5746" s="64"/>
      <c r="E5746" t="e">
        <f t="shared" si="93"/>
        <v>#N/A</v>
      </c>
    </row>
    <row r="5747" spans="1:5">
      <c r="A5747" s="64"/>
      <c r="E5747" t="e">
        <f t="shared" si="93"/>
        <v>#N/A</v>
      </c>
    </row>
    <row r="5748" spans="1:5">
      <c r="A5748" s="64"/>
      <c r="E5748" t="e">
        <f t="shared" si="93"/>
        <v>#N/A</v>
      </c>
    </row>
    <row r="5749" spans="1:5">
      <c r="A5749" s="64"/>
      <c r="E5749" t="e">
        <f t="shared" si="93"/>
        <v>#N/A</v>
      </c>
    </row>
    <row r="5750" spans="1:5">
      <c r="A5750" s="64"/>
      <c r="E5750" t="e">
        <f t="shared" si="93"/>
        <v>#N/A</v>
      </c>
    </row>
    <row r="5751" spans="1:5">
      <c r="A5751" s="64"/>
      <c r="E5751" t="e">
        <f t="shared" si="93"/>
        <v>#N/A</v>
      </c>
    </row>
    <row r="5752" spans="1:5">
      <c r="A5752" s="64"/>
      <c r="E5752" t="e">
        <f t="shared" si="93"/>
        <v>#N/A</v>
      </c>
    </row>
    <row r="5753" spans="1:5">
      <c r="A5753" s="64"/>
      <c r="E5753" t="e">
        <f t="shared" si="93"/>
        <v>#N/A</v>
      </c>
    </row>
    <row r="5754" spans="1:5">
      <c r="A5754" s="64"/>
      <c r="E5754" t="e">
        <f t="shared" si="93"/>
        <v>#N/A</v>
      </c>
    </row>
    <row r="5755" spans="1:5">
      <c r="A5755" s="64"/>
      <c r="E5755" t="e">
        <f t="shared" si="93"/>
        <v>#N/A</v>
      </c>
    </row>
    <row r="5756" spans="1:5">
      <c r="A5756" s="64"/>
      <c r="E5756" t="e">
        <f t="shared" si="93"/>
        <v>#N/A</v>
      </c>
    </row>
    <row r="5757" spans="1:5">
      <c r="A5757" s="64"/>
      <c r="E5757" t="e">
        <f t="shared" si="93"/>
        <v>#N/A</v>
      </c>
    </row>
    <row r="5758" spans="1:5">
      <c r="A5758" s="64"/>
      <c r="E5758" t="e">
        <f t="shared" si="93"/>
        <v>#N/A</v>
      </c>
    </row>
    <row r="5759" spans="1:5">
      <c r="A5759" s="64"/>
      <c r="E5759" t="e">
        <f t="shared" si="93"/>
        <v>#N/A</v>
      </c>
    </row>
    <row r="5760" spans="1:5">
      <c r="A5760" s="64"/>
      <c r="E5760" t="e">
        <f t="shared" si="93"/>
        <v>#N/A</v>
      </c>
    </row>
    <row r="5761" spans="1:5">
      <c r="A5761" s="64"/>
      <c r="E5761" t="e">
        <f t="shared" si="93"/>
        <v>#N/A</v>
      </c>
    </row>
    <row r="5762" spans="1:5">
      <c r="A5762" s="64"/>
      <c r="E5762" t="e">
        <f t="shared" si="93"/>
        <v>#N/A</v>
      </c>
    </row>
    <row r="5763" spans="1:5">
      <c r="A5763" s="64"/>
      <c r="E5763" t="e">
        <f t="shared" si="93"/>
        <v>#N/A</v>
      </c>
    </row>
    <row r="5764" spans="1:5">
      <c r="A5764" s="64"/>
      <c r="E5764" t="e">
        <f t="shared" si="93"/>
        <v>#N/A</v>
      </c>
    </row>
    <row r="5765" spans="1:5">
      <c r="A5765" s="64"/>
      <c r="E5765" t="e">
        <f t="shared" si="93"/>
        <v>#N/A</v>
      </c>
    </row>
    <row r="5766" spans="1:5">
      <c r="A5766" s="64"/>
      <c r="E5766" t="e">
        <f t="shared" si="93"/>
        <v>#N/A</v>
      </c>
    </row>
    <row r="5767" spans="1:5">
      <c r="A5767" s="64"/>
      <c r="E5767" t="e">
        <f t="shared" si="93"/>
        <v>#N/A</v>
      </c>
    </row>
    <row r="5768" spans="1:5">
      <c r="A5768" s="64"/>
      <c r="E5768" t="e">
        <f t="shared" si="93"/>
        <v>#N/A</v>
      </c>
    </row>
    <row r="5769" spans="1:5">
      <c r="A5769" s="64"/>
      <c r="E5769" t="e">
        <f t="shared" si="93"/>
        <v>#N/A</v>
      </c>
    </row>
    <row r="5770" spans="1:5">
      <c r="A5770" s="64"/>
      <c r="E5770" t="e">
        <f t="shared" si="93"/>
        <v>#N/A</v>
      </c>
    </row>
    <row r="5771" spans="1:5">
      <c r="A5771" s="64"/>
      <c r="E5771" t="e">
        <f t="shared" si="93"/>
        <v>#N/A</v>
      </c>
    </row>
    <row r="5772" spans="1:5">
      <c r="A5772" s="64"/>
      <c r="E5772" t="e">
        <f t="shared" si="93"/>
        <v>#N/A</v>
      </c>
    </row>
    <row r="5773" spans="1:5">
      <c r="A5773" s="64"/>
      <c r="E5773" t="e">
        <f t="shared" ref="E5773:E5836" si="94">VLOOKUP(B5773,$Q$14:$R$62,2,FALSE)</f>
        <v>#N/A</v>
      </c>
    </row>
    <row r="5774" spans="1:5">
      <c r="A5774" s="64"/>
      <c r="E5774" t="e">
        <f t="shared" si="94"/>
        <v>#N/A</v>
      </c>
    </row>
    <row r="5775" spans="1:5">
      <c r="A5775" s="64"/>
      <c r="E5775" t="e">
        <f t="shared" si="94"/>
        <v>#N/A</v>
      </c>
    </row>
    <row r="5776" spans="1:5">
      <c r="A5776" s="64"/>
      <c r="E5776" t="e">
        <f t="shared" si="94"/>
        <v>#N/A</v>
      </c>
    </row>
    <row r="5777" spans="1:5">
      <c r="A5777" s="64"/>
      <c r="E5777" t="e">
        <f t="shared" si="94"/>
        <v>#N/A</v>
      </c>
    </row>
    <row r="5778" spans="1:5">
      <c r="A5778" s="64"/>
      <c r="E5778" t="e">
        <f t="shared" si="94"/>
        <v>#N/A</v>
      </c>
    </row>
    <row r="5779" spans="1:5">
      <c r="A5779" s="64"/>
      <c r="E5779" t="e">
        <f t="shared" si="94"/>
        <v>#N/A</v>
      </c>
    </row>
    <row r="5780" spans="1:5">
      <c r="A5780" s="64"/>
      <c r="E5780" t="e">
        <f t="shared" si="94"/>
        <v>#N/A</v>
      </c>
    </row>
    <row r="5781" spans="1:5">
      <c r="A5781" s="64"/>
      <c r="E5781" t="e">
        <f t="shared" si="94"/>
        <v>#N/A</v>
      </c>
    </row>
    <row r="5782" spans="1:5">
      <c r="A5782" s="64"/>
      <c r="E5782" t="e">
        <f t="shared" si="94"/>
        <v>#N/A</v>
      </c>
    </row>
    <row r="5783" spans="1:5">
      <c r="A5783" s="64"/>
      <c r="E5783" t="e">
        <f t="shared" si="94"/>
        <v>#N/A</v>
      </c>
    </row>
    <row r="5784" spans="1:5">
      <c r="A5784" s="64"/>
      <c r="E5784" t="e">
        <f t="shared" si="94"/>
        <v>#N/A</v>
      </c>
    </row>
    <row r="5785" spans="1:5">
      <c r="A5785" s="64"/>
      <c r="E5785" t="e">
        <f t="shared" si="94"/>
        <v>#N/A</v>
      </c>
    </row>
    <row r="5786" spans="1:5">
      <c r="A5786" s="64"/>
      <c r="E5786" t="e">
        <f t="shared" si="94"/>
        <v>#N/A</v>
      </c>
    </row>
    <row r="5787" spans="1:5">
      <c r="A5787" s="64"/>
      <c r="E5787" t="e">
        <f t="shared" si="94"/>
        <v>#N/A</v>
      </c>
    </row>
    <row r="5788" spans="1:5">
      <c r="A5788" s="64"/>
      <c r="E5788" t="e">
        <f t="shared" si="94"/>
        <v>#N/A</v>
      </c>
    </row>
    <row r="5789" spans="1:5">
      <c r="A5789" s="64"/>
      <c r="E5789" t="e">
        <f t="shared" si="94"/>
        <v>#N/A</v>
      </c>
    </row>
    <row r="5790" spans="1:5">
      <c r="A5790" s="64"/>
      <c r="E5790" t="e">
        <f t="shared" si="94"/>
        <v>#N/A</v>
      </c>
    </row>
    <row r="5791" spans="1:5">
      <c r="A5791" s="64"/>
      <c r="E5791" t="e">
        <f t="shared" si="94"/>
        <v>#N/A</v>
      </c>
    </row>
    <row r="5792" spans="1:5">
      <c r="A5792" s="64"/>
      <c r="E5792" t="e">
        <f t="shared" si="94"/>
        <v>#N/A</v>
      </c>
    </row>
    <row r="5793" spans="1:5">
      <c r="A5793" s="64"/>
      <c r="E5793" t="e">
        <f t="shared" si="94"/>
        <v>#N/A</v>
      </c>
    </row>
    <row r="5794" spans="1:5">
      <c r="A5794" s="64"/>
      <c r="E5794" t="e">
        <f t="shared" si="94"/>
        <v>#N/A</v>
      </c>
    </row>
    <row r="5795" spans="1:5">
      <c r="A5795" s="64"/>
      <c r="E5795" t="e">
        <f t="shared" si="94"/>
        <v>#N/A</v>
      </c>
    </row>
    <row r="5796" spans="1:5">
      <c r="A5796" s="64"/>
      <c r="E5796" t="e">
        <f t="shared" si="94"/>
        <v>#N/A</v>
      </c>
    </row>
    <row r="5797" spans="1:5">
      <c r="A5797" s="64"/>
      <c r="E5797" t="e">
        <f t="shared" si="94"/>
        <v>#N/A</v>
      </c>
    </row>
    <row r="5798" spans="1:5">
      <c r="A5798" s="64"/>
      <c r="E5798" t="e">
        <f t="shared" si="94"/>
        <v>#N/A</v>
      </c>
    </row>
    <row r="5799" spans="1:5">
      <c r="A5799" s="64"/>
      <c r="E5799" t="e">
        <f t="shared" si="94"/>
        <v>#N/A</v>
      </c>
    </row>
    <row r="5800" spans="1:5">
      <c r="A5800" s="64"/>
      <c r="E5800" t="e">
        <f t="shared" si="94"/>
        <v>#N/A</v>
      </c>
    </row>
    <row r="5801" spans="1:5">
      <c r="A5801" s="64"/>
      <c r="E5801" t="e">
        <f t="shared" si="94"/>
        <v>#N/A</v>
      </c>
    </row>
    <row r="5802" spans="1:5">
      <c r="A5802" s="64"/>
      <c r="E5802" t="e">
        <f t="shared" si="94"/>
        <v>#N/A</v>
      </c>
    </row>
    <row r="5803" spans="1:5">
      <c r="A5803" s="64"/>
      <c r="E5803" t="e">
        <f t="shared" si="94"/>
        <v>#N/A</v>
      </c>
    </row>
    <row r="5804" spans="1:5">
      <c r="A5804" s="64"/>
      <c r="E5804" t="e">
        <f t="shared" si="94"/>
        <v>#N/A</v>
      </c>
    </row>
    <row r="5805" spans="1:5">
      <c r="A5805" s="64"/>
      <c r="E5805" t="e">
        <f t="shared" si="94"/>
        <v>#N/A</v>
      </c>
    </row>
    <row r="5806" spans="1:5">
      <c r="A5806" s="64"/>
      <c r="E5806" t="e">
        <f t="shared" si="94"/>
        <v>#N/A</v>
      </c>
    </row>
    <row r="5807" spans="1:5">
      <c r="A5807" s="64"/>
      <c r="E5807" t="e">
        <f t="shared" si="94"/>
        <v>#N/A</v>
      </c>
    </row>
    <row r="5808" spans="1:5">
      <c r="A5808" s="64"/>
      <c r="E5808" t="e">
        <f t="shared" si="94"/>
        <v>#N/A</v>
      </c>
    </row>
    <row r="5809" spans="1:5">
      <c r="A5809" s="64"/>
      <c r="E5809" t="e">
        <f t="shared" si="94"/>
        <v>#N/A</v>
      </c>
    </row>
    <row r="5810" spans="1:5">
      <c r="A5810" s="64"/>
      <c r="E5810" t="e">
        <f t="shared" si="94"/>
        <v>#N/A</v>
      </c>
    </row>
    <row r="5811" spans="1:5">
      <c r="A5811" s="64"/>
      <c r="E5811" t="e">
        <f t="shared" si="94"/>
        <v>#N/A</v>
      </c>
    </row>
    <row r="5812" spans="1:5">
      <c r="A5812" s="64"/>
      <c r="E5812" t="e">
        <f t="shared" si="94"/>
        <v>#N/A</v>
      </c>
    </row>
    <row r="5813" spans="1:5">
      <c r="A5813" s="64"/>
      <c r="E5813" t="e">
        <f t="shared" si="94"/>
        <v>#N/A</v>
      </c>
    </row>
    <row r="5814" spans="1:5">
      <c r="A5814" s="64"/>
      <c r="E5814" t="e">
        <f t="shared" si="94"/>
        <v>#N/A</v>
      </c>
    </row>
    <row r="5815" spans="1:5">
      <c r="A5815" s="64"/>
      <c r="E5815" t="e">
        <f t="shared" si="94"/>
        <v>#N/A</v>
      </c>
    </row>
    <row r="5816" spans="1:5">
      <c r="A5816" s="64"/>
      <c r="E5816" t="e">
        <f t="shared" si="94"/>
        <v>#N/A</v>
      </c>
    </row>
    <row r="5817" spans="1:5">
      <c r="A5817" s="64"/>
      <c r="E5817" t="e">
        <f t="shared" si="94"/>
        <v>#N/A</v>
      </c>
    </row>
    <row r="5818" spans="1:5">
      <c r="A5818" s="64"/>
      <c r="E5818" t="e">
        <f t="shared" si="94"/>
        <v>#N/A</v>
      </c>
    </row>
    <row r="5819" spans="1:5">
      <c r="A5819" s="64"/>
      <c r="E5819" t="e">
        <f t="shared" si="94"/>
        <v>#N/A</v>
      </c>
    </row>
    <row r="5820" spans="1:5">
      <c r="A5820" s="64"/>
      <c r="E5820" t="e">
        <f t="shared" si="94"/>
        <v>#N/A</v>
      </c>
    </row>
    <row r="5821" spans="1:5">
      <c r="A5821" s="64"/>
      <c r="E5821" t="e">
        <f t="shared" si="94"/>
        <v>#N/A</v>
      </c>
    </row>
    <row r="5822" spans="1:5">
      <c r="A5822" s="64"/>
      <c r="E5822" t="e">
        <f t="shared" si="94"/>
        <v>#N/A</v>
      </c>
    </row>
    <row r="5823" spans="1:5">
      <c r="A5823" s="64"/>
      <c r="E5823" t="e">
        <f t="shared" si="94"/>
        <v>#N/A</v>
      </c>
    </row>
    <row r="5824" spans="1:5">
      <c r="A5824" s="64"/>
      <c r="E5824" t="e">
        <f t="shared" si="94"/>
        <v>#N/A</v>
      </c>
    </row>
    <row r="5825" spans="1:5">
      <c r="A5825" s="64"/>
      <c r="E5825" t="e">
        <f t="shared" si="94"/>
        <v>#N/A</v>
      </c>
    </row>
    <row r="5826" spans="1:5">
      <c r="A5826" s="64"/>
      <c r="E5826" t="e">
        <f t="shared" si="94"/>
        <v>#N/A</v>
      </c>
    </row>
    <row r="5827" spans="1:5">
      <c r="A5827" s="64"/>
      <c r="E5827" t="e">
        <f t="shared" si="94"/>
        <v>#N/A</v>
      </c>
    </row>
    <row r="5828" spans="1:5">
      <c r="A5828" s="64"/>
      <c r="E5828" t="e">
        <f t="shared" si="94"/>
        <v>#N/A</v>
      </c>
    </row>
    <row r="5829" spans="1:5">
      <c r="A5829" s="64"/>
      <c r="E5829" t="e">
        <f t="shared" si="94"/>
        <v>#N/A</v>
      </c>
    </row>
    <row r="5830" spans="1:5">
      <c r="A5830" s="64"/>
      <c r="E5830" t="e">
        <f t="shared" si="94"/>
        <v>#N/A</v>
      </c>
    </row>
    <row r="5831" spans="1:5">
      <c r="A5831" s="64"/>
      <c r="E5831" t="e">
        <f t="shared" si="94"/>
        <v>#N/A</v>
      </c>
    </row>
    <row r="5832" spans="1:5">
      <c r="A5832" s="64"/>
      <c r="E5832" t="e">
        <f t="shared" si="94"/>
        <v>#N/A</v>
      </c>
    </row>
    <row r="5833" spans="1:5">
      <c r="A5833" s="64"/>
      <c r="E5833" t="e">
        <f t="shared" si="94"/>
        <v>#N/A</v>
      </c>
    </row>
    <row r="5834" spans="1:5">
      <c r="A5834" s="64"/>
      <c r="E5834" t="e">
        <f t="shared" si="94"/>
        <v>#N/A</v>
      </c>
    </row>
    <row r="5835" spans="1:5">
      <c r="A5835" s="64"/>
      <c r="E5835" t="e">
        <f t="shared" si="94"/>
        <v>#N/A</v>
      </c>
    </row>
    <row r="5836" spans="1:5">
      <c r="A5836" s="64"/>
      <c r="E5836" t="e">
        <f t="shared" si="94"/>
        <v>#N/A</v>
      </c>
    </row>
    <row r="5837" spans="1:5">
      <c r="A5837" s="64"/>
      <c r="E5837" t="e">
        <f t="shared" ref="E5837:E5900" si="95">VLOOKUP(B5837,$Q$14:$R$62,2,FALSE)</f>
        <v>#N/A</v>
      </c>
    </row>
    <row r="5838" spans="1:5">
      <c r="A5838" s="64"/>
      <c r="E5838" t="e">
        <f t="shared" si="95"/>
        <v>#N/A</v>
      </c>
    </row>
    <row r="5839" spans="1:5">
      <c r="A5839" s="64"/>
      <c r="E5839" t="e">
        <f t="shared" si="95"/>
        <v>#N/A</v>
      </c>
    </row>
    <row r="5840" spans="1:5">
      <c r="A5840" s="64"/>
      <c r="E5840" t="e">
        <f t="shared" si="95"/>
        <v>#N/A</v>
      </c>
    </row>
    <row r="5841" spans="1:5">
      <c r="A5841" s="64"/>
      <c r="E5841" t="e">
        <f t="shared" si="95"/>
        <v>#N/A</v>
      </c>
    </row>
    <row r="5842" spans="1:5">
      <c r="A5842" s="64"/>
      <c r="E5842" t="e">
        <f t="shared" si="95"/>
        <v>#N/A</v>
      </c>
    </row>
    <row r="5843" spans="1:5">
      <c r="A5843" s="64"/>
      <c r="E5843" t="e">
        <f t="shared" si="95"/>
        <v>#N/A</v>
      </c>
    </row>
    <row r="5844" spans="1:5">
      <c r="A5844" s="64"/>
      <c r="E5844" t="e">
        <f t="shared" si="95"/>
        <v>#N/A</v>
      </c>
    </row>
    <row r="5845" spans="1:5">
      <c r="A5845" s="64"/>
      <c r="E5845" t="e">
        <f t="shared" si="95"/>
        <v>#N/A</v>
      </c>
    </row>
    <row r="5846" spans="1:5">
      <c r="A5846" s="64"/>
      <c r="E5846" t="e">
        <f t="shared" si="95"/>
        <v>#N/A</v>
      </c>
    </row>
    <row r="5847" spans="1:5">
      <c r="A5847" s="64"/>
      <c r="E5847" t="e">
        <f t="shared" si="95"/>
        <v>#N/A</v>
      </c>
    </row>
    <row r="5848" spans="1:5">
      <c r="A5848" s="64"/>
      <c r="E5848" t="e">
        <f t="shared" si="95"/>
        <v>#N/A</v>
      </c>
    </row>
    <row r="5849" spans="1:5">
      <c r="A5849" s="64"/>
      <c r="E5849" t="e">
        <f t="shared" si="95"/>
        <v>#N/A</v>
      </c>
    </row>
    <row r="5850" spans="1:5">
      <c r="A5850" s="64"/>
      <c r="E5850" t="e">
        <f t="shared" si="95"/>
        <v>#N/A</v>
      </c>
    </row>
    <row r="5851" spans="1:5">
      <c r="A5851" s="64"/>
      <c r="E5851" t="e">
        <f t="shared" si="95"/>
        <v>#N/A</v>
      </c>
    </row>
    <row r="5852" spans="1:5">
      <c r="A5852" s="64"/>
      <c r="E5852" t="e">
        <f t="shared" si="95"/>
        <v>#N/A</v>
      </c>
    </row>
    <row r="5853" spans="1:5">
      <c r="A5853" s="64"/>
      <c r="E5853" t="e">
        <f t="shared" si="95"/>
        <v>#N/A</v>
      </c>
    </row>
    <row r="5854" spans="1:5">
      <c r="A5854" s="64"/>
      <c r="E5854" t="e">
        <f t="shared" si="95"/>
        <v>#N/A</v>
      </c>
    </row>
    <row r="5855" spans="1:5">
      <c r="A5855" s="64"/>
      <c r="E5855" t="e">
        <f t="shared" si="95"/>
        <v>#N/A</v>
      </c>
    </row>
    <row r="5856" spans="1:5">
      <c r="A5856" s="64"/>
      <c r="E5856" t="e">
        <f t="shared" si="95"/>
        <v>#N/A</v>
      </c>
    </row>
    <row r="5857" spans="1:5">
      <c r="A5857" s="64"/>
      <c r="E5857" t="e">
        <f t="shared" si="95"/>
        <v>#N/A</v>
      </c>
    </row>
    <row r="5858" spans="1:5">
      <c r="A5858" s="64"/>
      <c r="E5858" t="e">
        <f t="shared" si="95"/>
        <v>#N/A</v>
      </c>
    </row>
    <row r="5859" spans="1:5">
      <c r="A5859" s="64"/>
      <c r="E5859" t="e">
        <f t="shared" si="95"/>
        <v>#N/A</v>
      </c>
    </row>
    <row r="5860" spans="1:5">
      <c r="A5860" s="64"/>
      <c r="E5860" t="e">
        <f t="shared" si="95"/>
        <v>#N/A</v>
      </c>
    </row>
    <row r="5861" spans="1:5">
      <c r="A5861" s="64"/>
      <c r="E5861" t="e">
        <f t="shared" si="95"/>
        <v>#N/A</v>
      </c>
    </row>
    <row r="5862" spans="1:5">
      <c r="A5862" s="64"/>
      <c r="E5862" t="e">
        <f t="shared" si="95"/>
        <v>#N/A</v>
      </c>
    </row>
    <row r="5863" spans="1:5">
      <c r="A5863" s="64"/>
      <c r="E5863" t="e">
        <f t="shared" si="95"/>
        <v>#N/A</v>
      </c>
    </row>
    <row r="5864" spans="1:5">
      <c r="A5864" s="64"/>
      <c r="E5864" t="e">
        <f t="shared" si="95"/>
        <v>#N/A</v>
      </c>
    </row>
    <row r="5865" spans="1:5">
      <c r="A5865" s="64"/>
      <c r="E5865" t="e">
        <f t="shared" si="95"/>
        <v>#N/A</v>
      </c>
    </row>
    <row r="5866" spans="1:5">
      <c r="A5866" s="64"/>
      <c r="E5866" t="e">
        <f t="shared" si="95"/>
        <v>#N/A</v>
      </c>
    </row>
    <row r="5867" spans="1:5">
      <c r="A5867" s="64"/>
      <c r="E5867" t="e">
        <f t="shared" si="95"/>
        <v>#N/A</v>
      </c>
    </row>
    <row r="5868" spans="1:5">
      <c r="A5868" s="64"/>
      <c r="E5868" t="e">
        <f t="shared" si="95"/>
        <v>#N/A</v>
      </c>
    </row>
    <row r="5869" spans="1:5">
      <c r="A5869" s="64"/>
      <c r="E5869" t="e">
        <f t="shared" si="95"/>
        <v>#N/A</v>
      </c>
    </row>
    <row r="5870" spans="1:5">
      <c r="A5870" s="64"/>
      <c r="E5870" t="e">
        <f t="shared" si="95"/>
        <v>#N/A</v>
      </c>
    </row>
    <row r="5871" spans="1:5">
      <c r="A5871" s="64"/>
      <c r="E5871" t="e">
        <f t="shared" si="95"/>
        <v>#N/A</v>
      </c>
    </row>
    <row r="5872" spans="1:5">
      <c r="A5872" s="64"/>
      <c r="E5872" t="e">
        <f t="shared" si="95"/>
        <v>#N/A</v>
      </c>
    </row>
    <row r="5873" spans="1:5">
      <c r="A5873" s="64"/>
      <c r="E5873" t="e">
        <f t="shared" si="95"/>
        <v>#N/A</v>
      </c>
    </row>
    <row r="5874" spans="1:5">
      <c r="A5874" s="64"/>
      <c r="E5874" t="e">
        <f t="shared" si="95"/>
        <v>#N/A</v>
      </c>
    </row>
    <row r="5875" spans="1:5">
      <c r="A5875" s="64"/>
      <c r="E5875" t="e">
        <f t="shared" si="95"/>
        <v>#N/A</v>
      </c>
    </row>
    <row r="5876" spans="1:5">
      <c r="A5876" s="64"/>
      <c r="E5876" t="e">
        <f t="shared" si="95"/>
        <v>#N/A</v>
      </c>
    </row>
    <row r="5877" spans="1:5">
      <c r="A5877" s="64"/>
      <c r="E5877" t="e">
        <f t="shared" si="95"/>
        <v>#N/A</v>
      </c>
    </row>
    <row r="5878" spans="1:5">
      <c r="A5878" s="64"/>
      <c r="E5878" t="e">
        <f t="shared" si="95"/>
        <v>#N/A</v>
      </c>
    </row>
    <row r="5879" spans="1:5">
      <c r="A5879" s="64"/>
      <c r="E5879" t="e">
        <f t="shared" si="95"/>
        <v>#N/A</v>
      </c>
    </row>
    <row r="5880" spans="1:5">
      <c r="A5880" s="64"/>
      <c r="E5880" t="e">
        <f t="shared" si="95"/>
        <v>#N/A</v>
      </c>
    </row>
    <row r="5881" spans="1:5">
      <c r="A5881" s="64"/>
      <c r="E5881" t="e">
        <f t="shared" si="95"/>
        <v>#N/A</v>
      </c>
    </row>
    <row r="5882" spans="1:5">
      <c r="A5882" s="64"/>
      <c r="E5882" t="e">
        <f t="shared" si="95"/>
        <v>#N/A</v>
      </c>
    </row>
    <row r="5883" spans="1:5">
      <c r="A5883" s="64"/>
      <c r="E5883" t="e">
        <f t="shared" si="95"/>
        <v>#N/A</v>
      </c>
    </row>
    <row r="5884" spans="1:5">
      <c r="A5884" s="64"/>
      <c r="E5884" t="e">
        <f t="shared" si="95"/>
        <v>#N/A</v>
      </c>
    </row>
    <row r="5885" spans="1:5">
      <c r="A5885" s="64"/>
      <c r="E5885" t="e">
        <f t="shared" si="95"/>
        <v>#N/A</v>
      </c>
    </row>
    <row r="5886" spans="1:5">
      <c r="A5886" s="64"/>
      <c r="E5886" t="e">
        <f t="shared" si="95"/>
        <v>#N/A</v>
      </c>
    </row>
    <row r="5887" spans="1:5">
      <c r="A5887" s="64"/>
      <c r="E5887" t="e">
        <f t="shared" si="95"/>
        <v>#N/A</v>
      </c>
    </row>
    <row r="5888" spans="1:5">
      <c r="A5888" s="64"/>
      <c r="E5888" t="e">
        <f t="shared" si="95"/>
        <v>#N/A</v>
      </c>
    </row>
    <row r="5889" spans="1:5">
      <c r="A5889" s="64"/>
      <c r="E5889" t="e">
        <f t="shared" si="95"/>
        <v>#N/A</v>
      </c>
    </row>
    <row r="5890" spans="1:5">
      <c r="A5890" s="64"/>
      <c r="E5890" t="e">
        <f t="shared" si="95"/>
        <v>#N/A</v>
      </c>
    </row>
    <row r="5891" spans="1:5">
      <c r="A5891" s="64"/>
      <c r="E5891" t="e">
        <f t="shared" si="95"/>
        <v>#N/A</v>
      </c>
    </row>
    <row r="5892" spans="1:5">
      <c r="A5892" s="64"/>
      <c r="E5892" t="e">
        <f t="shared" si="95"/>
        <v>#N/A</v>
      </c>
    </row>
    <row r="5893" spans="1:5">
      <c r="A5893" s="64"/>
      <c r="E5893" t="e">
        <f t="shared" si="95"/>
        <v>#N/A</v>
      </c>
    </row>
    <row r="5894" spans="1:5">
      <c r="A5894" s="64"/>
      <c r="E5894" t="e">
        <f t="shared" si="95"/>
        <v>#N/A</v>
      </c>
    </row>
    <row r="5895" spans="1:5">
      <c r="A5895" s="64"/>
      <c r="E5895" t="e">
        <f t="shared" si="95"/>
        <v>#N/A</v>
      </c>
    </row>
    <row r="5896" spans="1:5">
      <c r="A5896" s="64"/>
      <c r="E5896" t="e">
        <f t="shared" si="95"/>
        <v>#N/A</v>
      </c>
    </row>
    <row r="5897" spans="1:5">
      <c r="A5897" s="64"/>
      <c r="E5897" t="e">
        <f t="shared" si="95"/>
        <v>#N/A</v>
      </c>
    </row>
    <row r="5898" spans="1:5">
      <c r="A5898" s="64"/>
      <c r="E5898" t="e">
        <f t="shared" si="95"/>
        <v>#N/A</v>
      </c>
    </row>
    <row r="5899" spans="1:5">
      <c r="A5899" s="64"/>
      <c r="E5899" t="e">
        <f t="shared" si="95"/>
        <v>#N/A</v>
      </c>
    </row>
    <row r="5900" spans="1:5">
      <c r="A5900" s="64"/>
      <c r="E5900" t="e">
        <f t="shared" si="95"/>
        <v>#N/A</v>
      </c>
    </row>
    <row r="5901" spans="1:5">
      <c r="A5901" s="64"/>
      <c r="E5901" t="e">
        <f t="shared" ref="E5901:E5964" si="96">VLOOKUP(B5901,$Q$14:$R$62,2,FALSE)</f>
        <v>#N/A</v>
      </c>
    </row>
    <row r="5902" spans="1:5">
      <c r="A5902" s="64"/>
      <c r="E5902" t="e">
        <f t="shared" si="96"/>
        <v>#N/A</v>
      </c>
    </row>
    <row r="5903" spans="1:5">
      <c r="A5903" s="64"/>
      <c r="E5903" t="e">
        <f t="shared" si="96"/>
        <v>#N/A</v>
      </c>
    </row>
    <row r="5904" spans="1:5">
      <c r="A5904" s="64"/>
      <c r="E5904" t="e">
        <f t="shared" si="96"/>
        <v>#N/A</v>
      </c>
    </row>
    <row r="5905" spans="1:5">
      <c r="A5905" s="64"/>
      <c r="E5905" t="e">
        <f t="shared" si="96"/>
        <v>#N/A</v>
      </c>
    </row>
    <row r="5906" spans="1:5">
      <c r="A5906" s="64"/>
      <c r="E5906" t="e">
        <f t="shared" si="96"/>
        <v>#N/A</v>
      </c>
    </row>
    <row r="5907" spans="1:5">
      <c r="A5907" s="64"/>
      <c r="E5907" t="e">
        <f t="shared" si="96"/>
        <v>#N/A</v>
      </c>
    </row>
    <row r="5908" spans="1:5">
      <c r="A5908" s="64"/>
      <c r="E5908" t="e">
        <f t="shared" si="96"/>
        <v>#N/A</v>
      </c>
    </row>
    <row r="5909" spans="1:5">
      <c r="A5909" s="64"/>
      <c r="E5909" t="e">
        <f t="shared" si="96"/>
        <v>#N/A</v>
      </c>
    </row>
    <row r="5910" spans="1:5">
      <c r="A5910" s="64"/>
      <c r="E5910" t="e">
        <f t="shared" si="96"/>
        <v>#N/A</v>
      </c>
    </row>
    <row r="5911" spans="1:5">
      <c r="A5911" s="64"/>
      <c r="E5911" t="e">
        <f t="shared" si="96"/>
        <v>#N/A</v>
      </c>
    </row>
    <row r="5912" spans="1:5">
      <c r="A5912" s="64"/>
      <c r="E5912" t="e">
        <f t="shared" si="96"/>
        <v>#N/A</v>
      </c>
    </row>
    <row r="5913" spans="1:5">
      <c r="A5913" s="64"/>
      <c r="E5913" t="e">
        <f t="shared" si="96"/>
        <v>#N/A</v>
      </c>
    </row>
    <row r="5914" spans="1:5">
      <c r="A5914" s="64"/>
      <c r="E5914" t="e">
        <f t="shared" si="96"/>
        <v>#N/A</v>
      </c>
    </row>
    <row r="5915" spans="1:5">
      <c r="A5915" s="64"/>
      <c r="E5915" t="e">
        <f t="shared" si="96"/>
        <v>#N/A</v>
      </c>
    </row>
    <row r="5916" spans="1:5">
      <c r="A5916" s="64"/>
      <c r="E5916" t="e">
        <f t="shared" si="96"/>
        <v>#N/A</v>
      </c>
    </row>
    <row r="5917" spans="1:5">
      <c r="A5917" s="64"/>
      <c r="E5917" t="e">
        <f t="shared" si="96"/>
        <v>#N/A</v>
      </c>
    </row>
    <row r="5918" spans="1:5">
      <c r="A5918" s="64"/>
      <c r="E5918" t="e">
        <f t="shared" si="96"/>
        <v>#N/A</v>
      </c>
    </row>
    <row r="5919" spans="1:5">
      <c r="A5919" s="64"/>
      <c r="E5919" t="e">
        <f t="shared" si="96"/>
        <v>#N/A</v>
      </c>
    </row>
    <row r="5920" spans="1:5">
      <c r="A5920" s="64"/>
      <c r="E5920" t="e">
        <f t="shared" si="96"/>
        <v>#N/A</v>
      </c>
    </row>
    <row r="5921" spans="1:5">
      <c r="A5921" s="64"/>
      <c r="E5921" t="e">
        <f t="shared" si="96"/>
        <v>#N/A</v>
      </c>
    </row>
    <row r="5922" spans="1:5">
      <c r="A5922" s="64"/>
      <c r="E5922" t="e">
        <f t="shared" si="96"/>
        <v>#N/A</v>
      </c>
    </row>
    <row r="5923" spans="1:5">
      <c r="A5923" s="64"/>
      <c r="E5923" t="e">
        <f t="shared" si="96"/>
        <v>#N/A</v>
      </c>
    </row>
    <row r="5924" spans="1:5">
      <c r="A5924" s="64"/>
      <c r="E5924" t="e">
        <f t="shared" si="96"/>
        <v>#N/A</v>
      </c>
    </row>
    <row r="5925" spans="1:5">
      <c r="A5925" s="64"/>
      <c r="E5925" t="e">
        <f t="shared" si="96"/>
        <v>#N/A</v>
      </c>
    </row>
    <row r="5926" spans="1:5">
      <c r="A5926" s="64"/>
      <c r="E5926" t="e">
        <f t="shared" si="96"/>
        <v>#N/A</v>
      </c>
    </row>
    <row r="5927" spans="1:5">
      <c r="A5927" s="64"/>
      <c r="E5927" t="e">
        <f t="shared" si="96"/>
        <v>#N/A</v>
      </c>
    </row>
    <row r="5928" spans="1:5">
      <c r="A5928" s="64"/>
      <c r="E5928" t="e">
        <f t="shared" si="96"/>
        <v>#N/A</v>
      </c>
    </row>
    <row r="5929" spans="1:5">
      <c r="A5929" s="64"/>
      <c r="E5929" t="e">
        <f t="shared" si="96"/>
        <v>#N/A</v>
      </c>
    </row>
    <row r="5930" spans="1:5">
      <c r="A5930" s="64"/>
      <c r="E5930" t="e">
        <f t="shared" si="96"/>
        <v>#N/A</v>
      </c>
    </row>
    <row r="5931" spans="1:5">
      <c r="A5931" s="64"/>
      <c r="E5931" t="e">
        <f t="shared" si="96"/>
        <v>#N/A</v>
      </c>
    </row>
    <row r="5932" spans="1:5">
      <c r="A5932" s="64"/>
      <c r="E5932" t="e">
        <f t="shared" si="96"/>
        <v>#N/A</v>
      </c>
    </row>
    <row r="5933" spans="1:5">
      <c r="A5933" s="64"/>
      <c r="E5933" t="e">
        <f t="shared" si="96"/>
        <v>#N/A</v>
      </c>
    </row>
    <row r="5934" spans="1:5">
      <c r="A5934" s="64"/>
      <c r="E5934" t="e">
        <f t="shared" si="96"/>
        <v>#N/A</v>
      </c>
    </row>
    <row r="5935" spans="1:5">
      <c r="A5935" s="64"/>
      <c r="E5935" t="e">
        <f t="shared" si="96"/>
        <v>#N/A</v>
      </c>
    </row>
    <row r="5936" spans="1:5">
      <c r="A5936" s="64"/>
      <c r="E5936" t="e">
        <f t="shared" si="96"/>
        <v>#N/A</v>
      </c>
    </row>
    <row r="5937" spans="1:5">
      <c r="A5937" s="64"/>
      <c r="E5937" t="e">
        <f t="shared" si="96"/>
        <v>#N/A</v>
      </c>
    </row>
    <row r="5938" spans="1:5">
      <c r="A5938" s="64"/>
      <c r="E5938" t="e">
        <f t="shared" si="96"/>
        <v>#N/A</v>
      </c>
    </row>
    <row r="5939" spans="1:5">
      <c r="A5939" s="64"/>
      <c r="E5939" t="e">
        <f t="shared" si="96"/>
        <v>#N/A</v>
      </c>
    </row>
    <row r="5940" spans="1:5">
      <c r="A5940" s="64"/>
      <c r="E5940" t="e">
        <f t="shared" si="96"/>
        <v>#N/A</v>
      </c>
    </row>
    <row r="5941" spans="1:5">
      <c r="A5941" s="64"/>
      <c r="E5941" t="e">
        <f t="shared" si="96"/>
        <v>#N/A</v>
      </c>
    </row>
    <row r="5942" spans="1:5">
      <c r="A5942" s="64"/>
      <c r="E5942" t="e">
        <f t="shared" si="96"/>
        <v>#N/A</v>
      </c>
    </row>
    <row r="5943" spans="1:5">
      <c r="A5943" s="64"/>
      <c r="E5943" t="e">
        <f t="shared" si="96"/>
        <v>#N/A</v>
      </c>
    </row>
    <row r="5944" spans="1:5">
      <c r="A5944" s="64"/>
      <c r="E5944" t="e">
        <f t="shared" si="96"/>
        <v>#N/A</v>
      </c>
    </row>
    <row r="5945" spans="1:5">
      <c r="A5945" s="64"/>
      <c r="E5945" t="e">
        <f t="shared" si="96"/>
        <v>#N/A</v>
      </c>
    </row>
    <row r="5946" spans="1:5">
      <c r="A5946" s="64"/>
      <c r="E5946" t="e">
        <f t="shared" si="96"/>
        <v>#N/A</v>
      </c>
    </row>
    <row r="5947" spans="1:5">
      <c r="A5947" s="64"/>
      <c r="E5947" t="e">
        <f t="shared" si="96"/>
        <v>#N/A</v>
      </c>
    </row>
    <row r="5948" spans="1:5">
      <c r="A5948" s="64"/>
      <c r="E5948" t="e">
        <f t="shared" si="96"/>
        <v>#N/A</v>
      </c>
    </row>
    <row r="5949" spans="1:5">
      <c r="A5949" s="64"/>
      <c r="E5949" t="e">
        <f t="shared" si="96"/>
        <v>#N/A</v>
      </c>
    </row>
    <row r="5950" spans="1:5">
      <c r="A5950" s="64"/>
      <c r="E5950" t="e">
        <f t="shared" si="96"/>
        <v>#N/A</v>
      </c>
    </row>
    <row r="5951" spans="1:5">
      <c r="A5951" s="64"/>
      <c r="E5951" t="e">
        <f t="shared" si="96"/>
        <v>#N/A</v>
      </c>
    </row>
    <row r="5952" spans="1:5">
      <c r="A5952" s="64"/>
      <c r="E5952" t="e">
        <f t="shared" si="96"/>
        <v>#N/A</v>
      </c>
    </row>
    <row r="5953" spans="1:5">
      <c r="A5953" s="64"/>
      <c r="E5953" t="e">
        <f t="shared" si="96"/>
        <v>#N/A</v>
      </c>
    </row>
    <row r="5954" spans="1:5">
      <c r="A5954" s="64"/>
      <c r="E5954" t="e">
        <f t="shared" si="96"/>
        <v>#N/A</v>
      </c>
    </row>
    <row r="5955" spans="1:5">
      <c r="A5955" s="64"/>
      <c r="E5955" t="e">
        <f t="shared" si="96"/>
        <v>#N/A</v>
      </c>
    </row>
    <row r="5956" spans="1:5">
      <c r="A5956" s="64"/>
      <c r="E5956" t="e">
        <f t="shared" si="96"/>
        <v>#N/A</v>
      </c>
    </row>
    <row r="5957" spans="1:5">
      <c r="A5957" s="64"/>
      <c r="E5957" t="e">
        <f t="shared" si="96"/>
        <v>#N/A</v>
      </c>
    </row>
    <row r="5958" spans="1:5">
      <c r="A5958" s="64"/>
      <c r="E5958" t="e">
        <f t="shared" si="96"/>
        <v>#N/A</v>
      </c>
    </row>
    <row r="5959" spans="1:5">
      <c r="A5959" s="64"/>
      <c r="E5959" t="e">
        <f t="shared" si="96"/>
        <v>#N/A</v>
      </c>
    </row>
    <row r="5960" spans="1:5">
      <c r="A5960" s="64"/>
      <c r="E5960" t="e">
        <f t="shared" si="96"/>
        <v>#N/A</v>
      </c>
    </row>
    <row r="5961" spans="1:5">
      <c r="A5961" s="64"/>
      <c r="E5961" t="e">
        <f t="shared" si="96"/>
        <v>#N/A</v>
      </c>
    </row>
    <row r="5962" spans="1:5">
      <c r="A5962" s="64"/>
      <c r="E5962" t="e">
        <f t="shared" si="96"/>
        <v>#N/A</v>
      </c>
    </row>
    <row r="5963" spans="1:5">
      <c r="A5963" s="64"/>
      <c r="E5963" t="e">
        <f t="shared" si="96"/>
        <v>#N/A</v>
      </c>
    </row>
    <row r="5964" spans="1:5">
      <c r="A5964" s="64"/>
      <c r="E5964" t="e">
        <f t="shared" si="96"/>
        <v>#N/A</v>
      </c>
    </row>
    <row r="5965" spans="1:5">
      <c r="A5965" s="64"/>
      <c r="E5965" t="e">
        <f t="shared" ref="E5965:E6028" si="97">VLOOKUP(B5965,$Q$14:$R$62,2,FALSE)</f>
        <v>#N/A</v>
      </c>
    </row>
    <row r="5966" spans="1:5">
      <c r="A5966" s="64"/>
      <c r="E5966" t="e">
        <f t="shared" si="97"/>
        <v>#N/A</v>
      </c>
    </row>
    <row r="5967" spans="1:5">
      <c r="A5967" s="64"/>
      <c r="E5967" t="e">
        <f t="shared" si="97"/>
        <v>#N/A</v>
      </c>
    </row>
    <row r="5968" spans="1:5">
      <c r="A5968" s="64"/>
      <c r="E5968" t="e">
        <f t="shared" si="97"/>
        <v>#N/A</v>
      </c>
    </row>
    <row r="5969" spans="1:5">
      <c r="A5969" s="64"/>
      <c r="E5969" t="e">
        <f t="shared" si="97"/>
        <v>#N/A</v>
      </c>
    </row>
    <row r="5970" spans="1:5">
      <c r="A5970" s="64"/>
      <c r="E5970" t="e">
        <f t="shared" si="97"/>
        <v>#N/A</v>
      </c>
    </row>
    <row r="5971" spans="1:5">
      <c r="A5971" s="64"/>
      <c r="E5971" t="e">
        <f t="shared" si="97"/>
        <v>#N/A</v>
      </c>
    </row>
    <row r="5972" spans="1:5">
      <c r="A5972" s="64"/>
      <c r="E5972" t="e">
        <f t="shared" si="97"/>
        <v>#N/A</v>
      </c>
    </row>
    <row r="5973" spans="1:5">
      <c r="A5973" s="64"/>
      <c r="E5973" t="e">
        <f t="shared" si="97"/>
        <v>#N/A</v>
      </c>
    </row>
    <row r="5974" spans="1:5">
      <c r="A5974" s="64"/>
      <c r="E5974" t="e">
        <f t="shared" si="97"/>
        <v>#N/A</v>
      </c>
    </row>
    <row r="5975" spans="1:5">
      <c r="A5975" s="64"/>
      <c r="E5975" t="e">
        <f t="shared" si="97"/>
        <v>#N/A</v>
      </c>
    </row>
    <row r="5976" spans="1:5">
      <c r="A5976" s="64"/>
      <c r="E5976" t="e">
        <f t="shared" si="97"/>
        <v>#N/A</v>
      </c>
    </row>
    <row r="5977" spans="1:5">
      <c r="A5977" s="64"/>
      <c r="E5977" t="e">
        <f t="shared" si="97"/>
        <v>#N/A</v>
      </c>
    </row>
    <row r="5978" spans="1:5">
      <c r="A5978" s="64"/>
      <c r="E5978" t="e">
        <f t="shared" si="97"/>
        <v>#N/A</v>
      </c>
    </row>
    <row r="5979" spans="1:5">
      <c r="A5979" s="64"/>
      <c r="E5979" t="e">
        <f t="shared" si="97"/>
        <v>#N/A</v>
      </c>
    </row>
    <row r="5980" spans="1:5">
      <c r="A5980" s="64"/>
      <c r="E5980" t="e">
        <f t="shared" si="97"/>
        <v>#N/A</v>
      </c>
    </row>
    <row r="5981" spans="1:5">
      <c r="A5981" s="64"/>
      <c r="E5981" t="e">
        <f t="shared" si="97"/>
        <v>#N/A</v>
      </c>
    </row>
    <row r="5982" spans="1:5">
      <c r="A5982" s="64"/>
      <c r="E5982" t="e">
        <f t="shared" si="97"/>
        <v>#N/A</v>
      </c>
    </row>
    <row r="5983" spans="1:5">
      <c r="A5983" s="64"/>
      <c r="E5983" t="e">
        <f t="shared" si="97"/>
        <v>#N/A</v>
      </c>
    </row>
    <row r="5984" spans="1:5">
      <c r="A5984" s="64"/>
      <c r="E5984" t="e">
        <f t="shared" si="97"/>
        <v>#N/A</v>
      </c>
    </row>
    <row r="5985" spans="1:5">
      <c r="A5985" s="64"/>
      <c r="E5985" t="e">
        <f t="shared" si="97"/>
        <v>#N/A</v>
      </c>
    </row>
    <row r="5986" spans="1:5">
      <c r="A5986" s="64"/>
      <c r="E5986" t="e">
        <f t="shared" si="97"/>
        <v>#N/A</v>
      </c>
    </row>
    <row r="5987" spans="1:5">
      <c r="A5987" s="64"/>
      <c r="E5987" t="e">
        <f t="shared" si="97"/>
        <v>#N/A</v>
      </c>
    </row>
    <row r="5988" spans="1:5">
      <c r="A5988" s="64"/>
      <c r="E5988" t="e">
        <f t="shared" si="97"/>
        <v>#N/A</v>
      </c>
    </row>
    <row r="5989" spans="1:5">
      <c r="A5989" s="64"/>
      <c r="E5989" t="e">
        <f t="shared" si="97"/>
        <v>#N/A</v>
      </c>
    </row>
    <row r="5990" spans="1:5">
      <c r="A5990" s="64"/>
      <c r="E5990" t="e">
        <f t="shared" si="97"/>
        <v>#N/A</v>
      </c>
    </row>
    <row r="5991" spans="1:5">
      <c r="A5991" s="64"/>
      <c r="E5991" t="e">
        <f t="shared" si="97"/>
        <v>#N/A</v>
      </c>
    </row>
    <row r="5992" spans="1:5">
      <c r="A5992" s="64"/>
      <c r="E5992" t="e">
        <f t="shared" si="97"/>
        <v>#N/A</v>
      </c>
    </row>
    <row r="5993" spans="1:5">
      <c r="A5993" s="64"/>
      <c r="E5993" t="e">
        <f t="shared" si="97"/>
        <v>#N/A</v>
      </c>
    </row>
    <row r="5994" spans="1:5">
      <c r="A5994" s="64"/>
      <c r="E5994" t="e">
        <f t="shared" si="97"/>
        <v>#N/A</v>
      </c>
    </row>
    <row r="5995" spans="1:5">
      <c r="A5995" s="64"/>
      <c r="E5995" t="e">
        <f t="shared" si="97"/>
        <v>#N/A</v>
      </c>
    </row>
    <row r="5996" spans="1:5">
      <c r="A5996" s="64"/>
      <c r="E5996" t="e">
        <f t="shared" si="97"/>
        <v>#N/A</v>
      </c>
    </row>
    <row r="5997" spans="1:5">
      <c r="A5997" s="64"/>
      <c r="E5997" t="e">
        <f t="shared" si="97"/>
        <v>#N/A</v>
      </c>
    </row>
    <row r="5998" spans="1:5">
      <c r="A5998" s="64"/>
      <c r="E5998" t="e">
        <f t="shared" si="97"/>
        <v>#N/A</v>
      </c>
    </row>
    <row r="5999" spans="1:5">
      <c r="A5999" s="64"/>
      <c r="E5999" t="e">
        <f t="shared" si="97"/>
        <v>#N/A</v>
      </c>
    </row>
    <row r="6000" spans="1:5">
      <c r="A6000" s="64"/>
      <c r="E6000" t="e">
        <f t="shared" si="97"/>
        <v>#N/A</v>
      </c>
    </row>
    <row r="6001" spans="1:5">
      <c r="A6001" s="64"/>
      <c r="E6001" t="e">
        <f t="shared" si="97"/>
        <v>#N/A</v>
      </c>
    </row>
    <row r="6002" spans="1:5">
      <c r="A6002" s="64"/>
      <c r="E6002" t="e">
        <f t="shared" si="97"/>
        <v>#N/A</v>
      </c>
    </row>
    <row r="6003" spans="1:5">
      <c r="A6003" s="64"/>
      <c r="E6003" t="e">
        <f t="shared" si="97"/>
        <v>#N/A</v>
      </c>
    </row>
    <row r="6004" spans="1:5">
      <c r="A6004" s="64"/>
      <c r="E6004" t="e">
        <f t="shared" si="97"/>
        <v>#N/A</v>
      </c>
    </row>
    <row r="6005" spans="1:5">
      <c r="A6005" s="64"/>
      <c r="E6005" t="e">
        <f t="shared" si="97"/>
        <v>#N/A</v>
      </c>
    </row>
    <row r="6006" spans="1:5">
      <c r="A6006" s="64"/>
      <c r="E6006" t="e">
        <f t="shared" si="97"/>
        <v>#N/A</v>
      </c>
    </row>
    <row r="6007" spans="1:5">
      <c r="A6007" s="64"/>
      <c r="E6007" t="e">
        <f t="shared" si="97"/>
        <v>#N/A</v>
      </c>
    </row>
    <row r="6008" spans="1:5">
      <c r="A6008" s="64"/>
      <c r="E6008" t="e">
        <f t="shared" si="97"/>
        <v>#N/A</v>
      </c>
    </row>
    <row r="6009" spans="1:5">
      <c r="A6009" s="64"/>
      <c r="E6009" t="e">
        <f t="shared" si="97"/>
        <v>#N/A</v>
      </c>
    </row>
    <row r="6010" spans="1:5">
      <c r="A6010" s="64"/>
      <c r="E6010" t="e">
        <f t="shared" si="97"/>
        <v>#N/A</v>
      </c>
    </row>
    <row r="6011" spans="1:5">
      <c r="A6011" s="64"/>
      <c r="E6011" t="e">
        <f t="shared" si="97"/>
        <v>#N/A</v>
      </c>
    </row>
    <row r="6012" spans="1:5">
      <c r="A6012" s="64"/>
      <c r="E6012" t="e">
        <f t="shared" si="97"/>
        <v>#N/A</v>
      </c>
    </row>
    <row r="6013" spans="1:5">
      <c r="A6013" s="64"/>
      <c r="E6013" t="e">
        <f t="shared" si="97"/>
        <v>#N/A</v>
      </c>
    </row>
    <row r="6014" spans="1:5">
      <c r="A6014" s="64"/>
      <c r="E6014" t="e">
        <f t="shared" si="97"/>
        <v>#N/A</v>
      </c>
    </row>
    <row r="6015" spans="1:5">
      <c r="A6015" s="64"/>
      <c r="E6015" t="e">
        <f t="shared" si="97"/>
        <v>#N/A</v>
      </c>
    </row>
    <row r="6016" spans="1:5">
      <c r="A6016" s="64"/>
      <c r="E6016" t="e">
        <f t="shared" si="97"/>
        <v>#N/A</v>
      </c>
    </row>
    <row r="6017" spans="1:5">
      <c r="A6017" s="64"/>
      <c r="E6017" t="e">
        <f t="shared" si="97"/>
        <v>#N/A</v>
      </c>
    </row>
    <row r="6018" spans="1:5">
      <c r="A6018" s="64"/>
      <c r="E6018" t="e">
        <f t="shared" si="97"/>
        <v>#N/A</v>
      </c>
    </row>
    <row r="6019" spans="1:5">
      <c r="A6019" s="64"/>
      <c r="E6019" t="e">
        <f t="shared" si="97"/>
        <v>#N/A</v>
      </c>
    </row>
    <row r="6020" spans="1:5">
      <c r="A6020" s="64"/>
      <c r="E6020" t="e">
        <f t="shared" si="97"/>
        <v>#N/A</v>
      </c>
    </row>
    <row r="6021" spans="1:5">
      <c r="A6021" s="64"/>
      <c r="E6021" t="e">
        <f t="shared" si="97"/>
        <v>#N/A</v>
      </c>
    </row>
    <row r="6022" spans="1:5">
      <c r="A6022" s="64"/>
      <c r="E6022" t="e">
        <f t="shared" si="97"/>
        <v>#N/A</v>
      </c>
    </row>
    <row r="6023" spans="1:5">
      <c r="A6023" s="64"/>
      <c r="E6023" t="e">
        <f t="shared" si="97"/>
        <v>#N/A</v>
      </c>
    </row>
    <row r="6024" spans="1:5">
      <c r="A6024" s="64"/>
      <c r="E6024" t="e">
        <f t="shared" si="97"/>
        <v>#N/A</v>
      </c>
    </row>
    <row r="6025" spans="1:5">
      <c r="A6025" s="64"/>
      <c r="E6025" t="e">
        <f t="shared" si="97"/>
        <v>#N/A</v>
      </c>
    </row>
    <row r="6026" spans="1:5">
      <c r="A6026" s="64"/>
      <c r="E6026" t="e">
        <f t="shared" si="97"/>
        <v>#N/A</v>
      </c>
    </row>
    <row r="6027" spans="1:5">
      <c r="A6027" s="64"/>
      <c r="E6027" t="e">
        <f t="shared" si="97"/>
        <v>#N/A</v>
      </c>
    </row>
    <row r="6028" spans="1:5">
      <c r="A6028" s="64"/>
      <c r="E6028" t="e">
        <f t="shared" si="97"/>
        <v>#N/A</v>
      </c>
    </row>
    <row r="6029" spans="1:5">
      <c r="A6029" s="64"/>
      <c r="E6029" t="e">
        <f t="shared" ref="E6029:E6092" si="98">VLOOKUP(B6029,$Q$14:$R$62,2,FALSE)</f>
        <v>#N/A</v>
      </c>
    </row>
    <row r="6030" spans="1:5">
      <c r="A6030" s="64"/>
      <c r="E6030" t="e">
        <f t="shared" si="98"/>
        <v>#N/A</v>
      </c>
    </row>
    <row r="6031" spans="1:5">
      <c r="A6031" s="64"/>
      <c r="E6031" t="e">
        <f t="shared" si="98"/>
        <v>#N/A</v>
      </c>
    </row>
    <row r="6032" spans="1:5">
      <c r="A6032" s="64"/>
      <c r="E6032" t="e">
        <f t="shared" si="98"/>
        <v>#N/A</v>
      </c>
    </row>
    <row r="6033" spans="1:5">
      <c r="A6033" s="64"/>
      <c r="E6033" t="e">
        <f t="shared" si="98"/>
        <v>#N/A</v>
      </c>
    </row>
    <row r="6034" spans="1:5">
      <c r="A6034" s="64"/>
      <c r="E6034" t="e">
        <f t="shared" si="98"/>
        <v>#N/A</v>
      </c>
    </row>
    <row r="6035" spans="1:5">
      <c r="A6035" s="64"/>
      <c r="E6035" t="e">
        <f t="shared" si="98"/>
        <v>#N/A</v>
      </c>
    </row>
    <row r="6036" spans="1:5">
      <c r="A6036" s="64"/>
      <c r="E6036" t="e">
        <f t="shared" si="98"/>
        <v>#N/A</v>
      </c>
    </row>
    <row r="6037" spans="1:5">
      <c r="A6037" s="64"/>
      <c r="E6037" t="e">
        <f t="shared" si="98"/>
        <v>#N/A</v>
      </c>
    </row>
    <row r="6038" spans="1:5">
      <c r="A6038" s="64"/>
      <c r="E6038" t="e">
        <f t="shared" si="98"/>
        <v>#N/A</v>
      </c>
    </row>
    <row r="6039" spans="1:5">
      <c r="A6039" s="64"/>
      <c r="E6039" t="e">
        <f t="shared" si="98"/>
        <v>#N/A</v>
      </c>
    </row>
    <row r="6040" spans="1:5">
      <c r="A6040" s="64"/>
      <c r="E6040" t="e">
        <f t="shared" si="98"/>
        <v>#N/A</v>
      </c>
    </row>
    <row r="6041" spans="1:5">
      <c r="A6041" s="64"/>
      <c r="E6041" t="e">
        <f t="shared" si="98"/>
        <v>#N/A</v>
      </c>
    </row>
    <row r="6042" spans="1:5">
      <c r="A6042" s="64"/>
      <c r="E6042" t="e">
        <f t="shared" si="98"/>
        <v>#N/A</v>
      </c>
    </row>
    <row r="6043" spans="1:5">
      <c r="A6043" s="64"/>
      <c r="E6043" t="e">
        <f t="shared" si="98"/>
        <v>#N/A</v>
      </c>
    </row>
    <row r="6044" spans="1:5">
      <c r="A6044" s="64"/>
      <c r="E6044" t="e">
        <f t="shared" si="98"/>
        <v>#N/A</v>
      </c>
    </row>
    <row r="6045" spans="1:5">
      <c r="A6045" s="64"/>
      <c r="E6045" t="e">
        <f t="shared" si="98"/>
        <v>#N/A</v>
      </c>
    </row>
    <row r="6046" spans="1:5">
      <c r="A6046" s="64"/>
      <c r="E6046" t="e">
        <f t="shared" si="98"/>
        <v>#N/A</v>
      </c>
    </row>
    <row r="6047" spans="1:5">
      <c r="A6047" s="64"/>
      <c r="E6047" t="e">
        <f t="shared" si="98"/>
        <v>#N/A</v>
      </c>
    </row>
    <row r="6048" spans="1:5">
      <c r="A6048" s="64"/>
      <c r="E6048" t="e">
        <f t="shared" si="98"/>
        <v>#N/A</v>
      </c>
    </row>
    <row r="6049" spans="1:5">
      <c r="A6049" s="64"/>
      <c r="E6049" t="e">
        <f t="shared" si="98"/>
        <v>#N/A</v>
      </c>
    </row>
    <row r="6050" spans="1:5">
      <c r="A6050" s="64"/>
      <c r="E6050" t="e">
        <f t="shared" si="98"/>
        <v>#N/A</v>
      </c>
    </row>
    <row r="6051" spans="1:5">
      <c r="A6051" s="64"/>
      <c r="E6051" t="e">
        <f t="shared" si="98"/>
        <v>#N/A</v>
      </c>
    </row>
    <row r="6052" spans="1:5">
      <c r="A6052" s="64"/>
      <c r="E6052" t="e">
        <f t="shared" si="98"/>
        <v>#N/A</v>
      </c>
    </row>
    <row r="6053" spans="1:5">
      <c r="A6053" s="64"/>
      <c r="E6053" t="e">
        <f t="shared" si="98"/>
        <v>#N/A</v>
      </c>
    </row>
    <row r="6054" spans="1:5">
      <c r="A6054" s="64"/>
      <c r="E6054" t="e">
        <f t="shared" si="98"/>
        <v>#N/A</v>
      </c>
    </row>
    <row r="6055" spans="1:5">
      <c r="A6055" s="64"/>
      <c r="E6055" t="e">
        <f t="shared" si="98"/>
        <v>#N/A</v>
      </c>
    </row>
    <row r="6056" spans="1:5">
      <c r="A6056" s="64"/>
      <c r="E6056" t="e">
        <f t="shared" si="98"/>
        <v>#N/A</v>
      </c>
    </row>
    <row r="6057" spans="1:5">
      <c r="A6057" s="64"/>
      <c r="E6057" t="e">
        <f t="shared" si="98"/>
        <v>#N/A</v>
      </c>
    </row>
    <row r="6058" spans="1:5">
      <c r="A6058" s="64"/>
      <c r="E6058" t="e">
        <f t="shared" si="98"/>
        <v>#N/A</v>
      </c>
    </row>
    <row r="6059" spans="1:5">
      <c r="A6059" s="64"/>
      <c r="E6059" t="e">
        <f t="shared" si="98"/>
        <v>#N/A</v>
      </c>
    </row>
    <row r="6060" spans="1:5">
      <c r="A6060" s="64"/>
      <c r="E6060" t="e">
        <f t="shared" si="98"/>
        <v>#N/A</v>
      </c>
    </row>
    <row r="6061" spans="1:5">
      <c r="A6061" s="64"/>
      <c r="E6061" t="e">
        <f t="shared" si="98"/>
        <v>#N/A</v>
      </c>
    </row>
    <row r="6062" spans="1:5">
      <c r="A6062" s="64"/>
      <c r="E6062" t="e">
        <f t="shared" si="98"/>
        <v>#N/A</v>
      </c>
    </row>
    <row r="6063" spans="1:5">
      <c r="A6063" s="64"/>
      <c r="E6063" t="e">
        <f t="shared" si="98"/>
        <v>#N/A</v>
      </c>
    </row>
    <row r="6064" spans="1:5">
      <c r="A6064" s="64"/>
      <c r="E6064" t="e">
        <f t="shared" si="98"/>
        <v>#N/A</v>
      </c>
    </row>
    <row r="6065" spans="1:5">
      <c r="A6065" s="64"/>
      <c r="E6065" t="e">
        <f t="shared" si="98"/>
        <v>#N/A</v>
      </c>
    </row>
    <row r="6066" spans="1:5">
      <c r="A6066" s="64"/>
      <c r="E6066" t="e">
        <f t="shared" si="98"/>
        <v>#N/A</v>
      </c>
    </row>
    <row r="6067" spans="1:5">
      <c r="A6067" s="64"/>
      <c r="E6067" t="e">
        <f t="shared" si="98"/>
        <v>#N/A</v>
      </c>
    </row>
    <row r="6068" spans="1:5">
      <c r="A6068" s="64"/>
      <c r="E6068" t="e">
        <f t="shared" si="98"/>
        <v>#N/A</v>
      </c>
    </row>
    <row r="6069" spans="1:5">
      <c r="A6069" s="64"/>
      <c r="E6069" t="e">
        <f t="shared" si="98"/>
        <v>#N/A</v>
      </c>
    </row>
    <row r="6070" spans="1:5">
      <c r="A6070" s="64"/>
      <c r="E6070" t="e">
        <f t="shared" si="98"/>
        <v>#N/A</v>
      </c>
    </row>
    <row r="6071" spans="1:5">
      <c r="A6071" s="64"/>
      <c r="E6071" t="e">
        <f t="shared" si="98"/>
        <v>#N/A</v>
      </c>
    </row>
    <row r="6072" spans="1:5">
      <c r="A6072" s="64"/>
      <c r="E6072" t="e">
        <f t="shared" si="98"/>
        <v>#N/A</v>
      </c>
    </row>
    <row r="6073" spans="1:5">
      <c r="A6073" s="64"/>
      <c r="E6073" t="e">
        <f t="shared" si="98"/>
        <v>#N/A</v>
      </c>
    </row>
    <row r="6074" spans="1:5">
      <c r="A6074" s="64"/>
      <c r="E6074" t="e">
        <f t="shared" si="98"/>
        <v>#N/A</v>
      </c>
    </row>
    <row r="6075" spans="1:5">
      <c r="A6075" s="64"/>
      <c r="E6075" t="e">
        <f t="shared" si="98"/>
        <v>#N/A</v>
      </c>
    </row>
    <row r="6076" spans="1:5">
      <c r="A6076" s="64"/>
      <c r="E6076" t="e">
        <f t="shared" si="98"/>
        <v>#N/A</v>
      </c>
    </row>
    <row r="6077" spans="1:5">
      <c r="A6077" s="64"/>
      <c r="E6077" t="e">
        <f t="shared" si="98"/>
        <v>#N/A</v>
      </c>
    </row>
    <row r="6078" spans="1:5">
      <c r="A6078" s="64"/>
      <c r="E6078" t="e">
        <f t="shared" si="98"/>
        <v>#N/A</v>
      </c>
    </row>
    <row r="6079" spans="1:5">
      <c r="A6079" s="64"/>
      <c r="E6079" t="e">
        <f t="shared" si="98"/>
        <v>#N/A</v>
      </c>
    </row>
    <row r="6080" spans="1:5">
      <c r="A6080" s="64"/>
      <c r="E6080" t="e">
        <f t="shared" si="98"/>
        <v>#N/A</v>
      </c>
    </row>
    <row r="6081" spans="1:5">
      <c r="A6081" s="64"/>
      <c r="E6081" t="e">
        <f t="shared" si="98"/>
        <v>#N/A</v>
      </c>
    </row>
    <row r="6082" spans="1:5">
      <c r="A6082" s="64"/>
      <c r="E6082" t="e">
        <f t="shared" si="98"/>
        <v>#N/A</v>
      </c>
    </row>
    <row r="6083" spans="1:5">
      <c r="A6083" s="64"/>
      <c r="E6083" t="e">
        <f t="shared" si="98"/>
        <v>#N/A</v>
      </c>
    </row>
    <row r="6084" spans="1:5">
      <c r="A6084" s="64"/>
      <c r="E6084" t="e">
        <f t="shared" si="98"/>
        <v>#N/A</v>
      </c>
    </row>
    <row r="6085" spans="1:5">
      <c r="A6085" s="64"/>
      <c r="E6085" t="e">
        <f t="shared" si="98"/>
        <v>#N/A</v>
      </c>
    </row>
    <row r="6086" spans="1:5">
      <c r="A6086" s="64"/>
      <c r="E6086" t="e">
        <f t="shared" si="98"/>
        <v>#N/A</v>
      </c>
    </row>
    <row r="6087" spans="1:5">
      <c r="A6087" s="64"/>
      <c r="E6087" t="e">
        <f t="shared" si="98"/>
        <v>#N/A</v>
      </c>
    </row>
    <row r="6088" spans="1:5">
      <c r="A6088" s="64"/>
      <c r="E6088" t="e">
        <f t="shared" si="98"/>
        <v>#N/A</v>
      </c>
    </row>
    <row r="6089" spans="1:5">
      <c r="A6089" s="64"/>
      <c r="E6089" t="e">
        <f t="shared" si="98"/>
        <v>#N/A</v>
      </c>
    </row>
    <row r="6090" spans="1:5">
      <c r="A6090" s="64"/>
      <c r="E6090" t="e">
        <f t="shared" si="98"/>
        <v>#N/A</v>
      </c>
    </row>
    <row r="6091" spans="1:5">
      <c r="A6091" s="64"/>
      <c r="E6091" t="e">
        <f t="shared" si="98"/>
        <v>#N/A</v>
      </c>
    </row>
    <row r="6092" spans="1:5">
      <c r="A6092" s="64"/>
      <c r="E6092" t="e">
        <f t="shared" si="98"/>
        <v>#N/A</v>
      </c>
    </row>
    <row r="6093" spans="1:5">
      <c r="A6093" s="64"/>
      <c r="E6093" t="e">
        <f t="shared" ref="E6093:E6156" si="99">VLOOKUP(B6093,$Q$14:$R$62,2,FALSE)</f>
        <v>#N/A</v>
      </c>
    </row>
    <row r="6094" spans="1:5">
      <c r="A6094" s="64"/>
      <c r="E6094" t="e">
        <f t="shared" si="99"/>
        <v>#N/A</v>
      </c>
    </row>
    <row r="6095" spans="1:5">
      <c r="A6095" s="64"/>
      <c r="E6095" t="e">
        <f t="shared" si="99"/>
        <v>#N/A</v>
      </c>
    </row>
    <row r="6096" spans="1:5">
      <c r="A6096" s="64"/>
      <c r="E6096" t="e">
        <f t="shared" si="99"/>
        <v>#N/A</v>
      </c>
    </row>
    <row r="6097" spans="1:5">
      <c r="A6097" s="64"/>
      <c r="E6097" t="e">
        <f t="shared" si="99"/>
        <v>#N/A</v>
      </c>
    </row>
    <row r="6098" spans="1:5">
      <c r="A6098" s="64"/>
      <c r="E6098" t="e">
        <f t="shared" si="99"/>
        <v>#N/A</v>
      </c>
    </row>
    <row r="6099" spans="1:5">
      <c r="A6099" s="64"/>
      <c r="E6099" t="e">
        <f t="shared" si="99"/>
        <v>#N/A</v>
      </c>
    </row>
    <row r="6100" spans="1:5">
      <c r="A6100" s="64"/>
      <c r="E6100" t="e">
        <f t="shared" si="99"/>
        <v>#N/A</v>
      </c>
    </row>
    <row r="6101" spans="1:5">
      <c r="A6101" s="64"/>
      <c r="E6101" t="e">
        <f t="shared" si="99"/>
        <v>#N/A</v>
      </c>
    </row>
    <row r="6102" spans="1:5">
      <c r="A6102" s="64"/>
      <c r="E6102" t="e">
        <f t="shared" si="99"/>
        <v>#N/A</v>
      </c>
    </row>
    <row r="6103" spans="1:5">
      <c r="A6103" s="64"/>
      <c r="E6103" t="e">
        <f t="shared" si="99"/>
        <v>#N/A</v>
      </c>
    </row>
    <row r="6104" spans="1:5">
      <c r="A6104" s="64"/>
      <c r="E6104" t="e">
        <f t="shared" si="99"/>
        <v>#N/A</v>
      </c>
    </row>
    <row r="6105" spans="1:5">
      <c r="A6105" s="64"/>
      <c r="E6105" t="e">
        <f t="shared" si="99"/>
        <v>#N/A</v>
      </c>
    </row>
    <row r="6106" spans="1:5">
      <c r="A6106" s="64"/>
      <c r="E6106" t="e">
        <f t="shared" si="99"/>
        <v>#N/A</v>
      </c>
    </row>
    <row r="6107" spans="1:5">
      <c r="A6107" s="64"/>
      <c r="E6107" t="e">
        <f t="shared" si="99"/>
        <v>#N/A</v>
      </c>
    </row>
    <row r="6108" spans="1:5">
      <c r="A6108" s="64"/>
      <c r="E6108" t="e">
        <f t="shared" si="99"/>
        <v>#N/A</v>
      </c>
    </row>
    <row r="6109" spans="1:5">
      <c r="A6109" s="64"/>
      <c r="E6109" t="e">
        <f t="shared" si="99"/>
        <v>#N/A</v>
      </c>
    </row>
    <row r="6110" spans="1:5">
      <c r="A6110" s="64"/>
      <c r="E6110" t="e">
        <f t="shared" si="99"/>
        <v>#N/A</v>
      </c>
    </row>
    <row r="6111" spans="1:5">
      <c r="A6111" s="64"/>
      <c r="E6111" t="e">
        <f t="shared" si="99"/>
        <v>#N/A</v>
      </c>
    </row>
    <row r="6112" spans="1:5">
      <c r="A6112" s="64"/>
      <c r="E6112" t="e">
        <f t="shared" si="99"/>
        <v>#N/A</v>
      </c>
    </row>
    <row r="6113" spans="1:5">
      <c r="A6113" s="64"/>
      <c r="E6113" t="e">
        <f t="shared" si="99"/>
        <v>#N/A</v>
      </c>
    </row>
    <row r="6114" spans="1:5">
      <c r="A6114" s="64"/>
      <c r="E6114" t="e">
        <f t="shared" si="99"/>
        <v>#N/A</v>
      </c>
    </row>
    <row r="6115" spans="1:5">
      <c r="A6115" s="64"/>
      <c r="E6115" t="e">
        <f t="shared" si="99"/>
        <v>#N/A</v>
      </c>
    </row>
    <row r="6116" spans="1:5">
      <c r="A6116" s="64"/>
      <c r="E6116" t="e">
        <f t="shared" si="99"/>
        <v>#N/A</v>
      </c>
    </row>
    <row r="6117" spans="1:5">
      <c r="A6117" s="64"/>
      <c r="E6117" t="e">
        <f t="shared" si="99"/>
        <v>#N/A</v>
      </c>
    </row>
    <row r="6118" spans="1:5">
      <c r="A6118" s="64"/>
      <c r="E6118" t="e">
        <f t="shared" si="99"/>
        <v>#N/A</v>
      </c>
    </row>
    <row r="6119" spans="1:5">
      <c r="A6119" s="64"/>
      <c r="E6119" t="e">
        <f t="shared" si="99"/>
        <v>#N/A</v>
      </c>
    </row>
    <row r="6120" spans="1:5">
      <c r="A6120" s="64"/>
      <c r="E6120" t="e">
        <f t="shared" si="99"/>
        <v>#N/A</v>
      </c>
    </row>
    <row r="6121" spans="1:5">
      <c r="A6121" s="64"/>
      <c r="E6121" t="e">
        <f t="shared" si="99"/>
        <v>#N/A</v>
      </c>
    </row>
    <row r="6122" spans="1:5">
      <c r="A6122" s="64"/>
      <c r="E6122" t="e">
        <f t="shared" si="99"/>
        <v>#N/A</v>
      </c>
    </row>
    <row r="6123" spans="1:5">
      <c r="A6123" s="64"/>
      <c r="E6123" t="e">
        <f t="shared" si="99"/>
        <v>#N/A</v>
      </c>
    </row>
    <row r="6124" spans="1:5">
      <c r="A6124" s="64"/>
      <c r="E6124" t="e">
        <f t="shared" si="99"/>
        <v>#N/A</v>
      </c>
    </row>
    <row r="6125" spans="1:5">
      <c r="A6125" s="64"/>
      <c r="E6125" t="e">
        <f t="shared" si="99"/>
        <v>#N/A</v>
      </c>
    </row>
    <row r="6126" spans="1:5">
      <c r="A6126" s="64"/>
      <c r="E6126" t="e">
        <f t="shared" si="99"/>
        <v>#N/A</v>
      </c>
    </row>
    <row r="6127" spans="1:5">
      <c r="A6127" s="64"/>
      <c r="E6127" t="e">
        <f t="shared" si="99"/>
        <v>#N/A</v>
      </c>
    </row>
    <row r="6128" spans="1:5">
      <c r="A6128" s="64"/>
      <c r="E6128" t="e">
        <f t="shared" si="99"/>
        <v>#N/A</v>
      </c>
    </row>
    <row r="6129" spans="1:5">
      <c r="A6129" s="64"/>
      <c r="E6129" t="e">
        <f t="shared" si="99"/>
        <v>#N/A</v>
      </c>
    </row>
    <row r="6130" spans="1:5">
      <c r="A6130" s="64"/>
      <c r="E6130" t="e">
        <f t="shared" si="99"/>
        <v>#N/A</v>
      </c>
    </row>
    <row r="6131" spans="1:5">
      <c r="A6131" s="64"/>
      <c r="E6131" t="e">
        <f t="shared" si="99"/>
        <v>#N/A</v>
      </c>
    </row>
    <row r="6132" spans="1:5">
      <c r="A6132" s="64"/>
      <c r="E6132" t="e">
        <f t="shared" si="99"/>
        <v>#N/A</v>
      </c>
    </row>
    <row r="6133" spans="1:5">
      <c r="A6133" s="64"/>
      <c r="E6133" t="e">
        <f t="shared" si="99"/>
        <v>#N/A</v>
      </c>
    </row>
    <row r="6134" spans="1:5">
      <c r="A6134" s="64"/>
      <c r="E6134" t="e">
        <f t="shared" si="99"/>
        <v>#N/A</v>
      </c>
    </row>
    <row r="6135" spans="1:5">
      <c r="A6135" s="64"/>
      <c r="E6135" t="e">
        <f t="shared" si="99"/>
        <v>#N/A</v>
      </c>
    </row>
    <row r="6136" spans="1:5">
      <c r="A6136" s="64"/>
      <c r="E6136" t="e">
        <f t="shared" si="99"/>
        <v>#N/A</v>
      </c>
    </row>
    <row r="6137" spans="1:5">
      <c r="A6137" s="64"/>
      <c r="E6137" t="e">
        <f t="shared" si="99"/>
        <v>#N/A</v>
      </c>
    </row>
    <row r="6138" spans="1:5">
      <c r="A6138" s="64"/>
      <c r="E6138" t="e">
        <f t="shared" si="99"/>
        <v>#N/A</v>
      </c>
    </row>
    <row r="6139" spans="1:5">
      <c r="A6139" s="64"/>
      <c r="E6139" t="e">
        <f t="shared" si="99"/>
        <v>#N/A</v>
      </c>
    </row>
    <row r="6140" spans="1:5">
      <c r="A6140" s="64"/>
      <c r="E6140" t="e">
        <f t="shared" si="99"/>
        <v>#N/A</v>
      </c>
    </row>
    <row r="6141" spans="1:5">
      <c r="A6141" s="64"/>
      <c r="E6141" t="e">
        <f t="shared" si="99"/>
        <v>#N/A</v>
      </c>
    </row>
    <row r="6142" spans="1:5">
      <c r="A6142" s="64"/>
      <c r="E6142" t="e">
        <f t="shared" si="99"/>
        <v>#N/A</v>
      </c>
    </row>
    <row r="6143" spans="1:5">
      <c r="A6143" s="64"/>
      <c r="E6143" t="e">
        <f t="shared" si="99"/>
        <v>#N/A</v>
      </c>
    </row>
    <row r="6144" spans="1:5">
      <c r="A6144" s="64"/>
      <c r="E6144" t="e">
        <f t="shared" si="99"/>
        <v>#N/A</v>
      </c>
    </row>
    <row r="6145" spans="1:5">
      <c r="A6145" s="64"/>
      <c r="E6145" t="e">
        <f t="shared" si="99"/>
        <v>#N/A</v>
      </c>
    </row>
    <row r="6146" spans="1:5">
      <c r="A6146" s="64"/>
      <c r="E6146" t="e">
        <f t="shared" si="99"/>
        <v>#N/A</v>
      </c>
    </row>
    <row r="6147" spans="1:5">
      <c r="A6147" s="64"/>
      <c r="E6147" t="e">
        <f t="shared" si="99"/>
        <v>#N/A</v>
      </c>
    </row>
    <row r="6148" spans="1:5">
      <c r="A6148" s="64"/>
      <c r="E6148" t="e">
        <f t="shared" si="99"/>
        <v>#N/A</v>
      </c>
    </row>
    <row r="6149" spans="1:5">
      <c r="A6149" s="64"/>
      <c r="E6149" t="e">
        <f t="shared" si="99"/>
        <v>#N/A</v>
      </c>
    </row>
    <row r="6150" spans="1:5">
      <c r="A6150" s="64"/>
      <c r="E6150" t="e">
        <f t="shared" si="99"/>
        <v>#N/A</v>
      </c>
    </row>
    <row r="6151" spans="1:5">
      <c r="A6151" s="64"/>
      <c r="E6151" t="e">
        <f t="shared" si="99"/>
        <v>#N/A</v>
      </c>
    </row>
    <row r="6152" spans="1:5">
      <c r="A6152" s="64"/>
      <c r="E6152" t="e">
        <f t="shared" si="99"/>
        <v>#N/A</v>
      </c>
    </row>
    <row r="6153" spans="1:5">
      <c r="A6153" s="64"/>
      <c r="E6153" t="e">
        <f t="shared" si="99"/>
        <v>#N/A</v>
      </c>
    </row>
    <row r="6154" spans="1:5">
      <c r="A6154" s="64"/>
      <c r="E6154" t="e">
        <f t="shared" si="99"/>
        <v>#N/A</v>
      </c>
    </row>
    <row r="6155" spans="1:5">
      <c r="A6155" s="64"/>
      <c r="E6155" t="e">
        <f t="shared" si="99"/>
        <v>#N/A</v>
      </c>
    </row>
    <row r="6156" spans="1:5">
      <c r="A6156" s="64"/>
      <c r="E6156" t="e">
        <f t="shared" si="99"/>
        <v>#N/A</v>
      </c>
    </row>
    <row r="6157" spans="1:5">
      <c r="A6157" s="64"/>
      <c r="E6157" t="e">
        <f t="shared" ref="E6157:E6220" si="100">VLOOKUP(B6157,$Q$14:$R$62,2,FALSE)</f>
        <v>#N/A</v>
      </c>
    </row>
    <row r="6158" spans="1:5">
      <c r="A6158" s="64"/>
      <c r="E6158" t="e">
        <f t="shared" si="100"/>
        <v>#N/A</v>
      </c>
    </row>
    <row r="6159" spans="1:5">
      <c r="A6159" s="64"/>
      <c r="E6159" t="e">
        <f t="shared" si="100"/>
        <v>#N/A</v>
      </c>
    </row>
    <row r="6160" spans="1:5">
      <c r="A6160" s="64"/>
      <c r="E6160" t="e">
        <f t="shared" si="100"/>
        <v>#N/A</v>
      </c>
    </row>
    <row r="6161" spans="1:5">
      <c r="A6161" s="64"/>
      <c r="E6161" t="e">
        <f t="shared" si="100"/>
        <v>#N/A</v>
      </c>
    </row>
    <row r="6162" spans="1:5">
      <c r="A6162" s="64"/>
      <c r="E6162" t="e">
        <f t="shared" si="100"/>
        <v>#N/A</v>
      </c>
    </row>
    <row r="6163" spans="1:5">
      <c r="A6163" s="64"/>
      <c r="E6163" t="e">
        <f t="shared" si="100"/>
        <v>#N/A</v>
      </c>
    </row>
    <row r="6164" spans="1:5">
      <c r="A6164" s="64"/>
      <c r="E6164" t="e">
        <f t="shared" si="100"/>
        <v>#N/A</v>
      </c>
    </row>
    <row r="6165" spans="1:5">
      <c r="A6165" s="64"/>
      <c r="E6165" t="e">
        <f t="shared" si="100"/>
        <v>#N/A</v>
      </c>
    </row>
    <row r="6166" spans="1:5">
      <c r="A6166" s="64"/>
      <c r="E6166" t="e">
        <f t="shared" si="100"/>
        <v>#N/A</v>
      </c>
    </row>
    <row r="6167" spans="1:5">
      <c r="A6167" s="64"/>
      <c r="E6167" t="e">
        <f t="shared" si="100"/>
        <v>#N/A</v>
      </c>
    </row>
    <row r="6168" spans="1:5">
      <c r="A6168" s="64"/>
      <c r="E6168" t="e">
        <f t="shared" si="100"/>
        <v>#N/A</v>
      </c>
    </row>
    <row r="6169" spans="1:5">
      <c r="A6169" s="64"/>
      <c r="E6169" t="e">
        <f t="shared" si="100"/>
        <v>#N/A</v>
      </c>
    </row>
    <row r="6170" spans="1:5">
      <c r="A6170" s="64"/>
      <c r="E6170" t="e">
        <f t="shared" si="100"/>
        <v>#N/A</v>
      </c>
    </row>
    <row r="6171" spans="1:5">
      <c r="A6171" s="64"/>
      <c r="E6171" t="e">
        <f t="shared" si="100"/>
        <v>#N/A</v>
      </c>
    </row>
    <row r="6172" spans="1:5">
      <c r="A6172" s="64"/>
      <c r="E6172" t="e">
        <f t="shared" si="100"/>
        <v>#N/A</v>
      </c>
    </row>
    <row r="6173" spans="1:5">
      <c r="A6173" s="64"/>
      <c r="E6173" t="e">
        <f t="shared" si="100"/>
        <v>#N/A</v>
      </c>
    </row>
    <row r="6174" spans="1:5">
      <c r="A6174" s="64"/>
      <c r="E6174" t="e">
        <f t="shared" si="100"/>
        <v>#N/A</v>
      </c>
    </row>
    <row r="6175" spans="1:5">
      <c r="A6175" s="64"/>
      <c r="E6175" t="e">
        <f t="shared" si="100"/>
        <v>#N/A</v>
      </c>
    </row>
    <row r="6176" spans="1:5">
      <c r="A6176" s="64"/>
      <c r="E6176" t="e">
        <f t="shared" si="100"/>
        <v>#N/A</v>
      </c>
    </row>
    <row r="6177" spans="1:5">
      <c r="A6177" s="64"/>
      <c r="E6177" t="e">
        <f t="shared" si="100"/>
        <v>#N/A</v>
      </c>
    </row>
    <row r="6178" spans="1:5">
      <c r="A6178" s="64"/>
      <c r="E6178" t="e">
        <f t="shared" si="100"/>
        <v>#N/A</v>
      </c>
    </row>
    <row r="6179" spans="1:5">
      <c r="A6179" s="64"/>
      <c r="E6179" t="e">
        <f t="shared" si="100"/>
        <v>#N/A</v>
      </c>
    </row>
    <row r="6180" spans="1:5">
      <c r="A6180" s="64"/>
      <c r="E6180" t="e">
        <f t="shared" si="100"/>
        <v>#N/A</v>
      </c>
    </row>
    <row r="6181" spans="1:5">
      <c r="A6181" s="64"/>
      <c r="E6181" t="e">
        <f t="shared" si="100"/>
        <v>#N/A</v>
      </c>
    </row>
    <row r="6182" spans="1:5">
      <c r="A6182" s="64"/>
      <c r="E6182" t="e">
        <f t="shared" si="100"/>
        <v>#N/A</v>
      </c>
    </row>
    <row r="6183" spans="1:5">
      <c r="A6183" s="64"/>
      <c r="E6183" t="e">
        <f t="shared" si="100"/>
        <v>#N/A</v>
      </c>
    </row>
    <row r="6184" spans="1:5">
      <c r="A6184" s="64"/>
      <c r="E6184" t="e">
        <f t="shared" si="100"/>
        <v>#N/A</v>
      </c>
    </row>
    <row r="6185" spans="1:5">
      <c r="A6185" s="64"/>
      <c r="E6185" t="e">
        <f t="shared" si="100"/>
        <v>#N/A</v>
      </c>
    </row>
    <row r="6186" spans="1:5">
      <c r="A6186" s="64"/>
      <c r="E6186" t="e">
        <f t="shared" si="100"/>
        <v>#N/A</v>
      </c>
    </row>
    <row r="6187" spans="1:5">
      <c r="A6187" s="64"/>
      <c r="E6187" t="e">
        <f t="shared" si="100"/>
        <v>#N/A</v>
      </c>
    </row>
    <row r="6188" spans="1:5">
      <c r="A6188" s="64"/>
      <c r="E6188" t="e">
        <f t="shared" si="100"/>
        <v>#N/A</v>
      </c>
    </row>
    <row r="6189" spans="1:5">
      <c r="A6189" s="64"/>
      <c r="E6189" t="e">
        <f t="shared" si="100"/>
        <v>#N/A</v>
      </c>
    </row>
    <row r="6190" spans="1:5">
      <c r="A6190" s="64"/>
      <c r="E6190" t="e">
        <f t="shared" si="100"/>
        <v>#N/A</v>
      </c>
    </row>
    <row r="6191" spans="1:5">
      <c r="A6191" s="64"/>
      <c r="E6191" t="e">
        <f t="shared" si="100"/>
        <v>#N/A</v>
      </c>
    </row>
    <row r="6192" spans="1:5">
      <c r="A6192" s="64"/>
      <c r="E6192" t="e">
        <f t="shared" si="100"/>
        <v>#N/A</v>
      </c>
    </row>
    <row r="6193" spans="1:5">
      <c r="A6193" s="64"/>
      <c r="E6193" t="e">
        <f t="shared" si="100"/>
        <v>#N/A</v>
      </c>
    </row>
    <row r="6194" spans="1:5">
      <c r="A6194" s="64"/>
      <c r="E6194" t="e">
        <f t="shared" si="100"/>
        <v>#N/A</v>
      </c>
    </row>
    <row r="6195" spans="1:5">
      <c r="A6195" s="64"/>
      <c r="E6195" t="e">
        <f t="shared" si="100"/>
        <v>#N/A</v>
      </c>
    </row>
    <row r="6196" spans="1:5">
      <c r="A6196" s="64"/>
      <c r="E6196" t="e">
        <f t="shared" si="100"/>
        <v>#N/A</v>
      </c>
    </row>
    <row r="6197" spans="1:5">
      <c r="A6197" s="64"/>
      <c r="E6197" t="e">
        <f t="shared" si="100"/>
        <v>#N/A</v>
      </c>
    </row>
    <row r="6198" spans="1:5">
      <c r="A6198" s="64"/>
      <c r="E6198" t="e">
        <f t="shared" si="100"/>
        <v>#N/A</v>
      </c>
    </row>
    <row r="6199" spans="1:5">
      <c r="A6199" s="64"/>
      <c r="E6199" t="e">
        <f t="shared" si="100"/>
        <v>#N/A</v>
      </c>
    </row>
    <row r="6200" spans="1:5">
      <c r="A6200" s="64"/>
      <c r="E6200" t="e">
        <f t="shared" si="100"/>
        <v>#N/A</v>
      </c>
    </row>
    <row r="6201" spans="1:5">
      <c r="A6201" s="64"/>
      <c r="E6201" t="e">
        <f t="shared" si="100"/>
        <v>#N/A</v>
      </c>
    </row>
    <row r="6202" spans="1:5">
      <c r="A6202" s="64"/>
      <c r="E6202" t="e">
        <f t="shared" si="100"/>
        <v>#N/A</v>
      </c>
    </row>
    <row r="6203" spans="1:5">
      <c r="A6203" s="64"/>
      <c r="E6203" t="e">
        <f t="shared" si="100"/>
        <v>#N/A</v>
      </c>
    </row>
    <row r="6204" spans="1:5">
      <c r="A6204" s="64"/>
      <c r="E6204" t="e">
        <f t="shared" si="100"/>
        <v>#N/A</v>
      </c>
    </row>
    <row r="6205" spans="1:5">
      <c r="A6205" s="64"/>
      <c r="E6205" t="e">
        <f t="shared" si="100"/>
        <v>#N/A</v>
      </c>
    </row>
    <row r="6206" spans="1:5">
      <c r="A6206" s="64"/>
      <c r="E6206" t="e">
        <f t="shared" si="100"/>
        <v>#N/A</v>
      </c>
    </row>
    <row r="6207" spans="1:5">
      <c r="A6207" s="64"/>
      <c r="E6207" t="e">
        <f t="shared" si="100"/>
        <v>#N/A</v>
      </c>
    </row>
    <row r="6208" spans="1:5">
      <c r="A6208" s="64"/>
      <c r="E6208" t="e">
        <f t="shared" si="100"/>
        <v>#N/A</v>
      </c>
    </row>
    <row r="6209" spans="1:5">
      <c r="A6209" s="64"/>
      <c r="E6209" t="e">
        <f t="shared" si="100"/>
        <v>#N/A</v>
      </c>
    </row>
    <row r="6210" spans="1:5">
      <c r="A6210" s="64"/>
      <c r="E6210" t="e">
        <f t="shared" si="100"/>
        <v>#N/A</v>
      </c>
    </row>
    <row r="6211" spans="1:5">
      <c r="A6211" s="64"/>
      <c r="E6211" t="e">
        <f t="shared" si="100"/>
        <v>#N/A</v>
      </c>
    </row>
    <row r="6212" spans="1:5">
      <c r="A6212" s="64"/>
      <c r="E6212" t="e">
        <f t="shared" si="100"/>
        <v>#N/A</v>
      </c>
    </row>
    <row r="6213" spans="1:5">
      <c r="A6213" s="64"/>
      <c r="E6213" t="e">
        <f t="shared" si="100"/>
        <v>#N/A</v>
      </c>
    </row>
    <row r="6214" spans="1:5">
      <c r="A6214" s="64"/>
      <c r="E6214" t="e">
        <f t="shared" si="100"/>
        <v>#N/A</v>
      </c>
    </row>
    <row r="6215" spans="1:5">
      <c r="A6215" s="64"/>
      <c r="E6215" t="e">
        <f t="shared" si="100"/>
        <v>#N/A</v>
      </c>
    </row>
    <row r="6216" spans="1:5">
      <c r="A6216" s="64"/>
      <c r="E6216" t="e">
        <f t="shared" si="100"/>
        <v>#N/A</v>
      </c>
    </row>
    <row r="6217" spans="1:5">
      <c r="A6217" s="64"/>
      <c r="E6217" t="e">
        <f t="shared" si="100"/>
        <v>#N/A</v>
      </c>
    </row>
    <row r="6218" spans="1:5">
      <c r="A6218" s="64"/>
      <c r="E6218" t="e">
        <f t="shared" si="100"/>
        <v>#N/A</v>
      </c>
    </row>
    <row r="6219" spans="1:5">
      <c r="A6219" s="64"/>
      <c r="E6219" t="e">
        <f t="shared" si="100"/>
        <v>#N/A</v>
      </c>
    </row>
    <row r="6220" spans="1:5">
      <c r="A6220" s="64"/>
      <c r="E6220" t="e">
        <f t="shared" si="100"/>
        <v>#N/A</v>
      </c>
    </row>
    <row r="6221" spans="1:5">
      <c r="A6221" s="64"/>
      <c r="E6221" t="e">
        <f t="shared" ref="E6221:E6284" si="101">VLOOKUP(B6221,$Q$14:$R$62,2,FALSE)</f>
        <v>#N/A</v>
      </c>
    </row>
    <row r="6222" spans="1:5">
      <c r="A6222" s="64"/>
      <c r="E6222" t="e">
        <f t="shared" si="101"/>
        <v>#N/A</v>
      </c>
    </row>
    <row r="6223" spans="1:5">
      <c r="A6223" s="64"/>
      <c r="E6223" t="e">
        <f t="shared" si="101"/>
        <v>#N/A</v>
      </c>
    </row>
    <row r="6224" spans="1:5">
      <c r="A6224" s="64"/>
      <c r="E6224" t="e">
        <f t="shared" si="101"/>
        <v>#N/A</v>
      </c>
    </row>
    <row r="6225" spans="1:5">
      <c r="A6225" s="64"/>
      <c r="E6225" t="e">
        <f t="shared" si="101"/>
        <v>#N/A</v>
      </c>
    </row>
    <row r="6226" spans="1:5">
      <c r="A6226" s="64"/>
      <c r="E6226" t="e">
        <f t="shared" si="101"/>
        <v>#N/A</v>
      </c>
    </row>
    <row r="6227" spans="1:5">
      <c r="A6227" s="64"/>
      <c r="E6227" t="e">
        <f t="shared" si="101"/>
        <v>#N/A</v>
      </c>
    </row>
    <row r="6228" spans="1:5">
      <c r="A6228" s="64"/>
      <c r="E6228" t="e">
        <f t="shared" si="101"/>
        <v>#N/A</v>
      </c>
    </row>
    <row r="6229" spans="1:5">
      <c r="A6229" s="64"/>
      <c r="E6229" t="e">
        <f t="shared" si="101"/>
        <v>#N/A</v>
      </c>
    </row>
    <row r="6230" spans="1:5">
      <c r="A6230" s="64"/>
      <c r="E6230" t="e">
        <f t="shared" si="101"/>
        <v>#N/A</v>
      </c>
    </row>
    <row r="6231" spans="1:5">
      <c r="A6231" s="64"/>
      <c r="E6231" t="e">
        <f t="shared" si="101"/>
        <v>#N/A</v>
      </c>
    </row>
    <row r="6232" spans="1:5">
      <c r="A6232" s="64"/>
      <c r="E6232" t="e">
        <f t="shared" si="101"/>
        <v>#N/A</v>
      </c>
    </row>
    <row r="6233" spans="1:5">
      <c r="A6233" s="64"/>
      <c r="E6233" t="e">
        <f t="shared" si="101"/>
        <v>#N/A</v>
      </c>
    </row>
    <row r="6234" spans="1:5">
      <c r="A6234" s="64"/>
      <c r="E6234" t="e">
        <f t="shared" si="101"/>
        <v>#N/A</v>
      </c>
    </row>
    <row r="6235" spans="1:5">
      <c r="A6235" s="64"/>
      <c r="E6235" t="e">
        <f t="shared" si="101"/>
        <v>#N/A</v>
      </c>
    </row>
    <row r="6236" spans="1:5">
      <c r="A6236" s="64"/>
      <c r="E6236" t="e">
        <f t="shared" si="101"/>
        <v>#N/A</v>
      </c>
    </row>
    <row r="6237" spans="1:5">
      <c r="A6237" s="64"/>
      <c r="E6237" t="e">
        <f t="shared" si="101"/>
        <v>#N/A</v>
      </c>
    </row>
    <row r="6238" spans="1:5">
      <c r="A6238" s="64"/>
      <c r="E6238" t="e">
        <f t="shared" si="101"/>
        <v>#N/A</v>
      </c>
    </row>
    <row r="6239" spans="1:5">
      <c r="A6239" s="64"/>
      <c r="E6239" t="e">
        <f t="shared" si="101"/>
        <v>#N/A</v>
      </c>
    </row>
    <row r="6240" spans="1:5">
      <c r="A6240" s="64"/>
      <c r="E6240" t="e">
        <f t="shared" si="101"/>
        <v>#N/A</v>
      </c>
    </row>
    <row r="6241" spans="1:5">
      <c r="A6241" s="64"/>
      <c r="E6241" t="e">
        <f t="shared" si="101"/>
        <v>#N/A</v>
      </c>
    </row>
    <row r="6242" spans="1:5">
      <c r="A6242" s="64"/>
      <c r="E6242" t="e">
        <f t="shared" si="101"/>
        <v>#N/A</v>
      </c>
    </row>
    <row r="6243" spans="1:5">
      <c r="A6243" s="64"/>
      <c r="E6243" t="e">
        <f t="shared" si="101"/>
        <v>#N/A</v>
      </c>
    </row>
    <row r="6244" spans="1:5">
      <c r="A6244" s="64"/>
      <c r="E6244" t="e">
        <f t="shared" si="101"/>
        <v>#N/A</v>
      </c>
    </row>
    <row r="6245" spans="1:5">
      <c r="A6245" s="64"/>
      <c r="E6245" t="e">
        <f t="shared" si="101"/>
        <v>#N/A</v>
      </c>
    </row>
    <row r="6246" spans="1:5">
      <c r="A6246" s="64"/>
      <c r="E6246" t="e">
        <f t="shared" si="101"/>
        <v>#N/A</v>
      </c>
    </row>
    <row r="6247" spans="1:5">
      <c r="A6247" s="64"/>
      <c r="E6247" t="e">
        <f t="shared" si="101"/>
        <v>#N/A</v>
      </c>
    </row>
    <row r="6248" spans="1:5">
      <c r="A6248" s="64"/>
      <c r="E6248" t="e">
        <f t="shared" si="101"/>
        <v>#N/A</v>
      </c>
    </row>
    <row r="6249" spans="1:5">
      <c r="A6249" s="64"/>
      <c r="E6249" t="e">
        <f t="shared" si="101"/>
        <v>#N/A</v>
      </c>
    </row>
    <row r="6250" spans="1:5">
      <c r="A6250" s="64"/>
      <c r="E6250" t="e">
        <f t="shared" si="101"/>
        <v>#N/A</v>
      </c>
    </row>
    <row r="6251" spans="1:5">
      <c r="A6251" s="64"/>
      <c r="E6251" t="e">
        <f t="shared" si="101"/>
        <v>#N/A</v>
      </c>
    </row>
    <row r="6252" spans="1:5">
      <c r="A6252" s="64"/>
      <c r="E6252" t="e">
        <f t="shared" si="101"/>
        <v>#N/A</v>
      </c>
    </row>
    <row r="6253" spans="1:5">
      <c r="A6253" s="64"/>
      <c r="E6253" t="e">
        <f t="shared" si="101"/>
        <v>#N/A</v>
      </c>
    </row>
    <row r="6254" spans="1:5">
      <c r="A6254" s="64"/>
      <c r="E6254" t="e">
        <f t="shared" si="101"/>
        <v>#N/A</v>
      </c>
    </row>
    <row r="6255" spans="1:5">
      <c r="A6255" s="64"/>
      <c r="E6255" t="e">
        <f t="shared" si="101"/>
        <v>#N/A</v>
      </c>
    </row>
    <row r="6256" spans="1:5">
      <c r="A6256" s="64"/>
      <c r="E6256" t="e">
        <f t="shared" si="101"/>
        <v>#N/A</v>
      </c>
    </row>
    <row r="6257" spans="1:5">
      <c r="A6257" s="64"/>
      <c r="E6257" t="e">
        <f t="shared" si="101"/>
        <v>#N/A</v>
      </c>
    </row>
    <row r="6258" spans="1:5">
      <c r="A6258" s="64"/>
      <c r="E6258" t="e">
        <f t="shared" si="101"/>
        <v>#N/A</v>
      </c>
    </row>
    <row r="6259" spans="1:5">
      <c r="A6259" s="64"/>
      <c r="E6259" t="e">
        <f t="shared" si="101"/>
        <v>#N/A</v>
      </c>
    </row>
    <row r="6260" spans="1:5">
      <c r="A6260" s="64"/>
      <c r="E6260" t="e">
        <f t="shared" si="101"/>
        <v>#N/A</v>
      </c>
    </row>
    <row r="6261" spans="1:5">
      <c r="A6261" s="64"/>
      <c r="E6261" t="e">
        <f t="shared" si="101"/>
        <v>#N/A</v>
      </c>
    </row>
    <row r="6262" spans="1:5">
      <c r="A6262" s="64"/>
      <c r="E6262" t="e">
        <f t="shared" si="101"/>
        <v>#N/A</v>
      </c>
    </row>
    <row r="6263" spans="1:5">
      <c r="A6263" s="64"/>
      <c r="E6263" t="e">
        <f t="shared" si="101"/>
        <v>#N/A</v>
      </c>
    </row>
    <row r="6264" spans="1:5">
      <c r="A6264" s="64"/>
      <c r="E6264" t="e">
        <f t="shared" si="101"/>
        <v>#N/A</v>
      </c>
    </row>
    <row r="6265" spans="1:5">
      <c r="A6265" s="64"/>
      <c r="E6265" t="e">
        <f t="shared" si="101"/>
        <v>#N/A</v>
      </c>
    </row>
    <row r="6266" spans="1:5">
      <c r="A6266" s="64"/>
      <c r="E6266" t="e">
        <f t="shared" si="101"/>
        <v>#N/A</v>
      </c>
    </row>
    <row r="6267" spans="1:5">
      <c r="A6267" s="64"/>
      <c r="E6267" t="e">
        <f t="shared" si="101"/>
        <v>#N/A</v>
      </c>
    </row>
    <row r="6268" spans="1:5">
      <c r="A6268" s="64"/>
      <c r="E6268" t="e">
        <f t="shared" si="101"/>
        <v>#N/A</v>
      </c>
    </row>
    <row r="6269" spans="1:5">
      <c r="A6269" s="64"/>
      <c r="E6269" t="e">
        <f t="shared" si="101"/>
        <v>#N/A</v>
      </c>
    </row>
    <row r="6270" spans="1:5">
      <c r="A6270" s="64"/>
      <c r="E6270" t="e">
        <f t="shared" si="101"/>
        <v>#N/A</v>
      </c>
    </row>
    <row r="6271" spans="1:5">
      <c r="A6271" s="64"/>
      <c r="E6271" t="e">
        <f t="shared" si="101"/>
        <v>#N/A</v>
      </c>
    </row>
    <row r="6272" spans="1:5">
      <c r="A6272" s="64"/>
      <c r="E6272" t="e">
        <f t="shared" si="101"/>
        <v>#N/A</v>
      </c>
    </row>
    <row r="6273" spans="1:5">
      <c r="A6273" s="64"/>
      <c r="E6273" t="e">
        <f t="shared" si="101"/>
        <v>#N/A</v>
      </c>
    </row>
    <row r="6274" spans="1:5">
      <c r="A6274" s="64"/>
      <c r="E6274" t="e">
        <f t="shared" si="101"/>
        <v>#N/A</v>
      </c>
    </row>
    <row r="6275" spans="1:5">
      <c r="A6275" s="64"/>
      <c r="E6275" t="e">
        <f t="shared" si="101"/>
        <v>#N/A</v>
      </c>
    </row>
    <row r="6276" spans="1:5">
      <c r="A6276" s="64"/>
      <c r="E6276" t="e">
        <f t="shared" si="101"/>
        <v>#N/A</v>
      </c>
    </row>
    <row r="6277" spans="1:5">
      <c r="A6277" s="64"/>
      <c r="E6277" t="e">
        <f t="shared" si="101"/>
        <v>#N/A</v>
      </c>
    </row>
    <row r="6278" spans="1:5">
      <c r="A6278" s="64"/>
      <c r="E6278" t="e">
        <f t="shared" si="101"/>
        <v>#N/A</v>
      </c>
    </row>
    <row r="6279" spans="1:5">
      <c r="A6279" s="64"/>
      <c r="E6279" t="e">
        <f t="shared" si="101"/>
        <v>#N/A</v>
      </c>
    </row>
    <row r="6280" spans="1:5">
      <c r="A6280" s="64"/>
      <c r="E6280" t="e">
        <f t="shared" si="101"/>
        <v>#N/A</v>
      </c>
    </row>
    <row r="6281" spans="1:5">
      <c r="A6281" s="64"/>
      <c r="E6281" t="e">
        <f t="shared" si="101"/>
        <v>#N/A</v>
      </c>
    </row>
    <row r="6282" spans="1:5">
      <c r="A6282" s="64"/>
      <c r="E6282" t="e">
        <f t="shared" si="101"/>
        <v>#N/A</v>
      </c>
    </row>
    <row r="6283" spans="1:5">
      <c r="A6283" s="64"/>
      <c r="E6283" t="e">
        <f t="shared" si="101"/>
        <v>#N/A</v>
      </c>
    </row>
    <row r="6284" spans="1:5">
      <c r="A6284" s="64"/>
      <c r="E6284" t="e">
        <f t="shared" si="101"/>
        <v>#N/A</v>
      </c>
    </row>
    <row r="6285" spans="1:5">
      <c r="A6285" s="64"/>
      <c r="E6285" t="e">
        <f t="shared" ref="E6285:E6348" si="102">VLOOKUP(B6285,$Q$14:$R$62,2,FALSE)</f>
        <v>#N/A</v>
      </c>
    </row>
    <row r="6286" spans="1:5">
      <c r="A6286" s="64"/>
      <c r="E6286" t="e">
        <f t="shared" si="102"/>
        <v>#N/A</v>
      </c>
    </row>
    <row r="6287" spans="1:5">
      <c r="A6287" s="64"/>
      <c r="E6287" t="e">
        <f t="shared" si="102"/>
        <v>#N/A</v>
      </c>
    </row>
    <row r="6288" spans="1:5">
      <c r="A6288" s="64"/>
      <c r="E6288" t="e">
        <f t="shared" si="102"/>
        <v>#N/A</v>
      </c>
    </row>
    <row r="6289" spans="1:5">
      <c r="A6289" s="64"/>
      <c r="E6289" t="e">
        <f t="shared" si="102"/>
        <v>#N/A</v>
      </c>
    </row>
    <row r="6290" spans="1:5">
      <c r="A6290" s="64"/>
      <c r="E6290" t="e">
        <f t="shared" si="102"/>
        <v>#N/A</v>
      </c>
    </row>
    <row r="6291" spans="1:5">
      <c r="A6291" s="64"/>
      <c r="E6291" t="e">
        <f t="shared" si="102"/>
        <v>#N/A</v>
      </c>
    </row>
    <row r="6292" spans="1:5">
      <c r="A6292" s="64"/>
      <c r="E6292" t="e">
        <f t="shared" si="102"/>
        <v>#N/A</v>
      </c>
    </row>
    <row r="6293" spans="1:5">
      <c r="A6293" s="64"/>
      <c r="E6293" t="e">
        <f t="shared" si="102"/>
        <v>#N/A</v>
      </c>
    </row>
    <row r="6294" spans="1:5">
      <c r="A6294" s="64"/>
      <c r="E6294" t="e">
        <f t="shared" si="102"/>
        <v>#N/A</v>
      </c>
    </row>
    <row r="6295" spans="1:5">
      <c r="A6295" s="64"/>
      <c r="E6295" t="e">
        <f t="shared" si="102"/>
        <v>#N/A</v>
      </c>
    </row>
    <row r="6296" spans="1:5">
      <c r="A6296" s="64"/>
      <c r="E6296" t="e">
        <f t="shared" si="102"/>
        <v>#N/A</v>
      </c>
    </row>
    <row r="6297" spans="1:5">
      <c r="A6297" s="64"/>
      <c r="E6297" t="e">
        <f t="shared" si="102"/>
        <v>#N/A</v>
      </c>
    </row>
    <row r="6298" spans="1:5">
      <c r="A6298" s="64"/>
      <c r="E6298" t="e">
        <f t="shared" si="102"/>
        <v>#N/A</v>
      </c>
    </row>
    <row r="6299" spans="1:5">
      <c r="A6299" s="64"/>
      <c r="E6299" t="e">
        <f t="shared" si="102"/>
        <v>#N/A</v>
      </c>
    </row>
    <row r="6300" spans="1:5">
      <c r="A6300" s="64"/>
      <c r="E6300" t="e">
        <f t="shared" si="102"/>
        <v>#N/A</v>
      </c>
    </row>
    <row r="6301" spans="1:5">
      <c r="A6301" s="64"/>
      <c r="E6301" t="e">
        <f t="shared" si="102"/>
        <v>#N/A</v>
      </c>
    </row>
    <row r="6302" spans="1:5">
      <c r="A6302" s="64"/>
      <c r="E6302" t="e">
        <f t="shared" si="102"/>
        <v>#N/A</v>
      </c>
    </row>
    <row r="6303" spans="1:5">
      <c r="A6303" s="64"/>
      <c r="E6303" t="e">
        <f t="shared" si="102"/>
        <v>#N/A</v>
      </c>
    </row>
    <row r="6304" spans="1:5">
      <c r="A6304" s="64"/>
      <c r="E6304" t="e">
        <f t="shared" si="102"/>
        <v>#N/A</v>
      </c>
    </row>
    <row r="6305" spans="1:5">
      <c r="A6305" s="64"/>
      <c r="E6305" t="e">
        <f t="shared" si="102"/>
        <v>#N/A</v>
      </c>
    </row>
    <row r="6306" spans="1:5">
      <c r="A6306" s="64"/>
      <c r="E6306" t="e">
        <f t="shared" si="102"/>
        <v>#N/A</v>
      </c>
    </row>
    <row r="6307" spans="1:5">
      <c r="A6307" s="64"/>
      <c r="E6307" t="e">
        <f t="shared" si="102"/>
        <v>#N/A</v>
      </c>
    </row>
    <row r="6308" spans="1:5">
      <c r="A6308" s="64"/>
      <c r="E6308" t="e">
        <f t="shared" si="102"/>
        <v>#N/A</v>
      </c>
    </row>
    <row r="6309" spans="1:5">
      <c r="A6309" s="64"/>
      <c r="E6309" t="e">
        <f t="shared" si="102"/>
        <v>#N/A</v>
      </c>
    </row>
    <row r="6310" spans="1:5">
      <c r="A6310" s="64"/>
      <c r="E6310" t="e">
        <f t="shared" si="102"/>
        <v>#N/A</v>
      </c>
    </row>
    <row r="6311" spans="1:5">
      <c r="A6311" s="64"/>
      <c r="E6311" t="e">
        <f t="shared" si="102"/>
        <v>#N/A</v>
      </c>
    </row>
    <row r="6312" spans="1:5">
      <c r="A6312" s="64"/>
      <c r="E6312" t="e">
        <f t="shared" si="102"/>
        <v>#N/A</v>
      </c>
    </row>
    <row r="6313" spans="1:5">
      <c r="A6313" s="64"/>
      <c r="E6313" t="e">
        <f t="shared" si="102"/>
        <v>#N/A</v>
      </c>
    </row>
    <row r="6314" spans="1:5">
      <c r="A6314" s="64"/>
      <c r="E6314" t="e">
        <f t="shared" si="102"/>
        <v>#N/A</v>
      </c>
    </row>
    <row r="6315" spans="1:5">
      <c r="A6315" s="64"/>
      <c r="E6315" t="e">
        <f t="shared" si="102"/>
        <v>#N/A</v>
      </c>
    </row>
    <row r="6316" spans="1:5">
      <c r="A6316" s="64"/>
      <c r="E6316" t="e">
        <f t="shared" si="102"/>
        <v>#N/A</v>
      </c>
    </row>
    <row r="6317" spans="1:5">
      <c r="A6317" s="64"/>
      <c r="E6317" t="e">
        <f t="shared" si="102"/>
        <v>#N/A</v>
      </c>
    </row>
    <row r="6318" spans="1:5">
      <c r="A6318" s="64"/>
      <c r="E6318" t="e">
        <f t="shared" si="102"/>
        <v>#N/A</v>
      </c>
    </row>
    <row r="6319" spans="1:5">
      <c r="A6319" s="64"/>
      <c r="E6319" t="e">
        <f t="shared" si="102"/>
        <v>#N/A</v>
      </c>
    </row>
    <row r="6320" spans="1:5">
      <c r="A6320" s="64"/>
      <c r="E6320" t="e">
        <f t="shared" si="102"/>
        <v>#N/A</v>
      </c>
    </row>
    <row r="6321" spans="1:5">
      <c r="A6321" s="64"/>
      <c r="E6321" t="e">
        <f t="shared" si="102"/>
        <v>#N/A</v>
      </c>
    </row>
    <row r="6322" spans="1:5">
      <c r="A6322" s="64"/>
      <c r="E6322" t="e">
        <f t="shared" si="102"/>
        <v>#N/A</v>
      </c>
    </row>
    <row r="6323" spans="1:5">
      <c r="A6323" s="64"/>
      <c r="E6323" t="e">
        <f t="shared" si="102"/>
        <v>#N/A</v>
      </c>
    </row>
    <row r="6324" spans="1:5">
      <c r="A6324" s="64"/>
      <c r="E6324" t="e">
        <f t="shared" si="102"/>
        <v>#N/A</v>
      </c>
    </row>
    <row r="6325" spans="1:5">
      <c r="A6325" s="64"/>
      <c r="E6325" t="e">
        <f t="shared" si="102"/>
        <v>#N/A</v>
      </c>
    </row>
    <row r="6326" spans="1:5">
      <c r="A6326" s="64"/>
      <c r="E6326" t="e">
        <f t="shared" si="102"/>
        <v>#N/A</v>
      </c>
    </row>
    <row r="6327" spans="1:5">
      <c r="A6327" s="64"/>
      <c r="E6327" t="e">
        <f t="shared" si="102"/>
        <v>#N/A</v>
      </c>
    </row>
    <row r="6328" spans="1:5">
      <c r="A6328" s="64"/>
      <c r="E6328" t="e">
        <f t="shared" si="102"/>
        <v>#N/A</v>
      </c>
    </row>
    <row r="6329" spans="1:5">
      <c r="A6329" s="64"/>
      <c r="E6329" t="e">
        <f t="shared" si="102"/>
        <v>#N/A</v>
      </c>
    </row>
    <row r="6330" spans="1:5">
      <c r="A6330" s="64"/>
      <c r="E6330" t="e">
        <f t="shared" si="102"/>
        <v>#N/A</v>
      </c>
    </row>
    <row r="6331" spans="1:5">
      <c r="A6331" s="64"/>
      <c r="E6331" t="e">
        <f t="shared" si="102"/>
        <v>#N/A</v>
      </c>
    </row>
    <row r="6332" spans="1:5">
      <c r="A6332" s="64"/>
      <c r="E6332" t="e">
        <f t="shared" si="102"/>
        <v>#N/A</v>
      </c>
    </row>
    <row r="6333" spans="1:5">
      <c r="A6333" s="64"/>
      <c r="E6333" t="e">
        <f t="shared" si="102"/>
        <v>#N/A</v>
      </c>
    </row>
    <row r="6334" spans="1:5">
      <c r="A6334" s="64"/>
      <c r="E6334" t="e">
        <f t="shared" si="102"/>
        <v>#N/A</v>
      </c>
    </row>
    <row r="6335" spans="1:5">
      <c r="A6335" s="64"/>
      <c r="E6335" t="e">
        <f t="shared" si="102"/>
        <v>#N/A</v>
      </c>
    </row>
    <row r="6336" spans="1:5">
      <c r="A6336" s="64"/>
      <c r="E6336" t="e">
        <f t="shared" si="102"/>
        <v>#N/A</v>
      </c>
    </row>
    <row r="6337" spans="1:5">
      <c r="A6337" s="64"/>
      <c r="E6337" t="e">
        <f t="shared" si="102"/>
        <v>#N/A</v>
      </c>
    </row>
    <row r="6338" spans="1:5">
      <c r="A6338" s="64"/>
      <c r="E6338" t="e">
        <f t="shared" si="102"/>
        <v>#N/A</v>
      </c>
    </row>
    <row r="6339" spans="1:5">
      <c r="A6339" s="64"/>
      <c r="E6339" t="e">
        <f t="shared" si="102"/>
        <v>#N/A</v>
      </c>
    </row>
    <row r="6340" spans="1:5">
      <c r="A6340" s="64"/>
      <c r="E6340" t="e">
        <f t="shared" si="102"/>
        <v>#N/A</v>
      </c>
    </row>
    <row r="6341" spans="1:5">
      <c r="A6341" s="64"/>
      <c r="E6341" t="e">
        <f t="shared" si="102"/>
        <v>#N/A</v>
      </c>
    </row>
    <row r="6342" spans="1:5">
      <c r="A6342" s="64"/>
      <c r="E6342" t="e">
        <f t="shared" si="102"/>
        <v>#N/A</v>
      </c>
    </row>
    <row r="6343" spans="1:5">
      <c r="A6343" s="64"/>
      <c r="E6343" t="e">
        <f t="shared" si="102"/>
        <v>#N/A</v>
      </c>
    </row>
    <row r="6344" spans="1:5">
      <c r="A6344" s="64"/>
      <c r="E6344" t="e">
        <f t="shared" si="102"/>
        <v>#N/A</v>
      </c>
    </row>
    <row r="6345" spans="1:5">
      <c r="A6345" s="64"/>
      <c r="E6345" t="e">
        <f t="shared" si="102"/>
        <v>#N/A</v>
      </c>
    </row>
    <row r="6346" spans="1:5">
      <c r="A6346" s="64"/>
      <c r="E6346" t="e">
        <f t="shared" si="102"/>
        <v>#N/A</v>
      </c>
    </row>
    <row r="6347" spans="1:5">
      <c r="A6347" s="64"/>
      <c r="E6347" t="e">
        <f t="shared" si="102"/>
        <v>#N/A</v>
      </c>
    </row>
    <row r="6348" spans="1:5">
      <c r="A6348" s="64"/>
      <c r="E6348" t="e">
        <f t="shared" si="102"/>
        <v>#N/A</v>
      </c>
    </row>
    <row r="6349" spans="1:5">
      <c r="A6349" s="64"/>
      <c r="E6349" t="e">
        <f t="shared" ref="E6349:E6412" si="103">VLOOKUP(B6349,$Q$14:$R$62,2,FALSE)</f>
        <v>#N/A</v>
      </c>
    </row>
    <row r="6350" spans="1:5">
      <c r="A6350" s="64"/>
      <c r="E6350" t="e">
        <f t="shared" si="103"/>
        <v>#N/A</v>
      </c>
    </row>
    <row r="6351" spans="1:5">
      <c r="A6351" s="64"/>
      <c r="E6351" t="e">
        <f t="shared" si="103"/>
        <v>#N/A</v>
      </c>
    </row>
    <row r="6352" spans="1:5">
      <c r="A6352" s="64"/>
      <c r="E6352" t="e">
        <f t="shared" si="103"/>
        <v>#N/A</v>
      </c>
    </row>
    <row r="6353" spans="1:5">
      <c r="A6353" s="64"/>
      <c r="E6353" t="e">
        <f t="shared" si="103"/>
        <v>#N/A</v>
      </c>
    </row>
    <row r="6354" spans="1:5">
      <c r="A6354" s="64"/>
      <c r="E6354" t="e">
        <f t="shared" si="103"/>
        <v>#N/A</v>
      </c>
    </row>
    <row r="6355" spans="1:5">
      <c r="A6355" s="64"/>
      <c r="E6355" t="e">
        <f t="shared" si="103"/>
        <v>#N/A</v>
      </c>
    </row>
    <row r="6356" spans="1:5">
      <c r="A6356" s="64"/>
      <c r="E6356" t="e">
        <f t="shared" si="103"/>
        <v>#N/A</v>
      </c>
    </row>
    <row r="6357" spans="1:5">
      <c r="A6357" s="64"/>
      <c r="E6357" t="e">
        <f t="shared" si="103"/>
        <v>#N/A</v>
      </c>
    </row>
    <row r="6358" spans="1:5">
      <c r="A6358" s="64"/>
      <c r="E6358" t="e">
        <f t="shared" si="103"/>
        <v>#N/A</v>
      </c>
    </row>
    <row r="6359" spans="1:5">
      <c r="A6359" s="64"/>
      <c r="E6359" t="e">
        <f t="shared" si="103"/>
        <v>#N/A</v>
      </c>
    </row>
    <row r="6360" spans="1:5">
      <c r="A6360" s="64"/>
      <c r="E6360" t="e">
        <f t="shared" si="103"/>
        <v>#N/A</v>
      </c>
    </row>
    <row r="6361" spans="1:5">
      <c r="A6361" s="64"/>
      <c r="E6361" t="e">
        <f t="shared" si="103"/>
        <v>#N/A</v>
      </c>
    </row>
    <row r="6362" spans="1:5">
      <c r="A6362" s="64"/>
      <c r="E6362" t="e">
        <f t="shared" si="103"/>
        <v>#N/A</v>
      </c>
    </row>
    <row r="6363" spans="1:5">
      <c r="A6363" s="64"/>
      <c r="E6363" t="e">
        <f t="shared" si="103"/>
        <v>#N/A</v>
      </c>
    </row>
    <row r="6364" spans="1:5">
      <c r="A6364" s="64"/>
      <c r="E6364" t="e">
        <f t="shared" si="103"/>
        <v>#N/A</v>
      </c>
    </row>
    <row r="6365" spans="1:5">
      <c r="A6365" s="64"/>
      <c r="E6365" t="e">
        <f t="shared" si="103"/>
        <v>#N/A</v>
      </c>
    </row>
    <row r="6366" spans="1:5">
      <c r="A6366" s="64"/>
      <c r="E6366" t="e">
        <f t="shared" si="103"/>
        <v>#N/A</v>
      </c>
    </row>
    <row r="6367" spans="1:5">
      <c r="A6367" s="64"/>
      <c r="E6367" t="e">
        <f t="shared" si="103"/>
        <v>#N/A</v>
      </c>
    </row>
    <row r="6368" spans="1:5">
      <c r="A6368" s="64"/>
      <c r="E6368" t="e">
        <f t="shared" si="103"/>
        <v>#N/A</v>
      </c>
    </row>
    <row r="6369" spans="1:5">
      <c r="A6369" s="64"/>
      <c r="E6369" t="e">
        <f t="shared" si="103"/>
        <v>#N/A</v>
      </c>
    </row>
    <row r="6370" spans="1:5">
      <c r="A6370" s="64"/>
      <c r="E6370" t="e">
        <f t="shared" si="103"/>
        <v>#N/A</v>
      </c>
    </row>
    <row r="6371" spans="1:5">
      <c r="A6371" s="64"/>
      <c r="E6371" t="e">
        <f t="shared" si="103"/>
        <v>#N/A</v>
      </c>
    </row>
    <row r="6372" spans="1:5">
      <c r="A6372" s="64"/>
      <c r="E6372" t="e">
        <f t="shared" si="103"/>
        <v>#N/A</v>
      </c>
    </row>
    <row r="6373" spans="1:5">
      <c r="A6373" s="64"/>
      <c r="E6373" t="e">
        <f t="shared" si="103"/>
        <v>#N/A</v>
      </c>
    </row>
    <row r="6374" spans="1:5">
      <c r="A6374" s="64"/>
      <c r="E6374" t="e">
        <f t="shared" si="103"/>
        <v>#N/A</v>
      </c>
    </row>
    <row r="6375" spans="1:5">
      <c r="A6375" s="64"/>
      <c r="E6375" t="e">
        <f t="shared" si="103"/>
        <v>#N/A</v>
      </c>
    </row>
    <row r="6376" spans="1:5">
      <c r="A6376" s="64"/>
      <c r="E6376" t="e">
        <f t="shared" si="103"/>
        <v>#N/A</v>
      </c>
    </row>
    <row r="6377" spans="1:5">
      <c r="A6377" s="64"/>
      <c r="E6377" t="e">
        <f t="shared" si="103"/>
        <v>#N/A</v>
      </c>
    </row>
    <row r="6378" spans="1:5">
      <c r="A6378" s="64"/>
      <c r="E6378" t="e">
        <f t="shared" si="103"/>
        <v>#N/A</v>
      </c>
    </row>
    <row r="6379" spans="1:5">
      <c r="A6379" s="64"/>
      <c r="E6379" t="e">
        <f t="shared" si="103"/>
        <v>#N/A</v>
      </c>
    </row>
    <row r="6380" spans="1:5">
      <c r="A6380" s="64"/>
      <c r="E6380" t="e">
        <f t="shared" si="103"/>
        <v>#N/A</v>
      </c>
    </row>
    <row r="6381" spans="1:5">
      <c r="A6381" s="64"/>
      <c r="E6381" t="e">
        <f t="shared" si="103"/>
        <v>#N/A</v>
      </c>
    </row>
    <row r="6382" spans="1:5">
      <c r="A6382" s="64"/>
      <c r="E6382" t="e">
        <f t="shared" si="103"/>
        <v>#N/A</v>
      </c>
    </row>
    <row r="6383" spans="1:5">
      <c r="A6383" s="64"/>
      <c r="E6383" t="e">
        <f t="shared" si="103"/>
        <v>#N/A</v>
      </c>
    </row>
    <row r="6384" spans="1:5">
      <c r="A6384" s="64"/>
      <c r="E6384" t="e">
        <f t="shared" si="103"/>
        <v>#N/A</v>
      </c>
    </row>
    <row r="6385" spans="1:5">
      <c r="A6385" s="64"/>
      <c r="E6385" t="e">
        <f t="shared" si="103"/>
        <v>#N/A</v>
      </c>
    </row>
    <row r="6386" spans="1:5">
      <c r="A6386" s="64"/>
      <c r="E6386" t="e">
        <f t="shared" si="103"/>
        <v>#N/A</v>
      </c>
    </row>
    <row r="6387" spans="1:5">
      <c r="A6387" s="64"/>
      <c r="E6387" t="e">
        <f t="shared" si="103"/>
        <v>#N/A</v>
      </c>
    </row>
    <row r="6388" spans="1:5">
      <c r="A6388" s="64"/>
      <c r="E6388" t="e">
        <f t="shared" si="103"/>
        <v>#N/A</v>
      </c>
    </row>
    <row r="6389" spans="1:5">
      <c r="A6389" s="64"/>
      <c r="E6389" t="e">
        <f t="shared" si="103"/>
        <v>#N/A</v>
      </c>
    </row>
    <row r="6390" spans="1:5">
      <c r="A6390" s="64"/>
      <c r="E6390" t="e">
        <f t="shared" si="103"/>
        <v>#N/A</v>
      </c>
    </row>
    <row r="6391" spans="1:5">
      <c r="A6391" s="64"/>
      <c r="E6391" t="e">
        <f t="shared" si="103"/>
        <v>#N/A</v>
      </c>
    </row>
    <row r="6392" spans="1:5">
      <c r="A6392" s="64"/>
      <c r="E6392" t="e">
        <f t="shared" si="103"/>
        <v>#N/A</v>
      </c>
    </row>
    <row r="6393" spans="1:5">
      <c r="A6393" s="64"/>
      <c r="E6393" t="e">
        <f t="shared" si="103"/>
        <v>#N/A</v>
      </c>
    </row>
    <row r="6394" spans="1:5">
      <c r="A6394" s="64"/>
      <c r="E6394" t="e">
        <f t="shared" si="103"/>
        <v>#N/A</v>
      </c>
    </row>
    <row r="6395" spans="1:5">
      <c r="A6395" s="64"/>
      <c r="E6395" t="e">
        <f t="shared" si="103"/>
        <v>#N/A</v>
      </c>
    </row>
    <row r="6396" spans="1:5">
      <c r="A6396" s="64"/>
      <c r="E6396" t="e">
        <f t="shared" si="103"/>
        <v>#N/A</v>
      </c>
    </row>
    <row r="6397" spans="1:5">
      <c r="A6397" s="64"/>
      <c r="E6397" t="e">
        <f t="shared" si="103"/>
        <v>#N/A</v>
      </c>
    </row>
    <row r="6398" spans="1:5">
      <c r="A6398" s="64"/>
      <c r="E6398" t="e">
        <f t="shared" si="103"/>
        <v>#N/A</v>
      </c>
    </row>
    <row r="6399" spans="1:5">
      <c r="A6399" s="64"/>
      <c r="E6399" t="e">
        <f t="shared" si="103"/>
        <v>#N/A</v>
      </c>
    </row>
    <row r="6400" spans="1:5">
      <c r="A6400" s="64"/>
      <c r="E6400" t="e">
        <f t="shared" si="103"/>
        <v>#N/A</v>
      </c>
    </row>
    <row r="6401" spans="1:5">
      <c r="A6401" s="64"/>
      <c r="E6401" t="e">
        <f t="shared" si="103"/>
        <v>#N/A</v>
      </c>
    </row>
    <row r="6402" spans="1:5">
      <c r="A6402" s="64"/>
      <c r="E6402" t="e">
        <f t="shared" si="103"/>
        <v>#N/A</v>
      </c>
    </row>
    <row r="6403" spans="1:5">
      <c r="A6403" s="64"/>
      <c r="E6403" t="e">
        <f t="shared" si="103"/>
        <v>#N/A</v>
      </c>
    </row>
    <row r="6404" spans="1:5">
      <c r="A6404" s="64"/>
      <c r="E6404" t="e">
        <f t="shared" si="103"/>
        <v>#N/A</v>
      </c>
    </row>
    <row r="6405" spans="1:5">
      <c r="A6405" s="64"/>
      <c r="E6405" t="e">
        <f t="shared" si="103"/>
        <v>#N/A</v>
      </c>
    </row>
    <row r="6406" spans="1:5">
      <c r="A6406" s="64"/>
      <c r="E6406" t="e">
        <f t="shared" si="103"/>
        <v>#N/A</v>
      </c>
    </row>
    <row r="6407" spans="1:5">
      <c r="A6407" s="64"/>
      <c r="E6407" t="e">
        <f t="shared" si="103"/>
        <v>#N/A</v>
      </c>
    </row>
    <row r="6408" spans="1:5">
      <c r="A6408" s="64"/>
      <c r="E6408" t="e">
        <f t="shared" si="103"/>
        <v>#N/A</v>
      </c>
    </row>
    <row r="6409" spans="1:5">
      <c r="A6409" s="64"/>
      <c r="E6409" t="e">
        <f t="shared" si="103"/>
        <v>#N/A</v>
      </c>
    </row>
    <row r="6410" spans="1:5">
      <c r="A6410" s="64"/>
      <c r="E6410" t="e">
        <f t="shared" si="103"/>
        <v>#N/A</v>
      </c>
    </row>
    <row r="6411" spans="1:5">
      <c r="A6411" s="64"/>
      <c r="E6411" t="e">
        <f t="shared" si="103"/>
        <v>#N/A</v>
      </c>
    </row>
    <row r="6412" spans="1:5">
      <c r="A6412" s="64"/>
      <c r="E6412" t="e">
        <f t="shared" si="103"/>
        <v>#N/A</v>
      </c>
    </row>
    <row r="6413" spans="1:5">
      <c r="A6413" s="64"/>
      <c r="E6413" t="e">
        <f t="shared" ref="E6413:E6476" si="104">VLOOKUP(B6413,$Q$14:$R$62,2,FALSE)</f>
        <v>#N/A</v>
      </c>
    </row>
    <row r="6414" spans="1:5">
      <c r="A6414" s="64"/>
      <c r="E6414" t="e">
        <f t="shared" si="104"/>
        <v>#N/A</v>
      </c>
    </row>
    <row r="6415" spans="1:5">
      <c r="A6415" s="64"/>
      <c r="E6415" t="e">
        <f t="shared" si="104"/>
        <v>#N/A</v>
      </c>
    </row>
    <row r="6416" spans="1:5">
      <c r="A6416" s="64"/>
      <c r="E6416" t="e">
        <f t="shared" si="104"/>
        <v>#N/A</v>
      </c>
    </row>
    <row r="6417" spans="1:5">
      <c r="A6417" s="64"/>
      <c r="E6417" t="e">
        <f t="shared" si="104"/>
        <v>#N/A</v>
      </c>
    </row>
    <row r="6418" spans="1:5">
      <c r="A6418" s="64"/>
      <c r="E6418" t="e">
        <f t="shared" si="104"/>
        <v>#N/A</v>
      </c>
    </row>
    <row r="6419" spans="1:5">
      <c r="A6419" s="64"/>
      <c r="E6419" t="e">
        <f t="shared" si="104"/>
        <v>#N/A</v>
      </c>
    </row>
    <row r="6420" spans="1:5">
      <c r="A6420" s="64"/>
      <c r="E6420" t="e">
        <f t="shared" si="104"/>
        <v>#N/A</v>
      </c>
    </row>
    <row r="6421" spans="1:5">
      <c r="A6421" s="64"/>
      <c r="E6421" t="e">
        <f t="shared" si="104"/>
        <v>#N/A</v>
      </c>
    </row>
    <row r="6422" spans="1:5">
      <c r="A6422" s="64"/>
      <c r="E6422" t="e">
        <f t="shared" si="104"/>
        <v>#N/A</v>
      </c>
    </row>
    <row r="6423" spans="1:5">
      <c r="A6423" s="64"/>
      <c r="E6423" t="e">
        <f t="shared" si="104"/>
        <v>#N/A</v>
      </c>
    </row>
    <row r="6424" spans="1:5">
      <c r="A6424" s="64"/>
      <c r="E6424" t="e">
        <f t="shared" si="104"/>
        <v>#N/A</v>
      </c>
    </row>
    <row r="6425" spans="1:5">
      <c r="A6425" s="64"/>
      <c r="E6425" t="e">
        <f t="shared" si="104"/>
        <v>#N/A</v>
      </c>
    </row>
    <row r="6426" spans="1:5">
      <c r="A6426" s="64"/>
      <c r="E6426" t="e">
        <f t="shared" si="104"/>
        <v>#N/A</v>
      </c>
    </row>
    <row r="6427" spans="1:5">
      <c r="A6427" s="64"/>
      <c r="E6427" t="e">
        <f t="shared" si="104"/>
        <v>#N/A</v>
      </c>
    </row>
    <row r="6428" spans="1:5">
      <c r="A6428" s="64"/>
      <c r="E6428" t="e">
        <f t="shared" si="104"/>
        <v>#N/A</v>
      </c>
    </row>
    <row r="6429" spans="1:5">
      <c r="A6429" s="64"/>
      <c r="E6429" t="e">
        <f t="shared" si="104"/>
        <v>#N/A</v>
      </c>
    </row>
    <row r="6430" spans="1:5">
      <c r="A6430" s="64"/>
      <c r="E6430" t="e">
        <f t="shared" si="104"/>
        <v>#N/A</v>
      </c>
    </row>
    <row r="6431" spans="1:5">
      <c r="A6431" s="64"/>
      <c r="E6431" t="e">
        <f t="shared" si="104"/>
        <v>#N/A</v>
      </c>
    </row>
    <row r="6432" spans="1:5">
      <c r="A6432" s="64"/>
      <c r="E6432" t="e">
        <f t="shared" si="104"/>
        <v>#N/A</v>
      </c>
    </row>
    <row r="6433" spans="1:5">
      <c r="A6433" s="64"/>
      <c r="E6433" t="e">
        <f t="shared" si="104"/>
        <v>#N/A</v>
      </c>
    </row>
    <row r="6434" spans="1:5">
      <c r="A6434" s="64"/>
      <c r="E6434" t="e">
        <f t="shared" si="104"/>
        <v>#N/A</v>
      </c>
    </row>
    <row r="6435" spans="1:5">
      <c r="A6435" s="64"/>
      <c r="E6435" t="e">
        <f t="shared" si="104"/>
        <v>#N/A</v>
      </c>
    </row>
    <row r="6436" spans="1:5">
      <c r="A6436" s="64"/>
      <c r="E6436" t="e">
        <f t="shared" si="104"/>
        <v>#N/A</v>
      </c>
    </row>
    <row r="6437" spans="1:5">
      <c r="A6437" s="64"/>
      <c r="E6437" t="e">
        <f t="shared" si="104"/>
        <v>#N/A</v>
      </c>
    </row>
    <row r="6438" spans="1:5">
      <c r="A6438" s="64"/>
      <c r="E6438" t="e">
        <f t="shared" si="104"/>
        <v>#N/A</v>
      </c>
    </row>
    <row r="6439" spans="1:5">
      <c r="A6439" s="64"/>
      <c r="E6439" t="e">
        <f t="shared" si="104"/>
        <v>#N/A</v>
      </c>
    </row>
    <row r="6440" spans="1:5">
      <c r="A6440" s="64"/>
      <c r="E6440" t="e">
        <f t="shared" si="104"/>
        <v>#N/A</v>
      </c>
    </row>
    <row r="6441" spans="1:5">
      <c r="A6441" s="64"/>
      <c r="E6441" t="e">
        <f t="shared" si="104"/>
        <v>#N/A</v>
      </c>
    </row>
    <row r="6442" spans="1:5">
      <c r="A6442" s="64"/>
      <c r="E6442" t="e">
        <f t="shared" si="104"/>
        <v>#N/A</v>
      </c>
    </row>
    <row r="6443" spans="1:5">
      <c r="A6443" s="64"/>
      <c r="E6443" t="e">
        <f t="shared" si="104"/>
        <v>#N/A</v>
      </c>
    </row>
    <row r="6444" spans="1:5">
      <c r="A6444" s="64"/>
      <c r="E6444" t="e">
        <f t="shared" si="104"/>
        <v>#N/A</v>
      </c>
    </row>
    <row r="6445" spans="1:5">
      <c r="A6445" s="64"/>
      <c r="E6445" t="e">
        <f t="shared" si="104"/>
        <v>#N/A</v>
      </c>
    </row>
    <row r="6446" spans="1:5">
      <c r="A6446" s="64"/>
      <c r="E6446" t="e">
        <f t="shared" si="104"/>
        <v>#N/A</v>
      </c>
    </row>
    <row r="6447" spans="1:5">
      <c r="A6447" s="64"/>
      <c r="E6447" t="e">
        <f t="shared" si="104"/>
        <v>#N/A</v>
      </c>
    </row>
    <row r="6448" spans="1:5">
      <c r="A6448" s="64"/>
      <c r="E6448" t="e">
        <f t="shared" si="104"/>
        <v>#N/A</v>
      </c>
    </row>
    <row r="6449" spans="1:5">
      <c r="A6449" s="64"/>
      <c r="E6449" t="e">
        <f t="shared" si="104"/>
        <v>#N/A</v>
      </c>
    </row>
    <row r="6450" spans="1:5">
      <c r="A6450" s="64"/>
      <c r="E6450" t="e">
        <f t="shared" si="104"/>
        <v>#N/A</v>
      </c>
    </row>
    <row r="6451" spans="1:5">
      <c r="A6451" s="64"/>
      <c r="E6451" t="e">
        <f t="shared" si="104"/>
        <v>#N/A</v>
      </c>
    </row>
    <row r="6452" spans="1:5">
      <c r="A6452" s="64"/>
      <c r="E6452" t="e">
        <f t="shared" si="104"/>
        <v>#N/A</v>
      </c>
    </row>
    <row r="6453" spans="1:5">
      <c r="A6453" s="64"/>
      <c r="E6453" t="e">
        <f t="shared" si="104"/>
        <v>#N/A</v>
      </c>
    </row>
    <row r="6454" spans="1:5">
      <c r="A6454" s="64"/>
      <c r="E6454" t="e">
        <f t="shared" si="104"/>
        <v>#N/A</v>
      </c>
    </row>
    <row r="6455" spans="1:5">
      <c r="A6455" s="64"/>
      <c r="E6455" t="e">
        <f t="shared" si="104"/>
        <v>#N/A</v>
      </c>
    </row>
    <row r="6456" spans="1:5">
      <c r="A6456" s="64"/>
      <c r="E6456" t="e">
        <f t="shared" si="104"/>
        <v>#N/A</v>
      </c>
    </row>
    <row r="6457" spans="1:5">
      <c r="A6457" s="64"/>
      <c r="E6457" t="e">
        <f t="shared" si="104"/>
        <v>#N/A</v>
      </c>
    </row>
    <row r="6458" spans="1:5">
      <c r="A6458" s="64"/>
      <c r="E6458" t="e">
        <f t="shared" si="104"/>
        <v>#N/A</v>
      </c>
    </row>
    <row r="6459" spans="1:5">
      <c r="A6459" s="64"/>
      <c r="E6459" t="e">
        <f t="shared" si="104"/>
        <v>#N/A</v>
      </c>
    </row>
    <row r="6460" spans="1:5">
      <c r="A6460" s="64"/>
      <c r="E6460" t="e">
        <f t="shared" si="104"/>
        <v>#N/A</v>
      </c>
    </row>
    <row r="6461" spans="1:5">
      <c r="A6461" s="64"/>
      <c r="E6461" t="e">
        <f t="shared" si="104"/>
        <v>#N/A</v>
      </c>
    </row>
    <row r="6462" spans="1:5">
      <c r="A6462" s="64"/>
      <c r="E6462" t="e">
        <f t="shared" si="104"/>
        <v>#N/A</v>
      </c>
    </row>
    <row r="6463" spans="1:5">
      <c r="A6463" s="64"/>
      <c r="E6463" t="e">
        <f t="shared" si="104"/>
        <v>#N/A</v>
      </c>
    </row>
    <row r="6464" spans="1:5">
      <c r="A6464" s="64"/>
      <c r="E6464" t="e">
        <f t="shared" si="104"/>
        <v>#N/A</v>
      </c>
    </row>
    <row r="6465" spans="1:5">
      <c r="A6465" s="64"/>
      <c r="E6465" t="e">
        <f t="shared" si="104"/>
        <v>#N/A</v>
      </c>
    </row>
    <row r="6466" spans="1:5">
      <c r="A6466" s="64"/>
      <c r="E6466" t="e">
        <f t="shared" si="104"/>
        <v>#N/A</v>
      </c>
    </row>
    <row r="6467" spans="1:5">
      <c r="A6467" s="64"/>
      <c r="E6467" t="e">
        <f t="shared" si="104"/>
        <v>#N/A</v>
      </c>
    </row>
    <row r="6468" spans="1:5">
      <c r="A6468" s="64"/>
      <c r="E6468" t="e">
        <f t="shared" si="104"/>
        <v>#N/A</v>
      </c>
    </row>
    <row r="6469" spans="1:5">
      <c r="A6469" s="64"/>
      <c r="E6469" t="e">
        <f t="shared" si="104"/>
        <v>#N/A</v>
      </c>
    </row>
    <row r="6470" spans="1:5">
      <c r="A6470" s="64"/>
      <c r="E6470" t="e">
        <f t="shared" si="104"/>
        <v>#N/A</v>
      </c>
    </row>
    <row r="6471" spans="1:5">
      <c r="A6471" s="64"/>
      <c r="E6471" t="e">
        <f t="shared" si="104"/>
        <v>#N/A</v>
      </c>
    </row>
    <row r="6472" spans="1:5">
      <c r="A6472" s="64"/>
      <c r="E6472" t="e">
        <f t="shared" si="104"/>
        <v>#N/A</v>
      </c>
    </row>
    <row r="6473" spans="1:5">
      <c r="A6473" s="64"/>
      <c r="E6473" t="e">
        <f t="shared" si="104"/>
        <v>#N/A</v>
      </c>
    </row>
    <row r="6474" spans="1:5">
      <c r="A6474" s="64"/>
      <c r="E6474" t="e">
        <f t="shared" si="104"/>
        <v>#N/A</v>
      </c>
    </row>
    <row r="6475" spans="1:5">
      <c r="A6475" s="64"/>
      <c r="E6475" t="e">
        <f t="shared" si="104"/>
        <v>#N/A</v>
      </c>
    </row>
    <row r="6476" spans="1:5">
      <c r="A6476" s="64"/>
      <c r="E6476" t="e">
        <f t="shared" si="104"/>
        <v>#N/A</v>
      </c>
    </row>
    <row r="6477" spans="1:5">
      <c r="A6477" s="64"/>
      <c r="E6477" t="e">
        <f t="shared" ref="E6477:E6540" si="105">VLOOKUP(B6477,$Q$14:$R$62,2,FALSE)</f>
        <v>#N/A</v>
      </c>
    </row>
    <row r="6478" spans="1:5">
      <c r="A6478" s="64"/>
      <c r="E6478" t="e">
        <f t="shared" si="105"/>
        <v>#N/A</v>
      </c>
    </row>
    <row r="6479" spans="1:5">
      <c r="A6479" s="64"/>
      <c r="E6479" t="e">
        <f t="shared" si="105"/>
        <v>#N/A</v>
      </c>
    </row>
    <row r="6480" spans="1:5">
      <c r="A6480" s="64"/>
      <c r="E6480" t="e">
        <f t="shared" si="105"/>
        <v>#N/A</v>
      </c>
    </row>
    <row r="6481" spans="1:5">
      <c r="A6481" s="64"/>
      <c r="E6481" t="e">
        <f t="shared" si="105"/>
        <v>#N/A</v>
      </c>
    </row>
    <row r="6482" spans="1:5">
      <c r="A6482" s="64"/>
      <c r="E6482" t="e">
        <f t="shared" si="105"/>
        <v>#N/A</v>
      </c>
    </row>
    <row r="6483" spans="1:5">
      <c r="A6483" s="64"/>
      <c r="E6483" t="e">
        <f t="shared" si="105"/>
        <v>#N/A</v>
      </c>
    </row>
    <row r="6484" spans="1:5">
      <c r="A6484" s="64"/>
      <c r="E6484" t="e">
        <f t="shared" si="105"/>
        <v>#N/A</v>
      </c>
    </row>
    <row r="6485" spans="1:5">
      <c r="A6485" s="64"/>
      <c r="E6485" t="e">
        <f t="shared" si="105"/>
        <v>#N/A</v>
      </c>
    </row>
    <row r="6486" spans="1:5">
      <c r="A6486" s="64"/>
      <c r="E6486" t="e">
        <f t="shared" si="105"/>
        <v>#N/A</v>
      </c>
    </row>
    <row r="6487" spans="1:5">
      <c r="A6487" s="64"/>
      <c r="E6487" t="e">
        <f t="shared" si="105"/>
        <v>#N/A</v>
      </c>
    </row>
    <row r="6488" spans="1:5">
      <c r="A6488" s="64"/>
      <c r="E6488" t="e">
        <f t="shared" si="105"/>
        <v>#N/A</v>
      </c>
    </row>
    <row r="6489" spans="1:5">
      <c r="A6489" s="64"/>
      <c r="E6489" t="e">
        <f t="shared" si="105"/>
        <v>#N/A</v>
      </c>
    </row>
    <row r="6490" spans="1:5">
      <c r="A6490" s="64"/>
      <c r="E6490" t="e">
        <f t="shared" si="105"/>
        <v>#N/A</v>
      </c>
    </row>
    <row r="6491" spans="1:5">
      <c r="A6491" s="64"/>
      <c r="E6491" t="e">
        <f t="shared" si="105"/>
        <v>#N/A</v>
      </c>
    </row>
    <row r="6492" spans="1:5">
      <c r="A6492" s="64"/>
      <c r="E6492" t="e">
        <f t="shared" si="105"/>
        <v>#N/A</v>
      </c>
    </row>
    <row r="6493" spans="1:5">
      <c r="A6493" s="64"/>
      <c r="E6493" t="e">
        <f t="shared" si="105"/>
        <v>#N/A</v>
      </c>
    </row>
    <row r="6494" spans="1:5">
      <c r="A6494" s="64"/>
      <c r="E6494" t="e">
        <f t="shared" si="105"/>
        <v>#N/A</v>
      </c>
    </row>
    <row r="6495" spans="1:5">
      <c r="A6495" s="64"/>
      <c r="E6495" t="e">
        <f t="shared" si="105"/>
        <v>#N/A</v>
      </c>
    </row>
    <row r="6496" spans="1:5">
      <c r="A6496" s="64"/>
      <c r="E6496" t="e">
        <f t="shared" si="105"/>
        <v>#N/A</v>
      </c>
    </row>
    <row r="6497" spans="1:5">
      <c r="A6497" s="64"/>
      <c r="E6497" t="e">
        <f t="shared" si="105"/>
        <v>#N/A</v>
      </c>
    </row>
    <row r="6498" spans="1:5">
      <c r="A6498" s="64"/>
      <c r="E6498" t="e">
        <f t="shared" si="105"/>
        <v>#N/A</v>
      </c>
    </row>
    <row r="6499" spans="1:5">
      <c r="A6499" s="64"/>
      <c r="E6499" t="e">
        <f t="shared" si="105"/>
        <v>#N/A</v>
      </c>
    </row>
    <row r="6500" spans="1:5">
      <c r="A6500" s="64"/>
      <c r="E6500" t="e">
        <f t="shared" si="105"/>
        <v>#N/A</v>
      </c>
    </row>
    <row r="6501" spans="1:5">
      <c r="A6501" s="64"/>
      <c r="E6501" t="e">
        <f t="shared" si="105"/>
        <v>#N/A</v>
      </c>
    </row>
    <row r="6502" spans="1:5">
      <c r="A6502" s="64"/>
      <c r="E6502" t="e">
        <f t="shared" si="105"/>
        <v>#N/A</v>
      </c>
    </row>
    <row r="6503" spans="1:5">
      <c r="A6503" s="64"/>
      <c r="E6503" t="e">
        <f t="shared" si="105"/>
        <v>#N/A</v>
      </c>
    </row>
    <row r="6504" spans="1:5">
      <c r="A6504" s="64"/>
      <c r="E6504" t="e">
        <f t="shared" si="105"/>
        <v>#N/A</v>
      </c>
    </row>
    <row r="6505" spans="1:5">
      <c r="A6505" s="64"/>
      <c r="E6505" t="e">
        <f t="shared" si="105"/>
        <v>#N/A</v>
      </c>
    </row>
    <row r="6506" spans="1:5">
      <c r="A6506" s="64"/>
      <c r="E6506" t="e">
        <f t="shared" si="105"/>
        <v>#N/A</v>
      </c>
    </row>
    <row r="6507" spans="1:5">
      <c r="A6507" s="64"/>
      <c r="E6507" t="e">
        <f t="shared" si="105"/>
        <v>#N/A</v>
      </c>
    </row>
    <row r="6508" spans="1:5">
      <c r="A6508" s="64"/>
      <c r="E6508" t="e">
        <f t="shared" si="105"/>
        <v>#N/A</v>
      </c>
    </row>
    <row r="6509" spans="1:5">
      <c r="A6509" s="64"/>
      <c r="E6509" t="e">
        <f t="shared" si="105"/>
        <v>#N/A</v>
      </c>
    </row>
    <row r="6510" spans="1:5">
      <c r="A6510" s="64"/>
      <c r="E6510" t="e">
        <f t="shared" si="105"/>
        <v>#N/A</v>
      </c>
    </row>
    <row r="6511" spans="1:5">
      <c r="A6511" s="64"/>
      <c r="E6511" t="e">
        <f t="shared" si="105"/>
        <v>#N/A</v>
      </c>
    </row>
    <row r="6512" spans="1:5">
      <c r="A6512" s="64"/>
      <c r="E6512" t="e">
        <f t="shared" si="105"/>
        <v>#N/A</v>
      </c>
    </row>
    <row r="6513" spans="1:5">
      <c r="A6513" s="64"/>
      <c r="E6513" t="e">
        <f t="shared" si="105"/>
        <v>#N/A</v>
      </c>
    </row>
    <row r="6514" spans="1:5">
      <c r="A6514" s="64"/>
      <c r="E6514" t="e">
        <f t="shared" si="105"/>
        <v>#N/A</v>
      </c>
    </row>
    <row r="6515" spans="1:5">
      <c r="A6515" s="64"/>
      <c r="E6515" t="e">
        <f t="shared" si="105"/>
        <v>#N/A</v>
      </c>
    </row>
    <row r="6516" spans="1:5">
      <c r="A6516" s="64"/>
      <c r="E6516" t="e">
        <f t="shared" si="105"/>
        <v>#N/A</v>
      </c>
    </row>
    <row r="6517" spans="1:5">
      <c r="A6517" s="64"/>
      <c r="E6517" t="e">
        <f t="shared" si="105"/>
        <v>#N/A</v>
      </c>
    </row>
    <row r="6518" spans="1:5">
      <c r="A6518" s="64"/>
      <c r="E6518" t="e">
        <f t="shared" si="105"/>
        <v>#N/A</v>
      </c>
    </row>
    <row r="6519" spans="1:5">
      <c r="A6519" s="64"/>
      <c r="E6519" t="e">
        <f t="shared" si="105"/>
        <v>#N/A</v>
      </c>
    </row>
    <row r="6520" spans="1:5">
      <c r="A6520" s="64"/>
      <c r="E6520" t="e">
        <f t="shared" si="105"/>
        <v>#N/A</v>
      </c>
    </row>
    <row r="6521" spans="1:5">
      <c r="A6521" s="64"/>
      <c r="E6521" t="e">
        <f t="shared" si="105"/>
        <v>#N/A</v>
      </c>
    </row>
    <row r="6522" spans="1:5">
      <c r="A6522" s="64"/>
      <c r="E6522" t="e">
        <f t="shared" si="105"/>
        <v>#N/A</v>
      </c>
    </row>
    <row r="6523" spans="1:5">
      <c r="A6523" s="64"/>
      <c r="E6523" t="e">
        <f t="shared" si="105"/>
        <v>#N/A</v>
      </c>
    </row>
    <row r="6524" spans="1:5">
      <c r="A6524" s="64"/>
      <c r="E6524" t="e">
        <f t="shared" si="105"/>
        <v>#N/A</v>
      </c>
    </row>
    <row r="6525" spans="1:5">
      <c r="A6525" s="64"/>
      <c r="E6525" t="e">
        <f t="shared" si="105"/>
        <v>#N/A</v>
      </c>
    </row>
    <row r="6526" spans="1:5">
      <c r="A6526" s="64"/>
      <c r="E6526" t="e">
        <f t="shared" si="105"/>
        <v>#N/A</v>
      </c>
    </row>
    <row r="6527" spans="1:5">
      <c r="A6527" s="64"/>
      <c r="E6527" t="e">
        <f t="shared" si="105"/>
        <v>#N/A</v>
      </c>
    </row>
    <row r="6528" spans="1:5">
      <c r="A6528" s="64"/>
      <c r="E6528" t="e">
        <f t="shared" si="105"/>
        <v>#N/A</v>
      </c>
    </row>
    <row r="6529" spans="1:5">
      <c r="A6529" s="64"/>
      <c r="E6529" t="e">
        <f t="shared" si="105"/>
        <v>#N/A</v>
      </c>
    </row>
    <row r="6530" spans="1:5">
      <c r="A6530" s="64"/>
      <c r="E6530" t="e">
        <f t="shared" si="105"/>
        <v>#N/A</v>
      </c>
    </row>
    <row r="6531" spans="1:5">
      <c r="A6531" s="64"/>
      <c r="E6531" t="e">
        <f t="shared" si="105"/>
        <v>#N/A</v>
      </c>
    </row>
    <row r="6532" spans="1:5">
      <c r="A6532" s="64"/>
      <c r="E6532" t="e">
        <f t="shared" si="105"/>
        <v>#N/A</v>
      </c>
    </row>
    <row r="6533" spans="1:5">
      <c r="A6533" s="64"/>
      <c r="E6533" t="e">
        <f t="shared" si="105"/>
        <v>#N/A</v>
      </c>
    </row>
    <row r="6534" spans="1:5">
      <c r="A6534" s="64"/>
      <c r="E6534" t="e">
        <f t="shared" si="105"/>
        <v>#N/A</v>
      </c>
    </row>
    <row r="6535" spans="1:5">
      <c r="A6535" s="64"/>
      <c r="E6535" t="e">
        <f t="shared" si="105"/>
        <v>#N/A</v>
      </c>
    </row>
    <row r="6536" spans="1:5">
      <c r="A6536" s="64"/>
      <c r="E6536" t="e">
        <f t="shared" si="105"/>
        <v>#N/A</v>
      </c>
    </row>
    <row r="6537" spans="1:5">
      <c r="A6537" s="64"/>
      <c r="E6537" t="e">
        <f t="shared" si="105"/>
        <v>#N/A</v>
      </c>
    </row>
    <row r="6538" spans="1:5">
      <c r="A6538" s="64"/>
      <c r="E6538" t="e">
        <f t="shared" si="105"/>
        <v>#N/A</v>
      </c>
    </row>
    <row r="6539" spans="1:5">
      <c r="A6539" s="64"/>
      <c r="E6539" t="e">
        <f t="shared" si="105"/>
        <v>#N/A</v>
      </c>
    </row>
    <row r="6540" spans="1:5">
      <c r="A6540" s="64"/>
      <c r="E6540" t="e">
        <f t="shared" si="105"/>
        <v>#N/A</v>
      </c>
    </row>
    <row r="6541" spans="1:5">
      <c r="A6541" s="64"/>
      <c r="E6541" t="e">
        <f t="shared" ref="E6541:E6604" si="106">VLOOKUP(B6541,$Q$14:$R$62,2,FALSE)</f>
        <v>#N/A</v>
      </c>
    </row>
    <row r="6542" spans="1:5">
      <c r="A6542" s="64"/>
      <c r="E6542" t="e">
        <f t="shared" si="106"/>
        <v>#N/A</v>
      </c>
    </row>
    <row r="6543" spans="1:5">
      <c r="A6543" s="64"/>
      <c r="E6543" t="e">
        <f t="shared" si="106"/>
        <v>#N/A</v>
      </c>
    </row>
    <row r="6544" spans="1:5">
      <c r="A6544" s="64"/>
      <c r="E6544" t="e">
        <f t="shared" si="106"/>
        <v>#N/A</v>
      </c>
    </row>
    <row r="6545" spans="1:5">
      <c r="A6545" s="64"/>
      <c r="E6545" t="e">
        <f t="shared" si="106"/>
        <v>#N/A</v>
      </c>
    </row>
    <row r="6546" spans="1:5">
      <c r="A6546" s="64"/>
      <c r="E6546" t="e">
        <f t="shared" si="106"/>
        <v>#N/A</v>
      </c>
    </row>
    <row r="6547" spans="1:5">
      <c r="A6547" s="64"/>
      <c r="E6547" t="e">
        <f t="shared" si="106"/>
        <v>#N/A</v>
      </c>
    </row>
    <row r="6548" spans="1:5">
      <c r="A6548" s="64"/>
      <c r="E6548" t="e">
        <f t="shared" si="106"/>
        <v>#N/A</v>
      </c>
    </row>
    <row r="6549" spans="1:5">
      <c r="A6549" s="64"/>
      <c r="E6549" t="e">
        <f t="shared" si="106"/>
        <v>#N/A</v>
      </c>
    </row>
    <row r="6550" spans="1:5">
      <c r="A6550" s="64"/>
      <c r="E6550" t="e">
        <f t="shared" si="106"/>
        <v>#N/A</v>
      </c>
    </row>
    <row r="6551" spans="1:5">
      <c r="A6551" s="64"/>
      <c r="E6551" t="e">
        <f t="shared" si="106"/>
        <v>#N/A</v>
      </c>
    </row>
    <row r="6552" spans="1:5">
      <c r="A6552" s="64"/>
      <c r="E6552" t="e">
        <f t="shared" si="106"/>
        <v>#N/A</v>
      </c>
    </row>
    <row r="6553" spans="1:5">
      <c r="A6553" s="64"/>
      <c r="E6553" t="e">
        <f t="shared" si="106"/>
        <v>#N/A</v>
      </c>
    </row>
    <row r="6554" spans="1:5">
      <c r="A6554" s="64"/>
      <c r="E6554" t="e">
        <f t="shared" si="106"/>
        <v>#N/A</v>
      </c>
    </row>
    <row r="6555" spans="1:5">
      <c r="A6555" s="64"/>
      <c r="E6555" t="e">
        <f t="shared" si="106"/>
        <v>#N/A</v>
      </c>
    </row>
    <row r="6556" spans="1:5">
      <c r="A6556" s="64"/>
      <c r="E6556" t="e">
        <f t="shared" si="106"/>
        <v>#N/A</v>
      </c>
    </row>
    <row r="6557" spans="1:5">
      <c r="A6557" s="64"/>
      <c r="E6557" t="e">
        <f t="shared" si="106"/>
        <v>#N/A</v>
      </c>
    </row>
    <row r="6558" spans="1:5">
      <c r="A6558" s="64"/>
      <c r="E6558" t="e">
        <f t="shared" si="106"/>
        <v>#N/A</v>
      </c>
    </row>
    <row r="6559" spans="1:5">
      <c r="A6559" s="64"/>
      <c r="E6559" t="e">
        <f t="shared" si="106"/>
        <v>#N/A</v>
      </c>
    </row>
    <row r="6560" spans="1:5">
      <c r="A6560" s="64"/>
      <c r="E6560" t="e">
        <f t="shared" si="106"/>
        <v>#N/A</v>
      </c>
    </row>
    <row r="6561" spans="1:5">
      <c r="A6561" s="64"/>
      <c r="E6561" t="e">
        <f t="shared" si="106"/>
        <v>#N/A</v>
      </c>
    </row>
    <row r="6562" spans="1:5">
      <c r="A6562" s="64"/>
      <c r="E6562" t="e">
        <f t="shared" si="106"/>
        <v>#N/A</v>
      </c>
    </row>
    <row r="6563" spans="1:5">
      <c r="A6563" s="64"/>
      <c r="E6563" t="e">
        <f t="shared" si="106"/>
        <v>#N/A</v>
      </c>
    </row>
    <row r="6564" spans="1:5">
      <c r="A6564" s="64"/>
      <c r="E6564" t="e">
        <f t="shared" si="106"/>
        <v>#N/A</v>
      </c>
    </row>
    <row r="6565" spans="1:5">
      <c r="A6565" s="64"/>
      <c r="E6565" t="e">
        <f t="shared" si="106"/>
        <v>#N/A</v>
      </c>
    </row>
    <row r="6566" spans="1:5">
      <c r="A6566" s="64"/>
      <c r="E6566" t="e">
        <f t="shared" si="106"/>
        <v>#N/A</v>
      </c>
    </row>
    <row r="6567" spans="1:5">
      <c r="A6567" s="64"/>
      <c r="E6567" t="e">
        <f t="shared" si="106"/>
        <v>#N/A</v>
      </c>
    </row>
    <row r="6568" spans="1:5">
      <c r="A6568" s="64"/>
      <c r="E6568" t="e">
        <f t="shared" si="106"/>
        <v>#N/A</v>
      </c>
    </row>
    <row r="6569" spans="1:5">
      <c r="A6569" s="64"/>
      <c r="E6569" t="e">
        <f t="shared" si="106"/>
        <v>#N/A</v>
      </c>
    </row>
    <row r="6570" spans="1:5">
      <c r="A6570" s="64"/>
      <c r="E6570" t="e">
        <f t="shared" si="106"/>
        <v>#N/A</v>
      </c>
    </row>
    <row r="6571" spans="1:5">
      <c r="A6571" s="64"/>
      <c r="E6571" t="e">
        <f t="shared" si="106"/>
        <v>#N/A</v>
      </c>
    </row>
    <row r="6572" spans="1:5">
      <c r="A6572" s="64"/>
      <c r="E6572" t="e">
        <f t="shared" si="106"/>
        <v>#N/A</v>
      </c>
    </row>
    <row r="6573" spans="1:5">
      <c r="A6573" s="64"/>
      <c r="E6573" t="e">
        <f t="shared" si="106"/>
        <v>#N/A</v>
      </c>
    </row>
    <row r="6574" spans="1:5">
      <c r="A6574" s="64"/>
      <c r="E6574" t="e">
        <f t="shared" si="106"/>
        <v>#N/A</v>
      </c>
    </row>
    <row r="6575" spans="1:5">
      <c r="A6575" s="64"/>
      <c r="E6575" t="e">
        <f t="shared" si="106"/>
        <v>#N/A</v>
      </c>
    </row>
    <row r="6576" spans="1:5">
      <c r="A6576" s="64"/>
      <c r="E6576" t="e">
        <f t="shared" si="106"/>
        <v>#N/A</v>
      </c>
    </row>
    <row r="6577" spans="1:5">
      <c r="A6577" s="64"/>
      <c r="E6577" t="e">
        <f t="shared" si="106"/>
        <v>#N/A</v>
      </c>
    </row>
    <row r="6578" spans="1:5">
      <c r="A6578" s="64"/>
      <c r="E6578" t="e">
        <f t="shared" si="106"/>
        <v>#N/A</v>
      </c>
    </row>
    <row r="6579" spans="1:5">
      <c r="A6579" s="64"/>
      <c r="E6579" t="e">
        <f t="shared" si="106"/>
        <v>#N/A</v>
      </c>
    </row>
    <row r="6580" spans="1:5">
      <c r="A6580" s="64"/>
      <c r="E6580" t="e">
        <f t="shared" si="106"/>
        <v>#N/A</v>
      </c>
    </row>
    <row r="6581" spans="1:5">
      <c r="A6581" s="64"/>
      <c r="E6581" t="e">
        <f t="shared" si="106"/>
        <v>#N/A</v>
      </c>
    </row>
    <row r="6582" spans="1:5">
      <c r="A6582" s="64"/>
      <c r="E6582" t="e">
        <f t="shared" si="106"/>
        <v>#N/A</v>
      </c>
    </row>
    <row r="6583" spans="1:5">
      <c r="A6583" s="64"/>
      <c r="E6583" t="e">
        <f t="shared" si="106"/>
        <v>#N/A</v>
      </c>
    </row>
    <row r="6584" spans="1:5">
      <c r="A6584" s="64"/>
      <c r="E6584" t="e">
        <f t="shared" si="106"/>
        <v>#N/A</v>
      </c>
    </row>
    <row r="6585" spans="1:5">
      <c r="A6585" s="64"/>
      <c r="E6585" t="e">
        <f t="shared" si="106"/>
        <v>#N/A</v>
      </c>
    </row>
    <row r="6586" spans="1:5">
      <c r="A6586" s="64"/>
      <c r="E6586" t="e">
        <f t="shared" si="106"/>
        <v>#N/A</v>
      </c>
    </row>
    <row r="6587" spans="1:5">
      <c r="A6587" s="64"/>
      <c r="E6587" t="e">
        <f t="shared" si="106"/>
        <v>#N/A</v>
      </c>
    </row>
    <row r="6588" spans="1:5">
      <c r="A6588" s="64"/>
      <c r="E6588" t="e">
        <f t="shared" si="106"/>
        <v>#N/A</v>
      </c>
    </row>
    <row r="6589" spans="1:5">
      <c r="A6589" s="64"/>
      <c r="E6589" t="e">
        <f t="shared" si="106"/>
        <v>#N/A</v>
      </c>
    </row>
    <row r="6590" spans="1:5">
      <c r="A6590" s="64"/>
      <c r="E6590" t="e">
        <f t="shared" si="106"/>
        <v>#N/A</v>
      </c>
    </row>
    <row r="6591" spans="1:5">
      <c r="A6591" s="64"/>
      <c r="E6591" t="e">
        <f t="shared" si="106"/>
        <v>#N/A</v>
      </c>
    </row>
    <row r="6592" spans="1:5">
      <c r="A6592" s="64"/>
      <c r="E6592" t="e">
        <f t="shared" si="106"/>
        <v>#N/A</v>
      </c>
    </row>
    <row r="6593" spans="1:5">
      <c r="A6593" s="64"/>
      <c r="E6593" t="e">
        <f t="shared" si="106"/>
        <v>#N/A</v>
      </c>
    </row>
    <row r="6594" spans="1:5">
      <c r="A6594" s="64"/>
      <c r="E6594" t="e">
        <f t="shared" si="106"/>
        <v>#N/A</v>
      </c>
    </row>
    <row r="6595" spans="1:5">
      <c r="A6595" s="64"/>
      <c r="E6595" t="e">
        <f t="shared" si="106"/>
        <v>#N/A</v>
      </c>
    </row>
    <row r="6596" spans="1:5">
      <c r="A6596" s="64"/>
      <c r="E6596" t="e">
        <f t="shared" si="106"/>
        <v>#N/A</v>
      </c>
    </row>
    <row r="6597" spans="1:5">
      <c r="A6597" s="64"/>
      <c r="E6597" t="e">
        <f t="shared" si="106"/>
        <v>#N/A</v>
      </c>
    </row>
    <row r="6598" spans="1:5">
      <c r="A6598" s="64"/>
      <c r="E6598" t="e">
        <f t="shared" si="106"/>
        <v>#N/A</v>
      </c>
    </row>
    <row r="6599" spans="1:5">
      <c r="A6599" s="64"/>
      <c r="E6599" t="e">
        <f t="shared" si="106"/>
        <v>#N/A</v>
      </c>
    </row>
    <row r="6600" spans="1:5">
      <c r="A6600" s="64"/>
      <c r="E6600" t="e">
        <f t="shared" si="106"/>
        <v>#N/A</v>
      </c>
    </row>
    <row r="6601" spans="1:5">
      <c r="A6601" s="64"/>
      <c r="E6601" t="e">
        <f t="shared" si="106"/>
        <v>#N/A</v>
      </c>
    </row>
    <row r="6602" spans="1:5">
      <c r="A6602" s="64"/>
      <c r="E6602" t="e">
        <f t="shared" si="106"/>
        <v>#N/A</v>
      </c>
    </row>
    <row r="6603" spans="1:5">
      <c r="A6603" s="64"/>
      <c r="E6603" t="e">
        <f t="shared" si="106"/>
        <v>#N/A</v>
      </c>
    </row>
    <row r="6604" spans="1:5">
      <c r="A6604" s="64"/>
      <c r="E6604" t="e">
        <f t="shared" si="106"/>
        <v>#N/A</v>
      </c>
    </row>
    <row r="6605" spans="1:5">
      <c r="A6605" s="64"/>
      <c r="E6605" t="e">
        <f t="shared" ref="E6605:E6668" si="107">VLOOKUP(B6605,$Q$14:$R$62,2,FALSE)</f>
        <v>#N/A</v>
      </c>
    </row>
    <row r="6606" spans="1:5">
      <c r="A6606" s="64"/>
      <c r="E6606" t="e">
        <f t="shared" si="107"/>
        <v>#N/A</v>
      </c>
    </row>
    <row r="6607" spans="1:5">
      <c r="A6607" s="64"/>
      <c r="E6607" t="e">
        <f t="shared" si="107"/>
        <v>#N/A</v>
      </c>
    </row>
    <row r="6608" spans="1:5">
      <c r="A6608" s="64"/>
      <c r="E6608" t="e">
        <f t="shared" si="107"/>
        <v>#N/A</v>
      </c>
    </row>
    <row r="6609" spans="1:5">
      <c r="A6609" s="64"/>
      <c r="E6609" t="e">
        <f t="shared" si="107"/>
        <v>#N/A</v>
      </c>
    </row>
    <row r="6610" spans="1:5">
      <c r="A6610" s="64"/>
      <c r="E6610" t="e">
        <f t="shared" si="107"/>
        <v>#N/A</v>
      </c>
    </row>
    <row r="6611" spans="1:5">
      <c r="A6611" s="64"/>
      <c r="E6611" t="e">
        <f t="shared" si="107"/>
        <v>#N/A</v>
      </c>
    </row>
    <row r="6612" spans="1:5">
      <c r="A6612" s="64"/>
      <c r="E6612" t="e">
        <f t="shared" si="107"/>
        <v>#N/A</v>
      </c>
    </row>
    <row r="6613" spans="1:5">
      <c r="A6613" s="64"/>
      <c r="E6613" t="e">
        <f t="shared" si="107"/>
        <v>#N/A</v>
      </c>
    </row>
    <row r="6614" spans="1:5">
      <c r="A6614" s="64"/>
      <c r="E6614" t="e">
        <f t="shared" si="107"/>
        <v>#N/A</v>
      </c>
    </row>
    <row r="6615" spans="1:5">
      <c r="A6615" s="64"/>
      <c r="E6615" t="e">
        <f t="shared" si="107"/>
        <v>#N/A</v>
      </c>
    </row>
    <row r="6616" spans="1:5">
      <c r="A6616" s="64"/>
      <c r="E6616" t="e">
        <f t="shared" si="107"/>
        <v>#N/A</v>
      </c>
    </row>
    <row r="6617" spans="1:5">
      <c r="A6617" s="64"/>
      <c r="E6617" t="e">
        <f t="shared" si="107"/>
        <v>#N/A</v>
      </c>
    </row>
    <row r="6618" spans="1:5">
      <c r="A6618" s="64"/>
      <c r="E6618" t="e">
        <f t="shared" si="107"/>
        <v>#N/A</v>
      </c>
    </row>
    <row r="6619" spans="1:5">
      <c r="A6619" s="64"/>
      <c r="E6619" t="e">
        <f t="shared" si="107"/>
        <v>#N/A</v>
      </c>
    </row>
    <row r="6620" spans="1:5">
      <c r="A6620" s="64"/>
      <c r="E6620" t="e">
        <f t="shared" si="107"/>
        <v>#N/A</v>
      </c>
    </row>
    <row r="6621" spans="1:5">
      <c r="A6621" s="64"/>
      <c r="E6621" t="e">
        <f t="shared" si="107"/>
        <v>#N/A</v>
      </c>
    </row>
    <row r="6622" spans="1:5">
      <c r="A6622" s="64"/>
      <c r="E6622" t="e">
        <f t="shared" si="107"/>
        <v>#N/A</v>
      </c>
    </row>
    <row r="6623" spans="1:5">
      <c r="A6623" s="64"/>
      <c r="E6623" t="e">
        <f t="shared" si="107"/>
        <v>#N/A</v>
      </c>
    </row>
    <row r="6624" spans="1:5">
      <c r="A6624" s="64"/>
      <c r="E6624" t="e">
        <f t="shared" si="107"/>
        <v>#N/A</v>
      </c>
    </row>
    <row r="6625" spans="1:5">
      <c r="A6625" s="64"/>
      <c r="E6625" t="e">
        <f t="shared" si="107"/>
        <v>#N/A</v>
      </c>
    </row>
    <row r="6626" spans="1:5">
      <c r="A6626" s="64"/>
      <c r="E6626" t="e">
        <f t="shared" si="107"/>
        <v>#N/A</v>
      </c>
    </row>
    <row r="6627" spans="1:5">
      <c r="A6627" s="64"/>
      <c r="E6627" t="e">
        <f t="shared" si="107"/>
        <v>#N/A</v>
      </c>
    </row>
    <row r="6628" spans="1:5">
      <c r="A6628" s="64"/>
      <c r="E6628" t="e">
        <f t="shared" si="107"/>
        <v>#N/A</v>
      </c>
    </row>
    <row r="6629" spans="1:5">
      <c r="A6629" s="64"/>
      <c r="E6629" t="e">
        <f t="shared" si="107"/>
        <v>#N/A</v>
      </c>
    </row>
    <row r="6630" spans="1:5">
      <c r="A6630" s="64"/>
      <c r="E6630" t="e">
        <f t="shared" si="107"/>
        <v>#N/A</v>
      </c>
    </row>
    <row r="6631" spans="1:5">
      <c r="A6631" s="64"/>
      <c r="E6631" t="e">
        <f t="shared" si="107"/>
        <v>#N/A</v>
      </c>
    </row>
    <row r="6632" spans="1:5">
      <c r="A6632" s="64"/>
      <c r="E6632" t="e">
        <f t="shared" si="107"/>
        <v>#N/A</v>
      </c>
    </row>
    <row r="6633" spans="1:5">
      <c r="A6633" s="64"/>
      <c r="E6633" t="e">
        <f t="shared" si="107"/>
        <v>#N/A</v>
      </c>
    </row>
    <row r="6634" spans="1:5">
      <c r="A6634" s="64"/>
      <c r="E6634" t="e">
        <f t="shared" si="107"/>
        <v>#N/A</v>
      </c>
    </row>
    <row r="6635" spans="1:5">
      <c r="A6635" s="64"/>
      <c r="E6635" t="e">
        <f t="shared" si="107"/>
        <v>#N/A</v>
      </c>
    </row>
    <row r="6636" spans="1:5">
      <c r="A6636" s="64"/>
      <c r="E6636" t="e">
        <f t="shared" si="107"/>
        <v>#N/A</v>
      </c>
    </row>
    <row r="6637" spans="1:5">
      <c r="A6637" s="64"/>
      <c r="E6637" t="e">
        <f t="shared" si="107"/>
        <v>#N/A</v>
      </c>
    </row>
    <row r="6638" spans="1:5">
      <c r="A6638" s="64"/>
      <c r="E6638" t="e">
        <f t="shared" si="107"/>
        <v>#N/A</v>
      </c>
    </row>
    <row r="6639" spans="1:5">
      <c r="A6639" s="64"/>
      <c r="E6639" t="e">
        <f t="shared" si="107"/>
        <v>#N/A</v>
      </c>
    </row>
    <row r="6640" spans="1:5">
      <c r="A6640" s="64"/>
      <c r="E6640" t="e">
        <f t="shared" si="107"/>
        <v>#N/A</v>
      </c>
    </row>
    <row r="6641" spans="1:5">
      <c r="A6641" s="64"/>
      <c r="E6641" t="e">
        <f t="shared" si="107"/>
        <v>#N/A</v>
      </c>
    </row>
    <row r="6642" spans="1:5">
      <c r="A6642" s="64"/>
      <c r="E6642" t="e">
        <f t="shared" si="107"/>
        <v>#N/A</v>
      </c>
    </row>
    <row r="6643" spans="1:5">
      <c r="A6643" s="64"/>
      <c r="E6643" t="e">
        <f t="shared" si="107"/>
        <v>#N/A</v>
      </c>
    </row>
    <row r="6644" spans="1:5">
      <c r="A6644" s="64"/>
      <c r="E6644" t="e">
        <f t="shared" si="107"/>
        <v>#N/A</v>
      </c>
    </row>
    <row r="6645" spans="1:5">
      <c r="A6645" s="64"/>
      <c r="E6645" t="e">
        <f t="shared" si="107"/>
        <v>#N/A</v>
      </c>
    </row>
    <row r="6646" spans="1:5">
      <c r="A6646" s="64"/>
      <c r="E6646" t="e">
        <f t="shared" si="107"/>
        <v>#N/A</v>
      </c>
    </row>
    <row r="6647" spans="1:5">
      <c r="A6647" s="64"/>
      <c r="E6647" t="e">
        <f t="shared" si="107"/>
        <v>#N/A</v>
      </c>
    </row>
    <row r="6648" spans="1:5">
      <c r="A6648" s="64"/>
      <c r="E6648" t="e">
        <f t="shared" si="107"/>
        <v>#N/A</v>
      </c>
    </row>
    <row r="6649" spans="1:5">
      <c r="A6649" s="64"/>
      <c r="E6649" t="e">
        <f t="shared" si="107"/>
        <v>#N/A</v>
      </c>
    </row>
    <row r="6650" spans="1:5">
      <c r="A6650" s="64"/>
      <c r="E6650" t="e">
        <f t="shared" si="107"/>
        <v>#N/A</v>
      </c>
    </row>
    <row r="6651" spans="1:5">
      <c r="A6651" s="64"/>
      <c r="E6651" t="e">
        <f t="shared" si="107"/>
        <v>#N/A</v>
      </c>
    </row>
    <row r="6652" spans="1:5">
      <c r="A6652" s="64"/>
      <c r="E6652" t="e">
        <f t="shared" si="107"/>
        <v>#N/A</v>
      </c>
    </row>
    <row r="6653" spans="1:5">
      <c r="A6653" s="64"/>
      <c r="E6653" t="e">
        <f t="shared" si="107"/>
        <v>#N/A</v>
      </c>
    </row>
    <row r="6654" spans="1:5">
      <c r="A6654" s="64"/>
      <c r="E6654" t="e">
        <f t="shared" si="107"/>
        <v>#N/A</v>
      </c>
    </row>
    <row r="6655" spans="1:5">
      <c r="A6655" s="64"/>
      <c r="E6655" t="e">
        <f t="shared" si="107"/>
        <v>#N/A</v>
      </c>
    </row>
    <row r="6656" spans="1:5">
      <c r="A6656" s="64"/>
      <c r="E6656" t="e">
        <f t="shared" si="107"/>
        <v>#N/A</v>
      </c>
    </row>
    <row r="6657" spans="1:5">
      <c r="A6657" s="64"/>
      <c r="E6657" t="e">
        <f t="shared" si="107"/>
        <v>#N/A</v>
      </c>
    </row>
    <row r="6658" spans="1:5">
      <c r="A6658" s="64"/>
      <c r="E6658" t="e">
        <f t="shared" si="107"/>
        <v>#N/A</v>
      </c>
    </row>
    <row r="6659" spans="1:5">
      <c r="A6659" s="64"/>
      <c r="E6659" t="e">
        <f t="shared" si="107"/>
        <v>#N/A</v>
      </c>
    </row>
    <row r="6660" spans="1:5">
      <c r="A6660" s="64"/>
      <c r="E6660" t="e">
        <f t="shared" si="107"/>
        <v>#N/A</v>
      </c>
    </row>
    <row r="6661" spans="1:5">
      <c r="A6661" s="64"/>
      <c r="E6661" t="e">
        <f t="shared" si="107"/>
        <v>#N/A</v>
      </c>
    </row>
    <row r="6662" spans="1:5">
      <c r="A6662" s="64"/>
      <c r="E6662" t="e">
        <f t="shared" si="107"/>
        <v>#N/A</v>
      </c>
    </row>
    <row r="6663" spans="1:5">
      <c r="A6663" s="64"/>
      <c r="E6663" t="e">
        <f t="shared" si="107"/>
        <v>#N/A</v>
      </c>
    </row>
    <row r="6664" spans="1:5">
      <c r="A6664" s="64"/>
      <c r="E6664" t="e">
        <f t="shared" si="107"/>
        <v>#N/A</v>
      </c>
    </row>
    <row r="6665" spans="1:5">
      <c r="A6665" s="64"/>
      <c r="E6665" t="e">
        <f t="shared" si="107"/>
        <v>#N/A</v>
      </c>
    </row>
    <row r="6666" spans="1:5">
      <c r="A6666" s="64"/>
      <c r="E6666" t="e">
        <f t="shared" si="107"/>
        <v>#N/A</v>
      </c>
    </row>
    <row r="6667" spans="1:5">
      <c r="A6667" s="64"/>
      <c r="E6667" t="e">
        <f t="shared" si="107"/>
        <v>#N/A</v>
      </c>
    </row>
    <row r="6668" spans="1:5">
      <c r="A6668" s="64"/>
      <c r="E6668" t="e">
        <f t="shared" si="107"/>
        <v>#N/A</v>
      </c>
    </row>
    <row r="6669" spans="1:5">
      <c r="A6669" s="64"/>
      <c r="E6669" t="e">
        <f t="shared" ref="E6669:E6732" si="108">VLOOKUP(B6669,$Q$14:$R$62,2,FALSE)</f>
        <v>#N/A</v>
      </c>
    </row>
    <row r="6670" spans="1:5">
      <c r="A6670" s="64"/>
      <c r="E6670" t="e">
        <f t="shared" si="108"/>
        <v>#N/A</v>
      </c>
    </row>
    <row r="6671" spans="1:5">
      <c r="A6671" s="64"/>
      <c r="E6671" t="e">
        <f t="shared" si="108"/>
        <v>#N/A</v>
      </c>
    </row>
    <row r="6672" spans="1:5">
      <c r="A6672" s="64"/>
      <c r="E6672" t="e">
        <f t="shared" si="108"/>
        <v>#N/A</v>
      </c>
    </row>
    <row r="6673" spans="1:5">
      <c r="A6673" s="64"/>
      <c r="E6673" t="e">
        <f t="shared" si="108"/>
        <v>#N/A</v>
      </c>
    </row>
    <row r="6674" spans="1:5">
      <c r="A6674" s="64"/>
      <c r="E6674" t="e">
        <f t="shared" si="108"/>
        <v>#N/A</v>
      </c>
    </row>
    <row r="6675" spans="1:5">
      <c r="A6675" s="64"/>
      <c r="E6675" t="e">
        <f t="shared" si="108"/>
        <v>#N/A</v>
      </c>
    </row>
    <row r="6676" spans="1:5">
      <c r="A6676" s="64"/>
      <c r="E6676" t="e">
        <f t="shared" si="108"/>
        <v>#N/A</v>
      </c>
    </row>
    <row r="6677" spans="1:5">
      <c r="A6677" s="64"/>
      <c r="E6677" t="e">
        <f t="shared" si="108"/>
        <v>#N/A</v>
      </c>
    </row>
    <row r="6678" spans="1:5">
      <c r="A6678" s="64"/>
      <c r="E6678" t="e">
        <f t="shared" si="108"/>
        <v>#N/A</v>
      </c>
    </row>
    <row r="6679" spans="1:5">
      <c r="A6679" s="64"/>
      <c r="E6679" t="e">
        <f t="shared" si="108"/>
        <v>#N/A</v>
      </c>
    </row>
    <row r="6680" spans="1:5">
      <c r="A6680" s="64"/>
      <c r="E6680" t="e">
        <f t="shared" si="108"/>
        <v>#N/A</v>
      </c>
    </row>
    <row r="6681" spans="1:5">
      <c r="A6681" s="64"/>
      <c r="E6681" t="e">
        <f t="shared" si="108"/>
        <v>#N/A</v>
      </c>
    </row>
    <row r="6682" spans="1:5">
      <c r="A6682" s="64"/>
      <c r="E6682" t="e">
        <f t="shared" si="108"/>
        <v>#N/A</v>
      </c>
    </row>
    <row r="6683" spans="1:5">
      <c r="A6683" s="64"/>
      <c r="E6683" t="e">
        <f t="shared" si="108"/>
        <v>#N/A</v>
      </c>
    </row>
    <row r="6684" spans="1:5">
      <c r="A6684" s="64"/>
      <c r="E6684" t="e">
        <f t="shared" si="108"/>
        <v>#N/A</v>
      </c>
    </row>
    <row r="6685" spans="1:5">
      <c r="A6685" s="64"/>
      <c r="E6685" t="e">
        <f t="shared" si="108"/>
        <v>#N/A</v>
      </c>
    </row>
    <row r="6686" spans="1:5">
      <c r="A6686" s="64"/>
      <c r="E6686" t="e">
        <f t="shared" si="108"/>
        <v>#N/A</v>
      </c>
    </row>
    <row r="6687" spans="1:5">
      <c r="A6687" s="64"/>
      <c r="E6687" t="e">
        <f t="shared" si="108"/>
        <v>#N/A</v>
      </c>
    </row>
    <row r="6688" spans="1:5">
      <c r="A6688" s="64"/>
      <c r="E6688" t="e">
        <f t="shared" si="108"/>
        <v>#N/A</v>
      </c>
    </row>
    <row r="6689" spans="1:5">
      <c r="A6689" s="64"/>
      <c r="E6689" t="e">
        <f t="shared" si="108"/>
        <v>#N/A</v>
      </c>
    </row>
    <row r="6690" spans="1:5">
      <c r="A6690" s="64"/>
      <c r="E6690" t="e">
        <f t="shared" si="108"/>
        <v>#N/A</v>
      </c>
    </row>
    <row r="6691" spans="1:5">
      <c r="A6691" s="64"/>
      <c r="E6691" t="e">
        <f t="shared" si="108"/>
        <v>#N/A</v>
      </c>
    </row>
    <row r="6692" spans="1:5">
      <c r="A6692" s="64"/>
      <c r="E6692" t="e">
        <f t="shared" si="108"/>
        <v>#N/A</v>
      </c>
    </row>
    <row r="6693" spans="1:5">
      <c r="A6693" s="64"/>
      <c r="E6693" t="e">
        <f t="shared" si="108"/>
        <v>#N/A</v>
      </c>
    </row>
    <row r="6694" spans="1:5">
      <c r="A6694" s="64"/>
      <c r="E6694" t="e">
        <f t="shared" si="108"/>
        <v>#N/A</v>
      </c>
    </row>
    <row r="6695" spans="1:5">
      <c r="A6695" s="64"/>
      <c r="E6695" t="e">
        <f t="shared" si="108"/>
        <v>#N/A</v>
      </c>
    </row>
    <row r="6696" spans="1:5">
      <c r="A6696" s="64"/>
      <c r="E6696" t="e">
        <f t="shared" si="108"/>
        <v>#N/A</v>
      </c>
    </row>
    <row r="6697" spans="1:5">
      <c r="A6697" s="64"/>
      <c r="E6697" t="e">
        <f t="shared" si="108"/>
        <v>#N/A</v>
      </c>
    </row>
    <row r="6698" spans="1:5">
      <c r="A6698" s="64"/>
      <c r="E6698" t="e">
        <f t="shared" si="108"/>
        <v>#N/A</v>
      </c>
    </row>
    <row r="6699" spans="1:5">
      <c r="A6699" s="64"/>
      <c r="E6699" t="e">
        <f t="shared" si="108"/>
        <v>#N/A</v>
      </c>
    </row>
    <row r="6700" spans="1:5">
      <c r="A6700" s="64"/>
      <c r="E6700" t="e">
        <f t="shared" si="108"/>
        <v>#N/A</v>
      </c>
    </row>
    <row r="6701" spans="1:5">
      <c r="A6701" s="64"/>
      <c r="E6701" t="e">
        <f t="shared" si="108"/>
        <v>#N/A</v>
      </c>
    </row>
    <row r="6702" spans="1:5">
      <c r="A6702" s="64"/>
      <c r="E6702" t="e">
        <f t="shared" si="108"/>
        <v>#N/A</v>
      </c>
    </row>
    <row r="6703" spans="1:5">
      <c r="A6703" s="64"/>
      <c r="E6703" t="e">
        <f t="shared" si="108"/>
        <v>#N/A</v>
      </c>
    </row>
    <row r="6704" spans="1:5">
      <c r="A6704" s="64"/>
      <c r="E6704" t="e">
        <f t="shared" si="108"/>
        <v>#N/A</v>
      </c>
    </row>
    <row r="6705" spans="1:5">
      <c r="A6705" s="64"/>
      <c r="E6705" t="e">
        <f t="shared" si="108"/>
        <v>#N/A</v>
      </c>
    </row>
    <row r="6706" spans="1:5">
      <c r="A6706" s="64"/>
      <c r="E6706" t="e">
        <f t="shared" si="108"/>
        <v>#N/A</v>
      </c>
    </row>
    <row r="6707" spans="1:5">
      <c r="A6707" s="64"/>
      <c r="E6707" t="e">
        <f t="shared" si="108"/>
        <v>#N/A</v>
      </c>
    </row>
    <row r="6708" spans="1:5">
      <c r="A6708" s="64"/>
      <c r="E6708" t="e">
        <f t="shared" si="108"/>
        <v>#N/A</v>
      </c>
    </row>
    <row r="6709" spans="1:5">
      <c r="A6709" s="64"/>
      <c r="E6709" t="e">
        <f t="shared" si="108"/>
        <v>#N/A</v>
      </c>
    </row>
    <row r="6710" spans="1:5">
      <c r="A6710" s="64"/>
      <c r="E6710" t="e">
        <f t="shared" si="108"/>
        <v>#N/A</v>
      </c>
    </row>
    <row r="6711" spans="1:5">
      <c r="A6711" s="64"/>
      <c r="E6711" t="e">
        <f t="shared" si="108"/>
        <v>#N/A</v>
      </c>
    </row>
    <row r="6712" spans="1:5">
      <c r="A6712" s="64"/>
      <c r="E6712" t="e">
        <f t="shared" si="108"/>
        <v>#N/A</v>
      </c>
    </row>
    <row r="6713" spans="1:5">
      <c r="A6713" s="64"/>
      <c r="E6713" t="e">
        <f t="shared" si="108"/>
        <v>#N/A</v>
      </c>
    </row>
    <row r="6714" spans="1:5">
      <c r="A6714" s="64"/>
      <c r="E6714" t="e">
        <f t="shared" si="108"/>
        <v>#N/A</v>
      </c>
    </row>
    <row r="6715" spans="1:5">
      <c r="A6715" s="64"/>
      <c r="E6715" t="e">
        <f t="shared" si="108"/>
        <v>#N/A</v>
      </c>
    </row>
    <row r="6716" spans="1:5">
      <c r="A6716" s="64"/>
      <c r="E6716" t="e">
        <f t="shared" si="108"/>
        <v>#N/A</v>
      </c>
    </row>
    <row r="6717" spans="1:5">
      <c r="A6717" s="64"/>
      <c r="E6717" t="e">
        <f t="shared" si="108"/>
        <v>#N/A</v>
      </c>
    </row>
    <row r="6718" spans="1:5">
      <c r="A6718" s="64"/>
      <c r="E6718" t="e">
        <f t="shared" si="108"/>
        <v>#N/A</v>
      </c>
    </row>
    <row r="6719" spans="1:5">
      <c r="A6719" s="64"/>
      <c r="E6719" t="e">
        <f t="shared" si="108"/>
        <v>#N/A</v>
      </c>
    </row>
    <row r="6720" spans="1:5">
      <c r="A6720" s="64"/>
      <c r="E6720" t="e">
        <f t="shared" si="108"/>
        <v>#N/A</v>
      </c>
    </row>
    <row r="6721" spans="1:5">
      <c r="A6721" s="64"/>
      <c r="E6721" t="e">
        <f t="shared" si="108"/>
        <v>#N/A</v>
      </c>
    </row>
    <row r="6722" spans="1:5">
      <c r="A6722" s="64"/>
      <c r="E6722" t="e">
        <f t="shared" si="108"/>
        <v>#N/A</v>
      </c>
    </row>
    <row r="6723" spans="1:5">
      <c r="A6723" s="64"/>
      <c r="E6723" t="e">
        <f t="shared" si="108"/>
        <v>#N/A</v>
      </c>
    </row>
    <row r="6724" spans="1:5">
      <c r="A6724" s="64"/>
      <c r="E6724" t="e">
        <f t="shared" si="108"/>
        <v>#N/A</v>
      </c>
    </row>
    <row r="6725" spans="1:5">
      <c r="A6725" s="64"/>
      <c r="E6725" t="e">
        <f t="shared" si="108"/>
        <v>#N/A</v>
      </c>
    </row>
    <row r="6726" spans="1:5">
      <c r="A6726" s="64"/>
      <c r="E6726" t="e">
        <f t="shared" si="108"/>
        <v>#N/A</v>
      </c>
    </row>
    <row r="6727" spans="1:5">
      <c r="A6727" s="64"/>
      <c r="E6727" t="e">
        <f t="shared" si="108"/>
        <v>#N/A</v>
      </c>
    </row>
    <row r="6728" spans="1:5">
      <c r="A6728" s="64"/>
      <c r="E6728" t="e">
        <f t="shared" si="108"/>
        <v>#N/A</v>
      </c>
    </row>
    <row r="6729" spans="1:5">
      <c r="A6729" s="64"/>
      <c r="E6729" t="e">
        <f t="shared" si="108"/>
        <v>#N/A</v>
      </c>
    </row>
    <row r="6730" spans="1:5">
      <c r="A6730" s="64"/>
      <c r="E6730" t="e">
        <f t="shared" si="108"/>
        <v>#N/A</v>
      </c>
    </row>
    <row r="6731" spans="1:5">
      <c r="A6731" s="64"/>
      <c r="E6731" t="e">
        <f t="shared" si="108"/>
        <v>#N/A</v>
      </c>
    </row>
    <row r="6732" spans="1:5">
      <c r="A6732" s="64"/>
      <c r="E6732" t="e">
        <f t="shared" si="108"/>
        <v>#N/A</v>
      </c>
    </row>
    <row r="6733" spans="1:5">
      <c r="A6733" s="64"/>
      <c r="E6733" t="e">
        <f t="shared" ref="E6733:E6796" si="109">VLOOKUP(B6733,$Q$14:$R$62,2,FALSE)</f>
        <v>#N/A</v>
      </c>
    </row>
    <row r="6734" spans="1:5">
      <c r="A6734" s="64"/>
      <c r="E6734" t="e">
        <f t="shared" si="109"/>
        <v>#N/A</v>
      </c>
    </row>
    <row r="6735" spans="1:5">
      <c r="A6735" s="64"/>
      <c r="E6735" t="e">
        <f t="shared" si="109"/>
        <v>#N/A</v>
      </c>
    </row>
    <row r="6736" spans="1:5">
      <c r="A6736" s="64"/>
      <c r="E6736" t="e">
        <f t="shared" si="109"/>
        <v>#N/A</v>
      </c>
    </row>
    <row r="6737" spans="1:5">
      <c r="A6737" s="64"/>
      <c r="E6737" t="e">
        <f t="shared" si="109"/>
        <v>#N/A</v>
      </c>
    </row>
    <row r="6738" spans="1:5">
      <c r="A6738" s="64"/>
      <c r="E6738" t="e">
        <f t="shared" si="109"/>
        <v>#N/A</v>
      </c>
    </row>
    <row r="6739" spans="1:5">
      <c r="A6739" s="64"/>
      <c r="E6739" t="e">
        <f t="shared" si="109"/>
        <v>#N/A</v>
      </c>
    </row>
    <row r="6740" spans="1:5">
      <c r="A6740" s="64"/>
      <c r="E6740" t="e">
        <f t="shared" si="109"/>
        <v>#N/A</v>
      </c>
    </row>
    <row r="6741" spans="1:5">
      <c r="A6741" s="64"/>
      <c r="E6741" t="e">
        <f t="shared" si="109"/>
        <v>#N/A</v>
      </c>
    </row>
    <row r="6742" spans="1:5">
      <c r="A6742" s="64"/>
      <c r="E6742" t="e">
        <f t="shared" si="109"/>
        <v>#N/A</v>
      </c>
    </row>
    <row r="6743" spans="1:5">
      <c r="A6743" s="64"/>
      <c r="E6743" t="e">
        <f t="shared" si="109"/>
        <v>#N/A</v>
      </c>
    </row>
    <row r="6744" spans="1:5">
      <c r="A6744" s="64"/>
      <c r="E6744" t="e">
        <f t="shared" si="109"/>
        <v>#N/A</v>
      </c>
    </row>
    <row r="6745" spans="1:5">
      <c r="A6745" s="64"/>
      <c r="E6745" t="e">
        <f t="shared" si="109"/>
        <v>#N/A</v>
      </c>
    </row>
    <row r="6746" spans="1:5">
      <c r="A6746" s="64"/>
      <c r="E6746" t="e">
        <f t="shared" si="109"/>
        <v>#N/A</v>
      </c>
    </row>
    <row r="6747" spans="1:5">
      <c r="A6747" s="64"/>
      <c r="E6747" t="e">
        <f t="shared" si="109"/>
        <v>#N/A</v>
      </c>
    </row>
    <row r="6748" spans="1:5">
      <c r="A6748" s="64"/>
      <c r="E6748" t="e">
        <f t="shared" si="109"/>
        <v>#N/A</v>
      </c>
    </row>
    <row r="6749" spans="1:5">
      <c r="A6749" s="64"/>
      <c r="E6749" t="e">
        <f t="shared" si="109"/>
        <v>#N/A</v>
      </c>
    </row>
    <row r="6750" spans="1:5">
      <c r="A6750" s="64"/>
      <c r="E6750" t="e">
        <f t="shared" si="109"/>
        <v>#N/A</v>
      </c>
    </row>
    <row r="6751" spans="1:5">
      <c r="A6751" s="64"/>
      <c r="E6751" t="e">
        <f t="shared" si="109"/>
        <v>#N/A</v>
      </c>
    </row>
    <row r="6752" spans="1:5">
      <c r="A6752" s="64"/>
      <c r="E6752" t="e">
        <f t="shared" si="109"/>
        <v>#N/A</v>
      </c>
    </row>
    <row r="6753" spans="1:5">
      <c r="A6753" s="64"/>
      <c r="E6753" t="e">
        <f t="shared" si="109"/>
        <v>#N/A</v>
      </c>
    </row>
    <row r="6754" spans="1:5">
      <c r="A6754" s="64"/>
      <c r="E6754" t="e">
        <f t="shared" si="109"/>
        <v>#N/A</v>
      </c>
    </row>
    <row r="6755" spans="1:5">
      <c r="A6755" s="64"/>
      <c r="E6755" t="e">
        <f t="shared" si="109"/>
        <v>#N/A</v>
      </c>
    </row>
    <row r="6756" spans="1:5">
      <c r="A6756" s="64"/>
      <c r="E6756" t="e">
        <f t="shared" si="109"/>
        <v>#N/A</v>
      </c>
    </row>
    <row r="6757" spans="1:5">
      <c r="A6757" s="64"/>
      <c r="E6757" t="e">
        <f t="shared" si="109"/>
        <v>#N/A</v>
      </c>
    </row>
    <row r="6758" spans="1:5">
      <c r="A6758" s="64"/>
      <c r="E6758" t="e">
        <f t="shared" si="109"/>
        <v>#N/A</v>
      </c>
    </row>
    <row r="6759" spans="1:5">
      <c r="A6759" s="64"/>
      <c r="E6759" t="e">
        <f t="shared" si="109"/>
        <v>#N/A</v>
      </c>
    </row>
    <row r="6760" spans="1:5">
      <c r="A6760" s="64"/>
      <c r="E6760" t="e">
        <f t="shared" si="109"/>
        <v>#N/A</v>
      </c>
    </row>
    <row r="6761" spans="1:5">
      <c r="A6761" s="64"/>
      <c r="E6761" t="e">
        <f t="shared" si="109"/>
        <v>#N/A</v>
      </c>
    </row>
    <row r="6762" spans="1:5">
      <c r="A6762" s="64"/>
      <c r="E6762" t="e">
        <f t="shared" si="109"/>
        <v>#N/A</v>
      </c>
    </row>
    <row r="6763" spans="1:5">
      <c r="A6763" s="64"/>
      <c r="E6763" t="e">
        <f t="shared" si="109"/>
        <v>#N/A</v>
      </c>
    </row>
    <row r="6764" spans="1:5">
      <c r="A6764" s="64"/>
      <c r="E6764" t="e">
        <f t="shared" si="109"/>
        <v>#N/A</v>
      </c>
    </row>
    <row r="6765" spans="1:5">
      <c r="A6765" s="64"/>
      <c r="E6765" t="e">
        <f t="shared" si="109"/>
        <v>#N/A</v>
      </c>
    </row>
    <row r="6766" spans="1:5">
      <c r="A6766" s="64"/>
      <c r="E6766" t="e">
        <f t="shared" si="109"/>
        <v>#N/A</v>
      </c>
    </row>
    <row r="6767" spans="1:5">
      <c r="A6767" s="64"/>
      <c r="E6767" t="e">
        <f t="shared" si="109"/>
        <v>#N/A</v>
      </c>
    </row>
    <row r="6768" spans="1:5">
      <c r="A6768" s="64"/>
      <c r="E6768" t="e">
        <f t="shared" si="109"/>
        <v>#N/A</v>
      </c>
    </row>
    <row r="6769" spans="1:5">
      <c r="A6769" s="64"/>
      <c r="E6769" t="e">
        <f t="shared" si="109"/>
        <v>#N/A</v>
      </c>
    </row>
    <row r="6770" spans="1:5">
      <c r="A6770" s="64"/>
      <c r="E6770" t="e">
        <f t="shared" si="109"/>
        <v>#N/A</v>
      </c>
    </row>
    <row r="6771" spans="1:5">
      <c r="A6771" s="64"/>
      <c r="E6771" t="e">
        <f t="shared" si="109"/>
        <v>#N/A</v>
      </c>
    </row>
    <row r="6772" spans="1:5">
      <c r="A6772" s="64"/>
      <c r="E6772" t="e">
        <f t="shared" si="109"/>
        <v>#N/A</v>
      </c>
    </row>
    <row r="6773" spans="1:5">
      <c r="A6773" s="64"/>
      <c r="E6773" t="e">
        <f t="shared" si="109"/>
        <v>#N/A</v>
      </c>
    </row>
    <row r="6774" spans="1:5">
      <c r="A6774" s="64"/>
      <c r="E6774" t="e">
        <f t="shared" si="109"/>
        <v>#N/A</v>
      </c>
    </row>
    <row r="6775" spans="1:5">
      <c r="A6775" s="64"/>
      <c r="E6775" t="e">
        <f t="shared" si="109"/>
        <v>#N/A</v>
      </c>
    </row>
    <row r="6776" spans="1:5">
      <c r="A6776" s="64"/>
      <c r="E6776" t="e">
        <f t="shared" si="109"/>
        <v>#N/A</v>
      </c>
    </row>
    <row r="6777" spans="1:5">
      <c r="A6777" s="64"/>
      <c r="E6777" t="e">
        <f t="shared" si="109"/>
        <v>#N/A</v>
      </c>
    </row>
    <row r="6778" spans="1:5">
      <c r="A6778" s="64"/>
      <c r="E6778" t="e">
        <f t="shared" si="109"/>
        <v>#N/A</v>
      </c>
    </row>
    <row r="6779" spans="1:5">
      <c r="A6779" s="64"/>
      <c r="E6779" t="e">
        <f t="shared" si="109"/>
        <v>#N/A</v>
      </c>
    </row>
    <row r="6780" spans="1:5">
      <c r="A6780" s="64"/>
      <c r="E6780" t="e">
        <f t="shared" si="109"/>
        <v>#N/A</v>
      </c>
    </row>
    <row r="6781" spans="1:5">
      <c r="A6781" s="64"/>
      <c r="E6781" t="e">
        <f t="shared" si="109"/>
        <v>#N/A</v>
      </c>
    </row>
    <row r="6782" spans="1:5">
      <c r="A6782" s="64"/>
      <c r="E6782" t="e">
        <f t="shared" si="109"/>
        <v>#N/A</v>
      </c>
    </row>
    <row r="6783" spans="1:5">
      <c r="A6783" s="64"/>
      <c r="E6783" t="e">
        <f t="shared" si="109"/>
        <v>#N/A</v>
      </c>
    </row>
    <row r="6784" spans="1:5">
      <c r="A6784" s="64"/>
      <c r="E6784" t="e">
        <f t="shared" si="109"/>
        <v>#N/A</v>
      </c>
    </row>
    <row r="6785" spans="1:5">
      <c r="A6785" s="64"/>
      <c r="E6785" t="e">
        <f t="shared" si="109"/>
        <v>#N/A</v>
      </c>
    </row>
    <row r="6786" spans="1:5">
      <c r="A6786" s="64"/>
      <c r="E6786" t="e">
        <f t="shared" si="109"/>
        <v>#N/A</v>
      </c>
    </row>
    <row r="6787" spans="1:5">
      <c r="A6787" s="64"/>
      <c r="E6787" t="e">
        <f t="shared" si="109"/>
        <v>#N/A</v>
      </c>
    </row>
    <row r="6788" spans="1:5">
      <c r="A6788" s="64"/>
      <c r="E6788" t="e">
        <f t="shared" si="109"/>
        <v>#N/A</v>
      </c>
    </row>
    <row r="6789" spans="1:5">
      <c r="A6789" s="64"/>
      <c r="E6789" t="e">
        <f t="shared" si="109"/>
        <v>#N/A</v>
      </c>
    </row>
    <row r="6790" spans="1:5">
      <c r="A6790" s="64"/>
      <c r="E6790" t="e">
        <f t="shared" si="109"/>
        <v>#N/A</v>
      </c>
    </row>
    <row r="6791" spans="1:5">
      <c r="A6791" s="64"/>
      <c r="E6791" t="e">
        <f t="shared" si="109"/>
        <v>#N/A</v>
      </c>
    </row>
    <row r="6792" spans="1:5">
      <c r="A6792" s="64"/>
      <c r="E6792" t="e">
        <f t="shared" si="109"/>
        <v>#N/A</v>
      </c>
    </row>
    <row r="6793" spans="1:5">
      <c r="A6793" s="64"/>
      <c r="E6793" t="e">
        <f t="shared" si="109"/>
        <v>#N/A</v>
      </c>
    </row>
    <row r="6794" spans="1:5">
      <c r="A6794" s="64"/>
      <c r="E6794" t="e">
        <f t="shared" si="109"/>
        <v>#N/A</v>
      </c>
    </row>
    <row r="6795" spans="1:5">
      <c r="A6795" s="64"/>
      <c r="E6795" t="e">
        <f t="shared" si="109"/>
        <v>#N/A</v>
      </c>
    </row>
    <row r="6796" spans="1:5">
      <c r="A6796" s="64"/>
      <c r="E6796" t="e">
        <f t="shared" si="109"/>
        <v>#N/A</v>
      </c>
    </row>
    <row r="6797" spans="1:5">
      <c r="A6797" s="64"/>
      <c r="E6797" t="e">
        <f t="shared" ref="E6797:E6860" si="110">VLOOKUP(B6797,$Q$14:$R$62,2,FALSE)</f>
        <v>#N/A</v>
      </c>
    </row>
    <row r="6798" spans="1:5">
      <c r="A6798" s="64"/>
      <c r="E6798" t="e">
        <f t="shared" si="110"/>
        <v>#N/A</v>
      </c>
    </row>
    <row r="6799" spans="1:5">
      <c r="A6799" s="64"/>
      <c r="E6799" t="e">
        <f t="shared" si="110"/>
        <v>#N/A</v>
      </c>
    </row>
    <row r="6800" spans="1:5">
      <c r="A6800" s="64"/>
      <c r="E6800" t="e">
        <f t="shared" si="110"/>
        <v>#N/A</v>
      </c>
    </row>
    <row r="6801" spans="1:5">
      <c r="A6801" s="64"/>
      <c r="E6801" t="e">
        <f t="shared" si="110"/>
        <v>#N/A</v>
      </c>
    </row>
    <row r="6802" spans="1:5">
      <c r="A6802" s="64"/>
      <c r="E6802" t="e">
        <f t="shared" si="110"/>
        <v>#N/A</v>
      </c>
    </row>
    <row r="6803" spans="1:5">
      <c r="A6803" s="64"/>
      <c r="E6803" t="e">
        <f t="shared" si="110"/>
        <v>#N/A</v>
      </c>
    </row>
    <row r="6804" spans="1:5">
      <c r="A6804" s="64"/>
      <c r="E6804" t="e">
        <f t="shared" si="110"/>
        <v>#N/A</v>
      </c>
    </row>
    <row r="6805" spans="1:5">
      <c r="A6805" s="64"/>
      <c r="E6805" t="e">
        <f t="shared" si="110"/>
        <v>#N/A</v>
      </c>
    </row>
    <row r="6806" spans="1:5">
      <c r="A6806" s="64"/>
      <c r="E6806" t="e">
        <f t="shared" si="110"/>
        <v>#N/A</v>
      </c>
    </row>
    <row r="6807" spans="1:5">
      <c r="A6807" s="64"/>
      <c r="E6807" t="e">
        <f t="shared" si="110"/>
        <v>#N/A</v>
      </c>
    </row>
    <row r="6808" spans="1:5">
      <c r="A6808" s="64"/>
      <c r="E6808" t="e">
        <f t="shared" si="110"/>
        <v>#N/A</v>
      </c>
    </row>
    <row r="6809" spans="1:5">
      <c r="A6809" s="64"/>
      <c r="E6809" t="e">
        <f t="shared" si="110"/>
        <v>#N/A</v>
      </c>
    </row>
    <row r="6810" spans="1:5">
      <c r="A6810" s="64"/>
      <c r="E6810" t="e">
        <f t="shared" si="110"/>
        <v>#N/A</v>
      </c>
    </row>
    <row r="6811" spans="1:5">
      <c r="A6811" s="64"/>
      <c r="E6811" t="e">
        <f t="shared" si="110"/>
        <v>#N/A</v>
      </c>
    </row>
    <row r="6812" spans="1:5">
      <c r="A6812" s="64"/>
      <c r="E6812" t="e">
        <f t="shared" si="110"/>
        <v>#N/A</v>
      </c>
    </row>
    <row r="6813" spans="1:5">
      <c r="A6813" s="64"/>
      <c r="E6813" t="e">
        <f t="shared" si="110"/>
        <v>#N/A</v>
      </c>
    </row>
    <row r="6814" spans="1:5">
      <c r="A6814" s="64"/>
      <c r="E6814" t="e">
        <f t="shared" si="110"/>
        <v>#N/A</v>
      </c>
    </row>
    <row r="6815" spans="1:5">
      <c r="A6815" s="64"/>
      <c r="E6815" t="e">
        <f t="shared" si="110"/>
        <v>#N/A</v>
      </c>
    </row>
    <row r="6816" spans="1:5">
      <c r="A6816" s="64"/>
      <c r="E6816" t="e">
        <f t="shared" si="110"/>
        <v>#N/A</v>
      </c>
    </row>
    <row r="6817" spans="1:5">
      <c r="A6817" s="64"/>
      <c r="E6817" t="e">
        <f t="shared" si="110"/>
        <v>#N/A</v>
      </c>
    </row>
    <row r="6818" spans="1:5">
      <c r="A6818" s="64"/>
      <c r="E6818" t="e">
        <f t="shared" si="110"/>
        <v>#N/A</v>
      </c>
    </row>
    <row r="6819" spans="1:5">
      <c r="A6819" s="64"/>
      <c r="E6819" t="e">
        <f t="shared" si="110"/>
        <v>#N/A</v>
      </c>
    </row>
    <row r="6820" spans="1:5">
      <c r="A6820" s="64"/>
      <c r="E6820" t="e">
        <f t="shared" si="110"/>
        <v>#N/A</v>
      </c>
    </row>
    <row r="6821" spans="1:5">
      <c r="A6821" s="64"/>
      <c r="E6821" t="e">
        <f t="shared" si="110"/>
        <v>#N/A</v>
      </c>
    </row>
    <row r="6822" spans="1:5">
      <c r="A6822" s="64"/>
      <c r="E6822" t="e">
        <f t="shared" si="110"/>
        <v>#N/A</v>
      </c>
    </row>
    <row r="6823" spans="1:5">
      <c r="A6823" s="64"/>
      <c r="E6823" t="e">
        <f t="shared" si="110"/>
        <v>#N/A</v>
      </c>
    </row>
    <row r="6824" spans="1:5">
      <c r="A6824" s="64"/>
      <c r="E6824" t="e">
        <f t="shared" si="110"/>
        <v>#N/A</v>
      </c>
    </row>
    <row r="6825" spans="1:5">
      <c r="A6825" s="64"/>
      <c r="E6825" t="e">
        <f t="shared" si="110"/>
        <v>#N/A</v>
      </c>
    </row>
    <row r="6826" spans="1:5">
      <c r="A6826" s="64"/>
      <c r="E6826" t="e">
        <f t="shared" si="110"/>
        <v>#N/A</v>
      </c>
    </row>
    <row r="6827" spans="1:5">
      <c r="A6827" s="64"/>
      <c r="E6827" t="e">
        <f t="shared" si="110"/>
        <v>#N/A</v>
      </c>
    </row>
    <row r="6828" spans="1:5">
      <c r="A6828" s="64"/>
      <c r="E6828" t="e">
        <f t="shared" si="110"/>
        <v>#N/A</v>
      </c>
    </row>
    <row r="6829" spans="1:5">
      <c r="A6829" s="64"/>
      <c r="E6829" t="e">
        <f t="shared" si="110"/>
        <v>#N/A</v>
      </c>
    </row>
    <row r="6830" spans="1:5">
      <c r="A6830" s="64"/>
      <c r="E6830" t="e">
        <f t="shared" si="110"/>
        <v>#N/A</v>
      </c>
    </row>
    <row r="6831" spans="1:5">
      <c r="A6831" s="64"/>
      <c r="E6831" t="e">
        <f t="shared" si="110"/>
        <v>#N/A</v>
      </c>
    </row>
    <row r="6832" spans="1:5">
      <c r="A6832" s="64"/>
      <c r="E6832" t="e">
        <f t="shared" si="110"/>
        <v>#N/A</v>
      </c>
    </row>
    <row r="6833" spans="1:5">
      <c r="A6833" s="64"/>
      <c r="E6833" t="e">
        <f t="shared" si="110"/>
        <v>#N/A</v>
      </c>
    </row>
    <row r="6834" spans="1:5">
      <c r="A6834" s="64"/>
      <c r="E6834" t="e">
        <f t="shared" si="110"/>
        <v>#N/A</v>
      </c>
    </row>
    <row r="6835" spans="1:5">
      <c r="A6835" s="64"/>
      <c r="E6835" t="e">
        <f t="shared" si="110"/>
        <v>#N/A</v>
      </c>
    </row>
    <row r="6836" spans="1:5">
      <c r="A6836" s="64"/>
      <c r="E6836" t="e">
        <f t="shared" si="110"/>
        <v>#N/A</v>
      </c>
    </row>
    <row r="6837" spans="1:5">
      <c r="A6837" s="64"/>
      <c r="E6837" t="e">
        <f t="shared" si="110"/>
        <v>#N/A</v>
      </c>
    </row>
    <row r="6838" spans="1:5">
      <c r="A6838" s="64"/>
      <c r="E6838" t="e">
        <f t="shared" si="110"/>
        <v>#N/A</v>
      </c>
    </row>
    <row r="6839" spans="1:5">
      <c r="A6839" s="64"/>
      <c r="E6839" t="e">
        <f t="shared" si="110"/>
        <v>#N/A</v>
      </c>
    </row>
    <row r="6840" spans="1:5">
      <c r="A6840" s="64"/>
      <c r="E6840" t="e">
        <f t="shared" si="110"/>
        <v>#N/A</v>
      </c>
    </row>
    <row r="6841" spans="1:5">
      <c r="A6841" s="64"/>
      <c r="E6841" t="e">
        <f t="shared" si="110"/>
        <v>#N/A</v>
      </c>
    </row>
    <row r="6842" spans="1:5">
      <c r="A6842" s="64"/>
      <c r="E6842" t="e">
        <f t="shared" si="110"/>
        <v>#N/A</v>
      </c>
    </row>
    <row r="6843" spans="1:5">
      <c r="A6843" s="64"/>
      <c r="E6843" t="e">
        <f t="shared" si="110"/>
        <v>#N/A</v>
      </c>
    </row>
    <row r="6844" spans="1:5">
      <c r="A6844" s="64"/>
      <c r="E6844" t="e">
        <f t="shared" si="110"/>
        <v>#N/A</v>
      </c>
    </row>
    <row r="6845" spans="1:5">
      <c r="A6845" s="64"/>
      <c r="E6845" t="e">
        <f t="shared" si="110"/>
        <v>#N/A</v>
      </c>
    </row>
    <row r="6846" spans="1:5">
      <c r="A6846" s="64"/>
      <c r="E6846" t="e">
        <f t="shared" si="110"/>
        <v>#N/A</v>
      </c>
    </row>
    <row r="6847" spans="1:5">
      <c r="A6847" s="64"/>
      <c r="E6847" t="e">
        <f t="shared" si="110"/>
        <v>#N/A</v>
      </c>
    </row>
    <row r="6848" spans="1:5">
      <c r="A6848" s="64"/>
      <c r="E6848" t="e">
        <f t="shared" si="110"/>
        <v>#N/A</v>
      </c>
    </row>
    <row r="6849" spans="1:5">
      <c r="A6849" s="64"/>
      <c r="E6849" t="e">
        <f t="shared" si="110"/>
        <v>#N/A</v>
      </c>
    </row>
    <row r="6850" spans="1:5">
      <c r="A6850" s="64"/>
      <c r="E6850" t="e">
        <f t="shared" si="110"/>
        <v>#N/A</v>
      </c>
    </row>
    <row r="6851" spans="1:5">
      <c r="A6851" s="64"/>
      <c r="E6851" t="e">
        <f t="shared" si="110"/>
        <v>#N/A</v>
      </c>
    </row>
    <row r="6852" spans="1:5">
      <c r="A6852" s="64"/>
      <c r="E6852" t="e">
        <f t="shared" si="110"/>
        <v>#N/A</v>
      </c>
    </row>
    <row r="6853" spans="1:5">
      <c r="A6853" s="64"/>
      <c r="E6853" t="e">
        <f t="shared" si="110"/>
        <v>#N/A</v>
      </c>
    </row>
    <row r="6854" spans="1:5">
      <c r="A6854" s="64"/>
      <c r="E6854" t="e">
        <f t="shared" si="110"/>
        <v>#N/A</v>
      </c>
    </row>
    <row r="6855" spans="1:5">
      <c r="A6855" s="64"/>
      <c r="E6855" t="e">
        <f t="shared" si="110"/>
        <v>#N/A</v>
      </c>
    </row>
    <row r="6856" spans="1:5">
      <c r="A6856" s="64"/>
      <c r="E6856" t="e">
        <f t="shared" si="110"/>
        <v>#N/A</v>
      </c>
    </row>
    <row r="6857" spans="1:5">
      <c r="A6857" s="64"/>
      <c r="E6857" t="e">
        <f t="shared" si="110"/>
        <v>#N/A</v>
      </c>
    </row>
    <row r="6858" spans="1:5">
      <c r="A6858" s="64"/>
      <c r="E6858" t="e">
        <f t="shared" si="110"/>
        <v>#N/A</v>
      </c>
    </row>
    <row r="6859" spans="1:5">
      <c r="A6859" s="64"/>
      <c r="E6859" t="e">
        <f t="shared" si="110"/>
        <v>#N/A</v>
      </c>
    </row>
    <row r="6860" spans="1:5">
      <c r="A6860" s="64"/>
      <c r="E6860" t="e">
        <f t="shared" si="110"/>
        <v>#N/A</v>
      </c>
    </row>
    <row r="6861" spans="1:5">
      <c r="A6861" s="64"/>
      <c r="E6861" t="e">
        <f t="shared" ref="E6861:E6897" si="111">VLOOKUP(B6861,$Q$14:$R$62,2,FALSE)</f>
        <v>#N/A</v>
      </c>
    </row>
    <row r="6862" spans="1:5">
      <c r="A6862" s="64"/>
      <c r="E6862" t="e">
        <f t="shared" si="111"/>
        <v>#N/A</v>
      </c>
    </row>
    <row r="6863" spans="1:5">
      <c r="A6863" s="64"/>
      <c r="E6863" t="e">
        <f t="shared" si="111"/>
        <v>#N/A</v>
      </c>
    </row>
    <row r="6864" spans="1:5">
      <c r="A6864" s="64"/>
      <c r="E6864" t="e">
        <f t="shared" si="111"/>
        <v>#N/A</v>
      </c>
    </row>
    <row r="6865" spans="1:5">
      <c r="A6865" s="64"/>
      <c r="E6865" t="e">
        <f t="shared" si="111"/>
        <v>#N/A</v>
      </c>
    </row>
    <row r="6866" spans="1:5">
      <c r="A6866" s="64"/>
      <c r="E6866" t="e">
        <f t="shared" si="111"/>
        <v>#N/A</v>
      </c>
    </row>
    <row r="6867" spans="1:5">
      <c r="A6867" s="64"/>
      <c r="E6867" t="e">
        <f t="shared" si="111"/>
        <v>#N/A</v>
      </c>
    </row>
    <row r="6868" spans="1:5">
      <c r="A6868" s="64"/>
      <c r="E6868" t="e">
        <f t="shared" si="111"/>
        <v>#N/A</v>
      </c>
    </row>
    <row r="6869" spans="1:5">
      <c r="A6869" s="64"/>
      <c r="E6869" t="e">
        <f t="shared" si="111"/>
        <v>#N/A</v>
      </c>
    </row>
    <row r="6870" spans="1:5">
      <c r="A6870" s="64"/>
      <c r="E6870" t="e">
        <f t="shared" si="111"/>
        <v>#N/A</v>
      </c>
    </row>
    <row r="6871" spans="1:5">
      <c r="A6871" s="64"/>
      <c r="E6871" t="e">
        <f t="shared" si="111"/>
        <v>#N/A</v>
      </c>
    </row>
    <row r="6872" spans="1:5">
      <c r="A6872" s="64"/>
      <c r="E6872" t="e">
        <f t="shared" si="111"/>
        <v>#N/A</v>
      </c>
    </row>
    <row r="6873" spans="1:5">
      <c r="A6873" s="64"/>
      <c r="E6873" t="e">
        <f t="shared" si="111"/>
        <v>#N/A</v>
      </c>
    </row>
    <row r="6874" spans="1:5">
      <c r="A6874" s="64"/>
      <c r="E6874" t="e">
        <f t="shared" si="111"/>
        <v>#N/A</v>
      </c>
    </row>
    <row r="6875" spans="1:5">
      <c r="A6875" s="64"/>
      <c r="E6875" t="e">
        <f t="shared" si="111"/>
        <v>#N/A</v>
      </c>
    </row>
    <row r="6876" spans="1:5">
      <c r="A6876" s="64"/>
      <c r="E6876" t="e">
        <f t="shared" si="111"/>
        <v>#N/A</v>
      </c>
    </row>
    <row r="6877" spans="1:5">
      <c r="A6877" s="64"/>
      <c r="E6877" t="e">
        <f t="shared" si="111"/>
        <v>#N/A</v>
      </c>
    </row>
    <row r="6878" spans="1:5">
      <c r="A6878" s="64"/>
      <c r="E6878" t="e">
        <f t="shared" si="111"/>
        <v>#N/A</v>
      </c>
    </row>
    <row r="6879" spans="1:5">
      <c r="A6879" s="64"/>
      <c r="E6879" t="e">
        <f t="shared" si="111"/>
        <v>#N/A</v>
      </c>
    </row>
    <row r="6880" spans="1:5">
      <c r="A6880" s="64"/>
      <c r="E6880" t="e">
        <f t="shared" si="111"/>
        <v>#N/A</v>
      </c>
    </row>
    <row r="6881" spans="1:5">
      <c r="A6881" s="64"/>
      <c r="E6881" t="e">
        <f t="shared" si="111"/>
        <v>#N/A</v>
      </c>
    </row>
    <row r="6882" spans="1:5">
      <c r="A6882" s="64"/>
      <c r="E6882" t="e">
        <f t="shared" si="111"/>
        <v>#N/A</v>
      </c>
    </row>
    <row r="6883" spans="1:5">
      <c r="A6883" s="64"/>
      <c r="E6883" t="e">
        <f t="shared" si="111"/>
        <v>#N/A</v>
      </c>
    </row>
    <row r="6884" spans="1:5">
      <c r="A6884" s="64"/>
      <c r="E6884" t="e">
        <f t="shared" si="111"/>
        <v>#N/A</v>
      </c>
    </row>
    <row r="6885" spans="1:5">
      <c r="A6885" s="64"/>
      <c r="E6885" t="e">
        <f t="shared" si="111"/>
        <v>#N/A</v>
      </c>
    </row>
    <row r="6886" spans="1:5">
      <c r="A6886" s="64"/>
      <c r="E6886" t="e">
        <f t="shared" si="111"/>
        <v>#N/A</v>
      </c>
    </row>
    <row r="6887" spans="1:5">
      <c r="A6887" s="64"/>
      <c r="E6887" t="e">
        <f t="shared" si="111"/>
        <v>#N/A</v>
      </c>
    </row>
    <row r="6888" spans="1:5">
      <c r="A6888" s="64"/>
      <c r="E6888" t="e">
        <f t="shared" si="111"/>
        <v>#N/A</v>
      </c>
    </row>
    <row r="6889" spans="1:5">
      <c r="A6889" s="64"/>
      <c r="E6889" t="e">
        <f t="shared" si="111"/>
        <v>#N/A</v>
      </c>
    </row>
    <row r="6890" spans="1:5">
      <c r="A6890" s="64"/>
      <c r="E6890" t="e">
        <f t="shared" si="111"/>
        <v>#N/A</v>
      </c>
    </row>
    <row r="6891" spans="1:5">
      <c r="A6891" s="64"/>
      <c r="E6891" t="e">
        <f t="shared" si="111"/>
        <v>#N/A</v>
      </c>
    </row>
    <row r="6892" spans="1:5">
      <c r="A6892" s="64"/>
      <c r="E6892" t="e">
        <f t="shared" si="111"/>
        <v>#N/A</v>
      </c>
    </row>
    <row r="6893" spans="1:5">
      <c r="A6893" s="64"/>
      <c r="E6893" t="e">
        <f t="shared" si="111"/>
        <v>#N/A</v>
      </c>
    </row>
    <row r="6894" spans="1:5">
      <c r="A6894" s="64"/>
      <c r="E6894" t="e">
        <f t="shared" si="111"/>
        <v>#N/A</v>
      </c>
    </row>
    <row r="6895" spans="1:5">
      <c r="A6895" s="64"/>
      <c r="E6895" t="e">
        <f t="shared" si="111"/>
        <v>#N/A</v>
      </c>
    </row>
    <row r="6896" spans="1:5">
      <c r="A6896" s="64"/>
      <c r="E6896" t="e">
        <f t="shared" si="111"/>
        <v>#N/A</v>
      </c>
    </row>
    <row r="6897" spans="1:5">
      <c r="A6897" s="64"/>
      <c r="E6897" t="e">
        <f t="shared" si="111"/>
        <v>#N/A</v>
      </c>
    </row>
    <row r="6898" spans="1:5">
      <c r="A6898" s="64"/>
    </row>
    <row r="6899" spans="1:5">
      <c r="A6899" s="64"/>
    </row>
    <row r="6900" spans="1:5">
      <c r="A6900" s="64"/>
    </row>
    <row r="6901" spans="1:5">
      <c r="A6901" s="64"/>
    </row>
    <row r="6902" spans="1:5">
      <c r="A6902" s="64"/>
    </row>
    <row r="6903" spans="1:5">
      <c r="A6903" s="64"/>
    </row>
    <row r="6904" spans="1:5">
      <c r="A6904" s="64"/>
    </row>
    <row r="6905" spans="1:5">
      <c r="A6905" s="64"/>
    </row>
    <row r="6906" spans="1:5">
      <c r="A6906" s="64"/>
    </row>
    <row r="6907" spans="1:5">
      <c r="A6907" s="64"/>
    </row>
    <row r="6908" spans="1:5">
      <c r="A6908" s="64"/>
    </row>
    <row r="6909" spans="1:5">
      <c r="A6909" s="64"/>
    </row>
    <row r="6910" spans="1:5">
      <c r="A6910" s="64"/>
    </row>
    <row r="6911" spans="1:5">
      <c r="A6911" s="64"/>
    </row>
    <row r="6912" spans="1:5">
      <c r="A6912" s="64"/>
    </row>
    <row r="6913" spans="1:1">
      <c r="A6913" s="64"/>
    </row>
    <row r="6914" spans="1:1">
      <c r="A6914" s="64"/>
    </row>
    <row r="6915" spans="1:1">
      <c r="A6915" s="64"/>
    </row>
    <row r="6916" spans="1:1">
      <c r="A6916" s="64"/>
    </row>
    <row r="6917" spans="1:1">
      <c r="A6917" s="64"/>
    </row>
    <row r="6918" spans="1:1">
      <c r="A6918" s="64"/>
    </row>
    <row r="6919" spans="1:1">
      <c r="A6919" s="64"/>
    </row>
    <row r="6920" spans="1:1">
      <c r="A6920" s="64"/>
    </row>
    <row r="6921" spans="1:1">
      <c r="A6921" s="64"/>
    </row>
    <row r="6922" spans="1:1">
      <c r="A6922" s="64"/>
    </row>
    <row r="6923" spans="1:1">
      <c r="A6923" s="64"/>
    </row>
    <row r="6924" spans="1:1">
      <c r="A6924" s="64"/>
    </row>
    <row r="6925" spans="1:1">
      <c r="A6925" s="64"/>
    </row>
    <row r="6926" spans="1:1">
      <c r="A6926" s="64"/>
    </row>
    <row r="6927" spans="1:1">
      <c r="A6927" s="64"/>
    </row>
    <row r="6928" spans="1:1">
      <c r="A6928" s="64"/>
    </row>
    <row r="6929" spans="1:1">
      <c r="A6929" s="64"/>
    </row>
    <row r="6930" spans="1:1">
      <c r="A6930" s="64"/>
    </row>
    <row r="6931" spans="1:1">
      <c r="A6931" s="64"/>
    </row>
    <row r="6932" spans="1:1">
      <c r="A6932" s="64"/>
    </row>
    <row r="6933" spans="1:1">
      <c r="A6933" s="64"/>
    </row>
    <row r="6934" spans="1:1">
      <c r="A6934" s="64"/>
    </row>
    <row r="6935" spans="1:1">
      <c r="A6935" s="64"/>
    </row>
    <row r="6936" spans="1:1">
      <c r="A6936" s="64"/>
    </row>
    <row r="6937" spans="1:1">
      <c r="A6937" s="64"/>
    </row>
    <row r="6938" spans="1:1">
      <c r="A6938" s="64"/>
    </row>
    <row r="6939" spans="1:1">
      <c r="A6939" s="64"/>
    </row>
    <row r="6940" spans="1:1">
      <c r="A6940" s="64"/>
    </row>
  </sheetData>
  <autoFilter ref="A12:E6897">
    <sortState ref="A13:E6897">
      <sortCondition ref="A12:A6897"/>
    </sortState>
  </autoFilter>
  <mergeCells count="13">
    <mergeCell ref="B8:H8"/>
    <mergeCell ref="E2:H2"/>
    <mergeCell ref="A3:H3"/>
    <mergeCell ref="B5:H5"/>
    <mergeCell ref="B6:H6"/>
    <mergeCell ref="B7:H7"/>
    <mergeCell ref="T12:U12"/>
    <mergeCell ref="W12:X12"/>
    <mergeCell ref="T13:U13"/>
    <mergeCell ref="W13:X13"/>
    <mergeCell ref="B9:H9"/>
    <mergeCell ref="B10:H10"/>
    <mergeCell ref="Q12:R12"/>
  </mergeCells>
  <conditionalFormatting sqref="I52:N168">
    <cfRule type="expression" dxfId="141" priority="1">
      <formula>ISERROR(I52)</formula>
    </cfRule>
  </conditionalFormatting>
  <hyperlinks>
    <hyperlink ref="E2" location="'Information och Innehåll'!A1" display="Tillbaka till Information och Innehåll"/>
    <hyperlink ref="T15" location="V1.1.1!A1" display="V1.1.1"/>
    <hyperlink ref="T16" location="V1.1.2!A1" display="V1.1.2"/>
    <hyperlink ref="T17" location="V1.1.3!A1" display="V1.1.3"/>
    <hyperlink ref="T18" location="V2.1.1!A1" display="V2.1.1"/>
    <hyperlink ref="T19" location="V2.1.2!A1" display="V2.1.2"/>
    <hyperlink ref="T21" location="V3.1.2!A1" display="V3.1.2"/>
    <hyperlink ref="T20" location="V3.1.1!A1" display="V3.1.1"/>
    <hyperlink ref="T22" location="V3.1.3!A1" display="V3.1.3"/>
    <hyperlink ref="T24" location="V4.1.1!A1" display="V4.1.1"/>
    <hyperlink ref="T25" location="V4.2.1!A1" display="V4.2.1"/>
    <hyperlink ref="T26" location="V4.2.2!A1" display="V4.2.2"/>
    <hyperlink ref="T27" location="V4.2.3!A1" display="V4.2.3"/>
    <hyperlink ref="T28" location="V4.2.4!A1" display="V4.2.4"/>
    <hyperlink ref="T29" location="V5.1.1!A1" display="V5.1.1"/>
    <hyperlink ref="T30" location="V5.1.2!A1" display="V5.1.2"/>
    <hyperlink ref="U15" location="B1.1.1!A1" display="B1.1.1"/>
    <hyperlink ref="U16" location="B1.1.2!A1" display="B1.1.2"/>
    <hyperlink ref="U17" location="B1.2.1!A1" display="B1.2.1"/>
    <hyperlink ref="U18" location="B1.2.2!A1" display="B1.2.2"/>
    <hyperlink ref="U19" location="B1.2.3!A1" display="B1.2.3"/>
    <hyperlink ref="U20" location="B2.1.1!A1" display="B2.1.1"/>
    <hyperlink ref="U22" location="B2.2.1!A1" display="B2.2.1"/>
    <hyperlink ref="U23" location="B2.2.2!A1" display="B2.2.2"/>
    <hyperlink ref="U24" location="B2.2.3!A1" display="B2.2.3"/>
    <hyperlink ref="U25" location="B2.2.4!A1" display="B2.2.4"/>
    <hyperlink ref="U26" location="B3.1.1!A1" display="B3.1.1"/>
    <hyperlink ref="U27" location="B3.1.2!A1" display="B3.1.2"/>
    <hyperlink ref="U30" location="B4.1.1!A1" display="B4.1.1"/>
    <hyperlink ref="U31" location="B5.1.1!A1" display="B5.1.1"/>
    <hyperlink ref="U32" location="B5.1.2!A1" display="B5.1.2"/>
    <hyperlink ref="U33" location="B5.1.3!A1" display="B5.1.3"/>
    <hyperlink ref="U28" location="B3.1.3!A1" display="B3.1.3"/>
    <hyperlink ref="U21" location="B2.1.2!A1" display="B2.1.2"/>
    <hyperlink ref="T31" location="V5.1.3!A1" display="V5.1.3"/>
    <hyperlink ref="U29" location="B3.2.1!A1" display="B3.2.1"/>
    <hyperlink ref="T23" location="B3.2.1!A1" display="V3.2.1"/>
    <hyperlink ref="W15" location="'V1.1.1 DATA'!A1" display="V1.1.1"/>
    <hyperlink ref="W16" location="'V1.1.2 DATA'!A1" display="V1.1.2"/>
    <hyperlink ref="W17" location="'V1.1.3 Data'!A1" display="V1.1.3"/>
    <hyperlink ref="W18" location="'V2.1.1 DATA'!A1" display="V2.1.1"/>
    <hyperlink ref="W19" location="'V2.1.2 DATA'!A1" display="V2.1.2"/>
    <hyperlink ref="W21" location="'V3.1.2 DATA'!A1" display="V3.1.2"/>
    <hyperlink ref="W20" location="'V3.1.1 DATA'!A1" display="V3.1.1"/>
    <hyperlink ref="W22" location="'V3.1.3 DATA'!A1" display="V3.1.3"/>
    <hyperlink ref="W23" location="'V3.2.1 DATA'!A1" display="V3.2.1"/>
    <hyperlink ref="W24" location="'V4.1.1 DATA'!A1" display="V4.1.1"/>
    <hyperlink ref="W25" location="'V4.2.1 DATA'!A1" display="V4.2.1"/>
    <hyperlink ref="W27" location="'V4.2.3 DATA'!A1" display="V4.2.3"/>
    <hyperlink ref="W28" location="'V4.2.4 DATA'!A1" display="V4.2.4"/>
    <hyperlink ref="W29" location="'V5.1.1 DATA'!A1" display="V5.1.1"/>
    <hyperlink ref="W30" location="'V5.1.2 DATA'!A1" display="V5.1.2"/>
    <hyperlink ref="X15" location="'B1.1.1 DATA'!A1" display="B1.1.1"/>
    <hyperlink ref="X16" location="'B1.1.2 DATA'!A1" display="B1.1.2"/>
    <hyperlink ref="X17" location="'B1.2.1 DATA'!A1" display="B1.2.1"/>
    <hyperlink ref="X18" location="'B1.2.2 DATA'!A1" display="B1.2.2"/>
    <hyperlink ref="X19" location="'B1.2.3 DATA'!A1" display="B1.2.3"/>
    <hyperlink ref="X20" location="'B2.1.1 DATA'!A1" display="B2.1.1"/>
    <hyperlink ref="X22" location="'B2.2.1 DATA'!A1" display="B2.2.1"/>
    <hyperlink ref="X23" location="'B2.2.2 DATA'!A1" display="B2.2.2"/>
    <hyperlink ref="X24" location="'B2.2.3 DATA'!A1" display="B2.2.3"/>
    <hyperlink ref="X25" location="'B2.2.4 DATA'!A1" display="B2.2.4"/>
    <hyperlink ref="X26" location="'B3.1.1 DATA'!A1" display="B3.1.1"/>
    <hyperlink ref="X27" location="'B3.1.2 DATA'!A1" display="B3.1.2"/>
    <hyperlink ref="X29" location="'B3.2.1 DATA'!A1" display="B3.2.1"/>
    <hyperlink ref="X30" location="'B4.1.1 DATA'!A1" display="B4.1.1"/>
    <hyperlink ref="X31" location="'B5.1.1 DATA'!A1" display="B5.1.1"/>
    <hyperlink ref="X32" location="'B5.1.2 DATA'!A1" display="B5.1.2"/>
    <hyperlink ref="X33" location="'B5.1.3 DATA'!A1" display="B5.1.3"/>
    <hyperlink ref="X21" location="'B2.1.2 DATA'!A1" display="B2.1.2"/>
    <hyperlink ref="W31" location="'V5.1.3 DATA'!A1" display="V5.1.3"/>
    <hyperlink ref="X28" location="'B3.1.3 DATA'!A1" display="B3.1.3"/>
    <hyperlink ref="W26" location="'V4.2.2 DATA'!A1" display="V4.2.2"/>
  </hyperlink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B5DAC7"/>
  </sheetPr>
  <dimension ref="A1:Z57"/>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1" spans="1:20" ht="14.45" customHeight="1">
      <c r="A1" s="26"/>
    </row>
    <row r="2" spans="1:20" ht="14.45" customHeight="1">
      <c r="A2" s="303"/>
      <c r="P2" s="10"/>
      <c r="Q2" s="11"/>
      <c r="R2" s="11"/>
    </row>
    <row r="3" spans="1:20" ht="23.25">
      <c r="B3" s="338" t="s">
        <v>400</v>
      </c>
      <c r="C3" s="338"/>
      <c r="D3" s="338"/>
      <c r="E3" s="338"/>
      <c r="F3" s="338"/>
      <c r="G3" s="338"/>
      <c r="H3" s="338"/>
      <c r="I3" s="338"/>
      <c r="J3" s="338"/>
      <c r="K3" s="338"/>
      <c r="L3" s="338"/>
      <c r="M3" s="338"/>
      <c r="N3" s="338"/>
      <c r="O3" s="338"/>
      <c r="P3" s="338"/>
      <c r="Q3" s="338"/>
      <c r="R3" s="338"/>
      <c r="S3" s="338"/>
      <c r="T3" s="338"/>
    </row>
    <row r="4" spans="1:20" ht="30.75">
      <c r="B4" s="339" t="s">
        <v>650</v>
      </c>
      <c r="C4" s="339"/>
      <c r="D4" s="339"/>
      <c r="E4" s="339"/>
      <c r="F4" s="339"/>
      <c r="G4" s="339"/>
      <c r="H4" s="339"/>
      <c r="I4" s="339"/>
      <c r="J4" s="339"/>
      <c r="K4" s="339"/>
      <c r="L4" s="339"/>
      <c r="M4" s="339"/>
      <c r="N4" s="339"/>
      <c r="O4" s="339"/>
      <c r="P4" s="339"/>
      <c r="Q4" s="339"/>
      <c r="R4" s="339"/>
      <c r="S4" s="339"/>
      <c r="T4" s="339"/>
    </row>
    <row r="5" spans="1:20" ht="18">
      <c r="B5" s="340" t="s">
        <v>45</v>
      </c>
      <c r="C5" s="340"/>
      <c r="D5" s="340"/>
      <c r="E5" s="340"/>
      <c r="F5" s="340"/>
      <c r="G5" s="340"/>
      <c r="H5" s="340"/>
      <c r="I5" s="340"/>
      <c r="J5" s="340"/>
      <c r="K5" s="340"/>
      <c r="L5" s="340"/>
      <c r="M5" s="340"/>
      <c r="N5" s="340"/>
      <c r="O5" s="340"/>
      <c r="P5" s="340"/>
      <c r="Q5" s="340"/>
      <c r="R5" s="340"/>
      <c r="S5" s="340"/>
      <c r="T5" s="340"/>
    </row>
    <row r="6" spans="1:20" ht="14.45" customHeight="1">
      <c r="P6" s="11"/>
      <c r="Q6" s="11"/>
      <c r="R6" s="11"/>
    </row>
    <row r="7" spans="1:20" ht="14.45" customHeight="1">
      <c r="B7" s="26" t="s">
        <v>35</v>
      </c>
      <c r="E7" s="27">
        <v>42977</v>
      </c>
      <c r="P7" s="11"/>
      <c r="Q7" s="11"/>
      <c r="R7" s="342" t="s">
        <v>44</v>
      </c>
      <c r="S7" s="342"/>
      <c r="T7" s="342"/>
    </row>
    <row r="8" spans="1:20" ht="14.45" customHeight="1">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14.45" customHeight="1">
      <c r="B10" s="33"/>
      <c r="C10" s="33"/>
      <c r="D10" s="33"/>
      <c r="E10" s="33"/>
      <c r="F10" s="33"/>
      <c r="G10" s="33"/>
      <c r="H10" s="33"/>
      <c r="I10" s="33"/>
      <c r="J10" s="33"/>
      <c r="K10" s="33"/>
      <c r="L10" s="33"/>
      <c r="N10" s="4"/>
      <c r="O10" s="4"/>
      <c r="P10" s="4"/>
      <c r="Q10" s="4"/>
      <c r="R10" s="4"/>
      <c r="S10" s="4"/>
      <c r="T10" s="4"/>
    </row>
    <row r="11" spans="1:20" ht="14.45" customHeight="1">
      <c r="B11" s="336" t="s">
        <v>40</v>
      </c>
      <c r="C11" s="336"/>
      <c r="D11" s="336"/>
      <c r="E11" s="336"/>
      <c r="F11" s="336"/>
      <c r="G11" s="336"/>
      <c r="H11" s="336"/>
      <c r="I11" s="336"/>
      <c r="J11" s="336"/>
      <c r="K11" s="336"/>
      <c r="L11" s="336"/>
      <c r="N11" s="205" t="s">
        <v>56</v>
      </c>
      <c r="O11" s="205" t="s">
        <v>286</v>
      </c>
      <c r="Q11" s="9"/>
    </row>
    <row r="12" spans="1:20" ht="14.45" customHeight="1">
      <c r="B12" s="1"/>
      <c r="C12" s="337" t="s">
        <v>528</v>
      </c>
      <c r="D12" s="337"/>
      <c r="E12" s="337"/>
      <c r="F12" s="337"/>
      <c r="G12" s="337"/>
      <c r="H12" s="337"/>
      <c r="I12" s="337"/>
      <c r="J12" s="337"/>
      <c r="K12" s="337"/>
      <c r="L12" s="337"/>
      <c r="N12" s="205" t="s">
        <v>287</v>
      </c>
      <c r="O12" s="205" t="s">
        <v>42</v>
      </c>
      <c r="Q12" s="9"/>
    </row>
    <row r="13" spans="1:20" ht="14.45" customHeight="1">
      <c r="B13" s="32"/>
      <c r="C13" s="332" t="s">
        <v>68</v>
      </c>
      <c r="D13" s="332"/>
      <c r="E13" s="332"/>
      <c r="F13" s="332"/>
      <c r="G13" s="332"/>
      <c r="H13" s="332"/>
      <c r="I13" s="332"/>
      <c r="J13" s="332"/>
      <c r="K13" s="332"/>
      <c r="L13" s="332"/>
      <c r="N13" s="112">
        <v>2010</v>
      </c>
      <c r="O13" s="205">
        <v>18.2</v>
      </c>
      <c r="Q13" s="37"/>
    </row>
    <row r="14" spans="1:20" ht="14.45" customHeight="1">
      <c r="B14" s="32"/>
      <c r="C14" s="333" t="s">
        <v>292</v>
      </c>
      <c r="D14" s="333"/>
      <c r="E14" s="333"/>
      <c r="F14" s="333"/>
      <c r="G14" s="333"/>
      <c r="H14" s="333"/>
      <c r="I14" s="333"/>
      <c r="J14" s="333"/>
      <c r="K14" s="333"/>
      <c r="L14" s="333"/>
      <c r="N14" s="112">
        <v>2011</v>
      </c>
      <c r="O14" s="205">
        <v>17.190000000000001</v>
      </c>
      <c r="Q14" s="37"/>
    </row>
    <row r="15" spans="1:20" ht="14.45" customHeight="1">
      <c r="B15" s="32"/>
      <c r="C15" s="333" t="s">
        <v>529</v>
      </c>
      <c r="D15" s="333"/>
      <c r="E15" s="333"/>
      <c r="F15" s="333"/>
      <c r="G15" s="333"/>
      <c r="H15" s="333"/>
      <c r="I15" s="333"/>
      <c r="J15" s="333"/>
      <c r="K15" s="333"/>
      <c r="L15" s="333"/>
      <c r="N15" s="112">
        <v>2012</v>
      </c>
      <c r="O15" s="205">
        <v>15.39</v>
      </c>
      <c r="Q15" s="37"/>
    </row>
    <row r="16" spans="1:20" ht="14.45" customHeight="1">
      <c r="A16" s="3"/>
      <c r="B16" s="1"/>
      <c r="C16" s="1"/>
      <c r="D16" s="1"/>
      <c r="E16" s="1"/>
      <c r="F16" s="1"/>
      <c r="G16" s="1"/>
      <c r="H16" s="1"/>
      <c r="I16" s="1"/>
      <c r="J16" s="1"/>
      <c r="K16" s="1"/>
      <c r="L16" s="31"/>
      <c r="N16" s="112">
        <v>2013</v>
      </c>
      <c r="O16" s="205">
        <v>13.68</v>
      </c>
      <c r="Q16" s="37"/>
    </row>
    <row r="17" spans="1:26" ht="14.45" customHeight="1">
      <c r="A17" s="3"/>
      <c r="B17" s="30" t="s">
        <v>41</v>
      </c>
      <c r="C17" s="31"/>
      <c r="D17" s="31"/>
      <c r="E17" s="31"/>
      <c r="F17" s="31"/>
      <c r="G17" s="31"/>
      <c r="H17" s="31"/>
      <c r="I17" s="31"/>
      <c r="J17" s="31"/>
      <c r="K17" s="31"/>
      <c r="L17" s="31"/>
      <c r="N17" s="112">
        <v>2014</v>
      </c>
      <c r="O17" s="205">
        <v>16.420000000000002</v>
      </c>
      <c r="Q17" s="37"/>
    </row>
    <row r="18" spans="1:26" ht="14.45" customHeight="1">
      <c r="A18" s="3"/>
      <c r="B18" s="31"/>
      <c r="C18" s="362" t="s">
        <v>295</v>
      </c>
      <c r="D18" s="362"/>
      <c r="E18" s="362"/>
      <c r="F18" s="362"/>
      <c r="G18" s="362"/>
      <c r="H18" s="362"/>
      <c r="I18" s="362"/>
      <c r="J18" s="362"/>
      <c r="K18" s="362"/>
      <c r="L18" s="362"/>
      <c r="N18" s="112">
        <v>2015</v>
      </c>
      <c r="O18" s="205">
        <v>17.61</v>
      </c>
      <c r="Q18" s="37"/>
    </row>
    <row r="19" spans="1:26" ht="14.45" customHeight="1">
      <c r="A19" s="3"/>
      <c r="B19" s="31"/>
      <c r="C19" s="362" t="s">
        <v>296</v>
      </c>
      <c r="D19" s="362"/>
      <c r="E19" s="362"/>
      <c r="F19" s="362"/>
      <c r="G19" s="362"/>
      <c r="H19" s="362"/>
      <c r="I19" s="362"/>
      <c r="J19" s="362"/>
      <c r="K19" s="362"/>
      <c r="L19" s="362"/>
      <c r="N19" s="112">
        <v>2016</v>
      </c>
      <c r="O19" s="205"/>
      <c r="Q19" s="37"/>
    </row>
    <row r="20" spans="1:26" ht="14.45" customHeight="1">
      <c r="A20" s="3"/>
      <c r="B20" s="31"/>
      <c r="C20" s="353" t="s">
        <v>319</v>
      </c>
      <c r="D20" s="353"/>
      <c r="E20" s="353"/>
      <c r="F20" s="353"/>
      <c r="G20" s="353"/>
      <c r="H20" s="353"/>
      <c r="I20" s="353"/>
      <c r="J20" s="353"/>
      <c r="K20" s="353"/>
      <c r="L20" s="353"/>
      <c r="N20" s="112">
        <v>2017</v>
      </c>
      <c r="O20" s="205"/>
      <c r="Q20" s="37"/>
    </row>
    <row r="21" spans="1:26" ht="14.45" customHeight="1">
      <c r="A21" s="3"/>
      <c r="B21" s="31"/>
      <c r="C21" s="333" t="s">
        <v>356</v>
      </c>
      <c r="D21" s="333"/>
      <c r="E21" s="333"/>
      <c r="F21" s="333"/>
      <c r="G21" s="333"/>
      <c r="H21" s="333"/>
      <c r="I21" s="333"/>
      <c r="J21" s="333"/>
      <c r="K21" s="333"/>
      <c r="L21" s="333"/>
      <c r="N21" s="112">
        <v>2018</v>
      </c>
      <c r="O21" s="205"/>
      <c r="Q21" s="37"/>
    </row>
    <row r="22" spans="1:26" ht="14.45" customHeight="1">
      <c r="A22" s="3"/>
      <c r="B22" s="31"/>
      <c r="C22" s="333"/>
      <c r="D22" s="333"/>
      <c r="E22" s="333"/>
      <c r="F22" s="333"/>
      <c r="G22" s="333"/>
      <c r="H22" s="333"/>
      <c r="I22" s="333"/>
      <c r="J22" s="333"/>
      <c r="K22" s="333"/>
      <c r="L22" s="333"/>
      <c r="N22" s="112">
        <v>2019</v>
      </c>
      <c r="O22" s="205"/>
      <c r="Q22" s="37"/>
    </row>
    <row r="23" spans="1:26" ht="14.45" customHeight="1">
      <c r="A23" s="3"/>
      <c r="B23" s="31"/>
      <c r="C23" s="333"/>
      <c r="D23" s="333"/>
      <c r="E23" s="333"/>
      <c r="F23" s="333"/>
      <c r="G23" s="333"/>
      <c r="H23" s="333"/>
      <c r="I23" s="333"/>
      <c r="J23" s="333"/>
      <c r="K23" s="333"/>
      <c r="L23" s="333"/>
      <c r="N23" s="112">
        <v>2020</v>
      </c>
      <c r="O23" s="205"/>
      <c r="Q23" s="37"/>
    </row>
    <row r="24" spans="1:26" ht="14.45" customHeight="1">
      <c r="A24" s="3"/>
      <c r="B24" s="31"/>
      <c r="C24" s="335" t="s">
        <v>321</v>
      </c>
      <c r="D24" s="335"/>
      <c r="E24" s="335"/>
      <c r="F24" s="335"/>
      <c r="G24" s="335"/>
      <c r="H24" s="335"/>
      <c r="I24" s="335"/>
      <c r="J24" s="335"/>
      <c r="K24" s="335"/>
      <c r="L24" s="335"/>
      <c r="N24" s="112">
        <v>2021</v>
      </c>
      <c r="O24" s="205"/>
      <c r="Q24" s="37"/>
    </row>
    <row r="25" spans="1:26" ht="14.45" customHeight="1">
      <c r="A25" s="3"/>
      <c r="B25" s="31"/>
      <c r="C25" s="335"/>
      <c r="D25" s="335"/>
      <c r="E25" s="335"/>
      <c r="F25" s="335"/>
      <c r="G25" s="335"/>
      <c r="H25" s="335"/>
      <c r="I25" s="335"/>
      <c r="J25" s="335"/>
      <c r="K25" s="335"/>
      <c r="L25" s="335"/>
      <c r="N25" s="112">
        <v>2022</v>
      </c>
      <c r="O25" s="205"/>
      <c r="Q25" s="37"/>
    </row>
    <row r="26" spans="1:26" ht="14.45" customHeight="1">
      <c r="A26" s="3"/>
      <c r="B26" s="1"/>
      <c r="C26" s="335"/>
      <c r="D26" s="335"/>
      <c r="E26" s="335"/>
      <c r="F26" s="335"/>
      <c r="G26" s="335"/>
      <c r="H26" s="335"/>
      <c r="I26" s="335"/>
      <c r="J26" s="335"/>
      <c r="K26" s="335"/>
      <c r="L26" s="335"/>
      <c r="N26" s="112">
        <v>2023</v>
      </c>
      <c r="O26" s="205"/>
      <c r="Q26" s="37"/>
    </row>
    <row r="27" spans="1:26" ht="14.45" customHeight="1">
      <c r="B27" s="1"/>
      <c r="C27" s="52"/>
      <c r="D27" s="52"/>
      <c r="E27" s="52"/>
      <c r="F27" s="52"/>
      <c r="G27" s="52"/>
      <c r="H27" s="52"/>
      <c r="I27" s="52"/>
      <c r="J27" s="52"/>
      <c r="K27" s="52"/>
      <c r="L27" s="52"/>
      <c r="N27" s="112">
        <v>2024</v>
      </c>
      <c r="O27" s="205"/>
      <c r="Q27" s="37"/>
    </row>
    <row r="28" spans="1:26" ht="14.45" customHeight="1">
      <c r="B28" s="1"/>
      <c r="C28" s="52"/>
      <c r="D28" s="52"/>
      <c r="E28" s="52"/>
      <c r="F28" s="52"/>
      <c r="G28" s="52"/>
      <c r="H28" s="52"/>
      <c r="I28" s="52"/>
      <c r="J28" s="52"/>
      <c r="K28" s="52"/>
      <c r="L28" s="52"/>
      <c r="N28" s="112">
        <v>2025</v>
      </c>
      <c r="O28" s="205"/>
      <c r="Q28" s="37"/>
    </row>
    <row r="29" spans="1:26" ht="14.45" customHeight="1">
      <c r="B29" s="1"/>
      <c r="C29" s="47"/>
      <c r="D29" s="47"/>
      <c r="E29" s="47"/>
      <c r="F29" s="47"/>
      <c r="G29" s="47"/>
      <c r="H29" s="47"/>
      <c r="I29" s="47"/>
      <c r="J29" s="47"/>
      <c r="K29" s="47"/>
      <c r="L29" s="47"/>
    </row>
    <row r="30" spans="1:26" ht="14.45" customHeight="1">
      <c r="B30" s="4"/>
      <c r="C30" s="1"/>
      <c r="D30" s="1"/>
      <c r="E30" s="1"/>
      <c r="F30" s="1"/>
      <c r="G30" s="1"/>
      <c r="H30" s="1"/>
      <c r="I30" s="1"/>
      <c r="J30" s="1"/>
      <c r="K30" s="1"/>
      <c r="L30" s="1"/>
      <c r="M30" s="9"/>
      <c r="N30" s="4"/>
      <c r="O30" s="34"/>
      <c r="P30" s="35"/>
      <c r="Q30" s="35"/>
      <c r="R30" s="35"/>
      <c r="S30" s="35"/>
      <c r="T30" s="4"/>
    </row>
    <row r="31" spans="1:26">
      <c r="A31" s="3"/>
      <c r="B31" s="9"/>
      <c r="C31" s="9"/>
      <c r="D31" s="9"/>
      <c r="E31" s="9"/>
      <c r="F31" s="9"/>
      <c r="G31" s="9"/>
      <c r="H31" s="9"/>
      <c r="I31" s="9"/>
      <c r="J31" s="9"/>
      <c r="K31" s="9"/>
      <c r="L31" s="9"/>
      <c r="M31" s="11"/>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6">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6" ht="23.25">
      <c r="B34" s="1"/>
      <c r="C34" s="22"/>
      <c r="D34" s="22"/>
      <c r="E34" s="22"/>
      <c r="F34" s="22"/>
      <c r="G34" s="22"/>
      <c r="H34" s="22"/>
      <c r="I34" s="22"/>
      <c r="J34" s="22"/>
      <c r="K34" s="22"/>
      <c r="L34" s="22"/>
      <c r="M34" s="4"/>
      <c r="N34" s="1"/>
      <c r="O34" s="1"/>
      <c r="P34" s="1"/>
      <c r="Q34" s="1"/>
      <c r="R34" s="1"/>
      <c r="S34" s="1"/>
      <c r="T34" s="1"/>
      <c r="V34" s="56" t="s">
        <v>61</v>
      </c>
      <c r="W34" s="56" t="s">
        <v>62</v>
      </c>
      <c r="X34" s="11"/>
      <c r="Y34" s="56" t="s">
        <v>61</v>
      </c>
      <c r="Z34" s="56" t="s">
        <v>62</v>
      </c>
    </row>
    <row r="35" spans="1:26">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6">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6">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6">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6">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6">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6">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6">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6">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6">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6">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6">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row>
    <row r="47" spans="1:26">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row>
    <row r="48" spans="1:26">
      <c r="B48" s="1"/>
      <c r="C48" s="1"/>
      <c r="D48" s="1"/>
      <c r="E48" s="1"/>
      <c r="F48" s="1"/>
      <c r="G48" s="1"/>
      <c r="H48" s="1"/>
      <c r="I48" s="1"/>
      <c r="J48" s="1"/>
      <c r="K48" s="1"/>
      <c r="L48" s="1"/>
      <c r="M48" s="1"/>
      <c r="N48" s="1"/>
      <c r="O48" s="1"/>
      <c r="P48" s="1"/>
      <c r="Q48" s="1"/>
      <c r="R48" s="1"/>
      <c r="S48" s="1"/>
      <c r="T48" s="1"/>
      <c r="V48" s="244" t="s">
        <v>444</v>
      </c>
      <c r="W48" s="245" t="s">
        <v>461</v>
      </c>
      <c r="X48" s="6"/>
      <c r="Y48" s="244" t="s">
        <v>444</v>
      </c>
      <c r="Z48" s="245" t="s">
        <v>461</v>
      </c>
    </row>
    <row r="49" spans="2:26">
      <c r="B49" s="1"/>
      <c r="C49" s="1"/>
      <c r="D49" s="1"/>
      <c r="E49" s="1"/>
      <c r="F49" s="1"/>
      <c r="G49" s="1"/>
      <c r="H49" s="1"/>
      <c r="I49" s="1"/>
      <c r="J49" s="1"/>
      <c r="K49" s="1"/>
      <c r="L49" s="1"/>
      <c r="M49" s="1"/>
      <c r="N49" s="1"/>
      <c r="O49" s="1"/>
      <c r="P49" s="1"/>
      <c r="Q49" s="1"/>
      <c r="R49" s="1"/>
      <c r="S49" s="1"/>
      <c r="T49" s="1"/>
      <c r="V49" s="244" t="s">
        <v>445</v>
      </c>
      <c r="W49" s="244" t="s">
        <v>462</v>
      </c>
      <c r="X49" s="6"/>
      <c r="Y49" s="244" t="s">
        <v>445</v>
      </c>
      <c r="Z49" s="244" t="s">
        <v>462</v>
      </c>
    </row>
    <row r="50" spans="2:26">
      <c r="B50" s="1"/>
      <c r="C50" s="1"/>
      <c r="D50" s="1"/>
      <c r="E50" s="1"/>
      <c r="F50" s="1"/>
      <c r="G50" s="1"/>
      <c r="H50" s="1"/>
      <c r="I50" s="1"/>
      <c r="J50" s="1"/>
      <c r="K50" s="1"/>
      <c r="L50" s="1"/>
      <c r="M50" s="1"/>
      <c r="N50" s="1"/>
      <c r="O50" s="1"/>
      <c r="P50" s="1"/>
      <c r="Q50" s="1"/>
      <c r="R50" s="1"/>
      <c r="S50" s="1"/>
      <c r="T50" s="1"/>
      <c r="V50" s="246" t="s">
        <v>446</v>
      </c>
      <c r="W50" s="244" t="s">
        <v>463</v>
      </c>
      <c r="X50" s="6"/>
      <c r="Y50" s="246" t="s">
        <v>446</v>
      </c>
      <c r="Z50" s="244" t="s">
        <v>463</v>
      </c>
    </row>
    <row r="51" spans="2:26">
      <c r="B51" s="1"/>
      <c r="C51" s="1"/>
      <c r="D51" s="1"/>
      <c r="E51" s="1"/>
      <c r="F51" s="1"/>
      <c r="G51" s="1"/>
      <c r="H51" s="1"/>
      <c r="I51" s="1"/>
      <c r="J51" s="1"/>
      <c r="K51" s="1"/>
      <c r="L51" s="1"/>
      <c r="M51" s="1"/>
      <c r="N51" s="1"/>
      <c r="O51" s="1"/>
      <c r="P51" s="1"/>
      <c r="Q51" s="1"/>
      <c r="R51" s="1"/>
      <c r="S51" s="1"/>
      <c r="T51" s="1"/>
      <c r="V51" s="247" t="s">
        <v>447</v>
      </c>
      <c r="W51" s="244" t="s">
        <v>464</v>
      </c>
      <c r="X51" s="6"/>
      <c r="Y51" s="247" t="s">
        <v>447</v>
      </c>
      <c r="Z51" s="244" t="s">
        <v>464</v>
      </c>
    </row>
    <row r="52" spans="2:26">
      <c r="B52" s="1"/>
      <c r="C52" s="1"/>
      <c r="D52" s="1"/>
      <c r="E52" s="1"/>
      <c r="F52" s="1"/>
      <c r="G52" s="1"/>
      <c r="H52" s="1"/>
      <c r="I52" s="1"/>
      <c r="J52" s="1"/>
      <c r="K52" s="1"/>
      <c r="L52" s="1"/>
      <c r="M52" s="1"/>
      <c r="N52" s="1"/>
      <c r="O52" s="1"/>
      <c r="P52" s="1"/>
      <c r="Q52" s="1"/>
      <c r="R52" s="1"/>
      <c r="S52" s="1"/>
      <c r="T52" s="1"/>
      <c r="V52" s="295"/>
      <c r="W52" s="244" t="s">
        <v>465</v>
      </c>
      <c r="X52" s="6"/>
      <c r="Y52" s="284"/>
      <c r="Z52" s="244" t="s">
        <v>465</v>
      </c>
    </row>
    <row r="53" spans="2:26">
      <c r="B53" s="1"/>
      <c r="C53" s="1"/>
      <c r="D53" s="1"/>
      <c r="E53" s="1"/>
      <c r="F53" s="1"/>
      <c r="G53" s="1"/>
      <c r="H53" s="1"/>
      <c r="I53" s="1"/>
      <c r="J53" s="1"/>
      <c r="K53" s="1"/>
      <c r="L53" s="1"/>
      <c r="M53" s="1"/>
      <c r="N53" s="1"/>
      <c r="O53" s="1"/>
      <c r="P53" s="1"/>
      <c r="Q53" s="1"/>
      <c r="R53" s="1"/>
      <c r="S53" s="1"/>
      <c r="T53" s="1"/>
      <c r="V53" s="204"/>
      <c r="W53" s="248" t="s">
        <v>466</v>
      </c>
      <c r="X53" s="6"/>
      <c r="Y53" s="257"/>
      <c r="Z53" s="258" t="s">
        <v>466</v>
      </c>
    </row>
    <row r="54" spans="2:26">
      <c r="B54" s="119"/>
      <c r="C54" s="119"/>
      <c r="D54" s="119"/>
      <c r="E54" s="119"/>
      <c r="F54" s="119"/>
      <c r="G54" s="119"/>
      <c r="H54" s="119"/>
      <c r="I54" s="119"/>
      <c r="J54" s="119"/>
      <c r="K54" s="119"/>
      <c r="L54" s="119"/>
      <c r="M54" s="119"/>
      <c r="N54" s="119"/>
      <c r="O54" s="119"/>
      <c r="P54" s="119"/>
      <c r="Q54" s="119"/>
      <c r="R54" s="119"/>
      <c r="S54" s="119"/>
      <c r="T54" s="119"/>
      <c r="V54" s="250"/>
      <c r="W54" s="251"/>
      <c r="X54" s="6"/>
      <c r="Y54" s="250"/>
      <c r="Z54" s="251"/>
    </row>
    <row r="55" spans="2:26">
      <c r="B55" s="119"/>
      <c r="C55" s="119"/>
      <c r="D55" s="119"/>
      <c r="E55" s="119"/>
      <c r="F55" s="119"/>
      <c r="G55" s="119"/>
      <c r="H55" s="119"/>
      <c r="I55" s="119"/>
      <c r="J55" s="119"/>
      <c r="K55" s="119"/>
      <c r="L55" s="119"/>
      <c r="M55" s="119"/>
      <c r="N55" s="119"/>
      <c r="O55" s="119"/>
      <c r="P55" s="119"/>
      <c r="Q55" s="119"/>
      <c r="R55" s="119"/>
      <c r="S55" s="119"/>
      <c r="T55" s="119"/>
      <c r="V55" s="249"/>
      <c r="W55" s="251"/>
      <c r="X55" s="6"/>
      <c r="Y55" s="249"/>
      <c r="Z55" s="251"/>
    </row>
    <row r="56" spans="2:26">
      <c r="V56" s="6"/>
      <c r="W56" s="6"/>
      <c r="X56" s="6"/>
      <c r="Y56" s="6"/>
      <c r="Z56" s="6"/>
    </row>
    <row r="57" spans="2:26">
      <c r="V57" s="6"/>
      <c r="W57" s="6"/>
      <c r="X57" s="6"/>
      <c r="Y57" s="6"/>
      <c r="Z57" s="6"/>
    </row>
  </sheetData>
  <sheetProtection sort="0" autoFilter="0" pivotTables="0"/>
  <mergeCells count="21">
    <mergeCell ref="R7:T7"/>
    <mergeCell ref="B3:T3"/>
    <mergeCell ref="B4:T4"/>
    <mergeCell ref="B5:T5"/>
    <mergeCell ref="B9:L9"/>
    <mergeCell ref="N9:T9"/>
    <mergeCell ref="Y32:Z32"/>
    <mergeCell ref="Y33:Z33"/>
    <mergeCell ref="V32:W32"/>
    <mergeCell ref="V33:W33"/>
    <mergeCell ref="B11:L11"/>
    <mergeCell ref="C12:L12"/>
    <mergeCell ref="C13:L13"/>
    <mergeCell ref="B32:T32"/>
    <mergeCell ref="C21:L23"/>
    <mergeCell ref="C24:L26"/>
    <mergeCell ref="C14:L14"/>
    <mergeCell ref="C15:L15"/>
    <mergeCell ref="C18:L18"/>
    <mergeCell ref="C19:L19"/>
    <mergeCell ref="C20:L20"/>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B49073"/>
  </sheetPr>
  <dimension ref="A1:T59"/>
  <sheetViews>
    <sheetView showGridLines="0" showRowColHeaders="0" zoomScale="70" zoomScaleNormal="70" workbookViewId="0"/>
  </sheetViews>
  <sheetFormatPr defaultRowHeight="14.25"/>
  <cols>
    <col min="1" max="1" width="15.796875" style="8" customWidth="1"/>
    <col min="2" max="3" width="26.796875" style="8" customWidth="1"/>
    <col min="4" max="14" width="12.796875" customWidth="1"/>
    <col min="15" max="15" width="2.796875" customWidth="1"/>
    <col min="16" max="17" width="12.796875" customWidth="1"/>
    <col min="19" max="20" width="12.796875" customWidth="1"/>
  </cols>
  <sheetData>
    <row r="1" spans="1:19" ht="15.75">
      <c r="A1" s="16" t="s">
        <v>312</v>
      </c>
      <c r="B1"/>
      <c r="C1"/>
    </row>
    <row r="2" spans="1:19" ht="15.75">
      <c r="A2" s="26" t="s">
        <v>35</v>
      </c>
      <c r="B2"/>
      <c r="C2" s="27">
        <v>42977</v>
      </c>
      <c r="M2" s="342" t="s">
        <v>44</v>
      </c>
      <c r="N2" s="342"/>
      <c r="O2" s="342"/>
      <c r="P2" s="342"/>
      <c r="Q2" s="342"/>
      <c r="R2" s="50"/>
      <c r="S2" s="50"/>
    </row>
    <row r="3" spans="1:19" ht="23.25">
      <c r="A3" s="343" t="s">
        <v>7</v>
      </c>
      <c r="B3" s="343"/>
      <c r="C3" s="343"/>
      <c r="D3" s="343"/>
      <c r="E3" s="343"/>
      <c r="F3" s="343"/>
      <c r="G3" s="343"/>
      <c r="H3" s="343"/>
      <c r="I3" s="343"/>
      <c r="J3" s="343"/>
      <c r="K3" s="343"/>
      <c r="L3" s="343"/>
      <c r="M3" s="343"/>
      <c r="N3" s="343"/>
      <c r="O3" s="343"/>
      <c r="P3" s="343"/>
      <c r="Q3" s="343"/>
      <c r="R3" s="120"/>
      <c r="S3" s="120"/>
    </row>
    <row r="4" spans="1:19" ht="15.75">
      <c r="A4" s="119"/>
      <c r="B4" s="119"/>
      <c r="C4" s="119"/>
      <c r="D4" s="119"/>
      <c r="E4" s="119"/>
      <c r="F4" s="119"/>
      <c r="G4" s="119"/>
      <c r="H4" s="119"/>
      <c r="I4" s="119"/>
      <c r="J4" s="119"/>
      <c r="K4" s="119"/>
      <c r="L4" s="119"/>
      <c r="M4" s="119"/>
      <c r="N4" s="119"/>
      <c r="O4" s="119"/>
      <c r="P4" s="119"/>
      <c r="Q4" s="119"/>
      <c r="R4" s="120"/>
      <c r="S4" s="120"/>
    </row>
    <row r="5" spans="1:19" ht="15.75">
      <c r="A5" s="119"/>
      <c r="B5" s="337" t="s">
        <v>374</v>
      </c>
      <c r="C5" s="337"/>
      <c r="D5" s="337"/>
      <c r="E5" s="337"/>
      <c r="F5" s="337"/>
      <c r="G5" s="337"/>
      <c r="H5" s="337"/>
      <c r="I5" s="337"/>
      <c r="J5" s="337"/>
      <c r="K5" s="337"/>
      <c r="L5" s="119"/>
      <c r="M5" s="119"/>
      <c r="N5" s="119"/>
      <c r="O5" s="119"/>
      <c r="P5" s="119"/>
      <c r="Q5" s="119"/>
      <c r="R5" s="120"/>
      <c r="S5" s="120"/>
    </row>
    <row r="6" spans="1:19" ht="15.75">
      <c r="A6" s="119"/>
      <c r="B6" s="337" t="s">
        <v>368</v>
      </c>
      <c r="C6" s="337"/>
      <c r="D6" s="337"/>
      <c r="E6" s="337"/>
      <c r="F6" s="337"/>
      <c r="G6" s="337"/>
      <c r="H6" s="337"/>
      <c r="I6" s="337"/>
      <c r="J6" s="337"/>
      <c r="K6" s="337"/>
      <c r="L6" s="119"/>
      <c r="M6" s="119"/>
      <c r="N6" s="119"/>
      <c r="O6" s="119"/>
      <c r="P6" s="119"/>
      <c r="Q6" s="119"/>
      <c r="R6" s="120"/>
      <c r="S6" s="120"/>
    </row>
    <row r="7" spans="1:19" ht="15.75">
      <c r="A7" s="119"/>
      <c r="B7" s="333" t="s">
        <v>334</v>
      </c>
      <c r="C7" s="333"/>
      <c r="D7" s="333"/>
      <c r="E7" s="333"/>
      <c r="F7" s="333"/>
      <c r="G7" s="333"/>
      <c r="H7" s="333"/>
      <c r="I7" s="333"/>
      <c r="J7" s="333"/>
      <c r="K7" s="333"/>
      <c r="L7" s="119"/>
      <c r="M7" s="119"/>
      <c r="N7" s="119"/>
      <c r="O7" s="119"/>
      <c r="P7" s="119"/>
      <c r="Q7" s="119"/>
      <c r="R7" s="120"/>
      <c r="S7" s="120"/>
    </row>
    <row r="8" spans="1:19" ht="15.75">
      <c r="A8" s="119"/>
      <c r="B8" s="333" t="s">
        <v>335</v>
      </c>
      <c r="C8" s="333"/>
      <c r="D8" s="333"/>
      <c r="E8" s="333"/>
      <c r="F8" s="333"/>
      <c r="G8" s="333"/>
      <c r="H8" s="333"/>
      <c r="I8" s="333"/>
      <c r="J8" s="333"/>
      <c r="K8" s="333"/>
      <c r="L8" s="119"/>
      <c r="M8" s="119"/>
      <c r="N8" s="119"/>
      <c r="O8" s="119"/>
      <c r="P8" s="119"/>
      <c r="Q8" s="119"/>
      <c r="R8" s="120"/>
      <c r="S8" s="120"/>
    </row>
    <row r="9" spans="1:19" ht="15.75">
      <c r="A9" s="119"/>
      <c r="B9" s="119"/>
      <c r="C9" s="119"/>
      <c r="D9" s="119"/>
      <c r="E9" s="119"/>
      <c r="F9" s="119"/>
      <c r="G9" s="119"/>
      <c r="H9" s="119"/>
      <c r="I9" s="119"/>
      <c r="J9" s="119"/>
      <c r="K9" s="119"/>
      <c r="L9" s="119"/>
      <c r="M9" s="119"/>
      <c r="N9" s="119"/>
      <c r="O9" s="119"/>
      <c r="P9" s="119"/>
      <c r="Q9" s="119"/>
      <c r="R9" s="120"/>
      <c r="S9" s="120"/>
    </row>
    <row r="10" spans="1:19" ht="15.75">
      <c r="A10" s="26"/>
      <c r="B10"/>
      <c r="C10" s="27"/>
      <c r="N10" s="120"/>
      <c r="O10" s="120"/>
      <c r="P10" s="120"/>
      <c r="Q10" s="120"/>
      <c r="R10" s="120"/>
      <c r="S10" s="120"/>
    </row>
    <row r="11" spans="1:19" ht="23.65" thickBot="1">
      <c r="A11" s="130" t="s">
        <v>2</v>
      </c>
      <c r="B11" s="130" t="s">
        <v>3</v>
      </c>
      <c r="C11" s="130" t="s">
        <v>55</v>
      </c>
      <c r="M11" s="321" t="s">
        <v>46</v>
      </c>
      <c r="N11" s="321"/>
      <c r="O11" s="11"/>
      <c r="P11" s="318" t="s">
        <v>46</v>
      </c>
      <c r="Q11" s="318"/>
    </row>
    <row r="12" spans="1:19">
      <c r="A12" s="49">
        <v>2010</v>
      </c>
      <c r="B12" s="49" t="s">
        <v>42</v>
      </c>
      <c r="C12" s="49">
        <v>18.2</v>
      </c>
      <c r="M12" s="319" t="s">
        <v>65</v>
      </c>
      <c r="N12" s="320"/>
      <c r="O12" s="11"/>
      <c r="P12" s="319" t="s">
        <v>66</v>
      </c>
      <c r="Q12" s="320"/>
    </row>
    <row r="13" spans="1:19">
      <c r="A13" s="49">
        <v>2011</v>
      </c>
      <c r="B13" s="49" t="s">
        <v>42</v>
      </c>
      <c r="C13" s="49">
        <v>17.190000000000001</v>
      </c>
      <c r="M13" s="56" t="s">
        <v>61</v>
      </c>
      <c r="N13" s="56" t="s">
        <v>62</v>
      </c>
      <c r="O13" s="11"/>
      <c r="P13" s="56" t="s">
        <v>61</v>
      </c>
      <c r="Q13" s="56" t="s">
        <v>62</v>
      </c>
    </row>
    <row r="14" spans="1:19">
      <c r="A14" s="14">
        <v>2012</v>
      </c>
      <c r="B14" s="14" t="s">
        <v>42</v>
      </c>
      <c r="C14" s="49">
        <v>15.39</v>
      </c>
      <c r="M14" s="244" t="s">
        <v>392</v>
      </c>
      <c r="N14" s="244" t="s">
        <v>448</v>
      </c>
      <c r="O14" s="11"/>
      <c r="P14" s="244" t="s">
        <v>392</v>
      </c>
      <c r="Q14" s="244" t="s">
        <v>448</v>
      </c>
    </row>
    <row r="15" spans="1:19">
      <c r="A15" s="49">
        <v>2013</v>
      </c>
      <c r="B15" s="49" t="s">
        <v>42</v>
      </c>
      <c r="C15" s="49">
        <v>13.68</v>
      </c>
      <c r="M15" s="244" t="s">
        <v>393</v>
      </c>
      <c r="N15" s="244" t="s">
        <v>449</v>
      </c>
      <c r="O15" s="11"/>
      <c r="P15" s="244" t="s">
        <v>393</v>
      </c>
      <c r="Q15" s="244" t="s">
        <v>449</v>
      </c>
    </row>
    <row r="16" spans="1:19">
      <c r="A16" s="49">
        <v>2014</v>
      </c>
      <c r="B16" s="49" t="s">
        <v>42</v>
      </c>
      <c r="C16" s="49">
        <v>16.420000000000002</v>
      </c>
      <c r="M16" s="244" t="s">
        <v>394</v>
      </c>
      <c r="N16" s="244" t="s">
        <v>450</v>
      </c>
      <c r="O16" s="11"/>
      <c r="P16" s="244" t="s">
        <v>394</v>
      </c>
      <c r="Q16" s="244" t="s">
        <v>450</v>
      </c>
    </row>
    <row r="17" spans="1:18">
      <c r="A17" s="14">
        <v>2015</v>
      </c>
      <c r="B17" s="14" t="s">
        <v>42</v>
      </c>
      <c r="C17" s="49">
        <v>17.61</v>
      </c>
      <c r="M17" s="244" t="s">
        <v>434</v>
      </c>
      <c r="N17" s="244" t="s">
        <v>451</v>
      </c>
      <c r="O17" s="11"/>
      <c r="P17" s="244" t="s">
        <v>434</v>
      </c>
      <c r="Q17" s="244" t="s">
        <v>451</v>
      </c>
    </row>
    <row r="18" spans="1:18">
      <c r="A18" s="49">
        <v>2016</v>
      </c>
      <c r="B18" s="49" t="s">
        <v>42</v>
      </c>
      <c r="C18" s="49"/>
      <c r="M18" s="244" t="s">
        <v>435</v>
      </c>
      <c r="N18" s="244" t="s">
        <v>452</v>
      </c>
      <c r="P18" s="244" t="s">
        <v>435</v>
      </c>
      <c r="Q18" s="244" t="s">
        <v>452</v>
      </c>
    </row>
    <row r="19" spans="1:18">
      <c r="A19" s="49">
        <v>2017</v>
      </c>
      <c r="B19" s="49" t="s">
        <v>42</v>
      </c>
      <c r="C19" s="49"/>
      <c r="M19" s="244" t="s">
        <v>436</v>
      </c>
      <c r="N19" s="244" t="s">
        <v>453</v>
      </c>
      <c r="P19" s="244" t="s">
        <v>436</v>
      </c>
      <c r="Q19" s="244" t="s">
        <v>453</v>
      </c>
    </row>
    <row r="20" spans="1:18">
      <c r="A20" s="14">
        <v>2018</v>
      </c>
      <c r="B20" s="14" t="s">
        <v>42</v>
      </c>
      <c r="C20" s="14"/>
      <c r="M20" s="244" t="s">
        <v>437</v>
      </c>
      <c r="N20" s="245" t="s">
        <v>454</v>
      </c>
      <c r="P20" s="244" t="s">
        <v>437</v>
      </c>
      <c r="Q20" s="245" t="s">
        <v>454</v>
      </c>
    </row>
    <row r="21" spans="1:18">
      <c r="A21" s="49">
        <v>2019</v>
      </c>
      <c r="B21" s="49" t="s">
        <v>42</v>
      </c>
      <c r="C21" s="49"/>
      <c r="M21" s="244" t="s">
        <v>438</v>
      </c>
      <c r="N21" s="244" t="s">
        <v>455</v>
      </c>
      <c r="P21" s="244" t="s">
        <v>438</v>
      </c>
      <c r="Q21" s="244" t="s">
        <v>455</v>
      </c>
    </row>
    <row r="22" spans="1:18">
      <c r="A22" s="49">
        <v>2020</v>
      </c>
      <c r="B22" s="49" t="s">
        <v>42</v>
      </c>
      <c r="C22" s="49"/>
      <c r="M22" s="245" t="s">
        <v>439</v>
      </c>
      <c r="N22" s="244" t="s">
        <v>456</v>
      </c>
      <c r="P22" s="244" t="s">
        <v>439</v>
      </c>
      <c r="Q22" s="244" t="s">
        <v>456</v>
      </c>
    </row>
    <row r="23" spans="1:18">
      <c r="A23" s="14">
        <v>2021</v>
      </c>
      <c r="B23" s="14" t="s">
        <v>42</v>
      </c>
      <c r="C23" s="14"/>
      <c r="M23" s="244" t="s">
        <v>440</v>
      </c>
      <c r="N23" s="244" t="s">
        <v>457</v>
      </c>
      <c r="P23" s="244" t="s">
        <v>440</v>
      </c>
      <c r="Q23" s="244" t="s">
        <v>457</v>
      </c>
    </row>
    <row r="24" spans="1:18">
      <c r="A24" s="49">
        <v>2022</v>
      </c>
      <c r="B24" s="49" t="s">
        <v>42</v>
      </c>
      <c r="C24" s="49"/>
      <c r="M24" s="244" t="s">
        <v>441</v>
      </c>
      <c r="N24" s="244" t="s">
        <v>458</v>
      </c>
      <c r="P24" s="244" t="s">
        <v>441</v>
      </c>
      <c r="Q24" s="244" t="s">
        <v>458</v>
      </c>
    </row>
    <row r="25" spans="1:18">
      <c r="A25" s="49">
        <v>2023</v>
      </c>
      <c r="B25" s="49" t="s">
        <v>42</v>
      </c>
      <c r="C25" s="49"/>
      <c r="M25" s="244" t="s">
        <v>442</v>
      </c>
      <c r="N25" s="244" t="s">
        <v>459</v>
      </c>
      <c r="P25" s="244" t="s">
        <v>442</v>
      </c>
      <c r="Q25" s="244" t="s">
        <v>459</v>
      </c>
    </row>
    <row r="26" spans="1:18">
      <c r="A26" s="49">
        <v>2024</v>
      </c>
      <c r="B26" s="49" t="s">
        <v>42</v>
      </c>
      <c r="C26" s="49"/>
      <c r="M26" s="244" t="s">
        <v>443</v>
      </c>
      <c r="N26" s="244" t="s">
        <v>460</v>
      </c>
      <c r="P26" s="244" t="s">
        <v>443</v>
      </c>
      <c r="Q26" s="244" t="s">
        <v>460</v>
      </c>
    </row>
    <row r="27" spans="1:18">
      <c r="A27" s="49">
        <v>2025</v>
      </c>
      <c r="B27" s="49" t="s">
        <v>42</v>
      </c>
      <c r="C27" s="49"/>
      <c r="L27" s="6"/>
      <c r="M27" s="244" t="s">
        <v>444</v>
      </c>
      <c r="N27" s="245" t="s">
        <v>461</v>
      </c>
      <c r="O27" s="6"/>
      <c r="P27" s="244" t="s">
        <v>444</v>
      </c>
      <c r="Q27" s="245" t="s">
        <v>461</v>
      </c>
      <c r="R27" s="6"/>
    </row>
    <row r="28" spans="1:18">
      <c r="L28" s="6"/>
      <c r="M28" s="244" t="s">
        <v>445</v>
      </c>
      <c r="N28" s="244" t="s">
        <v>462</v>
      </c>
      <c r="O28" s="6"/>
      <c r="P28" s="244" t="s">
        <v>445</v>
      </c>
      <c r="Q28" s="244" t="s">
        <v>462</v>
      </c>
      <c r="R28" s="6"/>
    </row>
    <row r="29" spans="1:18">
      <c r="L29" s="6"/>
      <c r="M29" s="246" t="s">
        <v>446</v>
      </c>
      <c r="N29" s="244" t="s">
        <v>463</v>
      </c>
      <c r="O29" s="6"/>
      <c r="P29" s="246" t="s">
        <v>446</v>
      </c>
      <c r="Q29" s="244" t="s">
        <v>463</v>
      </c>
      <c r="R29" s="6"/>
    </row>
    <row r="30" spans="1:18">
      <c r="A30" s="9"/>
      <c r="C30" s="36"/>
      <c r="L30" s="6"/>
      <c r="M30" s="247" t="s">
        <v>447</v>
      </c>
      <c r="N30" s="244" t="s">
        <v>464</v>
      </c>
      <c r="O30" s="6"/>
      <c r="P30" s="247" t="s">
        <v>447</v>
      </c>
      <c r="Q30" s="244" t="s">
        <v>464</v>
      </c>
      <c r="R30" s="6"/>
    </row>
    <row r="31" spans="1:18">
      <c r="A31" s="9"/>
      <c r="C31" s="25"/>
      <c r="L31" s="6"/>
      <c r="M31" s="295"/>
      <c r="N31" s="244" t="s">
        <v>465</v>
      </c>
      <c r="O31" s="6"/>
      <c r="P31" s="284"/>
      <c r="Q31" s="244" t="s">
        <v>465</v>
      </c>
      <c r="R31" s="6"/>
    </row>
    <row r="32" spans="1:18">
      <c r="A32" s="9"/>
      <c r="C32" s="36"/>
      <c r="L32" s="6"/>
      <c r="M32" s="204"/>
      <c r="N32" s="248" t="s">
        <v>466</v>
      </c>
      <c r="O32" s="6"/>
      <c r="P32" s="257"/>
      <c r="Q32" s="258" t="s">
        <v>466</v>
      </c>
      <c r="R32" s="6"/>
    </row>
    <row r="33" spans="1:20">
      <c r="A33" s="9"/>
      <c r="C33" s="36"/>
      <c r="L33" s="6"/>
      <c r="M33" s="250"/>
      <c r="N33" s="251"/>
      <c r="O33" s="6"/>
      <c r="P33" s="250"/>
      <c r="Q33" s="251"/>
      <c r="R33" s="6"/>
      <c r="S33" s="57"/>
      <c r="T33" s="57"/>
    </row>
    <row r="34" spans="1:20">
      <c r="A34" s="37"/>
      <c r="C34" s="36"/>
      <c r="L34" s="6"/>
      <c r="M34" s="249"/>
      <c r="N34" s="251"/>
      <c r="O34" s="6"/>
      <c r="P34" s="249"/>
      <c r="Q34" s="251"/>
      <c r="R34" s="6"/>
    </row>
    <row r="35" spans="1:20">
      <c r="A35" s="37"/>
      <c r="C35" s="25"/>
    </row>
    <row r="36" spans="1:20">
      <c r="A36" s="37"/>
      <c r="C36" s="36"/>
    </row>
    <row r="37" spans="1:20">
      <c r="A37" s="37"/>
      <c r="C37" s="36"/>
    </row>
    <row r="38" spans="1:20">
      <c r="A38" s="37"/>
      <c r="C38" s="36"/>
    </row>
    <row r="39" spans="1:20">
      <c r="A39" s="37"/>
      <c r="C39" s="25"/>
    </row>
    <row r="40" spans="1:20">
      <c r="A40" s="37"/>
      <c r="C40" s="36"/>
    </row>
    <row r="41" spans="1:20">
      <c r="A41" s="37"/>
      <c r="C41" s="36"/>
    </row>
    <row r="42" spans="1:20">
      <c r="A42" s="37"/>
      <c r="C42" s="36"/>
    </row>
    <row r="43" spans="1:20">
      <c r="A43" s="37"/>
      <c r="C43" s="25"/>
    </row>
    <row r="44" spans="1:20">
      <c r="A44" s="37"/>
      <c r="C44" s="36"/>
    </row>
    <row r="45" spans="1:20">
      <c r="A45" s="37"/>
      <c r="C45" s="25"/>
    </row>
    <row r="46" spans="1:20">
      <c r="A46" s="37"/>
      <c r="C46" s="25"/>
    </row>
    <row r="47" spans="1:20">
      <c r="A47" s="37"/>
      <c r="C47" s="25"/>
    </row>
    <row r="48" spans="1:20">
      <c r="A48" s="37"/>
      <c r="C48" s="25"/>
    </row>
    <row r="49" spans="1:3">
      <c r="A49" s="37"/>
      <c r="C49" s="25"/>
    </row>
    <row r="50" spans="1:3">
      <c r="A50" s="37"/>
      <c r="C50" s="25"/>
    </row>
    <row r="51" spans="1:3">
      <c r="A51" s="37"/>
      <c r="C51" s="9"/>
    </row>
    <row r="52" spans="1:3">
      <c r="A52" s="9"/>
      <c r="C52" s="9"/>
    </row>
    <row r="53" spans="1:3">
      <c r="A53" s="37"/>
    </row>
    <row r="54" spans="1:3">
      <c r="A54" s="37"/>
    </row>
    <row r="55" spans="1:3">
      <c r="A55" s="37"/>
    </row>
    <row r="56" spans="1:3">
      <c r="A56" s="37"/>
    </row>
    <row r="57" spans="1:3">
      <c r="A57" s="37"/>
    </row>
    <row r="58" spans="1:3">
      <c r="A58" s="37"/>
    </row>
    <row r="59" spans="1:3">
      <c r="A59" s="37"/>
    </row>
  </sheetData>
  <mergeCells count="10">
    <mergeCell ref="M2:Q2"/>
    <mergeCell ref="M11:N11"/>
    <mergeCell ref="M12:N12"/>
    <mergeCell ref="P11:Q11"/>
    <mergeCell ref="P12:Q12"/>
    <mergeCell ref="A3:Q3"/>
    <mergeCell ref="B5:K5"/>
    <mergeCell ref="B6:K6"/>
    <mergeCell ref="B7:K7"/>
    <mergeCell ref="B8:K8"/>
  </mergeCells>
  <hyperlinks>
    <hyperlink ref="M2" location="'Information och Innehåll'!A1" display="Tillbaka till Information och Innehåll"/>
    <hyperlink ref="M14" location="V1.1.1!A1" display="V1.1.1"/>
    <hyperlink ref="M15" location="V1.1.2!A1" display="V1.1.2"/>
    <hyperlink ref="M16" location="V1.1.3!A1" display="V1.1.3"/>
    <hyperlink ref="M17" location="V2.1.1!A1" display="V2.1.1"/>
    <hyperlink ref="M18" location="V2.1.2!A1" display="V2.1.2"/>
    <hyperlink ref="M20" location="V3.1.2!A1" display="V3.1.2"/>
    <hyperlink ref="M19" location="V3.1.1!A1" display="V3.1.1"/>
    <hyperlink ref="M21" location="V3.1.3!A1" display="V3.1.3"/>
    <hyperlink ref="M23" location="V4.1.1!A1" display="V4.1.1"/>
    <hyperlink ref="M24" location="V4.2.1!A1" display="V4.2.1"/>
    <hyperlink ref="M25" location="V4.2.2!A1" display="V4.2.2"/>
    <hyperlink ref="M26" location="V4.2.3!A1" display="V4.2.3"/>
    <hyperlink ref="M27" location="V4.2.4!A1" display="V4.2.4"/>
    <hyperlink ref="M28" location="V5.1.1!A1" display="V5.1.1"/>
    <hyperlink ref="M29" location="V5.1.2!A1" display="V5.1.2"/>
    <hyperlink ref="N14" location="B1.1.1!A1" display="B1.1.1"/>
    <hyperlink ref="N15" location="B1.1.2!A1" display="B1.1.2"/>
    <hyperlink ref="N16" location="B1.2.1!A1" display="B1.2.1"/>
    <hyperlink ref="N17" location="B1.2.2!A1" display="B1.2.2"/>
    <hyperlink ref="N18" location="B1.2.3!A1" display="B1.2.3"/>
    <hyperlink ref="N19" location="B2.1.1!A1" display="B2.1.1"/>
    <hyperlink ref="N21" location="B2.2.1!A1" display="B2.2.1"/>
    <hyperlink ref="N22" location="B2.2.2!A1" display="B2.2.2"/>
    <hyperlink ref="N23" location="B2.2.3!A1" display="B2.2.3"/>
    <hyperlink ref="N24" location="B2.2.4!A1" display="B2.2.4"/>
    <hyperlink ref="N25" location="B3.1.1!A1" display="B3.1.1"/>
    <hyperlink ref="N26" location="B3.1.2!A1" display="B3.1.2"/>
    <hyperlink ref="N29" location="B4.1.1!A1" display="B4.1.1"/>
    <hyperlink ref="N30" location="B5.1.1!A1" display="B5.1.1"/>
    <hyperlink ref="N31" location="B5.1.2!A1" display="B5.1.2"/>
    <hyperlink ref="N32" location="B5.1.3!A1" display="B5.1.3"/>
    <hyperlink ref="N27" location="B3.1.3!A1" display="B3.1.3"/>
    <hyperlink ref="N20" location="B2.1.2!A1" display="B2.1.2"/>
    <hyperlink ref="M30" location="V5.1.3!A1" display="V5.1.3"/>
    <hyperlink ref="N28" location="B3.2.1!A1" display="B3.2.1"/>
    <hyperlink ref="M22" location="B3.2.1!A1" display="V3.2.1"/>
    <hyperlink ref="P14" location="'V1.1.1 DATA'!A1" display="V1.1.1"/>
    <hyperlink ref="P15" location="'V1.1.2 DATA'!A1" display="V1.1.2"/>
    <hyperlink ref="P16" location="'V1.1.3 Data'!A1" display="V1.1.3"/>
    <hyperlink ref="P17" location="'V2.1.1 DATA'!A1" display="V2.1.1"/>
    <hyperlink ref="P18" location="'V2.1.2 DATA'!A1" display="V2.1.2"/>
    <hyperlink ref="P20" location="'V3.1.2 DATA'!A1" display="V3.1.2"/>
    <hyperlink ref="P19" location="'V3.1.1 DATA'!A1" display="V3.1.1"/>
    <hyperlink ref="P21" location="'V3.1.3 DATA'!A1" display="V3.1.3"/>
    <hyperlink ref="P22" location="'V3.2.1 DATA'!A1" display="V3.2.1"/>
    <hyperlink ref="P23" location="'V4.1.1 DATA'!A1" display="V4.1.1"/>
    <hyperlink ref="P24" location="'V4.2.1 DATA'!A1" display="V4.2.1"/>
    <hyperlink ref="P26" location="'V4.2.3 DATA'!A1" display="V4.2.3"/>
    <hyperlink ref="P27" location="'V4.2.4 DATA'!A1" display="V4.2.4"/>
    <hyperlink ref="P28" location="'V5.1.1 DATA'!A1" display="V5.1.1"/>
    <hyperlink ref="P29" location="'V5.1.2 DATA'!A1" display="V5.1.2"/>
    <hyperlink ref="Q14" location="'B1.1.1 DATA'!A1" display="B1.1.1"/>
    <hyperlink ref="Q15" location="'B1.1.2 DATA'!A1" display="B1.1.2"/>
    <hyperlink ref="Q16" location="'B1.2.1 DATA'!A1" display="B1.2.1"/>
    <hyperlink ref="Q17" location="'B1.2.2 DATA'!A1" display="B1.2.2"/>
    <hyperlink ref="Q18" location="'B1.2.3 DATA'!A1" display="B1.2.3"/>
    <hyperlink ref="Q19" location="'B2.1.1 DATA'!A1" display="B2.1.1"/>
    <hyperlink ref="Q21" location="'B2.2.1 DATA'!A1" display="B2.2.1"/>
    <hyperlink ref="Q22" location="'B2.2.2 DATA'!A1" display="B2.2.2"/>
    <hyperlink ref="Q23" location="'B2.2.3 DATA'!A1" display="B2.2.3"/>
    <hyperlink ref="Q24" location="'B2.2.4 DATA'!A1" display="B2.2.4"/>
    <hyperlink ref="Q25" location="'B3.1.1 DATA'!A1" display="B3.1.1"/>
    <hyperlink ref="Q26" location="'B3.1.2 DATA'!A1" display="B3.1.2"/>
    <hyperlink ref="Q28" location="'B3.2.1 DATA'!A1" display="B3.2.1"/>
    <hyperlink ref="Q29" location="'B4.1.1 DATA'!A1" display="B4.1.1"/>
    <hyperlink ref="Q30" location="'B5.1.1 DATA'!A1" display="B5.1.1"/>
    <hyperlink ref="Q31" location="'B5.1.2 DATA'!A1" display="B5.1.2"/>
    <hyperlink ref="Q32" location="'B5.1.3 DATA'!A1" display="B5.1.3"/>
    <hyperlink ref="Q20" location="'B2.1.2 DATA'!A1" display="B2.1.2"/>
    <hyperlink ref="P30" location="'V5.1.3 DATA'!A1" display="V5.1.3"/>
    <hyperlink ref="Q27" location="'B3.1.3 DATA'!A1" display="B3.1.3"/>
    <hyperlink ref="P25" location="'V4.2.2 DATA'!A1" display="V4.2.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B5DAC7"/>
  </sheetPr>
  <dimension ref="A2:AA57"/>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14.45" customHeight="1">
      <c r="P2" s="10"/>
      <c r="Q2" s="11"/>
      <c r="R2" s="11"/>
    </row>
    <row r="3" spans="1:20" ht="23.25">
      <c r="B3" s="338" t="s">
        <v>400</v>
      </c>
      <c r="C3" s="338"/>
      <c r="D3" s="338"/>
      <c r="E3" s="338"/>
      <c r="F3" s="338"/>
      <c r="G3" s="338"/>
      <c r="H3" s="338"/>
      <c r="I3" s="338"/>
      <c r="J3" s="338"/>
      <c r="K3" s="338"/>
      <c r="L3" s="338"/>
      <c r="M3" s="338"/>
      <c r="N3" s="338"/>
      <c r="O3" s="338"/>
      <c r="P3" s="338"/>
      <c r="Q3" s="338"/>
      <c r="R3" s="338"/>
      <c r="S3" s="338"/>
      <c r="T3" s="338"/>
    </row>
    <row r="4" spans="1:20" ht="30.75">
      <c r="B4" s="339" t="s">
        <v>652</v>
      </c>
      <c r="C4" s="339"/>
      <c r="D4" s="339"/>
      <c r="E4" s="339"/>
      <c r="F4" s="339"/>
      <c r="G4" s="339"/>
      <c r="H4" s="339"/>
      <c r="I4" s="339"/>
      <c r="J4" s="339"/>
      <c r="K4" s="339"/>
      <c r="L4" s="339"/>
      <c r="M4" s="339"/>
      <c r="N4" s="339"/>
      <c r="O4" s="339"/>
      <c r="P4" s="339"/>
      <c r="Q4" s="339"/>
      <c r="R4" s="339"/>
      <c r="S4" s="339"/>
      <c r="T4" s="339"/>
    </row>
    <row r="5" spans="1:20" ht="18">
      <c r="B5" s="340" t="s">
        <v>45</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31"/>
      <c r="O10" s="31"/>
      <c r="P10" s="31"/>
      <c r="Q10" s="31"/>
      <c r="R10" s="31"/>
      <c r="S10" s="31"/>
      <c r="T10" s="31"/>
    </row>
    <row r="11" spans="1:20">
      <c r="B11" s="336" t="s">
        <v>40</v>
      </c>
      <c r="C11" s="336"/>
      <c r="D11" s="336"/>
      <c r="E11" s="336"/>
      <c r="F11" s="336"/>
      <c r="G11" s="336"/>
      <c r="H11" s="336"/>
      <c r="I11" s="336"/>
      <c r="J11" s="336"/>
      <c r="K11" s="336"/>
      <c r="L11" s="336"/>
      <c r="N11" s="223" t="s">
        <v>211</v>
      </c>
      <c r="O11" s="223" t="s">
        <v>286</v>
      </c>
      <c r="P11" s="200"/>
      <c r="Q11" s="200"/>
    </row>
    <row r="12" spans="1:20">
      <c r="B12" s="1"/>
      <c r="C12" s="337" t="s">
        <v>530</v>
      </c>
      <c r="D12" s="337"/>
      <c r="E12" s="337"/>
      <c r="F12" s="337"/>
      <c r="G12" s="337"/>
      <c r="H12" s="337"/>
      <c r="I12" s="337"/>
      <c r="J12" s="337"/>
      <c r="K12" s="337"/>
      <c r="L12" s="337"/>
      <c r="N12" s="223" t="s">
        <v>287</v>
      </c>
      <c r="O12" s="200" t="s">
        <v>42</v>
      </c>
      <c r="P12" s="200" t="s">
        <v>6</v>
      </c>
      <c r="Q12" s="200" t="s">
        <v>5</v>
      </c>
    </row>
    <row r="13" spans="1:20">
      <c r="B13" s="32"/>
      <c r="C13" s="332" t="s">
        <v>531</v>
      </c>
      <c r="D13" s="332"/>
      <c r="E13" s="332"/>
      <c r="F13" s="332"/>
      <c r="G13" s="332"/>
      <c r="H13" s="332"/>
      <c r="I13" s="332"/>
      <c r="J13" s="332"/>
      <c r="K13" s="332"/>
      <c r="L13" s="332"/>
      <c r="N13" s="88">
        <v>2010</v>
      </c>
      <c r="O13" s="200">
        <v>1966</v>
      </c>
      <c r="P13" s="200">
        <v>1937</v>
      </c>
      <c r="Q13" s="200">
        <v>1991</v>
      </c>
    </row>
    <row r="14" spans="1:20">
      <c r="B14" s="32"/>
      <c r="C14" s="333" t="s">
        <v>292</v>
      </c>
      <c r="D14" s="333"/>
      <c r="E14" s="333"/>
      <c r="F14" s="333"/>
      <c r="G14" s="333"/>
      <c r="H14" s="333"/>
      <c r="I14" s="333"/>
      <c r="J14" s="333"/>
      <c r="K14" s="333"/>
      <c r="L14" s="333"/>
      <c r="N14" s="88">
        <v>2011</v>
      </c>
      <c r="O14" s="200">
        <v>2107</v>
      </c>
      <c r="P14" s="200">
        <v>2006</v>
      </c>
      <c r="Q14" s="200">
        <v>2195</v>
      </c>
    </row>
    <row r="15" spans="1:20">
      <c r="B15" s="32"/>
      <c r="C15" s="333" t="s">
        <v>532</v>
      </c>
      <c r="D15" s="333"/>
      <c r="E15" s="333"/>
      <c r="F15" s="333"/>
      <c r="G15" s="333"/>
      <c r="H15" s="333"/>
      <c r="I15" s="333"/>
      <c r="J15" s="333"/>
      <c r="K15" s="333"/>
      <c r="L15" s="333"/>
      <c r="N15" s="88">
        <v>2012</v>
      </c>
      <c r="O15" s="200">
        <v>2223</v>
      </c>
      <c r="P15" s="200">
        <v>2337</v>
      </c>
      <c r="Q15" s="200">
        <v>2121</v>
      </c>
    </row>
    <row r="16" spans="1:20">
      <c r="A16" s="3"/>
      <c r="B16" s="1"/>
      <c r="C16" s="1"/>
      <c r="D16" s="1"/>
      <c r="E16" s="1"/>
      <c r="F16" s="1"/>
      <c r="G16" s="1"/>
      <c r="H16" s="1"/>
      <c r="I16" s="1"/>
      <c r="J16" s="1"/>
      <c r="K16" s="1"/>
      <c r="L16" s="31"/>
      <c r="N16" s="88">
        <v>2013</v>
      </c>
      <c r="O16" s="200">
        <v>1998</v>
      </c>
      <c r="P16" s="200">
        <v>1904</v>
      </c>
      <c r="Q16" s="200">
        <v>2082</v>
      </c>
    </row>
    <row r="17" spans="1:26">
      <c r="A17" s="3"/>
      <c r="B17" s="30" t="s">
        <v>41</v>
      </c>
      <c r="C17" s="31"/>
      <c r="D17" s="31"/>
      <c r="E17" s="31"/>
      <c r="F17" s="31"/>
      <c r="G17" s="31"/>
      <c r="H17" s="31"/>
      <c r="I17" s="31"/>
      <c r="J17" s="31"/>
      <c r="K17" s="31"/>
      <c r="L17" s="31"/>
      <c r="N17" s="88">
        <v>2014</v>
      </c>
      <c r="O17" s="200">
        <v>1877</v>
      </c>
      <c r="P17" s="200">
        <v>1928</v>
      </c>
      <c r="Q17" s="200">
        <v>1832</v>
      </c>
    </row>
    <row r="18" spans="1:26">
      <c r="A18" s="3"/>
      <c r="B18" s="31"/>
      <c r="C18" s="362" t="s">
        <v>295</v>
      </c>
      <c r="D18" s="362"/>
      <c r="E18" s="362"/>
      <c r="F18" s="362"/>
      <c r="G18" s="362"/>
      <c r="H18" s="362"/>
      <c r="I18" s="362"/>
      <c r="J18" s="362"/>
      <c r="K18" s="362"/>
      <c r="L18" s="362"/>
      <c r="N18" s="88">
        <v>2015</v>
      </c>
      <c r="O18" s="200"/>
      <c r="P18" s="200"/>
      <c r="Q18" s="200"/>
    </row>
    <row r="19" spans="1:26">
      <c r="A19" s="3"/>
      <c r="B19" s="31"/>
      <c r="C19" s="362" t="s">
        <v>296</v>
      </c>
      <c r="D19" s="362"/>
      <c r="E19" s="362"/>
      <c r="F19" s="362"/>
      <c r="G19" s="362"/>
      <c r="H19" s="362"/>
      <c r="I19" s="362"/>
      <c r="J19" s="362"/>
      <c r="K19" s="362"/>
      <c r="L19" s="362"/>
      <c r="N19" s="88">
        <v>2016</v>
      </c>
      <c r="O19" s="200"/>
      <c r="P19" s="200"/>
      <c r="Q19" s="200"/>
    </row>
    <row r="20" spans="1:26">
      <c r="A20" s="3"/>
      <c r="B20" s="31"/>
      <c r="C20" s="353" t="s">
        <v>358</v>
      </c>
      <c r="D20" s="353"/>
      <c r="E20" s="353"/>
      <c r="F20" s="353"/>
      <c r="G20" s="353"/>
      <c r="H20" s="353"/>
      <c r="I20" s="353"/>
      <c r="J20" s="353"/>
      <c r="K20" s="353"/>
      <c r="L20" s="353"/>
      <c r="N20" s="88">
        <v>2017</v>
      </c>
      <c r="O20" s="200"/>
      <c r="P20" s="200"/>
      <c r="Q20" s="200"/>
    </row>
    <row r="21" spans="1:26">
      <c r="A21" s="3"/>
      <c r="B21" s="31"/>
      <c r="C21" s="333" t="s">
        <v>356</v>
      </c>
      <c r="D21" s="333"/>
      <c r="E21" s="333"/>
      <c r="F21" s="333"/>
      <c r="G21" s="333"/>
      <c r="H21" s="333"/>
      <c r="I21" s="333"/>
      <c r="J21" s="333"/>
      <c r="K21" s="333"/>
      <c r="L21" s="333"/>
      <c r="N21" s="88">
        <v>2018</v>
      </c>
      <c r="O21" s="200"/>
      <c r="P21" s="200"/>
      <c r="Q21" s="200"/>
    </row>
    <row r="22" spans="1:26">
      <c r="A22" s="3"/>
      <c r="B22" s="31"/>
      <c r="C22" s="333"/>
      <c r="D22" s="333"/>
      <c r="E22" s="333"/>
      <c r="F22" s="333"/>
      <c r="G22" s="333"/>
      <c r="H22" s="333"/>
      <c r="I22" s="333"/>
      <c r="J22" s="333"/>
      <c r="K22" s="333"/>
      <c r="L22" s="333"/>
      <c r="N22" s="88">
        <v>2019</v>
      </c>
      <c r="O22" s="200"/>
      <c r="P22" s="200"/>
      <c r="Q22" s="200"/>
    </row>
    <row r="23" spans="1:26">
      <c r="A23" s="3"/>
      <c r="B23" s="31"/>
      <c r="C23" s="333"/>
      <c r="D23" s="333"/>
      <c r="E23" s="333"/>
      <c r="F23" s="333"/>
      <c r="G23" s="333"/>
      <c r="H23" s="333"/>
      <c r="I23" s="333"/>
      <c r="J23" s="333"/>
      <c r="K23" s="333"/>
      <c r="L23" s="333"/>
      <c r="N23" s="88">
        <v>2020</v>
      </c>
      <c r="O23" s="200"/>
      <c r="P23" s="200"/>
      <c r="Q23" s="200"/>
    </row>
    <row r="24" spans="1:26">
      <c r="A24" s="3"/>
      <c r="B24" s="31"/>
      <c r="C24" s="335" t="s">
        <v>321</v>
      </c>
      <c r="D24" s="335"/>
      <c r="E24" s="335"/>
      <c r="F24" s="335"/>
      <c r="G24" s="335"/>
      <c r="H24" s="335"/>
      <c r="I24" s="335"/>
      <c r="J24" s="335"/>
      <c r="K24" s="335"/>
      <c r="L24" s="335"/>
      <c r="N24" s="88">
        <v>2021</v>
      </c>
      <c r="O24" s="200"/>
      <c r="P24" s="200"/>
      <c r="Q24" s="200"/>
    </row>
    <row r="25" spans="1:26">
      <c r="A25" s="3"/>
      <c r="B25" s="31"/>
      <c r="C25" s="335"/>
      <c r="D25" s="335"/>
      <c r="E25" s="335"/>
      <c r="F25" s="335"/>
      <c r="G25" s="335"/>
      <c r="H25" s="335"/>
      <c r="I25" s="335"/>
      <c r="J25" s="335"/>
      <c r="K25" s="335"/>
      <c r="L25" s="335"/>
      <c r="N25" s="88">
        <v>2022</v>
      </c>
      <c r="O25" s="200"/>
      <c r="P25" s="200"/>
      <c r="Q25" s="200"/>
    </row>
    <row r="26" spans="1:26">
      <c r="A26" s="3"/>
      <c r="B26" s="1"/>
      <c r="C26" s="335"/>
      <c r="D26" s="335"/>
      <c r="E26" s="335"/>
      <c r="F26" s="335"/>
      <c r="G26" s="335"/>
      <c r="H26" s="335"/>
      <c r="I26" s="335"/>
      <c r="J26" s="335"/>
      <c r="K26" s="335"/>
      <c r="L26" s="335"/>
      <c r="N26" s="88">
        <v>2023</v>
      </c>
      <c r="O26" s="200"/>
      <c r="P26" s="200"/>
      <c r="Q26" s="200"/>
    </row>
    <row r="27" spans="1:26">
      <c r="B27" s="1"/>
      <c r="C27" s="47"/>
      <c r="D27" s="47"/>
      <c r="E27" s="47"/>
      <c r="F27" s="47"/>
      <c r="G27" s="47"/>
      <c r="H27" s="47"/>
      <c r="I27" s="47"/>
      <c r="J27" s="47"/>
      <c r="K27" s="47"/>
      <c r="L27" s="47"/>
      <c r="N27" s="88">
        <v>2024</v>
      </c>
      <c r="O27" s="200"/>
      <c r="P27" s="200"/>
      <c r="Q27" s="200"/>
    </row>
    <row r="28" spans="1:26">
      <c r="B28" s="1"/>
      <c r="C28" s="47"/>
      <c r="D28" s="47"/>
      <c r="E28" s="47"/>
      <c r="F28" s="47"/>
      <c r="G28" s="47"/>
      <c r="H28" s="47"/>
      <c r="I28" s="47"/>
      <c r="J28" s="47"/>
      <c r="K28" s="47"/>
      <c r="L28" s="47"/>
      <c r="N28" s="88">
        <v>2025</v>
      </c>
      <c r="O28" s="200"/>
      <c r="P28" s="200"/>
      <c r="Q28" s="200"/>
    </row>
    <row r="29" spans="1:26">
      <c r="B29" s="1"/>
      <c r="C29" s="47"/>
      <c r="D29" s="47"/>
      <c r="E29" s="47"/>
      <c r="F29" s="47"/>
      <c r="G29" s="47"/>
      <c r="H29" s="47"/>
      <c r="I29" s="47"/>
      <c r="J29" s="47"/>
      <c r="K29" s="47"/>
      <c r="L29" s="47"/>
    </row>
    <row r="30" spans="1:26">
      <c r="B30" s="31"/>
      <c r="C30" s="1"/>
      <c r="D30" s="1"/>
      <c r="E30" s="1"/>
      <c r="F30" s="1"/>
      <c r="G30" s="1"/>
      <c r="H30" s="1"/>
      <c r="I30" s="1"/>
      <c r="J30" s="1"/>
      <c r="K30" s="1"/>
      <c r="L30" s="1"/>
      <c r="M30" s="9"/>
      <c r="N30" s="31"/>
      <c r="O30" s="34"/>
      <c r="P30" s="35"/>
      <c r="Q30" s="35"/>
      <c r="R30" s="35"/>
      <c r="S30" s="35"/>
      <c r="T30" s="31"/>
    </row>
    <row r="31" spans="1:26">
      <c r="A31" s="3"/>
      <c r="B31" s="9"/>
      <c r="C31" s="9"/>
      <c r="D31" s="9"/>
      <c r="E31" s="9"/>
      <c r="F31" s="9"/>
      <c r="G31" s="9"/>
      <c r="H31" s="9"/>
      <c r="I31" s="9"/>
      <c r="J31" s="9"/>
      <c r="K31" s="9"/>
      <c r="L31" s="9"/>
      <c r="M31" s="11"/>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6">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6" ht="23.25">
      <c r="B34" s="1"/>
      <c r="C34" s="22"/>
      <c r="D34" s="22"/>
      <c r="E34" s="22"/>
      <c r="F34" s="22"/>
      <c r="G34" s="22"/>
      <c r="H34" s="22"/>
      <c r="I34" s="22"/>
      <c r="J34" s="22"/>
      <c r="K34" s="22"/>
      <c r="L34" s="22"/>
      <c r="M34" s="31"/>
      <c r="N34" s="1"/>
      <c r="O34" s="1"/>
      <c r="P34" s="1"/>
      <c r="Q34" s="1"/>
      <c r="R34" s="1"/>
      <c r="S34" s="1"/>
      <c r="T34" s="1"/>
      <c r="V34" s="56" t="s">
        <v>61</v>
      </c>
      <c r="W34" s="56" t="s">
        <v>62</v>
      </c>
      <c r="X34" s="11"/>
      <c r="Y34" s="56" t="s">
        <v>61</v>
      </c>
      <c r="Z34" s="56" t="s">
        <v>62</v>
      </c>
    </row>
    <row r="35" spans="1:26">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6">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6">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6">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6">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6">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6">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6">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6">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6">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6">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6">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row>
    <row r="47" spans="1:26">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row>
    <row r="48" spans="1:26">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row>
    <row r="49" spans="2:27">
      <c r="B49" s="1"/>
      <c r="C49" s="1"/>
      <c r="D49" s="1"/>
      <c r="E49" s="1"/>
      <c r="F49" s="1"/>
      <c r="G49" s="1"/>
      <c r="H49" s="1"/>
      <c r="I49" s="1"/>
      <c r="J49" s="1"/>
      <c r="K49" s="1"/>
      <c r="L49" s="1"/>
      <c r="M49" s="1"/>
      <c r="N49" s="1"/>
      <c r="O49" s="1"/>
      <c r="P49" s="1"/>
      <c r="Q49" s="1"/>
      <c r="R49" s="1"/>
      <c r="S49" s="1"/>
      <c r="T49" s="1"/>
      <c r="V49" s="244" t="s">
        <v>445</v>
      </c>
      <c r="W49" s="244" t="s">
        <v>462</v>
      </c>
      <c r="Y49" s="244" t="s">
        <v>445</v>
      </c>
      <c r="Z49" s="244" t="s">
        <v>462</v>
      </c>
    </row>
    <row r="50" spans="2:27">
      <c r="B50" s="1"/>
      <c r="C50" s="1"/>
      <c r="D50" s="1"/>
      <c r="E50" s="1"/>
      <c r="F50" s="1"/>
      <c r="G50" s="1"/>
      <c r="H50" s="1"/>
      <c r="I50" s="1"/>
      <c r="J50" s="1"/>
      <c r="K50" s="1"/>
      <c r="L50" s="1"/>
      <c r="M50" s="1"/>
      <c r="N50" s="1"/>
      <c r="O50" s="1"/>
      <c r="P50" s="1"/>
      <c r="Q50" s="1"/>
      <c r="R50" s="1"/>
      <c r="S50" s="1"/>
      <c r="T50" s="1"/>
      <c r="V50" s="246" t="s">
        <v>446</v>
      </c>
      <c r="W50" s="244" t="s">
        <v>463</v>
      </c>
      <c r="X50" s="6"/>
      <c r="Y50" s="246" t="s">
        <v>446</v>
      </c>
      <c r="Z50" s="244" t="s">
        <v>463</v>
      </c>
      <c r="AA50" s="6"/>
    </row>
    <row r="51" spans="2:27">
      <c r="B51" s="1"/>
      <c r="C51" s="1"/>
      <c r="D51" s="1"/>
      <c r="E51" s="1"/>
      <c r="F51" s="1"/>
      <c r="G51" s="1"/>
      <c r="H51" s="1"/>
      <c r="I51" s="1"/>
      <c r="J51" s="1"/>
      <c r="K51" s="1"/>
      <c r="L51" s="1"/>
      <c r="M51" s="1"/>
      <c r="N51" s="1"/>
      <c r="O51" s="1"/>
      <c r="P51" s="1"/>
      <c r="Q51" s="1"/>
      <c r="R51" s="1"/>
      <c r="S51" s="1"/>
      <c r="T51" s="1"/>
      <c r="V51" s="247" t="s">
        <v>447</v>
      </c>
      <c r="W51" s="244" t="s">
        <v>464</v>
      </c>
      <c r="X51" s="6"/>
      <c r="Y51" s="247" t="s">
        <v>447</v>
      </c>
      <c r="Z51" s="244" t="s">
        <v>464</v>
      </c>
      <c r="AA51" s="6"/>
    </row>
    <row r="52" spans="2:27">
      <c r="B52" s="1"/>
      <c r="C52" s="1"/>
      <c r="D52" s="1"/>
      <c r="E52" s="1"/>
      <c r="F52" s="1"/>
      <c r="G52" s="1"/>
      <c r="H52" s="1"/>
      <c r="I52" s="1"/>
      <c r="J52" s="1"/>
      <c r="K52" s="1"/>
      <c r="L52" s="1"/>
      <c r="M52" s="1"/>
      <c r="N52" s="1"/>
      <c r="O52" s="1"/>
      <c r="P52" s="1"/>
      <c r="Q52" s="1"/>
      <c r="R52" s="1"/>
      <c r="S52" s="1"/>
      <c r="T52" s="1"/>
      <c r="V52" s="295"/>
      <c r="W52" s="244" t="s">
        <v>465</v>
      </c>
      <c r="X52" s="6"/>
      <c r="Y52" s="284"/>
      <c r="Z52" s="244" t="s">
        <v>465</v>
      </c>
      <c r="AA52" s="6"/>
    </row>
    <row r="53" spans="2:27">
      <c r="B53" s="1"/>
      <c r="C53" s="1"/>
      <c r="D53" s="1"/>
      <c r="E53" s="1"/>
      <c r="F53" s="1"/>
      <c r="G53" s="1"/>
      <c r="H53" s="1"/>
      <c r="I53" s="1"/>
      <c r="J53" s="1"/>
      <c r="K53" s="1"/>
      <c r="L53" s="1"/>
      <c r="M53" s="1"/>
      <c r="N53" s="1"/>
      <c r="O53" s="1"/>
      <c r="P53" s="1"/>
      <c r="Q53" s="1"/>
      <c r="R53" s="1"/>
      <c r="S53" s="1"/>
      <c r="T53" s="1"/>
      <c r="V53" s="204"/>
      <c r="W53" s="248" t="s">
        <v>466</v>
      </c>
      <c r="X53" s="6"/>
      <c r="Y53" s="257"/>
      <c r="Z53" s="258" t="s">
        <v>466</v>
      </c>
      <c r="AA53" s="6"/>
    </row>
    <row r="54" spans="2:27">
      <c r="B54" s="119"/>
      <c r="C54" s="119"/>
      <c r="D54" s="119"/>
      <c r="E54" s="119"/>
      <c r="F54" s="119"/>
      <c r="G54" s="119"/>
      <c r="H54" s="119"/>
      <c r="I54" s="119"/>
      <c r="J54" s="119"/>
      <c r="K54" s="119"/>
      <c r="L54" s="119"/>
      <c r="M54" s="119"/>
      <c r="N54" s="119"/>
      <c r="O54" s="119"/>
      <c r="P54" s="119"/>
      <c r="Q54" s="119"/>
      <c r="R54" s="119"/>
      <c r="S54" s="119"/>
      <c r="T54" s="119"/>
      <c r="V54" s="250"/>
      <c r="W54" s="251"/>
      <c r="X54" s="6"/>
      <c r="Y54" s="250"/>
      <c r="Z54" s="251"/>
      <c r="AA54" s="6"/>
    </row>
    <row r="55" spans="2:27">
      <c r="B55" s="119"/>
      <c r="C55" s="119"/>
      <c r="D55" s="119"/>
      <c r="E55" s="119"/>
      <c r="F55" s="119"/>
      <c r="G55" s="119"/>
      <c r="H55" s="119"/>
      <c r="I55" s="119"/>
      <c r="J55" s="119"/>
      <c r="K55" s="119"/>
      <c r="L55" s="119"/>
      <c r="M55" s="119"/>
      <c r="N55" s="119"/>
      <c r="O55" s="119"/>
      <c r="P55" s="119"/>
      <c r="Q55" s="119"/>
      <c r="R55" s="119"/>
      <c r="S55" s="119"/>
      <c r="T55" s="119"/>
      <c r="V55" s="249"/>
      <c r="W55" s="251"/>
      <c r="X55" s="6"/>
      <c r="Y55" s="249"/>
      <c r="Z55" s="251"/>
      <c r="AA55" s="6"/>
    </row>
    <row r="56" spans="2:27">
      <c r="V56" s="6"/>
      <c r="W56" s="6"/>
      <c r="X56" s="6"/>
      <c r="Y56" s="6"/>
      <c r="Z56" s="6"/>
      <c r="AA56" s="6"/>
    </row>
    <row r="57" spans="2:27">
      <c r="V57" s="6"/>
      <c r="W57" s="6"/>
      <c r="X57" s="6"/>
      <c r="Y57" s="6"/>
      <c r="Z57" s="6"/>
      <c r="AA57" s="6"/>
    </row>
  </sheetData>
  <mergeCells count="21">
    <mergeCell ref="B3:T3"/>
    <mergeCell ref="B4:T4"/>
    <mergeCell ref="B5:T5"/>
    <mergeCell ref="R7:T7"/>
    <mergeCell ref="B9:L9"/>
    <mergeCell ref="N9:T9"/>
    <mergeCell ref="C24:L26"/>
    <mergeCell ref="B11:L11"/>
    <mergeCell ref="C12:L12"/>
    <mergeCell ref="C13:L13"/>
    <mergeCell ref="C14:L14"/>
    <mergeCell ref="C15:L15"/>
    <mergeCell ref="C18:L18"/>
    <mergeCell ref="C19:L19"/>
    <mergeCell ref="C20:L20"/>
    <mergeCell ref="C21:L23"/>
    <mergeCell ref="Y32:Z32"/>
    <mergeCell ref="Y33:Z33"/>
    <mergeCell ref="B32:T32"/>
    <mergeCell ref="V32:W32"/>
    <mergeCell ref="V33:W33"/>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B49073"/>
  </sheetPr>
  <dimension ref="A1:R59"/>
  <sheetViews>
    <sheetView showGridLines="0" showRowColHeaders="0" zoomScale="70" zoomScaleNormal="70" workbookViewId="0"/>
  </sheetViews>
  <sheetFormatPr defaultRowHeight="14.25"/>
  <cols>
    <col min="1" max="1" width="15.796875" customWidth="1"/>
    <col min="2" max="3" width="26.796875" customWidth="1"/>
    <col min="4" max="14" width="12.796875" customWidth="1"/>
    <col min="15" max="15" width="2.796875" customWidth="1"/>
    <col min="16" max="17" width="12.796875" customWidth="1"/>
  </cols>
  <sheetData>
    <row r="1" spans="1:17" ht="15.75">
      <c r="A1" s="16" t="s">
        <v>239</v>
      </c>
    </row>
    <row r="2" spans="1:17" ht="15.75">
      <c r="A2" s="26" t="s">
        <v>34</v>
      </c>
      <c r="C2" s="27">
        <v>42977</v>
      </c>
      <c r="M2" s="342" t="s">
        <v>44</v>
      </c>
      <c r="N2" s="342"/>
      <c r="O2" s="342"/>
      <c r="P2" s="342"/>
      <c r="Q2" s="342"/>
    </row>
    <row r="3" spans="1:17" ht="23.25">
      <c r="A3" s="343" t="s">
        <v>7</v>
      </c>
      <c r="B3" s="343"/>
      <c r="C3" s="343"/>
      <c r="D3" s="343"/>
      <c r="E3" s="343"/>
      <c r="F3" s="343"/>
      <c r="G3" s="343"/>
      <c r="H3" s="343"/>
      <c r="I3" s="343"/>
      <c r="J3" s="343"/>
      <c r="K3" s="343"/>
      <c r="L3" s="343"/>
      <c r="M3" s="343"/>
      <c r="N3" s="343"/>
      <c r="O3" s="343"/>
      <c r="P3" s="343"/>
      <c r="Q3" s="343"/>
    </row>
    <row r="4" spans="1:17">
      <c r="A4" s="119"/>
      <c r="B4" s="119"/>
      <c r="C4" s="119"/>
      <c r="D4" s="119"/>
      <c r="E4" s="119"/>
      <c r="F4" s="119"/>
      <c r="G4" s="119"/>
      <c r="H4" s="119"/>
      <c r="I4" s="119"/>
      <c r="J4" s="119"/>
      <c r="K4" s="119"/>
      <c r="L4" s="119"/>
      <c r="M4" s="119"/>
      <c r="N4" s="119"/>
      <c r="O4" s="119"/>
      <c r="P4" s="119"/>
      <c r="Q4" s="119"/>
    </row>
    <row r="5" spans="1:17">
      <c r="A5" s="119"/>
      <c r="B5" s="337" t="s">
        <v>374</v>
      </c>
      <c r="C5" s="337"/>
      <c r="D5" s="337"/>
      <c r="E5" s="337"/>
      <c r="F5" s="337"/>
      <c r="G5" s="337"/>
      <c r="H5" s="337"/>
      <c r="I5" s="337"/>
      <c r="J5" s="337"/>
      <c r="K5" s="337"/>
      <c r="L5" s="119"/>
      <c r="M5" s="119"/>
      <c r="N5" s="119"/>
      <c r="O5" s="119"/>
      <c r="P5" s="119"/>
      <c r="Q5" s="119"/>
    </row>
    <row r="6" spans="1:17">
      <c r="A6" s="119"/>
      <c r="B6" s="337" t="s">
        <v>332</v>
      </c>
      <c r="C6" s="337"/>
      <c r="D6" s="337"/>
      <c r="E6" s="337"/>
      <c r="F6" s="337"/>
      <c r="G6" s="337"/>
      <c r="H6" s="337"/>
      <c r="I6" s="337"/>
      <c r="J6" s="337"/>
      <c r="K6" s="337"/>
      <c r="L6" s="119"/>
      <c r="M6" s="119"/>
      <c r="N6" s="119"/>
      <c r="O6" s="119"/>
      <c r="P6" s="119"/>
      <c r="Q6" s="119"/>
    </row>
    <row r="7" spans="1:17">
      <c r="A7" s="119"/>
      <c r="B7" s="333" t="s">
        <v>533</v>
      </c>
      <c r="C7" s="333"/>
      <c r="D7" s="333"/>
      <c r="E7" s="333"/>
      <c r="F7" s="333"/>
      <c r="G7" s="333"/>
      <c r="H7" s="333"/>
      <c r="I7" s="333"/>
      <c r="J7" s="333"/>
      <c r="K7" s="333"/>
      <c r="L7" s="119"/>
      <c r="M7" s="119"/>
      <c r="N7" s="119"/>
      <c r="O7" s="119"/>
      <c r="P7" s="119"/>
      <c r="Q7" s="119"/>
    </row>
    <row r="8" spans="1:17">
      <c r="A8" s="119"/>
      <c r="B8" s="333" t="s">
        <v>534</v>
      </c>
      <c r="C8" s="333"/>
      <c r="D8" s="333"/>
      <c r="E8" s="333"/>
      <c r="F8" s="333"/>
      <c r="G8" s="333"/>
      <c r="H8" s="333"/>
      <c r="I8" s="333"/>
      <c r="J8" s="333"/>
      <c r="K8" s="333"/>
      <c r="L8" s="119"/>
      <c r="M8" s="119"/>
      <c r="N8" s="119"/>
      <c r="O8" s="119"/>
      <c r="P8" s="119"/>
      <c r="Q8" s="119"/>
    </row>
    <row r="9" spans="1:17">
      <c r="A9" s="119"/>
      <c r="B9" s="119"/>
      <c r="C9" s="119"/>
      <c r="D9" s="119"/>
      <c r="E9" s="119"/>
      <c r="F9" s="119"/>
      <c r="G9" s="119"/>
      <c r="H9" s="119"/>
      <c r="I9" s="119"/>
      <c r="J9" s="119"/>
      <c r="K9" s="119"/>
      <c r="L9" s="119"/>
      <c r="M9" s="119"/>
      <c r="N9" s="119"/>
      <c r="O9" s="119"/>
      <c r="P9" s="119"/>
      <c r="Q9" s="119"/>
    </row>
    <row r="10" spans="1:17" ht="15.75">
      <c r="A10" s="26"/>
      <c r="C10" s="27"/>
    </row>
    <row r="11" spans="1:17" ht="23.65" thickBot="1">
      <c r="A11" s="130" t="s">
        <v>2</v>
      </c>
      <c r="B11" s="130" t="s">
        <v>3</v>
      </c>
      <c r="C11" s="130" t="s">
        <v>209</v>
      </c>
      <c r="M11" s="321" t="s">
        <v>46</v>
      </c>
      <c r="N11" s="321"/>
      <c r="O11" s="11"/>
      <c r="P11" s="318" t="s">
        <v>46</v>
      </c>
      <c r="Q11" s="318"/>
    </row>
    <row r="12" spans="1:17">
      <c r="A12" s="89">
        <v>2010</v>
      </c>
      <c r="B12" t="s">
        <v>5</v>
      </c>
      <c r="C12">
        <v>1991</v>
      </c>
      <c r="M12" s="319" t="s">
        <v>65</v>
      </c>
      <c r="N12" s="320"/>
      <c r="O12" s="11"/>
      <c r="P12" s="319" t="s">
        <v>66</v>
      </c>
      <c r="Q12" s="320"/>
    </row>
    <row r="13" spans="1:17">
      <c r="A13" s="89">
        <v>2010</v>
      </c>
      <c r="B13" t="s">
        <v>6</v>
      </c>
      <c r="C13">
        <v>1937</v>
      </c>
      <c r="M13" s="56" t="s">
        <v>61</v>
      </c>
      <c r="N13" s="56" t="s">
        <v>62</v>
      </c>
      <c r="O13" s="11"/>
      <c r="P13" s="56" t="s">
        <v>61</v>
      </c>
      <c r="Q13" s="56" t="s">
        <v>62</v>
      </c>
    </row>
    <row r="14" spans="1:17">
      <c r="A14" s="89">
        <v>2010</v>
      </c>
      <c r="B14" t="s">
        <v>42</v>
      </c>
      <c r="C14">
        <v>1966</v>
      </c>
      <c r="M14" s="244" t="s">
        <v>392</v>
      </c>
      <c r="N14" s="244" t="s">
        <v>448</v>
      </c>
      <c r="O14" s="11"/>
      <c r="P14" s="244" t="s">
        <v>392</v>
      </c>
      <c r="Q14" s="244" t="s">
        <v>448</v>
      </c>
    </row>
    <row r="15" spans="1:17">
      <c r="A15" s="89">
        <v>2011</v>
      </c>
      <c r="B15" t="s">
        <v>5</v>
      </c>
      <c r="C15">
        <v>2195</v>
      </c>
      <c r="M15" s="244" t="s">
        <v>393</v>
      </c>
      <c r="N15" s="244" t="s">
        <v>449</v>
      </c>
      <c r="O15" s="11"/>
      <c r="P15" s="244" t="s">
        <v>393</v>
      </c>
      <c r="Q15" s="244" t="s">
        <v>449</v>
      </c>
    </row>
    <row r="16" spans="1:17">
      <c r="A16" s="89">
        <v>2011</v>
      </c>
      <c r="B16" t="s">
        <v>6</v>
      </c>
      <c r="C16">
        <v>2006</v>
      </c>
      <c r="M16" s="244" t="s">
        <v>394</v>
      </c>
      <c r="N16" s="244" t="s">
        <v>450</v>
      </c>
      <c r="O16" s="11"/>
      <c r="P16" s="244" t="s">
        <v>394</v>
      </c>
      <c r="Q16" s="244" t="s">
        <v>450</v>
      </c>
    </row>
    <row r="17" spans="1:18">
      <c r="A17" s="89">
        <v>2011</v>
      </c>
      <c r="B17" t="s">
        <v>42</v>
      </c>
      <c r="C17">
        <v>2107</v>
      </c>
      <c r="M17" s="244" t="s">
        <v>434</v>
      </c>
      <c r="N17" s="244" t="s">
        <v>451</v>
      </c>
      <c r="O17" s="11"/>
      <c r="P17" s="244" t="s">
        <v>434</v>
      </c>
      <c r="Q17" s="244" t="s">
        <v>451</v>
      </c>
    </row>
    <row r="18" spans="1:18">
      <c r="A18" s="89">
        <v>2012</v>
      </c>
      <c r="B18" t="s">
        <v>5</v>
      </c>
      <c r="C18">
        <v>2121</v>
      </c>
      <c r="M18" s="244" t="s">
        <v>435</v>
      </c>
      <c r="N18" s="244" t="s">
        <v>452</v>
      </c>
      <c r="P18" s="244" t="s">
        <v>435</v>
      </c>
      <c r="Q18" s="244" t="s">
        <v>452</v>
      </c>
    </row>
    <row r="19" spans="1:18">
      <c r="A19" s="89">
        <v>2012</v>
      </c>
      <c r="B19" t="s">
        <v>6</v>
      </c>
      <c r="C19">
        <v>2337</v>
      </c>
      <c r="M19" s="244" t="s">
        <v>436</v>
      </c>
      <c r="N19" s="244" t="s">
        <v>453</v>
      </c>
      <c r="P19" s="244" t="s">
        <v>436</v>
      </c>
      <c r="Q19" s="244" t="s">
        <v>453</v>
      </c>
    </row>
    <row r="20" spans="1:18">
      <c r="A20" s="89">
        <v>2012</v>
      </c>
      <c r="B20" t="s">
        <v>42</v>
      </c>
      <c r="C20">
        <v>2223</v>
      </c>
      <c r="M20" s="244" t="s">
        <v>437</v>
      </c>
      <c r="N20" s="245" t="s">
        <v>454</v>
      </c>
      <c r="P20" s="244" t="s">
        <v>437</v>
      </c>
      <c r="Q20" s="245" t="s">
        <v>454</v>
      </c>
    </row>
    <row r="21" spans="1:18">
      <c r="A21" s="89">
        <v>2013</v>
      </c>
      <c r="B21" t="s">
        <v>5</v>
      </c>
      <c r="C21">
        <v>2082</v>
      </c>
      <c r="M21" s="244" t="s">
        <v>438</v>
      </c>
      <c r="N21" s="244" t="s">
        <v>455</v>
      </c>
      <c r="P21" s="244" t="s">
        <v>438</v>
      </c>
      <c r="Q21" s="244" t="s">
        <v>455</v>
      </c>
    </row>
    <row r="22" spans="1:18">
      <c r="A22" s="89">
        <v>2013</v>
      </c>
      <c r="B22" t="s">
        <v>6</v>
      </c>
      <c r="C22">
        <v>1904</v>
      </c>
      <c r="M22" s="245" t="s">
        <v>439</v>
      </c>
      <c r="N22" s="244" t="s">
        <v>456</v>
      </c>
      <c r="P22" s="244" t="s">
        <v>439</v>
      </c>
      <c r="Q22" s="244" t="s">
        <v>456</v>
      </c>
    </row>
    <row r="23" spans="1:18">
      <c r="A23" s="89">
        <v>2013</v>
      </c>
      <c r="B23" t="s">
        <v>42</v>
      </c>
      <c r="C23">
        <v>1998</v>
      </c>
      <c r="M23" s="244" t="s">
        <v>440</v>
      </c>
      <c r="N23" s="244" t="s">
        <v>457</v>
      </c>
      <c r="P23" s="244" t="s">
        <v>440</v>
      </c>
      <c r="Q23" s="244" t="s">
        <v>457</v>
      </c>
    </row>
    <row r="24" spans="1:18">
      <c r="A24" s="89">
        <v>2014</v>
      </c>
      <c r="B24" t="s">
        <v>5</v>
      </c>
      <c r="C24">
        <v>1832</v>
      </c>
      <c r="M24" s="244" t="s">
        <v>441</v>
      </c>
      <c r="N24" s="244" t="s">
        <v>458</v>
      </c>
      <c r="P24" s="244" t="s">
        <v>441</v>
      </c>
      <c r="Q24" s="244" t="s">
        <v>458</v>
      </c>
    </row>
    <row r="25" spans="1:18">
      <c r="A25" s="89">
        <v>2014</v>
      </c>
      <c r="B25" t="s">
        <v>6</v>
      </c>
      <c r="C25">
        <v>1928</v>
      </c>
      <c r="M25" s="244" t="s">
        <v>442</v>
      </c>
      <c r="N25" s="244" t="s">
        <v>459</v>
      </c>
      <c r="P25" s="244" t="s">
        <v>442</v>
      </c>
      <c r="Q25" s="244" t="s">
        <v>459</v>
      </c>
    </row>
    <row r="26" spans="1:18">
      <c r="A26" s="89">
        <v>2014</v>
      </c>
      <c r="B26" t="s">
        <v>42</v>
      </c>
      <c r="C26">
        <v>1877</v>
      </c>
      <c r="L26" s="6"/>
      <c r="M26" s="244" t="s">
        <v>443</v>
      </c>
      <c r="N26" s="244" t="s">
        <v>460</v>
      </c>
      <c r="O26" s="6"/>
      <c r="P26" s="244" t="s">
        <v>443</v>
      </c>
      <c r="Q26" s="244" t="s">
        <v>460</v>
      </c>
      <c r="R26" s="6"/>
    </row>
    <row r="27" spans="1:18">
      <c r="A27" s="89">
        <v>2015</v>
      </c>
      <c r="B27" t="s">
        <v>5</v>
      </c>
      <c r="L27" s="6"/>
      <c r="M27" s="244" t="s">
        <v>444</v>
      </c>
      <c r="N27" s="245" t="s">
        <v>461</v>
      </c>
      <c r="O27" s="6"/>
      <c r="P27" s="244" t="s">
        <v>444</v>
      </c>
      <c r="Q27" s="245" t="s">
        <v>461</v>
      </c>
      <c r="R27" s="6"/>
    </row>
    <row r="28" spans="1:18">
      <c r="A28" s="89">
        <v>2015</v>
      </c>
      <c r="B28" t="s">
        <v>6</v>
      </c>
      <c r="L28" s="6"/>
      <c r="M28" s="244" t="s">
        <v>445</v>
      </c>
      <c r="N28" s="244" t="s">
        <v>462</v>
      </c>
      <c r="O28" s="6"/>
      <c r="P28" s="244" t="s">
        <v>445</v>
      </c>
      <c r="Q28" s="244" t="s">
        <v>462</v>
      </c>
      <c r="R28" s="6"/>
    </row>
    <row r="29" spans="1:18">
      <c r="A29" s="89">
        <v>2015</v>
      </c>
      <c r="B29" t="s">
        <v>42</v>
      </c>
      <c r="L29" s="6"/>
      <c r="M29" s="246" t="s">
        <v>446</v>
      </c>
      <c r="N29" s="244" t="s">
        <v>463</v>
      </c>
      <c r="O29" s="6"/>
      <c r="P29" s="246" t="s">
        <v>446</v>
      </c>
      <c r="Q29" s="244" t="s">
        <v>463</v>
      </c>
      <c r="R29" s="6"/>
    </row>
    <row r="30" spans="1:18">
      <c r="A30" s="89">
        <v>2016</v>
      </c>
      <c r="B30" t="s">
        <v>5</v>
      </c>
      <c r="L30" s="6"/>
      <c r="M30" s="247" t="s">
        <v>447</v>
      </c>
      <c r="N30" s="244" t="s">
        <v>464</v>
      </c>
      <c r="O30" s="6"/>
      <c r="P30" s="247" t="s">
        <v>447</v>
      </c>
      <c r="Q30" s="244" t="s">
        <v>464</v>
      </c>
      <c r="R30" s="6"/>
    </row>
    <row r="31" spans="1:18">
      <c r="A31" s="89">
        <v>2016</v>
      </c>
      <c r="B31" t="s">
        <v>6</v>
      </c>
      <c r="L31" s="6"/>
      <c r="M31" s="295"/>
      <c r="N31" s="244" t="s">
        <v>465</v>
      </c>
      <c r="O31" s="6"/>
      <c r="P31" s="284"/>
      <c r="Q31" s="244" t="s">
        <v>465</v>
      </c>
      <c r="R31" s="6"/>
    </row>
    <row r="32" spans="1:18">
      <c r="A32" s="89">
        <v>2016</v>
      </c>
      <c r="B32" t="s">
        <v>42</v>
      </c>
      <c r="L32" s="6"/>
      <c r="M32" s="204"/>
      <c r="N32" s="248" t="s">
        <v>466</v>
      </c>
      <c r="O32" s="6"/>
      <c r="P32" s="257"/>
      <c r="Q32" s="258" t="s">
        <v>466</v>
      </c>
      <c r="R32" s="6"/>
    </row>
    <row r="33" spans="1:18">
      <c r="A33" s="89">
        <v>2017</v>
      </c>
      <c r="B33" t="s">
        <v>5</v>
      </c>
      <c r="L33" s="6"/>
      <c r="M33" s="250"/>
      <c r="N33" s="251"/>
      <c r="O33" s="6"/>
      <c r="P33" s="250"/>
      <c r="Q33" s="251"/>
      <c r="R33" s="6"/>
    </row>
    <row r="34" spans="1:18">
      <c r="A34" s="89">
        <v>2017</v>
      </c>
      <c r="B34" t="s">
        <v>6</v>
      </c>
      <c r="L34" s="6"/>
      <c r="M34" s="249"/>
      <c r="N34" s="251"/>
      <c r="O34" s="6"/>
      <c r="P34" s="249"/>
      <c r="Q34" s="251"/>
      <c r="R34" s="6"/>
    </row>
    <row r="35" spans="1:18">
      <c r="A35" s="89">
        <v>2017</v>
      </c>
      <c r="B35" t="s">
        <v>42</v>
      </c>
      <c r="L35" s="6"/>
      <c r="M35" s="6"/>
      <c r="N35" s="6"/>
      <c r="O35" s="6"/>
      <c r="P35" s="6"/>
      <c r="Q35" s="6"/>
      <c r="R35" s="6"/>
    </row>
    <row r="36" spans="1:18">
      <c r="A36" s="89">
        <v>2018</v>
      </c>
      <c r="B36" t="s">
        <v>5</v>
      </c>
    </row>
    <row r="37" spans="1:18">
      <c r="A37" s="89">
        <v>2018</v>
      </c>
      <c r="B37" t="s">
        <v>6</v>
      </c>
    </row>
    <row r="38" spans="1:18">
      <c r="A38" s="89">
        <v>2018</v>
      </c>
      <c r="B38" t="s">
        <v>42</v>
      </c>
    </row>
    <row r="39" spans="1:18">
      <c r="A39" s="89">
        <v>2019</v>
      </c>
      <c r="B39" t="s">
        <v>5</v>
      </c>
    </row>
    <row r="40" spans="1:18">
      <c r="A40" s="89">
        <v>2019</v>
      </c>
      <c r="B40" t="s">
        <v>6</v>
      </c>
    </row>
    <row r="41" spans="1:18">
      <c r="A41" s="89">
        <v>2019</v>
      </c>
      <c r="B41" t="s">
        <v>42</v>
      </c>
    </row>
    <row r="42" spans="1:18">
      <c r="A42" s="89">
        <v>2020</v>
      </c>
      <c r="B42" t="s">
        <v>5</v>
      </c>
    </row>
    <row r="43" spans="1:18">
      <c r="A43" s="89">
        <v>2020</v>
      </c>
      <c r="B43" t="s">
        <v>6</v>
      </c>
    </row>
    <row r="44" spans="1:18">
      <c r="A44" s="89">
        <v>2020</v>
      </c>
      <c r="B44" t="s">
        <v>42</v>
      </c>
    </row>
    <row r="45" spans="1:18">
      <c r="A45" s="89">
        <v>2021</v>
      </c>
      <c r="B45" t="s">
        <v>5</v>
      </c>
    </row>
    <row r="46" spans="1:18">
      <c r="A46" s="89">
        <v>2021</v>
      </c>
      <c r="B46" t="s">
        <v>6</v>
      </c>
    </row>
    <row r="47" spans="1:18">
      <c r="A47" s="89">
        <v>2021</v>
      </c>
      <c r="B47" t="s">
        <v>42</v>
      </c>
    </row>
    <row r="48" spans="1:18">
      <c r="A48" s="89">
        <v>2022</v>
      </c>
      <c r="B48" t="s">
        <v>5</v>
      </c>
    </row>
    <row r="49" spans="1:2">
      <c r="A49" s="89">
        <v>2022</v>
      </c>
      <c r="B49" t="s">
        <v>6</v>
      </c>
    </row>
    <row r="50" spans="1:2">
      <c r="A50" s="89">
        <v>2022</v>
      </c>
      <c r="B50" t="s">
        <v>42</v>
      </c>
    </row>
    <row r="51" spans="1:2">
      <c r="A51" s="89">
        <v>2023</v>
      </c>
      <c r="B51" t="s">
        <v>5</v>
      </c>
    </row>
    <row r="52" spans="1:2">
      <c r="A52" s="89">
        <v>2023</v>
      </c>
      <c r="B52" t="s">
        <v>6</v>
      </c>
    </row>
    <row r="53" spans="1:2">
      <c r="A53" s="89">
        <v>2023</v>
      </c>
      <c r="B53" t="s">
        <v>42</v>
      </c>
    </row>
    <row r="54" spans="1:2">
      <c r="A54" s="89">
        <v>2024</v>
      </c>
      <c r="B54" t="s">
        <v>5</v>
      </c>
    </row>
    <row r="55" spans="1:2">
      <c r="A55" s="89">
        <v>2024</v>
      </c>
      <c r="B55" t="s">
        <v>6</v>
      </c>
    </row>
    <row r="56" spans="1:2">
      <c r="A56" s="89">
        <v>2024</v>
      </c>
      <c r="B56" t="s">
        <v>42</v>
      </c>
    </row>
    <row r="57" spans="1:2">
      <c r="A57" s="89">
        <v>2025</v>
      </c>
      <c r="B57" t="s">
        <v>5</v>
      </c>
    </row>
    <row r="58" spans="1:2">
      <c r="A58" s="89">
        <v>2025</v>
      </c>
      <c r="B58" t="s">
        <v>6</v>
      </c>
    </row>
    <row r="59" spans="1:2">
      <c r="A59" s="89">
        <v>2025</v>
      </c>
      <c r="B59" t="s">
        <v>42</v>
      </c>
    </row>
  </sheetData>
  <mergeCells count="10">
    <mergeCell ref="M2:Q2"/>
    <mergeCell ref="M11:N11"/>
    <mergeCell ref="P11:Q11"/>
    <mergeCell ref="M12:N12"/>
    <mergeCell ref="P12:Q12"/>
    <mergeCell ref="A3:Q3"/>
    <mergeCell ref="B5:K5"/>
    <mergeCell ref="B6:K6"/>
    <mergeCell ref="B7:K7"/>
    <mergeCell ref="B8:K8"/>
  </mergeCells>
  <hyperlinks>
    <hyperlink ref="M2" location="'Information och Innehåll'!A1" display="Tillbaka till Information och Innehåll"/>
    <hyperlink ref="M14" location="V1.1.1!A1" display="V1.1.1"/>
    <hyperlink ref="M15" location="V1.1.2!A1" display="V1.1.2"/>
    <hyperlink ref="M16" location="V1.1.3!A1" display="V1.1.3"/>
    <hyperlink ref="M17" location="V2.1.1!A1" display="V2.1.1"/>
    <hyperlink ref="M18" location="V2.1.2!A1" display="V2.1.2"/>
    <hyperlink ref="M20" location="V3.1.2!A1" display="V3.1.2"/>
    <hyperlink ref="M19" location="V3.1.1!A1" display="V3.1.1"/>
    <hyperlink ref="M21" location="V3.1.3!A1" display="V3.1.3"/>
    <hyperlink ref="M23" location="V4.1.1!A1" display="V4.1.1"/>
    <hyperlink ref="M24" location="V4.2.1!A1" display="V4.2.1"/>
    <hyperlink ref="M25" location="V4.2.2!A1" display="V4.2.2"/>
    <hyperlink ref="M26" location="V4.2.3!A1" display="V4.2.3"/>
    <hyperlink ref="M27" location="V4.2.4!A1" display="V4.2.4"/>
    <hyperlink ref="M28" location="V5.1.1!A1" display="V5.1.1"/>
    <hyperlink ref="M29" location="V5.1.2!A1" display="V5.1.2"/>
    <hyperlink ref="N14" location="B1.1.1!A1" display="B1.1.1"/>
    <hyperlink ref="N15" location="B1.1.2!A1" display="B1.1.2"/>
    <hyperlink ref="N16" location="B1.2.1!A1" display="B1.2.1"/>
    <hyperlink ref="N17" location="B1.2.2!A1" display="B1.2.2"/>
    <hyperlink ref="N18" location="B1.2.3!A1" display="B1.2.3"/>
    <hyperlink ref="N19" location="B2.1.1!A1" display="B2.1.1"/>
    <hyperlink ref="N21" location="B2.2.1!A1" display="B2.2.1"/>
    <hyperlink ref="N22" location="B2.2.2!A1" display="B2.2.2"/>
    <hyperlink ref="N23" location="B2.2.3!A1" display="B2.2.3"/>
    <hyperlink ref="N24" location="B2.2.4!A1" display="B2.2.4"/>
    <hyperlink ref="N25" location="B3.1.1!A1" display="B3.1.1"/>
    <hyperlink ref="N26" location="B3.1.2!A1" display="B3.1.2"/>
    <hyperlink ref="N29" location="B4.1.1!A1" display="B4.1.1"/>
    <hyperlink ref="N30" location="B5.1.1!A1" display="B5.1.1"/>
    <hyperlink ref="N31" location="B5.1.2!A1" display="B5.1.2"/>
    <hyperlink ref="N32" location="B5.1.3!A1" display="B5.1.3"/>
    <hyperlink ref="N27" location="B3.1.3!A1" display="B3.1.3"/>
    <hyperlink ref="N20" location="B2.1.2!A1" display="B2.1.2"/>
    <hyperlink ref="M30" location="V5.1.3!A1" display="V5.1.3"/>
    <hyperlink ref="N28" location="B3.2.1!A1" display="B3.2.1"/>
    <hyperlink ref="M22" location="B3.2.1!A1" display="V3.2.1"/>
    <hyperlink ref="P14" location="'V1.1.1 DATA'!A1" display="V1.1.1"/>
    <hyperlink ref="P15" location="'V1.1.2 DATA'!A1" display="V1.1.2"/>
    <hyperlink ref="P16" location="'V1.1.3 Data'!A1" display="V1.1.3"/>
    <hyperlink ref="P17" location="'V2.1.1 DATA'!A1" display="V2.1.1"/>
    <hyperlink ref="P18" location="'V2.1.2 DATA'!A1" display="V2.1.2"/>
    <hyperlink ref="P20" location="'V3.1.2 DATA'!A1" display="V3.1.2"/>
    <hyperlink ref="P19" location="'V3.1.1 DATA'!A1" display="V3.1.1"/>
    <hyperlink ref="P21" location="'V3.1.3 DATA'!A1" display="V3.1.3"/>
    <hyperlink ref="P22" location="'V3.2.1 DATA'!A1" display="V3.2.1"/>
    <hyperlink ref="P23" location="'V4.1.1 DATA'!A1" display="V4.1.1"/>
    <hyperlink ref="P24" location="'V4.2.1 DATA'!A1" display="V4.2.1"/>
    <hyperlink ref="P26" location="'V4.2.3 DATA'!A1" display="V4.2.3"/>
    <hyperlink ref="P27" location="'V4.2.4 DATA'!A1" display="V4.2.4"/>
    <hyperlink ref="P28" location="'V5.1.1 DATA'!A1" display="V5.1.1"/>
    <hyperlink ref="P29" location="'V5.1.2 DATA'!A1" display="V5.1.2"/>
    <hyperlink ref="Q14" location="'B1.1.1 DATA'!A1" display="B1.1.1"/>
    <hyperlink ref="Q15" location="'B1.1.2 DATA'!A1" display="B1.1.2"/>
    <hyperlink ref="Q16" location="'B1.2.1 DATA'!A1" display="B1.2.1"/>
    <hyperlink ref="Q17" location="'B1.2.2 DATA'!A1" display="B1.2.2"/>
    <hyperlink ref="Q18" location="'B1.2.3 DATA'!A1" display="B1.2.3"/>
    <hyperlink ref="Q19" location="'B2.1.1 DATA'!A1" display="B2.1.1"/>
    <hyperlink ref="Q21" location="'B2.2.1 DATA'!A1" display="B2.2.1"/>
    <hyperlink ref="Q22" location="'B2.2.2 DATA'!A1" display="B2.2.2"/>
    <hyperlink ref="Q23" location="'B2.2.3 DATA'!A1" display="B2.2.3"/>
    <hyperlink ref="Q24" location="'B2.2.4 DATA'!A1" display="B2.2.4"/>
    <hyperlink ref="Q25" location="'B3.1.1 DATA'!A1" display="B3.1.1"/>
    <hyperlink ref="Q26" location="'B3.1.2 DATA'!A1" display="B3.1.2"/>
    <hyperlink ref="Q28" location="'B3.2.1 DATA'!A1" display="B3.2.1"/>
    <hyperlink ref="Q29" location="'B4.1.1 DATA'!A1" display="B4.1.1"/>
    <hyperlink ref="Q30" location="'B5.1.1 DATA'!A1" display="B5.1.1"/>
    <hyperlink ref="Q31" location="'B5.1.2 DATA'!A1" display="B5.1.2"/>
    <hyperlink ref="Q32" location="'B5.1.3 DATA'!A1" display="B5.1.3"/>
    <hyperlink ref="Q20" location="'B2.1.2 DATA'!A1" display="B2.1.2"/>
    <hyperlink ref="P30" location="'V5.1.3 DATA'!A1" display="V5.1.3"/>
    <hyperlink ref="Q27" location="'B3.1.3 DATA'!A1" display="B3.1.3"/>
    <hyperlink ref="P25" location="'V4.2.2 DATA'!A1" display="V4.2.2"/>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B5DAC7"/>
  </sheetPr>
  <dimension ref="A2:AA57"/>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400</v>
      </c>
      <c r="C3" s="338"/>
      <c r="D3" s="338"/>
      <c r="E3" s="338"/>
      <c r="F3" s="338"/>
      <c r="G3" s="338"/>
      <c r="H3" s="338"/>
      <c r="I3" s="338"/>
      <c r="J3" s="338"/>
      <c r="K3" s="338"/>
      <c r="L3" s="338"/>
      <c r="M3" s="338"/>
      <c r="N3" s="338"/>
      <c r="O3" s="338"/>
      <c r="P3" s="338"/>
      <c r="Q3" s="338"/>
      <c r="R3" s="338"/>
      <c r="S3" s="338"/>
      <c r="T3" s="338"/>
    </row>
    <row r="4" spans="1:20" ht="30.75">
      <c r="B4" s="339" t="s">
        <v>482</v>
      </c>
      <c r="C4" s="339"/>
      <c r="D4" s="339"/>
      <c r="E4" s="339"/>
      <c r="F4" s="339"/>
      <c r="G4" s="339"/>
      <c r="H4" s="339"/>
      <c r="I4" s="339"/>
      <c r="J4" s="339"/>
      <c r="K4" s="339"/>
      <c r="L4" s="339"/>
      <c r="M4" s="339"/>
      <c r="N4" s="339"/>
      <c r="O4" s="339"/>
      <c r="P4" s="339"/>
      <c r="Q4" s="339"/>
      <c r="R4" s="339"/>
      <c r="S4" s="339"/>
      <c r="T4" s="339"/>
    </row>
    <row r="5" spans="1:20" ht="18">
      <c r="B5" s="340" t="s">
        <v>45</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31"/>
      <c r="O10" s="31"/>
      <c r="P10" s="31"/>
      <c r="Q10" s="31"/>
      <c r="R10" s="31"/>
      <c r="S10" s="31"/>
      <c r="T10" s="31"/>
    </row>
    <row r="11" spans="1:20">
      <c r="B11" s="336" t="s">
        <v>40</v>
      </c>
      <c r="C11" s="336"/>
      <c r="D11" s="336"/>
      <c r="E11" s="336"/>
      <c r="F11" s="336"/>
      <c r="G11" s="336"/>
      <c r="H11" s="336"/>
      <c r="I11" s="336"/>
      <c r="J11" s="336"/>
      <c r="K11" s="336"/>
      <c r="L11" s="336"/>
      <c r="N11" s="111" t="s">
        <v>211</v>
      </c>
      <c r="O11" s="111" t="s">
        <v>286</v>
      </c>
    </row>
    <row r="12" spans="1:20">
      <c r="B12" s="1"/>
      <c r="C12" s="337" t="s">
        <v>535</v>
      </c>
      <c r="D12" s="337"/>
      <c r="E12" s="337"/>
      <c r="F12" s="337"/>
      <c r="G12" s="337"/>
      <c r="H12" s="337"/>
      <c r="I12" s="337"/>
      <c r="J12" s="337"/>
      <c r="K12" s="337"/>
      <c r="L12" s="337"/>
      <c r="N12" s="111" t="s">
        <v>287</v>
      </c>
      <c r="O12" s="111" t="s">
        <v>215</v>
      </c>
    </row>
    <row r="13" spans="1:20">
      <c r="B13" s="32"/>
      <c r="C13" s="332" t="s">
        <v>536</v>
      </c>
      <c r="D13" s="332"/>
      <c r="E13" s="332"/>
      <c r="F13" s="332"/>
      <c r="G13" s="332"/>
      <c r="H13" s="332"/>
      <c r="I13" s="332"/>
      <c r="J13" s="332"/>
      <c r="K13" s="332"/>
      <c r="L13" s="332"/>
      <c r="N13" s="112">
        <v>2016</v>
      </c>
      <c r="O13" s="111">
        <v>0.21951219512195122</v>
      </c>
    </row>
    <row r="14" spans="1:20">
      <c r="B14" s="32"/>
      <c r="C14" s="333" t="s">
        <v>292</v>
      </c>
      <c r="D14" s="333"/>
      <c r="E14" s="333"/>
      <c r="F14" s="333"/>
      <c r="G14" s="333"/>
      <c r="H14" s="333"/>
      <c r="I14" s="333"/>
      <c r="J14" s="333"/>
      <c r="K14" s="333"/>
      <c r="L14" s="333"/>
      <c r="N14" s="112">
        <v>2017</v>
      </c>
      <c r="O14" s="111">
        <v>0.21739130434782608</v>
      </c>
    </row>
    <row r="15" spans="1:20">
      <c r="B15" s="32"/>
      <c r="C15" s="333" t="s">
        <v>537</v>
      </c>
      <c r="D15" s="333"/>
      <c r="E15" s="333"/>
      <c r="F15" s="333"/>
      <c r="G15" s="333"/>
      <c r="H15" s="333"/>
      <c r="I15" s="333"/>
      <c r="J15" s="333"/>
      <c r="K15" s="333"/>
      <c r="L15" s="333"/>
      <c r="N15" s="112">
        <v>2018</v>
      </c>
      <c r="O15" s="111"/>
    </row>
    <row r="16" spans="1:20">
      <c r="A16" s="3"/>
      <c r="B16" s="32"/>
      <c r="C16" s="47"/>
      <c r="D16" s="47"/>
      <c r="E16" s="47"/>
      <c r="F16" s="47"/>
      <c r="G16" s="47"/>
      <c r="H16" s="47"/>
      <c r="I16" s="47"/>
      <c r="J16" s="47"/>
      <c r="K16" s="47"/>
      <c r="L16" s="32"/>
      <c r="N16" s="112">
        <v>2019</v>
      </c>
      <c r="O16" s="111"/>
    </row>
    <row r="17" spans="1:26">
      <c r="A17" s="3"/>
      <c r="B17" s="336" t="s">
        <v>41</v>
      </c>
      <c r="C17" s="336"/>
      <c r="D17" s="336"/>
      <c r="E17" s="336"/>
      <c r="F17" s="336"/>
      <c r="G17" s="336"/>
      <c r="H17" s="336"/>
      <c r="I17" s="336"/>
      <c r="J17" s="336"/>
      <c r="K17" s="336"/>
      <c r="L17" s="336"/>
      <c r="N17" s="112">
        <v>2020</v>
      </c>
      <c r="O17" s="111"/>
    </row>
    <row r="18" spans="1:26">
      <c r="A18" s="3"/>
      <c r="B18" s="1"/>
      <c r="C18" s="333" t="s">
        <v>295</v>
      </c>
      <c r="D18" s="333"/>
      <c r="E18" s="333"/>
      <c r="F18" s="333"/>
      <c r="G18" s="333"/>
      <c r="H18" s="333"/>
      <c r="I18" s="333"/>
      <c r="J18" s="333"/>
      <c r="K18" s="333"/>
      <c r="L18" s="333"/>
      <c r="N18" s="112">
        <v>2021</v>
      </c>
      <c r="O18" s="111"/>
    </row>
    <row r="19" spans="1:26">
      <c r="A19" s="3"/>
      <c r="B19" s="32"/>
      <c r="C19" s="333" t="s">
        <v>318</v>
      </c>
      <c r="D19" s="333"/>
      <c r="E19" s="333"/>
      <c r="F19" s="333"/>
      <c r="G19" s="333"/>
      <c r="H19" s="333"/>
      <c r="I19" s="333"/>
      <c r="J19" s="333"/>
      <c r="K19" s="333"/>
      <c r="L19" s="333"/>
      <c r="N19" s="112">
        <v>2022</v>
      </c>
      <c r="O19" s="111"/>
    </row>
    <row r="20" spans="1:26">
      <c r="A20" s="3"/>
      <c r="B20" s="32"/>
      <c r="C20" s="333" t="s">
        <v>369</v>
      </c>
      <c r="D20" s="333"/>
      <c r="E20" s="333"/>
      <c r="F20" s="333"/>
      <c r="G20" s="333"/>
      <c r="H20" s="333"/>
      <c r="I20" s="333"/>
      <c r="J20" s="333"/>
      <c r="K20" s="333"/>
      <c r="L20" s="333"/>
      <c r="N20" s="112">
        <v>2023</v>
      </c>
      <c r="O20" s="111"/>
    </row>
    <row r="21" spans="1:26">
      <c r="A21" s="3"/>
      <c r="B21" s="32"/>
      <c r="C21" s="58" t="str">
        <f>"--&gt;"</f>
        <v>--&gt;</v>
      </c>
      <c r="D21" s="334" t="s">
        <v>212</v>
      </c>
      <c r="E21" s="334"/>
      <c r="F21" s="334"/>
      <c r="G21" s="334"/>
      <c r="H21" s="334"/>
      <c r="I21" s="334"/>
      <c r="J21" s="334"/>
      <c r="K21" s="334"/>
      <c r="L21" s="334"/>
      <c r="N21" s="112">
        <v>2024</v>
      </c>
      <c r="O21" s="111"/>
    </row>
    <row r="22" spans="1:26">
      <c r="A22" s="3"/>
      <c r="B22" s="32"/>
      <c r="C22" s="32"/>
      <c r="D22" s="334"/>
      <c r="E22" s="334"/>
      <c r="F22" s="334"/>
      <c r="G22" s="334"/>
      <c r="H22" s="334"/>
      <c r="I22" s="334"/>
      <c r="J22" s="334"/>
      <c r="K22" s="334"/>
      <c r="L22" s="334"/>
      <c r="N22" s="112">
        <v>2025</v>
      </c>
      <c r="O22" s="111"/>
    </row>
    <row r="23" spans="1:26">
      <c r="A23" s="3"/>
      <c r="B23" s="32"/>
      <c r="C23" s="333" t="s">
        <v>356</v>
      </c>
      <c r="D23" s="333"/>
      <c r="E23" s="333"/>
      <c r="F23" s="333"/>
      <c r="G23" s="333"/>
      <c r="H23" s="333"/>
      <c r="I23" s="333"/>
      <c r="J23" s="333"/>
      <c r="K23" s="333"/>
      <c r="L23" s="333"/>
    </row>
    <row r="24" spans="1:26">
      <c r="A24" s="3"/>
      <c r="B24" s="32"/>
      <c r="C24" s="333"/>
      <c r="D24" s="333"/>
      <c r="E24" s="333"/>
      <c r="F24" s="333"/>
      <c r="G24" s="333"/>
      <c r="H24" s="333"/>
      <c r="I24" s="333"/>
      <c r="J24" s="333"/>
      <c r="K24" s="333"/>
      <c r="L24" s="333"/>
      <c r="S24" s="11"/>
      <c r="T24" s="11"/>
    </row>
    <row r="25" spans="1:26">
      <c r="A25" s="3"/>
      <c r="B25" s="32"/>
      <c r="C25" s="333"/>
      <c r="D25" s="333"/>
      <c r="E25" s="333"/>
      <c r="F25" s="333"/>
      <c r="G25" s="333"/>
      <c r="H25" s="333"/>
      <c r="I25" s="333"/>
      <c r="J25" s="333"/>
      <c r="K25" s="333"/>
      <c r="L25" s="333"/>
      <c r="Q25" s="2"/>
      <c r="S25" s="11"/>
      <c r="T25" s="11"/>
    </row>
    <row r="26" spans="1:26">
      <c r="A26" s="3"/>
      <c r="B26" s="32"/>
      <c r="C26" s="363" t="s">
        <v>320</v>
      </c>
      <c r="D26" s="363"/>
      <c r="E26" s="363"/>
      <c r="F26" s="363"/>
      <c r="G26" s="363"/>
      <c r="H26" s="363"/>
      <c r="I26" s="363"/>
      <c r="J26" s="363"/>
      <c r="K26" s="363"/>
      <c r="L26" s="363"/>
      <c r="Q26" s="2"/>
      <c r="S26" s="11"/>
      <c r="T26" s="11"/>
    </row>
    <row r="27" spans="1:26">
      <c r="B27" s="47"/>
      <c r="C27" s="363"/>
      <c r="D27" s="363"/>
      <c r="E27" s="363"/>
      <c r="F27" s="363"/>
      <c r="G27" s="363"/>
      <c r="H27" s="363"/>
      <c r="I27" s="363"/>
      <c r="J27" s="363"/>
      <c r="K27" s="363"/>
      <c r="L27" s="363"/>
      <c r="Q27" s="2"/>
      <c r="S27" s="11"/>
      <c r="T27" s="11"/>
    </row>
    <row r="28" spans="1:26">
      <c r="B28" s="47"/>
      <c r="C28" s="363"/>
      <c r="D28" s="363"/>
      <c r="E28" s="363"/>
      <c r="F28" s="363"/>
      <c r="G28" s="363"/>
      <c r="H28" s="363"/>
      <c r="I28" s="363"/>
      <c r="J28" s="363"/>
      <c r="K28" s="363"/>
      <c r="L28" s="363"/>
      <c r="Q28" s="2"/>
      <c r="S28" s="11"/>
      <c r="T28" s="11"/>
    </row>
    <row r="29" spans="1:26">
      <c r="B29" s="83"/>
      <c r="C29" s="351"/>
      <c r="D29" s="351"/>
      <c r="E29" s="351"/>
      <c r="F29" s="351"/>
      <c r="G29" s="351"/>
      <c r="H29" s="351"/>
      <c r="I29" s="351"/>
      <c r="J29" s="351"/>
      <c r="K29" s="351"/>
      <c r="L29" s="351"/>
      <c r="S29" s="11"/>
      <c r="T29" s="11"/>
    </row>
    <row r="30" spans="1:26">
      <c r="B30" s="31"/>
      <c r="C30" s="351"/>
      <c r="D30" s="351"/>
      <c r="E30" s="351"/>
      <c r="F30" s="351"/>
      <c r="G30" s="351"/>
      <c r="H30" s="351"/>
      <c r="I30" s="351"/>
      <c r="J30" s="351"/>
      <c r="K30" s="351"/>
      <c r="L30" s="351"/>
      <c r="M30" s="9"/>
      <c r="N30" s="31"/>
      <c r="O30" s="34"/>
      <c r="P30" s="35"/>
      <c r="Q30" s="35"/>
      <c r="R30" s="35"/>
      <c r="S30" s="35"/>
      <c r="T30" s="31"/>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7">
      <c r="B34" s="1"/>
      <c r="C34" s="1"/>
      <c r="D34" s="1"/>
      <c r="E34" s="1"/>
      <c r="F34" s="1"/>
      <c r="G34" s="1"/>
      <c r="H34" s="1"/>
      <c r="I34" s="1"/>
      <c r="J34" s="1"/>
      <c r="K34" s="1"/>
      <c r="L34" s="1"/>
      <c r="M34" s="1"/>
      <c r="N34" s="1"/>
      <c r="O34" s="1"/>
      <c r="P34" s="1"/>
      <c r="Q34" s="1"/>
      <c r="R34" s="1"/>
      <c r="S34" s="1"/>
      <c r="T34" s="1"/>
      <c r="V34" s="56" t="s">
        <v>61</v>
      </c>
      <c r="W34" s="56" t="s">
        <v>62</v>
      </c>
      <c r="X34" s="11"/>
      <c r="Y34" s="56" t="s">
        <v>61</v>
      </c>
      <c r="Z34" s="56" t="s">
        <v>62</v>
      </c>
    </row>
    <row r="35" spans="1:27">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7">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7">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7">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7">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7">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7">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7">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7">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7">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7">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7">
      <c r="B46" s="1"/>
      <c r="C46" s="1"/>
      <c r="D46" s="1"/>
      <c r="E46" s="1"/>
      <c r="F46" s="1"/>
      <c r="G46" s="1"/>
      <c r="H46" s="1"/>
      <c r="I46" s="1"/>
      <c r="J46" s="1"/>
      <c r="K46" s="1"/>
      <c r="L46" s="1"/>
      <c r="M46" s="1"/>
      <c r="N46" s="1"/>
      <c r="O46" s="1"/>
      <c r="P46" s="1"/>
      <c r="Q46" s="1"/>
      <c r="R46" s="1"/>
      <c r="S46" s="1"/>
      <c r="T46" s="1"/>
      <c r="V46" s="244" t="s">
        <v>442</v>
      </c>
      <c r="W46" s="244" t="s">
        <v>459</v>
      </c>
      <c r="X46" s="6"/>
      <c r="Y46" s="244" t="s">
        <v>442</v>
      </c>
      <c r="Z46" s="244" t="s">
        <v>459</v>
      </c>
      <c r="AA46" s="6"/>
    </row>
    <row r="47" spans="1:27">
      <c r="B47" s="1"/>
      <c r="C47" s="1"/>
      <c r="D47" s="1"/>
      <c r="E47" s="1"/>
      <c r="F47" s="1"/>
      <c r="G47" s="1"/>
      <c r="H47" s="1"/>
      <c r="I47" s="1"/>
      <c r="J47" s="1"/>
      <c r="K47" s="1"/>
      <c r="L47" s="1"/>
      <c r="M47" s="1"/>
      <c r="N47" s="1"/>
      <c r="O47" s="1"/>
      <c r="P47" s="1"/>
      <c r="Q47" s="1"/>
      <c r="R47" s="1"/>
      <c r="S47" s="1"/>
      <c r="T47" s="1"/>
      <c r="V47" s="244" t="s">
        <v>443</v>
      </c>
      <c r="W47" s="244" t="s">
        <v>460</v>
      </c>
      <c r="X47" s="6"/>
      <c r="Y47" s="244" t="s">
        <v>443</v>
      </c>
      <c r="Z47" s="244" t="s">
        <v>460</v>
      </c>
      <c r="AA47" s="6"/>
    </row>
    <row r="48" spans="1:27">
      <c r="B48" s="1"/>
      <c r="C48" s="1"/>
      <c r="D48" s="1"/>
      <c r="E48" s="1"/>
      <c r="F48" s="1"/>
      <c r="G48" s="1"/>
      <c r="H48" s="1"/>
      <c r="I48" s="1"/>
      <c r="J48" s="1"/>
      <c r="K48" s="1"/>
      <c r="L48" s="1"/>
      <c r="M48" s="1"/>
      <c r="N48" s="1"/>
      <c r="O48" s="1"/>
      <c r="P48" s="1"/>
      <c r="Q48" s="1"/>
      <c r="R48" s="1"/>
      <c r="S48" s="1"/>
      <c r="T48" s="1"/>
      <c r="V48" s="244" t="s">
        <v>444</v>
      </c>
      <c r="W48" s="245" t="s">
        <v>461</v>
      </c>
      <c r="X48" s="6"/>
      <c r="Y48" s="244" t="s">
        <v>444</v>
      </c>
      <c r="Z48" s="245" t="s">
        <v>461</v>
      </c>
      <c r="AA48" s="6"/>
    </row>
    <row r="49" spans="2:27">
      <c r="B49" s="1"/>
      <c r="C49" s="1"/>
      <c r="D49" s="1"/>
      <c r="E49" s="1"/>
      <c r="F49" s="1"/>
      <c r="G49" s="1"/>
      <c r="H49" s="1"/>
      <c r="I49" s="1"/>
      <c r="J49" s="1"/>
      <c r="K49" s="1"/>
      <c r="L49" s="1"/>
      <c r="M49" s="1"/>
      <c r="N49" s="1"/>
      <c r="O49" s="1"/>
      <c r="P49" s="1"/>
      <c r="Q49" s="1"/>
      <c r="R49" s="1"/>
      <c r="S49" s="1"/>
      <c r="T49" s="1"/>
      <c r="V49" s="244" t="s">
        <v>445</v>
      </c>
      <c r="W49" s="244" t="s">
        <v>462</v>
      </c>
      <c r="X49" s="6"/>
      <c r="Y49" s="244" t="s">
        <v>445</v>
      </c>
      <c r="Z49" s="244" t="s">
        <v>462</v>
      </c>
      <c r="AA49" s="6"/>
    </row>
    <row r="50" spans="2:27">
      <c r="B50" s="1"/>
      <c r="C50" s="1"/>
      <c r="D50" s="1"/>
      <c r="E50" s="1"/>
      <c r="F50" s="1"/>
      <c r="G50" s="1"/>
      <c r="H50" s="1"/>
      <c r="I50" s="1"/>
      <c r="J50" s="1"/>
      <c r="K50" s="1"/>
      <c r="L50" s="1"/>
      <c r="M50" s="1"/>
      <c r="N50" s="1"/>
      <c r="O50" s="1"/>
      <c r="P50" s="1"/>
      <c r="Q50" s="1"/>
      <c r="R50" s="1"/>
      <c r="S50" s="1"/>
      <c r="T50" s="1"/>
      <c r="V50" s="246" t="s">
        <v>446</v>
      </c>
      <c r="W50" s="244" t="s">
        <v>463</v>
      </c>
      <c r="X50" s="6"/>
      <c r="Y50" s="246" t="s">
        <v>446</v>
      </c>
      <c r="Z50" s="244" t="s">
        <v>463</v>
      </c>
      <c r="AA50" s="6"/>
    </row>
    <row r="51" spans="2:27">
      <c r="B51" s="1"/>
      <c r="C51" s="1"/>
      <c r="D51" s="1"/>
      <c r="E51" s="1"/>
      <c r="F51" s="1"/>
      <c r="G51" s="1"/>
      <c r="H51" s="1"/>
      <c r="I51" s="1"/>
      <c r="J51" s="1"/>
      <c r="K51" s="1"/>
      <c r="L51" s="1"/>
      <c r="M51" s="1"/>
      <c r="N51" s="1"/>
      <c r="O51" s="1"/>
      <c r="P51" s="1"/>
      <c r="Q51" s="1"/>
      <c r="R51" s="1"/>
      <c r="S51" s="1"/>
      <c r="T51" s="1"/>
      <c r="V51" s="247" t="s">
        <v>447</v>
      </c>
      <c r="W51" s="244" t="s">
        <v>464</v>
      </c>
      <c r="X51" s="6"/>
      <c r="Y51" s="247" t="s">
        <v>447</v>
      </c>
      <c r="Z51" s="244" t="s">
        <v>464</v>
      </c>
      <c r="AA51" s="6"/>
    </row>
    <row r="52" spans="2:27">
      <c r="B52" s="1"/>
      <c r="C52" s="1"/>
      <c r="D52" s="1"/>
      <c r="E52" s="1"/>
      <c r="F52" s="1"/>
      <c r="G52" s="1"/>
      <c r="H52" s="1"/>
      <c r="I52" s="1"/>
      <c r="J52" s="1"/>
      <c r="K52" s="1"/>
      <c r="L52" s="1"/>
      <c r="M52" s="1"/>
      <c r="N52" s="1"/>
      <c r="O52" s="1"/>
      <c r="P52" s="1"/>
      <c r="Q52" s="1"/>
      <c r="R52" s="1"/>
      <c r="S52" s="1"/>
      <c r="T52" s="1"/>
      <c r="V52" s="295"/>
      <c r="W52" s="244" t="s">
        <v>465</v>
      </c>
      <c r="X52" s="6"/>
      <c r="Y52" s="284"/>
      <c r="Z52" s="244" t="s">
        <v>465</v>
      </c>
      <c r="AA52" s="6"/>
    </row>
    <row r="53" spans="2:27">
      <c r="B53" s="1"/>
      <c r="C53" s="1"/>
      <c r="D53" s="1"/>
      <c r="E53" s="1"/>
      <c r="F53" s="1"/>
      <c r="G53" s="1"/>
      <c r="H53" s="1"/>
      <c r="I53" s="1"/>
      <c r="J53" s="1"/>
      <c r="K53" s="1"/>
      <c r="L53" s="1"/>
      <c r="M53" s="1"/>
      <c r="N53" s="1"/>
      <c r="O53" s="1"/>
      <c r="P53" s="1"/>
      <c r="Q53" s="1"/>
      <c r="R53" s="1"/>
      <c r="S53" s="1"/>
      <c r="T53" s="1"/>
      <c r="V53" s="204"/>
      <c r="W53" s="248" t="s">
        <v>466</v>
      </c>
      <c r="X53" s="6"/>
      <c r="Y53" s="257"/>
      <c r="Z53" s="258" t="s">
        <v>466</v>
      </c>
      <c r="AA53" s="6"/>
    </row>
    <row r="54" spans="2:27">
      <c r="B54" s="119"/>
      <c r="C54" s="119"/>
      <c r="D54" s="119"/>
      <c r="E54" s="119"/>
      <c r="F54" s="119"/>
      <c r="G54" s="119"/>
      <c r="H54" s="119"/>
      <c r="I54" s="119"/>
      <c r="J54" s="119"/>
      <c r="K54" s="119"/>
      <c r="L54" s="119"/>
      <c r="M54" s="119"/>
      <c r="N54" s="119"/>
      <c r="O54" s="119"/>
      <c r="P54" s="119"/>
      <c r="Q54" s="119"/>
      <c r="R54" s="119"/>
      <c r="S54" s="119"/>
      <c r="T54" s="119"/>
      <c r="V54" s="250"/>
      <c r="W54" s="251"/>
      <c r="X54" s="6"/>
      <c r="Y54" s="250"/>
      <c r="Z54" s="251"/>
      <c r="AA54" s="6"/>
    </row>
    <row r="55" spans="2:27">
      <c r="B55" s="119"/>
      <c r="C55" s="119"/>
      <c r="D55" s="119"/>
      <c r="E55" s="119"/>
      <c r="F55" s="119"/>
      <c r="G55" s="119"/>
      <c r="H55" s="119"/>
      <c r="I55" s="119"/>
      <c r="J55" s="119"/>
      <c r="K55" s="119"/>
      <c r="L55" s="119"/>
      <c r="M55" s="119"/>
      <c r="N55" s="119"/>
      <c r="O55" s="119"/>
      <c r="P55" s="119"/>
      <c r="Q55" s="119"/>
      <c r="R55" s="119"/>
      <c r="S55" s="119"/>
      <c r="T55" s="119"/>
      <c r="V55" s="249"/>
      <c r="W55" s="251"/>
      <c r="X55" s="6"/>
      <c r="Y55" s="249"/>
      <c r="Z55" s="251"/>
      <c r="AA55" s="6"/>
    </row>
    <row r="56" spans="2:27">
      <c r="V56" s="6"/>
      <c r="W56" s="6"/>
      <c r="X56" s="6"/>
      <c r="Y56" s="6"/>
      <c r="Z56" s="6"/>
      <c r="AA56" s="6"/>
    </row>
    <row r="57" spans="2:27">
      <c r="V57" s="6"/>
      <c r="W57" s="6"/>
      <c r="X57" s="6"/>
      <c r="Y57" s="6"/>
      <c r="Z57" s="6"/>
      <c r="AA57" s="6"/>
    </row>
  </sheetData>
  <mergeCells count="24">
    <mergeCell ref="B11:L11"/>
    <mergeCell ref="C12:L12"/>
    <mergeCell ref="C13:L13"/>
    <mergeCell ref="C14:L14"/>
    <mergeCell ref="B3:T3"/>
    <mergeCell ref="B4:T4"/>
    <mergeCell ref="B5:T5"/>
    <mergeCell ref="R7:T7"/>
    <mergeCell ref="B9:L9"/>
    <mergeCell ref="N9:T9"/>
    <mergeCell ref="Y32:Z32"/>
    <mergeCell ref="Y33:Z33"/>
    <mergeCell ref="V33:W33"/>
    <mergeCell ref="C15:L15"/>
    <mergeCell ref="B17:L17"/>
    <mergeCell ref="C18:L18"/>
    <mergeCell ref="C19:L19"/>
    <mergeCell ref="C20:L20"/>
    <mergeCell ref="D21:L22"/>
    <mergeCell ref="C23:L25"/>
    <mergeCell ref="C26:L28"/>
    <mergeCell ref="C29:L30"/>
    <mergeCell ref="B32:T32"/>
    <mergeCell ref="V32:W32"/>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B49073"/>
  </sheetPr>
  <dimension ref="A1:T113"/>
  <sheetViews>
    <sheetView showGridLines="0" zoomScale="70" zoomScaleNormal="70" workbookViewId="0"/>
  </sheetViews>
  <sheetFormatPr defaultRowHeight="14.25"/>
  <cols>
    <col min="1" max="1" width="15.796875" customWidth="1"/>
    <col min="2" max="8" width="26.796875" customWidth="1"/>
    <col min="9" max="15" width="12.796875" customWidth="1"/>
  </cols>
  <sheetData>
    <row r="1" spans="1:16" ht="15.75">
      <c r="A1" s="16" t="s">
        <v>216</v>
      </c>
      <c r="B1" s="84"/>
      <c r="C1" s="84"/>
      <c r="D1" s="84"/>
      <c r="E1" s="84"/>
      <c r="F1" s="84"/>
      <c r="G1" s="84"/>
    </row>
    <row r="2" spans="1:16" ht="15.75">
      <c r="A2" s="26" t="s">
        <v>34</v>
      </c>
      <c r="C2" s="27">
        <v>42977</v>
      </c>
      <c r="F2" s="120"/>
      <c r="G2" s="342" t="s">
        <v>44</v>
      </c>
      <c r="H2" s="342"/>
      <c r="I2" s="120"/>
    </row>
    <row r="3" spans="1:16" ht="23.65" thickBot="1">
      <c r="A3" s="354" t="s">
        <v>7</v>
      </c>
      <c r="B3" s="354"/>
      <c r="C3" s="354"/>
      <c r="D3" s="354"/>
      <c r="E3" s="354"/>
      <c r="F3" s="354"/>
      <c r="G3" s="354"/>
      <c r="H3" s="354"/>
      <c r="J3" s="321" t="s">
        <v>46</v>
      </c>
      <c r="K3" s="321"/>
      <c r="L3" s="11"/>
      <c r="M3" s="318" t="s">
        <v>46</v>
      </c>
      <c r="N3" s="318"/>
    </row>
    <row r="4" spans="1:16">
      <c r="A4" s="119"/>
      <c r="B4" s="119"/>
      <c r="C4" s="119"/>
      <c r="D4" s="119"/>
      <c r="E4" s="119"/>
      <c r="F4" s="119"/>
      <c r="G4" s="119"/>
      <c r="H4" s="119"/>
      <c r="J4" s="319" t="s">
        <v>65</v>
      </c>
      <c r="K4" s="320"/>
      <c r="L4" s="11"/>
      <c r="M4" s="319" t="s">
        <v>66</v>
      </c>
      <c r="N4" s="320"/>
    </row>
    <row r="5" spans="1:16">
      <c r="A5" s="119"/>
      <c r="B5" s="352" t="s">
        <v>374</v>
      </c>
      <c r="C5" s="352"/>
      <c r="D5" s="352"/>
      <c r="E5" s="352"/>
      <c r="F5" s="352"/>
      <c r="G5" s="352"/>
      <c r="H5" s="352"/>
      <c r="J5" s="56" t="s">
        <v>61</v>
      </c>
      <c r="K5" s="56" t="s">
        <v>62</v>
      </c>
      <c r="L5" s="11"/>
      <c r="M5" s="56" t="s">
        <v>61</v>
      </c>
      <c r="N5" s="56" t="s">
        <v>62</v>
      </c>
    </row>
    <row r="6" spans="1:16">
      <c r="A6" s="119"/>
      <c r="B6" s="352" t="s">
        <v>326</v>
      </c>
      <c r="C6" s="352"/>
      <c r="D6" s="352"/>
      <c r="E6" s="352"/>
      <c r="F6" s="352"/>
      <c r="G6" s="352"/>
      <c r="H6" s="352"/>
      <c r="J6" s="244" t="s">
        <v>392</v>
      </c>
      <c r="K6" s="244" t="s">
        <v>448</v>
      </c>
      <c r="L6" s="11"/>
      <c r="M6" s="244" t="s">
        <v>392</v>
      </c>
      <c r="N6" s="244" t="s">
        <v>448</v>
      </c>
    </row>
    <row r="7" spans="1:16">
      <c r="A7" s="119"/>
      <c r="B7" s="352" t="s">
        <v>331</v>
      </c>
      <c r="C7" s="352"/>
      <c r="D7" s="352"/>
      <c r="E7" s="352"/>
      <c r="F7" s="352"/>
      <c r="G7" s="352"/>
      <c r="H7" s="352"/>
      <c r="J7" s="244" t="s">
        <v>393</v>
      </c>
      <c r="K7" s="244" t="s">
        <v>449</v>
      </c>
      <c r="L7" s="11"/>
      <c r="M7" s="244" t="s">
        <v>393</v>
      </c>
      <c r="N7" s="244" t="s">
        <v>449</v>
      </c>
    </row>
    <row r="8" spans="1:16">
      <c r="A8" s="119"/>
      <c r="B8" s="353" t="s">
        <v>325</v>
      </c>
      <c r="C8" s="353"/>
      <c r="D8" s="353"/>
      <c r="E8" s="353"/>
      <c r="F8" s="353"/>
      <c r="G8" s="353"/>
      <c r="H8" s="353"/>
      <c r="J8" s="244" t="s">
        <v>394</v>
      </c>
      <c r="K8" s="244" t="s">
        <v>450</v>
      </c>
      <c r="L8" s="11"/>
      <c r="M8" s="244" t="s">
        <v>394</v>
      </c>
      <c r="N8" s="244" t="s">
        <v>450</v>
      </c>
    </row>
    <row r="9" spans="1:16">
      <c r="A9" s="119"/>
      <c r="B9" s="353" t="s">
        <v>538</v>
      </c>
      <c r="C9" s="353"/>
      <c r="D9" s="353"/>
      <c r="E9" s="353"/>
      <c r="F9" s="353"/>
      <c r="G9" s="353"/>
      <c r="H9" s="353"/>
      <c r="J9" s="244" t="s">
        <v>434</v>
      </c>
      <c r="K9" s="244" t="s">
        <v>451</v>
      </c>
      <c r="L9" s="11"/>
      <c r="M9" s="244" t="s">
        <v>434</v>
      </c>
      <c r="N9" s="244" t="s">
        <v>451</v>
      </c>
    </row>
    <row r="10" spans="1:16">
      <c r="A10" s="119"/>
      <c r="B10" s="353" t="s">
        <v>333</v>
      </c>
      <c r="C10" s="353"/>
      <c r="D10" s="353"/>
      <c r="E10" s="353"/>
      <c r="F10" s="353"/>
      <c r="G10" s="353"/>
      <c r="H10" s="353"/>
      <c r="J10" s="244" t="s">
        <v>435</v>
      </c>
      <c r="K10" s="244" t="s">
        <v>452</v>
      </c>
      <c r="M10" s="244" t="s">
        <v>435</v>
      </c>
      <c r="N10" s="244" t="s">
        <v>452</v>
      </c>
    </row>
    <row r="11" spans="1:16">
      <c r="A11" s="119"/>
      <c r="B11" s="119"/>
      <c r="C11" s="119"/>
      <c r="D11" s="119"/>
      <c r="E11" s="119"/>
      <c r="F11" s="119"/>
      <c r="G11" s="119"/>
      <c r="H11" s="119"/>
      <c r="J11" s="244" t="s">
        <v>436</v>
      </c>
      <c r="K11" s="244" t="s">
        <v>453</v>
      </c>
      <c r="M11" s="244" t="s">
        <v>436</v>
      </c>
      <c r="N11" s="244" t="s">
        <v>453</v>
      </c>
    </row>
    <row r="12" spans="1:16" ht="15.75">
      <c r="A12" s="26"/>
      <c r="C12" s="27"/>
      <c r="J12" s="244" t="s">
        <v>437</v>
      </c>
      <c r="K12" s="245" t="s">
        <v>454</v>
      </c>
      <c r="M12" s="244" t="s">
        <v>437</v>
      </c>
      <c r="N12" s="245" t="s">
        <v>454</v>
      </c>
    </row>
    <row r="13" spans="1:16">
      <c r="A13" s="133" t="s">
        <v>2</v>
      </c>
      <c r="B13" s="133" t="s">
        <v>203</v>
      </c>
      <c r="C13" s="133" t="s">
        <v>153</v>
      </c>
      <c r="D13" s="133" t="s">
        <v>158</v>
      </c>
      <c r="E13" s="133" t="s">
        <v>162</v>
      </c>
      <c r="F13" s="133" t="s">
        <v>178</v>
      </c>
      <c r="G13" s="133" t="s">
        <v>188</v>
      </c>
      <c r="H13" s="134" t="s">
        <v>209</v>
      </c>
      <c r="I13" s="79"/>
      <c r="J13" s="244" t="s">
        <v>438</v>
      </c>
      <c r="K13" s="244" t="s">
        <v>455</v>
      </c>
      <c r="M13" s="244" t="s">
        <v>438</v>
      </c>
      <c r="N13" s="244" t="s">
        <v>455</v>
      </c>
      <c r="P13" s="152"/>
    </row>
    <row r="14" spans="1:16">
      <c r="A14" s="2">
        <v>2016</v>
      </c>
      <c r="B14" s="2" t="s">
        <v>215</v>
      </c>
      <c r="C14" s="79">
        <f>COUNTIF(C$39:C$53,"=1")/COUNT(C$39:C$53)</f>
        <v>7.6923076923076927E-2</v>
      </c>
      <c r="D14" s="79">
        <f>COUNTIF(C$54:C$58,"=1")/COUNT(C$54:C$58)</f>
        <v>0.66666666666666663</v>
      </c>
      <c r="E14" s="79">
        <f>COUNTIF(C$59:C$62,"=1")/COUNT(C$59:C$62)</f>
        <v>0.75</v>
      </c>
      <c r="F14" s="79">
        <f>COUNTIF(C$63:C$77,"=1")/COUNT(C$63:C$77)</f>
        <v>0.16666666666666666</v>
      </c>
      <c r="G14" s="79">
        <f>COUNTIF(C$78:C$87,"=1")/COUNT(C$78:C$87)</f>
        <v>0.1111111111111111</v>
      </c>
      <c r="H14" s="79">
        <f>COUNTIF(C$39:C$87,"=1")/COUNT(C$39:C$87)</f>
        <v>0.21951219512195122</v>
      </c>
      <c r="I14" s="79"/>
      <c r="J14" s="245" t="s">
        <v>439</v>
      </c>
      <c r="K14" s="244" t="s">
        <v>456</v>
      </c>
      <c r="M14" s="244" t="s">
        <v>439</v>
      </c>
      <c r="N14" s="244" t="s">
        <v>456</v>
      </c>
      <c r="P14" s="153"/>
    </row>
    <row r="15" spans="1:16">
      <c r="A15">
        <v>2017</v>
      </c>
      <c r="B15" s="2" t="s">
        <v>215</v>
      </c>
      <c r="C15" s="79">
        <f>COUNTIF(D$39:D$53,"=1")/COUNT(D$39:D$53)</f>
        <v>0.13333333333333333</v>
      </c>
      <c r="D15" s="79">
        <f>COUNTIF(D$54:D$58,"=1")/COUNT(D$54:D$58)</f>
        <v>0.66666666666666663</v>
      </c>
      <c r="E15" s="79">
        <f>COUNTIF(D$59:D$62,"=1")/COUNT(D$59:D$62)</f>
        <v>0.5</v>
      </c>
      <c r="F15" s="79">
        <f>COUNTIF(D$63:D$77,"=1")/COUNT(D$63:D$77)</f>
        <v>0.26666666666666666</v>
      </c>
      <c r="G15" s="79">
        <f>COUNTIF(D$78:D$87,"=1")/COUNT(D$78:D$87)</f>
        <v>0</v>
      </c>
      <c r="H15" s="79">
        <f>COUNTIF(D$39:D$87,"=1")/COUNT(D$39:D$87)</f>
        <v>0.21739130434782608</v>
      </c>
      <c r="I15" s="79"/>
      <c r="J15" s="244" t="s">
        <v>440</v>
      </c>
      <c r="K15" s="244" t="s">
        <v>457</v>
      </c>
      <c r="M15" s="244" t="s">
        <v>440</v>
      </c>
      <c r="N15" s="244" t="s">
        <v>457</v>
      </c>
      <c r="P15" s="153"/>
    </row>
    <row r="16" spans="1:16">
      <c r="A16" s="2">
        <v>2018</v>
      </c>
      <c r="B16" s="2" t="s">
        <v>215</v>
      </c>
      <c r="C16" s="79" t="e">
        <f>COUNTIF(E$39:E$53,"=1")/COUNT(E$39:E$53)</f>
        <v>#DIV/0!</v>
      </c>
      <c r="D16" s="79" t="e">
        <f>COUNTIF(E$54:E$58,"=1")/COUNT(E$54:E$58)</f>
        <v>#DIV/0!</v>
      </c>
      <c r="E16" s="79" t="e">
        <f>COUNTIF(E$59:E$62,"=1")/COUNT(E$59:E$62)</f>
        <v>#DIV/0!</v>
      </c>
      <c r="F16" s="79" t="e">
        <f>COUNTIF(E$63:E$77,"=1")/COUNT(E$63:E$77)</f>
        <v>#DIV/0!</v>
      </c>
      <c r="G16" s="79" t="e">
        <f>COUNTIF(E$78:E$87,"=1")/COUNT(E$78:E$87)</f>
        <v>#DIV/0!</v>
      </c>
      <c r="H16" s="79" t="e">
        <f>COUNTIF(E$39:E$87,"=1")/COUNT(E$39:E$87)</f>
        <v>#DIV/0!</v>
      </c>
      <c r="I16" s="79"/>
      <c r="J16" s="244" t="s">
        <v>441</v>
      </c>
      <c r="K16" s="244" t="s">
        <v>458</v>
      </c>
      <c r="M16" s="244" t="s">
        <v>441</v>
      </c>
      <c r="N16" s="244" t="s">
        <v>458</v>
      </c>
      <c r="P16" s="153"/>
    </row>
    <row r="17" spans="1:16">
      <c r="A17">
        <v>2019</v>
      </c>
      <c r="B17" s="2" t="s">
        <v>215</v>
      </c>
      <c r="C17" s="79" t="e">
        <f>COUNTIF(F$39:F$53,"=1")/COUNT(F$39:F$53)</f>
        <v>#DIV/0!</v>
      </c>
      <c r="D17" s="79" t="e">
        <f>COUNTIF(F$54:F$58,"=1")/COUNT(F$54:F$58)</f>
        <v>#DIV/0!</v>
      </c>
      <c r="E17" s="79" t="e">
        <f>COUNTIF(F$59:F$62,"=1")/COUNT(F$59:F$62)</f>
        <v>#DIV/0!</v>
      </c>
      <c r="F17" s="79" t="e">
        <f>COUNTIF(F$63:F$77,"=1")/COUNT(F$63:F$77)</f>
        <v>#DIV/0!</v>
      </c>
      <c r="G17" s="79" t="e">
        <f>COUNTIF(F$78:F$87,"=1")/COUNT(F$78:F$87)</f>
        <v>#DIV/0!</v>
      </c>
      <c r="H17" s="79" t="e">
        <f>COUNTIF(F$39:F$87,"=1")/COUNT(F$39:F$87)</f>
        <v>#DIV/0!</v>
      </c>
      <c r="I17" s="79"/>
      <c r="J17" s="244" t="s">
        <v>442</v>
      </c>
      <c r="K17" s="244" t="s">
        <v>459</v>
      </c>
      <c r="M17" s="244" t="s">
        <v>442</v>
      </c>
      <c r="N17" s="244" t="s">
        <v>459</v>
      </c>
      <c r="P17" s="82"/>
    </row>
    <row r="18" spans="1:16">
      <c r="A18" s="2">
        <v>2020</v>
      </c>
      <c r="B18" s="2" t="s">
        <v>215</v>
      </c>
      <c r="C18" s="79" t="e">
        <f>COUNTIF(G$39:G$53,"=1")/COUNT(G$39:G$53)</f>
        <v>#DIV/0!</v>
      </c>
      <c r="D18" s="79" t="e">
        <f>COUNTIF(G$54:G$58,"=1")/COUNT(G$54:G$58)</f>
        <v>#DIV/0!</v>
      </c>
      <c r="E18" s="79" t="e">
        <f>COUNTIF(G$59:G$62,"=1")/COUNT(G$59:G$62)</f>
        <v>#DIV/0!</v>
      </c>
      <c r="F18" s="79" t="e">
        <f>COUNTIF(G$63:G$77,"=1")/COUNT(G$63:G$77)</f>
        <v>#DIV/0!</v>
      </c>
      <c r="G18" s="79" t="e">
        <f>COUNTIF(G$78:G$87,"=1")/COUNT(G$78:G$87)</f>
        <v>#DIV/0!</v>
      </c>
      <c r="H18" s="79" t="e">
        <f>COUNTIF(G$39:G$87,"=1")/COUNT(G$39:G$87)</f>
        <v>#DIV/0!</v>
      </c>
      <c r="I18" s="79"/>
      <c r="J18" s="244" t="s">
        <v>443</v>
      </c>
      <c r="K18" s="244" t="s">
        <v>460</v>
      </c>
      <c r="L18" s="6"/>
      <c r="M18" s="244" t="s">
        <v>443</v>
      </c>
      <c r="N18" s="244" t="s">
        <v>460</v>
      </c>
      <c r="O18" s="6"/>
      <c r="P18" s="82"/>
    </row>
    <row r="19" spans="1:16">
      <c r="A19">
        <v>2021</v>
      </c>
      <c r="B19" s="2" t="s">
        <v>215</v>
      </c>
      <c r="C19" s="79" t="e">
        <f>COUNTIF(H$39:H$53,"=1")/COUNT(H$39:H$53)</f>
        <v>#DIV/0!</v>
      </c>
      <c r="D19" s="79" t="e">
        <f>COUNTIF(H$54:H$58,"=1")/COUNT(H$54:H$58)</f>
        <v>#DIV/0!</v>
      </c>
      <c r="E19" s="79" t="e">
        <f>COUNTIF(H$59:H$62,"=1")/COUNT(H$59:H$62)</f>
        <v>#DIV/0!</v>
      </c>
      <c r="F19" s="79" t="e">
        <f>COUNTIF(H$63:H$77,"=1")/COUNT(H$63:H$77)</f>
        <v>#DIV/0!</v>
      </c>
      <c r="G19" s="79" t="e">
        <f>COUNTIF(H$78:H$87,"=1")/COUNT(H$78:H$87)</f>
        <v>#DIV/0!</v>
      </c>
      <c r="H19" s="79" t="e">
        <f>COUNTIF(H$39:H$87,"=1")/COUNT(H$39:H$87)</f>
        <v>#DIV/0!</v>
      </c>
      <c r="I19" s="79"/>
      <c r="J19" s="244" t="s">
        <v>444</v>
      </c>
      <c r="K19" s="245" t="s">
        <v>461</v>
      </c>
      <c r="L19" s="6"/>
      <c r="M19" s="244" t="s">
        <v>444</v>
      </c>
      <c r="N19" s="245" t="s">
        <v>461</v>
      </c>
      <c r="O19" s="6"/>
      <c r="P19" s="82"/>
    </row>
    <row r="20" spans="1:16">
      <c r="A20" s="2">
        <v>2022</v>
      </c>
      <c r="B20" s="2" t="s">
        <v>215</v>
      </c>
      <c r="C20" s="79" t="e">
        <f>COUNTIF(I$39:I$53,"=1")/COUNT(I$39:I$53)</f>
        <v>#DIV/0!</v>
      </c>
      <c r="D20" s="79" t="e">
        <f>COUNTIF(I$54:I$58,"=1")/COUNT(I$54:I$58)</f>
        <v>#DIV/0!</v>
      </c>
      <c r="E20" s="79" t="e">
        <f>COUNTIF(I$59:I$62,"=1")/COUNT(I$59:I$62)</f>
        <v>#DIV/0!</v>
      </c>
      <c r="F20" s="79" t="e">
        <f>COUNTIF(I$63:I$77,"=1")/COUNT(I$63:I$77)</f>
        <v>#DIV/0!</v>
      </c>
      <c r="G20" s="79" t="e">
        <f>COUNTIF(I$78:I$87,"=1")/COUNT(I$78:I$87)</f>
        <v>#DIV/0!</v>
      </c>
      <c r="H20" s="79" t="e">
        <f>COUNTIF(I$39:I$87,"=1")/COUNT(I$39:I$87)</f>
        <v>#DIV/0!</v>
      </c>
      <c r="I20" s="79"/>
      <c r="J20" s="244" t="s">
        <v>445</v>
      </c>
      <c r="K20" s="244" t="s">
        <v>462</v>
      </c>
      <c r="L20" s="6"/>
      <c r="M20" s="244" t="s">
        <v>445</v>
      </c>
      <c r="N20" s="244" t="s">
        <v>462</v>
      </c>
      <c r="O20" s="6"/>
      <c r="P20" s="8"/>
    </row>
    <row r="21" spans="1:16">
      <c r="A21">
        <v>2023</v>
      </c>
      <c r="B21" s="2" t="s">
        <v>215</v>
      </c>
      <c r="C21" s="79" t="e">
        <f>COUNTIF(J$39:J$53,"=1")/COUNT(J$39:J$53)</f>
        <v>#DIV/0!</v>
      </c>
      <c r="D21" s="79" t="e">
        <f>COUNTIF(J$54:J$58,"=1")/COUNT(J$54:J$58)</f>
        <v>#DIV/0!</v>
      </c>
      <c r="E21" s="79" t="e">
        <f>COUNTIF(J$59:J$62,"=1")/COUNT(J$59:J$62)</f>
        <v>#DIV/0!</v>
      </c>
      <c r="F21" s="79" t="e">
        <f>COUNTIF(J$63:J$77,"=1")/COUNT(J$63:J$77)</f>
        <v>#DIV/0!</v>
      </c>
      <c r="G21" s="79" t="e">
        <f>COUNTIF(J$78:J$87,"=1")/COUNT(J$78:J$87)</f>
        <v>#DIV/0!</v>
      </c>
      <c r="H21" s="79" t="e">
        <f>COUNTIF(J$39:J$87,"=1")/COUNT(J$39:J$87)</f>
        <v>#DIV/0!</v>
      </c>
      <c r="I21" s="79"/>
      <c r="J21" s="246" t="s">
        <v>446</v>
      </c>
      <c r="K21" s="244" t="s">
        <v>463</v>
      </c>
      <c r="L21" s="6"/>
      <c r="M21" s="246" t="s">
        <v>446</v>
      </c>
      <c r="N21" s="244" t="s">
        <v>463</v>
      </c>
      <c r="O21" s="6"/>
      <c r="P21" s="8"/>
    </row>
    <row r="22" spans="1:16">
      <c r="A22" s="2">
        <v>2024</v>
      </c>
      <c r="B22" s="2" t="s">
        <v>215</v>
      </c>
      <c r="C22" s="79" t="e">
        <f>COUNTIF(K$39:K$53,"=1")/COUNT(K$39:K$53)</f>
        <v>#DIV/0!</v>
      </c>
      <c r="D22" s="79" t="e">
        <f>COUNTIF(K$54:K$58,"=1")/COUNT(K$54:K$58)</f>
        <v>#DIV/0!</v>
      </c>
      <c r="E22" s="79" t="e">
        <f>COUNTIF(K$59:K$62,"=1")/COUNT(K$59:K$62)</f>
        <v>#DIV/0!</v>
      </c>
      <c r="F22" s="79" t="e">
        <f>COUNTIF(K$63:K$77,"=1")/COUNT(K$63:K$77)</f>
        <v>#DIV/0!</v>
      </c>
      <c r="G22" s="79" t="e">
        <f>COUNTIF(K$78:K$87,"=1")/COUNT(K$78:K$87)</f>
        <v>#DIV/0!</v>
      </c>
      <c r="H22" s="79" t="e">
        <f>COUNTIF(K$39:K$87,"=1")/COUNT(K$39:K$87)</f>
        <v>#DIV/0!</v>
      </c>
      <c r="I22" s="79"/>
      <c r="J22" s="247" t="s">
        <v>447</v>
      </c>
      <c r="K22" s="244" t="s">
        <v>464</v>
      </c>
      <c r="L22" s="6"/>
      <c r="M22" s="247" t="s">
        <v>447</v>
      </c>
      <c r="N22" s="244" t="s">
        <v>464</v>
      </c>
      <c r="O22" s="6"/>
    </row>
    <row r="23" spans="1:16">
      <c r="A23">
        <v>2025</v>
      </c>
      <c r="B23" s="2" t="s">
        <v>215</v>
      </c>
      <c r="C23" s="79" t="e">
        <f>COUNTIF(L$39:L$53,"=1")/COUNT(L$39:L$53)</f>
        <v>#DIV/0!</v>
      </c>
      <c r="D23" s="79" t="e">
        <f>COUNTIF(L$54:L$58,"=1")/COUNT(L$54:L$58)</f>
        <v>#DIV/0!</v>
      </c>
      <c r="E23" s="79" t="e">
        <f>COUNTIF(L$59:L$62,"=1")/COUNT(L$59:L$62)</f>
        <v>#DIV/0!</v>
      </c>
      <c r="F23" s="79" t="e">
        <f>COUNTIF(L$63:L$77,"=1")/COUNT(L$63:L$77)</f>
        <v>#DIV/0!</v>
      </c>
      <c r="G23" s="79" t="e">
        <f>COUNTIF(L$78:L$87,"=1")/COUNT(L$78:L$87)</f>
        <v>#DIV/0!</v>
      </c>
      <c r="H23" s="79" t="e">
        <f>COUNTIF(L$39:L$87,"=1")/COUNT(L$39:L$87)</f>
        <v>#DIV/0!</v>
      </c>
      <c r="I23" s="79"/>
      <c r="J23" s="295"/>
      <c r="K23" s="244" t="s">
        <v>465</v>
      </c>
      <c r="L23" s="6"/>
      <c r="M23" s="284"/>
      <c r="N23" s="244" t="s">
        <v>465</v>
      </c>
      <c r="O23" s="6"/>
    </row>
    <row r="24" spans="1:16">
      <c r="D24" s="79"/>
      <c r="E24" s="79"/>
      <c r="F24" s="79"/>
      <c r="G24" s="79"/>
      <c r="H24" s="79"/>
      <c r="I24" s="79"/>
      <c r="J24" s="204"/>
      <c r="K24" s="248" t="s">
        <v>466</v>
      </c>
      <c r="L24" s="6"/>
      <c r="M24" s="257"/>
      <c r="N24" s="258" t="s">
        <v>466</v>
      </c>
      <c r="O24" s="6"/>
    </row>
    <row r="25" spans="1:16">
      <c r="D25" s="79"/>
      <c r="E25" s="79"/>
      <c r="F25" s="79"/>
      <c r="G25" s="79"/>
      <c r="H25" s="79"/>
      <c r="I25" s="79"/>
      <c r="J25" s="250"/>
      <c r="K25" s="251"/>
      <c r="L25" s="6"/>
      <c r="M25" s="250"/>
      <c r="N25" s="251"/>
      <c r="O25" s="6"/>
    </row>
    <row r="26" spans="1:16">
      <c r="D26" s="79"/>
      <c r="E26" s="79"/>
      <c r="F26" s="79"/>
      <c r="G26" s="79"/>
      <c r="H26" s="79"/>
      <c r="I26" s="79"/>
      <c r="J26" s="249"/>
      <c r="K26" s="251"/>
      <c r="L26" s="6"/>
      <c r="M26" s="249"/>
      <c r="N26" s="251"/>
      <c r="O26" s="6"/>
    </row>
    <row r="27" spans="1:16">
      <c r="D27" s="79"/>
      <c r="E27" s="79"/>
      <c r="F27" s="79"/>
      <c r="G27" s="79"/>
      <c r="H27" s="79"/>
      <c r="I27" s="79"/>
      <c r="J27" s="6"/>
      <c r="K27" s="6"/>
      <c r="L27" s="6"/>
      <c r="M27" s="6"/>
      <c r="N27" s="6"/>
      <c r="O27" s="6"/>
    </row>
    <row r="28" spans="1:16">
      <c r="D28" s="79"/>
      <c r="E28" s="79"/>
      <c r="F28" s="79"/>
      <c r="G28" s="79"/>
      <c r="H28" s="79"/>
      <c r="I28" s="79"/>
      <c r="J28" s="6"/>
      <c r="K28" s="6"/>
      <c r="L28" s="6"/>
      <c r="M28" s="6"/>
      <c r="N28" s="6"/>
      <c r="O28" s="6"/>
    </row>
    <row r="29" spans="1:16">
      <c r="D29" s="79"/>
      <c r="E29" s="79"/>
      <c r="F29" s="79"/>
      <c r="G29" s="79"/>
      <c r="H29" s="79"/>
      <c r="I29" s="79"/>
    </row>
    <row r="30" spans="1:16">
      <c r="D30" s="79"/>
      <c r="E30" s="79"/>
      <c r="F30" s="79"/>
      <c r="G30" s="79"/>
      <c r="H30" s="79"/>
      <c r="I30" s="79"/>
    </row>
    <row r="31" spans="1:16">
      <c r="D31" s="79"/>
      <c r="E31" s="79"/>
      <c r="F31" s="79"/>
      <c r="G31" s="79"/>
      <c r="H31" s="79"/>
      <c r="I31" s="79"/>
    </row>
    <row r="32" spans="1:16">
      <c r="D32" s="79"/>
      <c r="E32" s="79"/>
      <c r="F32" s="79"/>
      <c r="G32" s="79"/>
      <c r="H32" s="79"/>
      <c r="I32" s="79"/>
    </row>
    <row r="33" spans="1:20">
      <c r="D33" s="79"/>
      <c r="E33" s="79"/>
      <c r="F33" s="79"/>
      <c r="G33" s="79"/>
      <c r="H33" s="79"/>
      <c r="I33" s="79"/>
    </row>
    <row r="34" spans="1:20">
      <c r="D34" s="79"/>
      <c r="E34" s="79"/>
      <c r="F34" s="79"/>
      <c r="G34" s="79"/>
      <c r="H34" s="79"/>
      <c r="I34" s="79"/>
    </row>
    <row r="35" spans="1:20">
      <c r="C35" s="79"/>
      <c r="D35" s="79"/>
      <c r="E35" s="79"/>
      <c r="F35" s="79"/>
      <c r="G35" s="79"/>
      <c r="H35" s="79"/>
    </row>
    <row r="37" spans="1:20" ht="18">
      <c r="A37" s="355" t="s">
        <v>195</v>
      </c>
      <c r="B37" s="355"/>
      <c r="C37" s="224"/>
      <c r="D37" s="224"/>
      <c r="E37" s="224"/>
      <c r="F37" s="224"/>
      <c r="G37" s="224"/>
      <c r="H37" s="224"/>
      <c r="I37" s="224"/>
      <c r="J37" s="224"/>
      <c r="K37" s="224"/>
      <c r="L37" s="224"/>
    </row>
    <row r="38" spans="1:20" ht="18">
      <c r="A38" s="81" t="s">
        <v>199</v>
      </c>
      <c r="B38" s="80" t="s">
        <v>210</v>
      </c>
      <c r="C38" s="225">
        <v>2016</v>
      </c>
      <c r="D38" s="226">
        <v>2017</v>
      </c>
      <c r="E38" s="225">
        <v>2018</v>
      </c>
      <c r="F38" s="226">
        <v>2019</v>
      </c>
      <c r="G38" s="225">
        <v>2020</v>
      </c>
      <c r="H38" s="226">
        <v>2021</v>
      </c>
      <c r="I38" s="225">
        <v>2022</v>
      </c>
      <c r="J38" s="226">
        <v>2023</v>
      </c>
      <c r="K38" s="225">
        <v>2024</v>
      </c>
      <c r="L38" s="226">
        <v>2025</v>
      </c>
      <c r="M38" s="8"/>
      <c r="N38" s="8"/>
      <c r="O38" s="8"/>
      <c r="P38" s="8"/>
      <c r="Q38" s="8"/>
      <c r="R38" s="8"/>
      <c r="S38" s="8"/>
      <c r="T38" s="8"/>
    </row>
    <row r="39" spans="1:20">
      <c r="A39" s="68" t="s">
        <v>189</v>
      </c>
      <c r="B39" t="s">
        <v>153</v>
      </c>
      <c r="C39" s="82">
        <v>0</v>
      </c>
      <c r="D39" s="82">
        <v>0</v>
      </c>
      <c r="E39" s="82"/>
      <c r="F39" s="82"/>
      <c r="G39" s="82"/>
      <c r="H39" s="82"/>
      <c r="I39" s="82"/>
      <c r="J39" s="82"/>
      <c r="K39" s="82"/>
      <c r="L39" s="82"/>
      <c r="M39" s="8"/>
      <c r="N39" s="8"/>
      <c r="O39" s="8"/>
      <c r="P39" s="8"/>
      <c r="Q39" s="8"/>
      <c r="R39" s="8"/>
      <c r="S39" s="8"/>
      <c r="T39" s="8"/>
    </row>
    <row r="40" spans="1:20">
      <c r="A40" s="69" t="s">
        <v>141</v>
      </c>
      <c r="B40" t="s">
        <v>153</v>
      </c>
      <c r="C40" s="82">
        <v>0</v>
      </c>
      <c r="D40" s="82">
        <v>0</v>
      </c>
      <c r="E40" s="82"/>
      <c r="F40" s="82"/>
      <c r="G40" s="82"/>
      <c r="H40" s="82"/>
      <c r="I40" s="82"/>
      <c r="J40" s="82"/>
      <c r="K40" s="82"/>
      <c r="L40" s="82"/>
      <c r="M40" s="82"/>
      <c r="N40" s="82"/>
      <c r="O40" s="8"/>
      <c r="P40" s="8"/>
      <c r="Q40" s="8"/>
      <c r="R40" s="8"/>
      <c r="S40" s="8"/>
      <c r="T40" s="8"/>
    </row>
    <row r="41" spans="1:20">
      <c r="A41" s="69" t="s">
        <v>143</v>
      </c>
      <c r="B41" t="s">
        <v>153</v>
      </c>
      <c r="C41" s="82">
        <v>0</v>
      </c>
      <c r="D41" s="82">
        <v>0</v>
      </c>
      <c r="E41" s="82"/>
      <c r="F41" s="82"/>
      <c r="G41" s="82"/>
      <c r="H41" s="82"/>
      <c r="I41" s="82"/>
      <c r="J41" s="82"/>
      <c r="K41" s="82"/>
      <c r="L41" s="82"/>
      <c r="M41" s="82"/>
      <c r="N41" s="82"/>
      <c r="O41" s="8"/>
      <c r="P41" s="8"/>
      <c r="Q41" s="8"/>
      <c r="R41" s="8"/>
      <c r="S41" s="8"/>
      <c r="T41" s="8"/>
    </row>
    <row r="42" spans="1:20">
      <c r="A42" s="69" t="s">
        <v>152</v>
      </c>
      <c r="B42" t="s">
        <v>153</v>
      </c>
      <c r="C42" s="82" t="s">
        <v>207</v>
      </c>
      <c r="D42" s="82">
        <v>0</v>
      </c>
      <c r="E42" s="82"/>
      <c r="F42" s="82"/>
      <c r="G42" s="82"/>
      <c r="H42" s="82"/>
      <c r="I42" s="82"/>
      <c r="J42" s="82"/>
      <c r="K42" s="82"/>
      <c r="L42" s="82"/>
      <c r="M42" s="82"/>
      <c r="N42" s="82"/>
      <c r="O42" s="8"/>
      <c r="P42" s="8"/>
      <c r="Q42" s="8"/>
      <c r="R42" s="8"/>
      <c r="S42" s="8"/>
      <c r="T42" s="8"/>
    </row>
    <row r="43" spans="1:20">
      <c r="A43" s="69" t="s">
        <v>146</v>
      </c>
      <c r="B43" t="s">
        <v>153</v>
      </c>
      <c r="C43" s="82">
        <v>0</v>
      </c>
      <c r="D43" s="82">
        <v>0</v>
      </c>
      <c r="E43" s="82"/>
      <c r="F43" s="82"/>
      <c r="G43" s="82"/>
      <c r="H43" s="82"/>
      <c r="I43" s="82"/>
      <c r="J43" s="82"/>
      <c r="K43" s="82"/>
      <c r="L43" s="82"/>
      <c r="M43" s="82"/>
      <c r="N43" s="82"/>
      <c r="O43" s="8"/>
      <c r="P43" s="8"/>
      <c r="Q43" s="8"/>
      <c r="R43" s="8"/>
      <c r="S43" s="8"/>
      <c r="T43" s="8"/>
    </row>
    <row r="44" spans="1:20">
      <c r="A44" s="69" t="s">
        <v>142</v>
      </c>
      <c r="B44" t="s">
        <v>153</v>
      </c>
      <c r="C44" s="82" t="s">
        <v>207</v>
      </c>
      <c r="D44" s="82">
        <v>0</v>
      </c>
      <c r="E44" s="82"/>
      <c r="F44" s="82"/>
      <c r="G44" s="82"/>
      <c r="H44" s="82"/>
      <c r="I44" s="82"/>
      <c r="J44" s="82"/>
      <c r="K44" s="82"/>
      <c r="L44" s="82"/>
      <c r="M44" s="82"/>
      <c r="N44" s="82"/>
      <c r="O44" s="8"/>
      <c r="P44" s="8"/>
      <c r="Q44" s="8"/>
      <c r="R44" s="8"/>
      <c r="S44" s="8"/>
      <c r="T44" s="8"/>
    </row>
    <row r="45" spans="1:20">
      <c r="A45" s="69" t="s">
        <v>148</v>
      </c>
      <c r="B45" t="s">
        <v>153</v>
      </c>
      <c r="C45" s="82">
        <v>0</v>
      </c>
      <c r="D45" s="82">
        <v>1</v>
      </c>
      <c r="E45" s="82"/>
      <c r="F45" s="82"/>
      <c r="G45" s="82"/>
      <c r="H45" s="82"/>
      <c r="I45" s="82"/>
      <c r="J45" s="82"/>
      <c r="K45" s="82"/>
      <c r="L45" s="82"/>
      <c r="M45" s="82"/>
      <c r="N45" s="82"/>
      <c r="O45" s="8"/>
      <c r="P45" s="8"/>
      <c r="Q45" s="8"/>
      <c r="R45" s="8"/>
      <c r="S45" s="8"/>
      <c r="T45" s="8"/>
    </row>
    <row r="46" spans="1:20">
      <c r="A46" s="69" t="s">
        <v>149</v>
      </c>
      <c r="B46" t="s">
        <v>153</v>
      </c>
      <c r="C46" s="82">
        <v>0</v>
      </c>
      <c r="D46" s="82">
        <v>0</v>
      </c>
      <c r="E46" s="82"/>
      <c r="F46" s="82"/>
      <c r="G46" s="82"/>
      <c r="H46" s="82"/>
      <c r="I46" s="82"/>
      <c r="J46" s="82"/>
      <c r="K46" s="82"/>
      <c r="L46" s="82"/>
      <c r="M46" s="82"/>
      <c r="N46" s="82"/>
      <c r="O46" s="8"/>
      <c r="P46" s="8"/>
      <c r="Q46" s="8"/>
      <c r="R46" s="8"/>
      <c r="S46" s="8"/>
      <c r="T46" s="8"/>
    </row>
    <row r="47" spans="1:20">
      <c r="A47" s="69" t="s">
        <v>147</v>
      </c>
      <c r="B47" t="s">
        <v>153</v>
      </c>
      <c r="C47" s="82">
        <v>0</v>
      </c>
      <c r="D47" s="82">
        <v>0</v>
      </c>
      <c r="E47" s="82"/>
      <c r="F47" s="82"/>
      <c r="G47" s="82"/>
      <c r="H47" s="82"/>
      <c r="I47" s="82"/>
      <c r="J47" s="82"/>
      <c r="K47" s="82"/>
      <c r="L47" s="82"/>
      <c r="M47" s="82"/>
      <c r="N47" s="82"/>
      <c r="O47" s="8"/>
      <c r="P47" s="8"/>
      <c r="Q47" s="8"/>
      <c r="R47" s="8"/>
      <c r="S47" s="8"/>
      <c r="T47" s="8"/>
    </row>
    <row r="48" spans="1:20">
      <c r="A48" s="68" t="s">
        <v>190</v>
      </c>
      <c r="B48" t="s">
        <v>153</v>
      </c>
      <c r="C48" s="82">
        <v>0</v>
      </c>
      <c r="D48" s="82">
        <v>0</v>
      </c>
      <c r="E48" s="82"/>
      <c r="F48" s="82"/>
      <c r="G48" s="82"/>
      <c r="H48" s="82"/>
      <c r="I48" s="82"/>
      <c r="J48" s="82"/>
      <c r="K48" s="82"/>
      <c r="L48" s="82"/>
      <c r="M48" s="82"/>
      <c r="N48" s="82"/>
      <c r="O48" s="82"/>
      <c r="P48" s="82"/>
      <c r="Q48" s="8"/>
      <c r="R48" s="8"/>
      <c r="S48" s="8"/>
      <c r="T48" s="8"/>
    </row>
    <row r="49" spans="1:20">
      <c r="A49" s="69" t="s">
        <v>145</v>
      </c>
      <c r="B49" t="s">
        <v>153</v>
      </c>
      <c r="C49" s="82">
        <v>0</v>
      </c>
      <c r="D49" s="82">
        <v>0</v>
      </c>
      <c r="E49" s="82"/>
      <c r="F49" s="82"/>
      <c r="G49" s="82"/>
      <c r="H49" s="82"/>
      <c r="I49" s="82"/>
      <c r="J49" s="82"/>
      <c r="K49" s="82"/>
      <c r="L49" s="82"/>
      <c r="M49" s="82"/>
      <c r="N49" s="82"/>
      <c r="O49" s="82"/>
      <c r="P49" s="82"/>
      <c r="Q49" s="8"/>
      <c r="R49" s="8"/>
      <c r="S49" s="8"/>
      <c r="T49" s="8"/>
    </row>
    <row r="50" spans="1:20">
      <c r="A50" s="68" t="s">
        <v>191</v>
      </c>
      <c r="B50" t="s">
        <v>153</v>
      </c>
      <c r="C50" s="82">
        <v>0</v>
      </c>
      <c r="D50" s="82">
        <v>0</v>
      </c>
      <c r="E50" s="82"/>
      <c r="F50" s="82"/>
      <c r="G50" s="82"/>
      <c r="H50" s="82"/>
      <c r="I50" s="82"/>
      <c r="J50" s="82"/>
      <c r="K50" s="82"/>
      <c r="L50" s="82"/>
      <c r="M50" s="82"/>
      <c r="N50" s="82"/>
      <c r="O50" s="82"/>
      <c r="P50" s="82"/>
      <c r="Q50" s="8"/>
      <c r="R50" s="8"/>
      <c r="S50" s="8"/>
      <c r="T50" s="8"/>
    </row>
    <row r="51" spans="1:20">
      <c r="A51" s="69" t="s">
        <v>150</v>
      </c>
      <c r="B51" t="s">
        <v>153</v>
      </c>
      <c r="C51" s="82">
        <v>0</v>
      </c>
      <c r="D51" s="82">
        <v>0</v>
      </c>
      <c r="E51" s="82"/>
      <c r="F51" s="82"/>
      <c r="G51" s="82"/>
      <c r="H51" s="82"/>
      <c r="I51" s="82"/>
      <c r="J51" s="82"/>
      <c r="K51" s="82"/>
      <c r="L51" s="82"/>
      <c r="M51" s="82"/>
      <c r="N51" s="82"/>
      <c r="O51" s="82"/>
      <c r="P51" s="82"/>
      <c r="Q51" s="8"/>
      <c r="R51" s="8"/>
      <c r="S51" s="8"/>
      <c r="T51" s="8"/>
    </row>
    <row r="52" spans="1:20">
      <c r="A52" s="69" t="s">
        <v>151</v>
      </c>
      <c r="B52" t="s">
        <v>153</v>
      </c>
      <c r="C52" s="82">
        <v>0</v>
      </c>
      <c r="D52" s="82">
        <v>0</v>
      </c>
      <c r="E52" s="82"/>
      <c r="F52" s="82"/>
      <c r="G52" s="82"/>
      <c r="H52" s="82"/>
      <c r="I52" s="82"/>
      <c r="J52" s="82"/>
      <c r="K52" s="82"/>
      <c r="L52" s="82"/>
      <c r="M52" s="82"/>
      <c r="N52" s="82"/>
      <c r="O52" s="82"/>
      <c r="P52" s="82"/>
      <c r="Q52" s="8"/>
      <c r="R52" s="8"/>
      <c r="S52" s="8"/>
      <c r="T52" s="8"/>
    </row>
    <row r="53" spans="1:20">
      <c r="A53" s="69" t="s">
        <v>144</v>
      </c>
      <c r="B53" t="s">
        <v>153</v>
      </c>
      <c r="C53" s="82">
        <v>1</v>
      </c>
      <c r="D53" s="82">
        <v>1</v>
      </c>
      <c r="E53" s="82"/>
      <c r="F53" s="82"/>
      <c r="G53" s="82"/>
      <c r="H53" s="82"/>
      <c r="I53" s="82"/>
      <c r="J53" s="82"/>
      <c r="K53" s="82"/>
      <c r="L53" s="82"/>
      <c r="M53" s="82"/>
      <c r="N53" s="82"/>
      <c r="O53" s="82"/>
      <c r="P53" s="82"/>
      <c r="Q53" s="8"/>
      <c r="R53" s="8"/>
      <c r="S53" s="8"/>
      <c r="T53" s="8"/>
    </row>
    <row r="54" spans="1:20">
      <c r="A54" s="69" t="s">
        <v>154</v>
      </c>
      <c r="B54" s="71" t="s">
        <v>158</v>
      </c>
      <c r="C54" s="82" t="s">
        <v>208</v>
      </c>
      <c r="D54" s="82" t="s">
        <v>208</v>
      </c>
      <c r="E54" s="82"/>
      <c r="F54" s="82"/>
      <c r="G54" s="82"/>
      <c r="H54" s="82"/>
      <c r="I54" s="82"/>
      <c r="J54" s="82"/>
      <c r="K54" s="82"/>
      <c r="L54" s="82"/>
      <c r="M54" s="82"/>
      <c r="N54" s="82"/>
      <c r="O54" s="82"/>
      <c r="P54" s="82"/>
      <c r="Q54" s="8"/>
      <c r="R54" s="8"/>
      <c r="S54" s="8"/>
      <c r="T54" s="8"/>
    </row>
    <row r="55" spans="1:20">
      <c r="A55" s="69" t="s">
        <v>155</v>
      </c>
      <c r="B55" s="71" t="s">
        <v>158</v>
      </c>
      <c r="C55" s="82">
        <v>1</v>
      </c>
      <c r="D55" s="82">
        <v>1</v>
      </c>
      <c r="E55" s="82"/>
      <c r="F55" s="82"/>
      <c r="G55" s="82"/>
      <c r="H55" s="82"/>
      <c r="I55" s="82"/>
      <c r="J55" s="82"/>
      <c r="K55" s="82"/>
      <c r="L55" s="82"/>
      <c r="M55" s="82"/>
      <c r="N55" s="82"/>
      <c r="O55" s="82"/>
      <c r="P55" s="82"/>
      <c r="Q55" s="8"/>
      <c r="R55" s="8"/>
      <c r="S55" s="8"/>
      <c r="T55" s="8"/>
    </row>
    <row r="56" spans="1:20">
      <c r="A56" s="69" t="s">
        <v>156</v>
      </c>
      <c r="B56" s="71" t="s">
        <v>158</v>
      </c>
      <c r="C56" s="82">
        <v>0</v>
      </c>
      <c r="D56" s="82">
        <v>0</v>
      </c>
      <c r="E56" s="82"/>
      <c r="F56" s="82"/>
      <c r="G56" s="82"/>
      <c r="H56" s="82"/>
      <c r="I56" s="82"/>
      <c r="J56" s="82"/>
      <c r="K56" s="82"/>
      <c r="L56" s="82"/>
      <c r="M56" s="82"/>
      <c r="N56" s="82"/>
      <c r="O56" s="82"/>
      <c r="P56" s="82"/>
      <c r="Q56" s="8"/>
      <c r="R56" s="8"/>
      <c r="S56" s="8"/>
      <c r="T56" s="8"/>
    </row>
    <row r="57" spans="1:20">
      <c r="A57" s="69" t="s">
        <v>157</v>
      </c>
      <c r="B57" s="71" t="s">
        <v>158</v>
      </c>
      <c r="C57" s="82">
        <v>1</v>
      </c>
      <c r="D57" s="82">
        <v>1</v>
      </c>
      <c r="E57" s="82"/>
      <c r="F57" s="82"/>
      <c r="G57" s="82"/>
      <c r="H57" s="82"/>
      <c r="I57" s="82"/>
      <c r="J57" s="82"/>
      <c r="K57" s="82"/>
      <c r="L57" s="82"/>
      <c r="M57" s="82"/>
      <c r="N57" s="82"/>
      <c r="O57" s="82"/>
      <c r="P57" s="82"/>
      <c r="Q57" s="8"/>
      <c r="R57" s="8"/>
      <c r="S57" s="8"/>
      <c r="T57" s="8"/>
    </row>
    <row r="58" spans="1:20">
      <c r="A58" s="68" t="s">
        <v>192</v>
      </c>
      <c r="B58" s="71" t="s">
        <v>158</v>
      </c>
      <c r="C58" s="82" t="s">
        <v>207</v>
      </c>
      <c r="D58" s="82" t="s">
        <v>207</v>
      </c>
      <c r="E58" s="82"/>
      <c r="F58" s="82"/>
      <c r="G58" s="82"/>
      <c r="H58" s="82"/>
      <c r="I58" s="82"/>
      <c r="J58" s="82"/>
      <c r="K58" s="82"/>
      <c r="L58" s="82"/>
      <c r="M58" s="82"/>
      <c r="N58" s="82"/>
      <c r="O58" s="82"/>
      <c r="P58" s="82"/>
      <c r="Q58" s="8"/>
      <c r="R58" s="8"/>
      <c r="S58" s="8"/>
      <c r="T58" s="8"/>
    </row>
    <row r="59" spans="1:20">
      <c r="A59" s="69" t="s">
        <v>159</v>
      </c>
      <c r="B59" s="71" t="s">
        <v>162</v>
      </c>
      <c r="C59" s="82">
        <v>1</v>
      </c>
      <c r="D59" s="82">
        <v>0</v>
      </c>
      <c r="E59" s="82"/>
      <c r="F59" s="82"/>
      <c r="G59" s="82"/>
      <c r="H59" s="82"/>
      <c r="I59" s="82"/>
      <c r="J59" s="82"/>
      <c r="K59" s="82"/>
      <c r="L59" s="82"/>
      <c r="M59" s="82"/>
      <c r="N59" s="82"/>
      <c r="O59" s="82"/>
      <c r="P59" s="82"/>
      <c r="Q59" s="8"/>
      <c r="R59" s="8"/>
      <c r="S59" s="8"/>
      <c r="T59" s="8"/>
    </row>
    <row r="60" spans="1:20">
      <c r="A60" s="69" t="s">
        <v>160</v>
      </c>
      <c r="B60" s="71" t="s">
        <v>162</v>
      </c>
      <c r="C60" s="82">
        <v>1</v>
      </c>
      <c r="D60" s="82">
        <v>1</v>
      </c>
      <c r="E60" s="82"/>
      <c r="F60" s="82"/>
      <c r="G60" s="82"/>
      <c r="H60" s="82"/>
      <c r="I60" s="82"/>
      <c r="J60" s="82"/>
      <c r="K60" s="82"/>
      <c r="L60" s="82"/>
      <c r="M60" s="82"/>
      <c r="N60" s="82"/>
      <c r="O60" s="82"/>
      <c r="P60" s="82"/>
      <c r="Q60" s="8"/>
      <c r="R60" s="8"/>
      <c r="S60" s="8"/>
      <c r="T60" s="8"/>
    </row>
    <row r="61" spans="1:20">
      <c r="A61" s="68" t="s">
        <v>193</v>
      </c>
      <c r="B61" s="71" t="s">
        <v>162</v>
      </c>
      <c r="C61" s="82">
        <v>0</v>
      </c>
      <c r="D61" s="82">
        <v>0</v>
      </c>
      <c r="E61" s="82"/>
      <c r="F61" s="82"/>
      <c r="G61" s="82"/>
      <c r="H61" s="82"/>
      <c r="I61" s="82"/>
      <c r="J61" s="82"/>
      <c r="K61" s="82"/>
      <c r="L61" s="82"/>
      <c r="M61" s="82"/>
      <c r="N61" s="82"/>
      <c r="O61" s="82"/>
      <c r="P61" s="82"/>
      <c r="Q61" s="8"/>
      <c r="R61" s="8"/>
      <c r="S61" s="8"/>
      <c r="T61" s="8"/>
    </row>
    <row r="62" spans="1:20">
      <c r="A62" s="69" t="s">
        <v>161</v>
      </c>
      <c r="B62" s="71" t="s">
        <v>162</v>
      </c>
      <c r="C62" s="82">
        <v>1</v>
      </c>
      <c r="D62" s="82">
        <v>1</v>
      </c>
      <c r="E62" s="82"/>
      <c r="F62" s="82"/>
      <c r="G62" s="82"/>
      <c r="H62" s="82"/>
      <c r="I62" s="82"/>
      <c r="J62" s="82"/>
      <c r="K62" s="82"/>
      <c r="L62" s="82"/>
      <c r="M62" s="82"/>
      <c r="N62" s="82"/>
      <c r="O62" s="82"/>
      <c r="P62" s="82"/>
      <c r="Q62" s="8"/>
      <c r="R62" s="8"/>
      <c r="S62" s="8"/>
      <c r="T62" s="8"/>
    </row>
    <row r="63" spans="1:20">
      <c r="A63" s="69" t="s">
        <v>163</v>
      </c>
      <c r="B63" s="71" t="s">
        <v>178</v>
      </c>
      <c r="C63" s="82" t="s">
        <v>207</v>
      </c>
      <c r="D63" s="82">
        <v>0</v>
      </c>
      <c r="E63" s="82"/>
      <c r="F63" s="82"/>
      <c r="G63" s="82"/>
      <c r="H63" s="82"/>
      <c r="I63" s="82"/>
      <c r="J63" s="82"/>
      <c r="K63" s="82"/>
      <c r="L63" s="82"/>
      <c r="M63" s="82"/>
      <c r="N63" s="82"/>
      <c r="O63" s="82"/>
      <c r="P63" s="82"/>
      <c r="Q63" s="8"/>
      <c r="R63" s="8"/>
      <c r="S63" s="8"/>
      <c r="T63" s="8"/>
    </row>
    <row r="64" spans="1:20">
      <c r="A64" s="69" t="s">
        <v>164</v>
      </c>
      <c r="B64" s="71" t="s">
        <v>178</v>
      </c>
      <c r="C64" s="82">
        <v>0</v>
      </c>
      <c r="D64" s="82">
        <v>1</v>
      </c>
      <c r="E64" s="82"/>
      <c r="F64" s="82"/>
      <c r="G64" s="82"/>
      <c r="H64" s="82"/>
      <c r="I64" s="82"/>
      <c r="J64" s="82"/>
      <c r="K64" s="82"/>
      <c r="L64" s="82"/>
      <c r="M64" s="82"/>
      <c r="N64" s="82"/>
      <c r="O64" s="82"/>
      <c r="P64" s="82"/>
      <c r="Q64" s="8"/>
      <c r="R64" s="8"/>
      <c r="S64" s="8"/>
      <c r="T64" s="8"/>
    </row>
    <row r="65" spans="1:20">
      <c r="A65" s="69" t="s">
        <v>165</v>
      </c>
      <c r="B65" s="71" t="s">
        <v>178</v>
      </c>
      <c r="C65" s="82">
        <v>0</v>
      </c>
      <c r="D65" s="82">
        <v>0</v>
      </c>
      <c r="E65" s="82"/>
      <c r="F65" s="82"/>
      <c r="G65" s="82"/>
      <c r="H65" s="82"/>
      <c r="I65" s="82"/>
      <c r="J65" s="82"/>
      <c r="K65" s="82"/>
      <c r="L65" s="82"/>
      <c r="M65" s="82"/>
      <c r="N65" s="82"/>
      <c r="O65" s="82"/>
      <c r="P65" s="82"/>
      <c r="Q65" s="8"/>
      <c r="R65" s="8"/>
      <c r="S65" s="8"/>
      <c r="T65" s="8"/>
    </row>
    <row r="66" spans="1:20">
      <c r="A66" s="69" t="s">
        <v>166</v>
      </c>
      <c r="B66" s="71" t="s">
        <v>178</v>
      </c>
      <c r="C66" s="82" t="s">
        <v>207</v>
      </c>
      <c r="D66" s="82">
        <v>0</v>
      </c>
      <c r="E66" s="82"/>
      <c r="F66" s="82"/>
      <c r="G66" s="82"/>
      <c r="H66" s="82"/>
      <c r="I66" s="82"/>
      <c r="J66" s="82"/>
      <c r="K66" s="82"/>
      <c r="L66" s="82"/>
      <c r="M66" s="82"/>
      <c r="N66" s="82"/>
      <c r="O66" s="82"/>
      <c r="P66" s="82"/>
      <c r="Q66" s="8"/>
      <c r="R66" s="8"/>
      <c r="S66" s="8"/>
      <c r="T66" s="8"/>
    </row>
    <row r="67" spans="1:20">
      <c r="A67" s="69" t="s">
        <v>167</v>
      </c>
      <c r="B67" s="71" t="s">
        <v>178</v>
      </c>
      <c r="C67" s="82">
        <v>1</v>
      </c>
      <c r="D67" s="82">
        <v>1</v>
      </c>
      <c r="E67" s="82"/>
      <c r="F67" s="82"/>
      <c r="G67" s="82"/>
      <c r="H67" s="82"/>
      <c r="I67" s="82"/>
      <c r="J67" s="82"/>
      <c r="K67" s="82"/>
      <c r="L67" s="82"/>
      <c r="M67" s="82"/>
      <c r="N67" s="82"/>
      <c r="O67" s="82"/>
      <c r="P67" s="82"/>
      <c r="Q67" s="8"/>
      <c r="R67" s="8"/>
      <c r="S67" s="8"/>
      <c r="T67" s="8"/>
    </row>
    <row r="68" spans="1:20">
      <c r="A68" s="69" t="s">
        <v>168</v>
      </c>
      <c r="B68" s="71" t="s">
        <v>178</v>
      </c>
      <c r="C68" s="82">
        <v>0</v>
      </c>
      <c r="D68" s="82">
        <v>0</v>
      </c>
      <c r="E68" s="82"/>
      <c r="F68" s="82"/>
      <c r="G68" s="82"/>
      <c r="H68" s="82"/>
      <c r="I68" s="82"/>
      <c r="J68" s="82"/>
      <c r="K68" s="82"/>
      <c r="L68" s="82"/>
      <c r="M68" s="82"/>
      <c r="N68" s="82"/>
      <c r="O68" s="82"/>
      <c r="P68" s="82"/>
      <c r="Q68" s="8"/>
      <c r="R68" s="8"/>
      <c r="S68" s="8"/>
      <c r="T68" s="8"/>
    </row>
    <row r="69" spans="1:20">
      <c r="A69" s="69" t="s">
        <v>169</v>
      </c>
      <c r="B69" s="71" t="s">
        <v>178</v>
      </c>
      <c r="C69" s="82">
        <v>0</v>
      </c>
      <c r="D69" s="82">
        <v>0</v>
      </c>
      <c r="E69" s="82"/>
      <c r="F69" s="82"/>
      <c r="G69" s="82"/>
      <c r="H69" s="82"/>
      <c r="I69" s="82"/>
      <c r="J69" s="82"/>
      <c r="K69" s="82"/>
      <c r="L69" s="82"/>
      <c r="M69" s="82"/>
      <c r="N69" s="82"/>
      <c r="O69" s="82"/>
      <c r="P69" s="82"/>
      <c r="Q69" s="8"/>
      <c r="R69" s="8"/>
      <c r="S69" s="8"/>
      <c r="T69" s="8"/>
    </row>
    <row r="70" spans="1:20">
      <c r="A70" s="69" t="s">
        <v>170</v>
      </c>
      <c r="B70" s="71" t="s">
        <v>178</v>
      </c>
      <c r="C70" s="82">
        <v>0</v>
      </c>
      <c r="D70" s="82">
        <v>0</v>
      </c>
      <c r="E70" s="82"/>
      <c r="F70" s="82"/>
      <c r="G70" s="82"/>
      <c r="H70" s="82"/>
      <c r="I70" s="82"/>
      <c r="J70" s="82"/>
      <c r="K70" s="82"/>
      <c r="L70" s="82"/>
      <c r="M70" s="82"/>
      <c r="N70" s="82"/>
      <c r="O70" s="82"/>
      <c r="P70" s="82"/>
      <c r="Q70" s="8"/>
      <c r="R70" s="8"/>
      <c r="S70" s="8"/>
      <c r="T70" s="8"/>
    </row>
    <row r="71" spans="1:20">
      <c r="A71" s="69" t="s">
        <v>171</v>
      </c>
      <c r="B71" s="71" t="s">
        <v>178</v>
      </c>
      <c r="C71" s="82" t="s">
        <v>207</v>
      </c>
      <c r="D71" s="82">
        <v>1</v>
      </c>
      <c r="E71" s="82"/>
      <c r="F71" s="82"/>
      <c r="G71" s="82"/>
      <c r="H71" s="82"/>
      <c r="I71" s="82"/>
      <c r="J71" s="82"/>
      <c r="K71" s="82"/>
      <c r="L71" s="82"/>
      <c r="M71" s="82"/>
      <c r="N71" s="82"/>
      <c r="O71" s="82"/>
      <c r="P71" s="82"/>
      <c r="Q71" s="8"/>
      <c r="R71" s="8"/>
      <c r="S71" s="8"/>
      <c r="T71" s="8"/>
    </row>
    <row r="72" spans="1:20">
      <c r="A72" s="69" t="s">
        <v>172</v>
      </c>
      <c r="B72" s="71" t="s">
        <v>178</v>
      </c>
      <c r="C72" s="82">
        <v>0</v>
      </c>
      <c r="D72" s="82">
        <v>0</v>
      </c>
      <c r="E72" s="82"/>
      <c r="F72" s="82"/>
      <c r="G72" s="82"/>
      <c r="H72" s="82"/>
      <c r="I72" s="82"/>
      <c r="J72" s="82"/>
      <c r="K72" s="82"/>
      <c r="L72" s="82"/>
      <c r="M72" s="82"/>
      <c r="N72" s="82"/>
      <c r="O72" s="82"/>
      <c r="P72" s="82"/>
      <c r="Q72" s="8"/>
      <c r="R72" s="8"/>
      <c r="S72" s="8"/>
      <c r="T72" s="8"/>
    </row>
    <row r="73" spans="1:20">
      <c r="A73" s="69" t="s">
        <v>173</v>
      </c>
      <c r="B73" s="71" t="s">
        <v>178</v>
      </c>
      <c r="C73" s="82">
        <v>1</v>
      </c>
      <c r="D73" s="82">
        <v>1</v>
      </c>
      <c r="E73" s="82"/>
      <c r="F73" s="82"/>
      <c r="G73" s="82"/>
      <c r="H73" s="82"/>
      <c r="I73" s="82"/>
      <c r="J73" s="82"/>
      <c r="K73" s="82"/>
      <c r="L73" s="82"/>
      <c r="M73" s="82"/>
      <c r="N73" s="82"/>
      <c r="O73" s="82"/>
      <c r="P73" s="82"/>
      <c r="Q73" s="8"/>
      <c r="R73" s="8"/>
      <c r="S73" s="8"/>
      <c r="T73" s="8"/>
    </row>
    <row r="74" spans="1:20">
      <c r="A74" s="69" t="s">
        <v>174</v>
      </c>
      <c r="B74" s="71" t="s">
        <v>178</v>
      </c>
      <c r="C74" s="82">
        <v>0</v>
      </c>
      <c r="D74" s="82">
        <v>0</v>
      </c>
      <c r="E74" s="82"/>
      <c r="F74" s="82"/>
      <c r="G74" s="82"/>
      <c r="H74" s="82"/>
      <c r="I74" s="82"/>
      <c r="J74" s="82"/>
      <c r="K74" s="82"/>
      <c r="L74" s="82"/>
      <c r="M74" s="82"/>
      <c r="N74" s="82"/>
      <c r="O74" s="82"/>
      <c r="P74" s="82"/>
      <c r="Q74" s="8"/>
      <c r="R74" s="8"/>
      <c r="S74" s="8"/>
      <c r="T74" s="8"/>
    </row>
    <row r="75" spans="1:20">
      <c r="A75" s="69" t="s">
        <v>175</v>
      </c>
      <c r="B75" s="71" t="s">
        <v>178</v>
      </c>
      <c r="C75" s="82">
        <v>0</v>
      </c>
      <c r="D75" s="82">
        <v>0</v>
      </c>
      <c r="E75" s="82"/>
      <c r="F75" s="82"/>
      <c r="G75" s="82"/>
      <c r="H75" s="82"/>
      <c r="I75" s="82"/>
      <c r="J75" s="82"/>
      <c r="K75" s="82"/>
      <c r="L75" s="82"/>
      <c r="M75" s="82"/>
      <c r="N75" s="82"/>
      <c r="O75" s="82"/>
      <c r="P75" s="82"/>
      <c r="Q75" s="8"/>
      <c r="R75" s="8"/>
      <c r="S75" s="8"/>
      <c r="T75" s="8"/>
    </row>
    <row r="76" spans="1:20">
      <c r="A76" s="69" t="s">
        <v>176</v>
      </c>
      <c r="B76" s="71" t="s">
        <v>178</v>
      </c>
      <c r="C76" s="82">
        <v>0</v>
      </c>
      <c r="D76" s="82">
        <v>0</v>
      </c>
      <c r="E76" s="82"/>
      <c r="F76" s="82"/>
      <c r="G76" s="82"/>
      <c r="H76" s="82"/>
      <c r="I76" s="82"/>
      <c r="J76" s="82"/>
      <c r="K76" s="82"/>
      <c r="L76" s="82"/>
      <c r="M76" s="82"/>
      <c r="N76" s="82"/>
      <c r="O76" s="82"/>
      <c r="P76" s="82"/>
      <c r="Q76" s="8"/>
      <c r="R76" s="8"/>
      <c r="S76" s="8"/>
      <c r="T76" s="8"/>
    </row>
    <row r="77" spans="1:20">
      <c r="A77" s="69" t="s">
        <v>177</v>
      </c>
      <c r="B77" s="71" t="s">
        <v>178</v>
      </c>
      <c r="C77" s="82">
        <v>0</v>
      </c>
      <c r="D77" s="82">
        <v>0</v>
      </c>
      <c r="E77" s="82"/>
      <c r="F77" s="82"/>
      <c r="G77" s="82"/>
      <c r="H77" s="82"/>
      <c r="I77" s="82"/>
      <c r="J77" s="82"/>
      <c r="K77" s="82"/>
      <c r="L77" s="82"/>
      <c r="M77" s="82"/>
      <c r="N77" s="82"/>
      <c r="O77" s="82"/>
      <c r="P77" s="82"/>
      <c r="Q77" s="8"/>
      <c r="R77" s="8"/>
      <c r="S77" s="8"/>
      <c r="T77" s="8"/>
    </row>
    <row r="78" spans="1:20">
      <c r="A78" s="68" t="s">
        <v>194</v>
      </c>
      <c r="B78" s="71" t="s">
        <v>188</v>
      </c>
      <c r="C78" s="82">
        <v>1</v>
      </c>
      <c r="D78" s="82">
        <v>0</v>
      </c>
      <c r="E78" s="82"/>
      <c r="F78" s="82"/>
      <c r="G78" s="82"/>
      <c r="H78" s="82"/>
      <c r="I78" s="82"/>
      <c r="J78" s="82"/>
      <c r="K78" s="82"/>
      <c r="L78" s="82"/>
      <c r="M78" s="82"/>
      <c r="N78" s="82"/>
      <c r="O78" s="82"/>
      <c r="P78" s="82"/>
      <c r="Q78" s="8"/>
      <c r="R78" s="8"/>
      <c r="S78" s="8"/>
      <c r="T78" s="8"/>
    </row>
    <row r="79" spans="1:20">
      <c r="A79" s="69" t="s">
        <v>184</v>
      </c>
      <c r="B79" s="71" t="s">
        <v>188</v>
      </c>
      <c r="C79" s="82">
        <v>0</v>
      </c>
      <c r="D79" s="82">
        <v>0</v>
      </c>
      <c r="E79" s="82"/>
      <c r="F79" s="82"/>
      <c r="G79" s="82"/>
      <c r="H79" s="82"/>
      <c r="I79" s="82"/>
      <c r="J79" s="82"/>
      <c r="K79" s="82"/>
      <c r="L79" s="82"/>
      <c r="M79" s="82"/>
      <c r="N79" s="82"/>
      <c r="O79" s="82"/>
      <c r="P79" s="82"/>
      <c r="Q79" s="8"/>
      <c r="R79" s="8"/>
      <c r="S79" s="8"/>
      <c r="T79" s="8"/>
    </row>
    <row r="80" spans="1:20">
      <c r="A80" s="69" t="s">
        <v>182</v>
      </c>
      <c r="B80" s="71" t="s">
        <v>188</v>
      </c>
      <c r="C80" s="82">
        <v>0</v>
      </c>
      <c r="D80" s="82">
        <v>0</v>
      </c>
      <c r="E80" s="82"/>
      <c r="F80" s="82"/>
      <c r="G80" s="82"/>
      <c r="H80" s="82"/>
      <c r="I80" s="82"/>
      <c r="J80" s="82"/>
      <c r="K80" s="82"/>
      <c r="L80" s="82"/>
      <c r="M80" s="82"/>
      <c r="N80" s="82"/>
      <c r="O80" s="82"/>
      <c r="P80" s="82"/>
      <c r="Q80" s="8"/>
      <c r="R80" s="8"/>
      <c r="S80" s="8"/>
      <c r="T80" s="8"/>
    </row>
    <row r="81" spans="1:20">
      <c r="A81" s="69" t="s">
        <v>181</v>
      </c>
      <c r="B81" s="71" t="s">
        <v>188</v>
      </c>
      <c r="C81" s="82">
        <v>0</v>
      </c>
      <c r="D81" s="82">
        <v>0</v>
      </c>
      <c r="E81" s="82"/>
      <c r="F81" s="82"/>
      <c r="G81" s="82"/>
      <c r="H81" s="82"/>
      <c r="I81" s="82"/>
      <c r="J81" s="82"/>
      <c r="K81" s="82"/>
      <c r="L81" s="82"/>
      <c r="M81" s="82"/>
      <c r="N81" s="82"/>
      <c r="O81" s="82"/>
      <c r="P81" s="82"/>
      <c r="Q81" s="8"/>
      <c r="R81" s="8"/>
      <c r="S81" s="8"/>
      <c r="T81" s="8"/>
    </row>
    <row r="82" spans="1:20">
      <c r="A82" s="69" t="s">
        <v>179</v>
      </c>
      <c r="B82" s="71" t="s">
        <v>188</v>
      </c>
      <c r="C82" s="82">
        <v>0</v>
      </c>
      <c r="D82" s="82">
        <v>0</v>
      </c>
      <c r="E82" s="82"/>
      <c r="F82" s="82"/>
      <c r="G82" s="82"/>
      <c r="H82" s="82"/>
      <c r="I82" s="82"/>
      <c r="J82" s="82"/>
      <c r="K82" s="82"/>
      <c r="L82" s="82"/>
      <c r="M82" s="82"/>
      <c r="N82" s="82"/>
      <c r="O82" s="82"/>
      <c r="P82" s="82"/>
      <c r="Q82" s="8"/>
      <c r="R82" s="8"/>
      <c r="S82" s="8"/>
      <c r="T82" s="8"/>
    </row>
    <row r="83" spans="1:20">
      <c r="A83" s="69" t="s">
        <v>185</v>
      </c>
      <c r="B83" s="71" t="s">
        <v>188</v>
      </c>
      <c r="C83" s="82">
        <v>0</v>
      </c>
      <c r="D83" s="82">
        <v>0</v>
      </c>
      <c r="E83" s="82"/>
      <c r="F83" s="82"/>
      <c r="G83" s="82"/>
      <c r="H83" s="82"/>
      <c r="I83" s="82"/>
      <c r="J83" s="82"/>
      <c r="K83" s="82"/>
      <c r="L83" s="82"/>
      <c r="M83" s="82"/>
      <c r="N83" s="82"/>
      <c r="O83" s="82"/>
      <c r="P83" s="82"/>
      <c r="Q83" s="8"/>
      <c r="R83" s="8"/>
      <c r="S83" s="8"/>
      <c r="T83" s="8"/>
    </row>
    <row r="84" spans="1:20">
      <c r="A84" s="70" t="s">
        <v>187</v>
      </c>
      <c r="B84" s="71" t="s">
        <v>188</v>
      </c>
      <c r="C84" s="82">
        <v>0</v>
      </c>
      <c r="D84" s="82">
        <v>0</v>
      </c>
      <c r="E84" s="82"/>
      <c r="F84" s="82"/>
      <c r="G84" s="82"/>
      <c r="H84" s="82"/>
      <c r="I84" s="82"/>
      <c r="J84" s="82"/>
      <c r="K84" s="82"/>
      <c r="L84" s="82"/>
      <c r="M84" s="82"/>
      <c r="N84" s="82"/>
      <c r="O84" s="82"/>
      <c r="P84" s="82"/>
      <c r="Q84" s="8"/>
      <c r="R84" s="8"/>
      <c r="S84" s="8"/>
      <c r="T84" s="8"/>
    </row>
    <row r="85" spans="1:20">
      <c r="A85" s="69" t="s">
        <v>186</v>
      </c>
      <c r="B85" s="71" t="s">
        <v>188</v>
      </c>
      <c r="C85" s="82">
        <v>0</v>
      </c>
      <c r="D85" s="82">
        <v>0</v>
      </c>
      <c r="E85" s="82"/>
      <c r="F85" s="82"/>
      <c r="G85" s="82"/>
      <c r="H85" s="82"/>
      <c r="I85" s="82"/>
      <c r="J85" s="82"/>
      <c r="K85" s="82"/>
      <c r="L85" s="82"/>
      <c r="M85" s="82"/>
      <c r="N85" s="82"/>
      <c r="O85" s="82"/>
      <c r="P85" s="82"/>
      <c r="Q85" s="8"/>
      <c r="R85" s="8"/>
      <c r="S85" s="8"/>
      <c r="T85" s="8"/>
    </row>
    <row r="86" spans="1:20">
      <c r="A86" s="69" t="s">
        <v>183</v>
      </c>
      <c r="B86" s="71" t="s">
        <v>188</v>
      </c>
      <c r="C86" s="82" t="s">
        <v>207</v>
      </c>
      <c r="D86" s="82">
        <v>0</v>
      </c>
      <c r="E86" s="82"/>
      <c r="F86" s="82"/>
      <c r="G86" s="82"/>
      <c r="H86" s="82"/>
      <c r="I86" s="82"/>
      <c r="J86" s="82"/>
      <c r="K86" s="82"/>
      <c r="L86" s="82"/>
      <c r="M86" s="82"/>
      <c r="N86" s="82"/>
      <c r="O86" s="82"/>
      <c r="P86" s="82"/>
      <c r="Q86" s="8"/>
      <c r="R86" s="8"/>
      <c r="S86" s="8"/>
      <c r="T86" s="8"/>
    </row>
    <row r="87" spans="1:20">
      <c r="A87" s="69" t="s">
        <v>180</v>
      </c>
      <c r="B87" s="71" t="s">
        <v>188</v>
      </c>
      <c r="C87" s="82">
        <v>0</v>
      </c>
      <c r="D87" s="82" t="s">
        <v>207</v>
      </c>
      <c r="E87" s="82"/>
      <c r="F87" s="82"/>
      <c r="G87" s="82"/>
      <c r="H87" s="82"/>
      <c r="I87" s="82"/>
      <c r="J87" s="82"/>
      <c r="K87" s="82"/>
      <c r="L87" s="82"/>
      <c r="M87" s="82"/>
      <c r="N87" s="82"/>
      <c r="O87" s="82"/>
      <c r="P87" s="82"/>
      <c r="Q87" s="8"/>
      <c r="R87" s="8"/>
      <c r="S87" s="8"/>
      <c r="T87" s="8"/>
    </row>
    <row r="88" spans="1:20">
      <c r="C88" s="82"/>
      <c r="D88" s="82"/>
      <c r="E88" s="82"/>
      <c r="F88" s="82"/>
      <c r="G88" s="82"/>
      <c r="H88" s="82"/>
      <c r="I88" s="82"/>
      <c r="J88" s="82"/>
      <c r="K88" s="82"/>
      <c r="L88" s="82"/>
      <c r="M88" s="82"/>
      <c r="N88" s="82"/>
      <c r="O88" s="82"/>
      <c r="P88" s="82"/>
      <c r="Q88" s="8"/>
      <c r="R88" s="8"/>
      <c r="S88" s="8"/>
      <c r="T88" s="8"/>
    </row>
    <row r="89" spans="1:20">
      <c r="C89" s="82"/>
      <c r="D89" s="82"/>
      <c r="E89" s="82"/>
      <c r="F89" s="82"/>
      <c r="G89" s="82"/>
      <c r="H89" s="82"/>
      <c r="I89" s="82"/>
      <c r="J89" s="82"/>
      <c r="K89" s="82"/>
      <c r="L89" s="82"/>
      <c r="M89" s="82"/>
      <c r="N89" s="82"/>
      <c r="O89" s="82"/>
      <c r="P89" s="82"/>
      <c r="Q89" s="8"/>
      <c r="R89" s="8"/>
      <c r="S89" s="8"/>
      <c r="T89" s="8"/>
    </row>
    <row r="90" spans="1:20">
      <c r="C90" s="82"/>
      <c r="D90" s="82"/>
      <c r="E90" s="82"/>
      <c r="F90" s="82"/>
      <c r="G90" s="82"/>
      <c r="H90" s="82"/>
      <c r="I90" s="82"/>
      <c r="J90" s="82"/>
      <c r="K90" s="82"/>
      <c r="L90" s="82"/>
      <c r="M90" s="82"/>
      <c r="N90" s="82"/>
      <c r="O90" s="82"/>
      <c r="P90" s="82"/>
      <c r="Q90" s="8"/>
      <c r="R90" s="8"/>
      <c r="S90" s="8"/>
      <c r="T90" s="8"/>
    </row>
    <row r="91" spans="1:20">
      <c r="C91" s="82"/>
      <c r="D91" s="82"/>
      <c r="E91" s="82"/>
      <c r="F91" s="82"/>
      <c r="G91" s="82"/>
      <c r="H91" s="82"/>
      <c r="I91" s="82"/>
      <c r="J91" s="82"/>
      <c r="K91" s="82"/>
      <c r="L91" s="82"/>
      <c r="M91" s="82"/>
      <c r="N91" s="82"/>
      <c r="O91" s="82"/>
      <c r="P91" s="82"/>
      <c r="Q91" s="8"/>
      <c r="R91" s="8"/>
      <c r="S91" s="8"/>
      <c r="T91" s="8"/>
    </row>
    <row r="92" spans="1:20">
      <c r="C92" s="82"/>
      <c r="D92" s="82"/>
      <c r="E92" s="82"/>
      <c r="F92" s="82"/>
      <c r="G92" s="82"/>
      <c r="H92" s="82"/>
      <c r="I92" s="82"/>
      <c r="J92" s="82"/>
      <c r="K92" s="82"/>
      <c r="L92" s="82"/>
      <c r="M92" s="82"/>
      <c r="N92" s="82"/>
      <c r="O92" s="82"/>
      <c r="P92" s="82"/>
      <c r="Q92" s="8"/>
      <c r="R92" s="8"/>
      <c r="S92" s="8"/>
      <c r="T92" s="8"/>
    </row>
    <row r="93" spans="1:20">
      <c r="C93" s="82"/>
      <c r="D93" s="82"/>
      <c r="E93" s="82"/>
      <c r="F93" s="82"/>
      <c r="G93" s="82"/>
      <c r="H93" s="82"/>
      <c r="I93" s="82"/>
      <c r="J93" s="82"/>
      <c r="K93" s="82"/>
      <c r="L93" s="82"/>
      <c r="M93" s="82"/>
      <c r="N93" s="82"/>
      <c r="O93" s="82"/>
      <c r="P93" s="82"/>
      <c r="Q93" s="8"/>
      <c r="R93" s="8"/>
      <c r="S93" s="8"/>
      <c r="T93" s="8"/>
    </row>
    <row r="94" spans="1:20">
      <c r="C94" s="8"/>
      <c r="D94" s="8"/>
      <c r="E94" s="8"/>
      <c r="F94" s="8"/>
      <c r="G94" s="8"/>
      <c r="H94" s="82"/>
      <c r="I94" s="82"/>
      <c r="J94" s="82"/>
      <c r="K94" s="82"/>
      <c r="L94" s="82"/>
      <c r="M94" s="82"/>
      <c r="N94" s="82"/>
      <c r="O94" s="82"/>
      <c r="P94" s="82"/>
      <c r="Q94" s="8"/>
      <c r="R94" s="8"/>
      <c r="S94" s="8"/>
      <c r="T94" s="8"/>
    </row>
    <row r="95" spans="1:20">
      <c r="C95" s="8"/>
      <c r="D95" s="8"/>
      <c r="E95" s="8"/>
      <c r="F95" s="8"/>
      <c r="G95" s="8"/>
      <c r="H95" s="82"/>
      <c r="I95" s="82"/>
      <c r="J95" s="82"/>
      <c r="K95" s="82"/>
      <c r="L95" s="82"/>
      <c r="M95" s="82"/>
      <c r="N95" s="82"/>
      <c r="O95" s="82"/>
      <c r="P95" s="82"/>
      <c r="Q95" s="8"/>
      <c r="R95" s="8"/>
      <c r="S95" s="8"/>
      <c r="T95" s="8"/>
    </row>
    <row r="96" spans="1:20">
      <c r="C96" s="8"/>
      <c r="D96" s="8"/>
      <c r="E96" s="8"/>
      <c r="F96" s="8"/>
      <c r="G96" s="8"/>
      <c r="H96" s="82"/>
      <c r="I96" s="82"/>
      <c r="J96" s="82"/>
      <c r="K96" s="82"/>
      <c r="L96" s="82"/>
      <c r="M96" s="82"/>
      <c r="N96" s="82"/>
      <c r="O96" s="82"/>
      <c r="P96" s="82"/>
      <c r="Q96" s="8"/>
      <c r="R96" s="8"/>
      <c r="S96" s="8"/>
      <c r="T96" s="8"/>
    </row>
    <row r="97" spans="3:20">
      <c r="C97" s="8"/>
      <c r="D97" s="8"/>
      <c r="E97" s="8"/>
      <c r="F97" s="8"/>
      <c r="G97" s="8"/>
      <c r="H97" s="82"/>
      <c r="I97" s="82"/>
      <c r="J97" s="82"/>
      <c r="K97" s="82"/>
      <c r="L97" s="82"/>
      <c r="M97" s="82"/>
      <c r="N97" s="82"/>
      <c r="O97" s="82"/>
      <c r="P97" s="82"/>
      <c r="Q97" s="8"/>
      <c r="R97" s="8"/>
      <c r="S97" s="8"/>
      <c r="T97" s="8"/>
    </row>
    <row r="98" spans="3:20">
      <c r="C98" s="8"/>
      <c r="D98" s="8"/>
      <c r="E98" s="8"/>
      <c r="F98" s="8"/>
      <c r="G98" s="8"/>
      <c r="H98" s="8"/>
      <c r="I98" s="8"/>
      <c r="J98" s="8"/>
      <c r="K98" s="8"/>
      <c r="L98" s="8"/>
      <c r="M98" s="8"/>
      <c r="N98" s="8"/>
      <c r="O98" s="8"/>
      <c r="P98" s="8"/>
      <c r="Q98" s="8"/>
      <c r="R98" s="8"/>
      <c r="S98" s="8"/>
      <c r="T98" s="8"/>
    </row>
    <row r="99" spans="3:20">
      <c r="C99" s="8"/>
      <c r="D99" s="8"/>
      <c r="E99" s="8"/>
      <c r="F99" s="8"/>
      <c r="G99" s="8"/>
      <c r="H99" s="8"/>
      <c r="I99" s="8"/>
      <c r="J99" s="8"/>
      <c r="K99" s="8"/>
      <c r="L99" s="8"/>
      <c r="M99" s="8"/>
      <c r="N99" s="8"/>
      <c r="O99" s="8"/>
      <c r="P99" s="8"/>
      <c r="Q99" s="8"/>
      <c r="R99" s="8"/>
      <c r="S99" s="8"/>
      <c r="T99" s="8"/>
    </row>
    <row r="100" spans="3:20">
      <c r="C100" s="8"/>
      <c r="D100" s="8"/>
      <c r="E100" s="8"/>
      <c r="F100" s="8"/>
      <c r="G100" s="8"/>
      <c r="H100" s="8"/>
      <c r="I100" s="8"/>
      <c r="J100" s="8"/>
      <c r="K100" s="8"/>
      <c r="L100" s="8"/>
      <c r="M100" s="8"/>
      <c r="N100" s="8"/>
      <c r="O100" s="8"/>
      <c r="P100" s="8"/>
      <c r="Q100" s="8"/>
      <c r="R100" s="8"/>
      <c r="S100" s="8"/>
      <c r="T100" s="8"/>
    </row>
    <row r="101" spans="3:20">
      <c r="C101" s="8"/>
      <c r="D101" s="8"/>
      <c r="E101" s="8"/>
      <c r="F101" s="8"/>
      <c r="G101" s="8"/>
      <c r="H101" s="8"/>
      <c r="I101" s="8"/>
      <c r="J101" s="8"/>
      <c r="K101" s="8"/>
      <c r="L101" s="8"/>
      <c r="M101" s="8"/>
      <c r="N101" s="8"/>
      <c r="O101" s="8"/>
      <c r="P101" s="8"/>
      <c r="Q101" s="8"/>
      <c r="R101" s="8"/>
      <c r="S101" s="8"/>
      <c r="T101" s="8"/>
    </row>
    <row r="102" spans="3:20">
      <c r="C102" s="8"/>
      <c r="D102" s="8"/>
      <c r="E102" s="8"/>
      <c r="F102" s="8"/>
      <c r="G102" s="8"/>
      <c r="H102" s="8"/>
      <c r="I102" s="8"/>
      <c r="J102" s="8"/>
      <c r="K102" s="8"/>
      <c r="L102" s="8"/>
      <c r="M102" s="8"/>
      <c r="N102" s="8"/>
      <c r="O102" s="8"/>
      <c r="P102" s="8"/>
      <c r="Q102" s="8"/>
      <c r="R102" s="8"/>
      <c r="S102" s="8"/>
      <c r="T102" s="8"/>
    </row>
    <row r="103" spans="3:20">
      <c r="C103" s="8"/>
      <c r="D103" s="8"/>
      <c r="E103" s="8"/>
      <c r="F103" s="8"/>
      <c r="G103" s="8"/>
      <c r="H103" s="8"/>
      <c r="I103" s="8"/>
      <c r="J103" s="8"/>
      <c r="K103" s="8"/>
      <c r="L103" s="8"/>
      <c r="M103" s="8"/>
      <c r="N103" s="8"/>
      <c r="O103" s="8"/>
      <c r="P103" s="8"/>
      <c r="Q103" s="8"/>
      <c r="R103" s="8"/>
      <c r="S103" s="8"/>
      <c r="T103" s="8"/>
    </row>
    <row r="104" spans="3:20">
      <c r="C104" s="8"/>
      <c r="D104" s="8"/>
      <c r="E104" s="8"/>
      <c r="F104" s="8"/>
      <c r="G104" s="8"/>
      <c r="H104" s="8"/>
      <c r="I104" s="8"/>
      <c r="J104" s="8"/>
      <c r="K104" s="8"/>
      <c r="L104" s="8"/>
      <c r="M104" s="8"/>
      <c r="N104" s="8"/>
      <c r="O104" s="8"/>
      <c r="P104" s="8"/>
      <c r="Q104" s="8"/>
      <c r="R104" s="8"/>
      <c r="S104" s="8"/>
      <c r="T104" s="8"/>
    </row>
    <row r="105" spans="3:20">
      <c r="C105" s="8"/>
      <c r="D105" s="8"/>
      <c r="E105" s="8"/>
      <c r="F105" s="8"/>
      <c r="G105" s="8"/>
      <c r="H105" s="8"/>
      <c r="I105" s="8"/>
      <c r="J105" s="8"/>
      <c r="K105" s="8"/>
      <c r="L105" s="8"/>
      <c r="M105" s="8"/>
      <c r="N105" s="8"/>
      <c r="O105" s="8"/>
      <c r="P105" s="8"/>
      <c r="Q105" s="8"/>
      <c r="R105" s="8"/>
      <c r="S105" s="8"/>
      <c r="T105" s="8"/>
    </row>
    <row r="106" spans="3:20">
      <c r="C106" s="8"/>
      <c r="D106" s="8"/>
      <c r="E106" s="8"/>
      <c r="F106" s="8"/>
      <c r="G106" s="8"/>
      <c r="H106" s="8"/>
      <c r="I106" s="8"/>
      <c r="J106" s="8"/>
      <c r="K106" s="8"/>
      <c r="L106" s="8"/>
      <c r="M106" s="8"/>
      <c r="N106" s="8"/>
      <c r="O106" s="8"/>
      <c r="P106" s="8"/>
      <c r="Q106" s="8"/>
      <c r="R106" s="8"/>
      <c r="S106" s="8"/>
      <c r="T106" s="8"/>
    </row>
    <row r="107" spans="3:20">
      <c r="C107" s="8"/>
      <c r="D107" s="8"/>
      <c r="E107" s="8"/>
      <c r="F107" s="8"/>
      <c r="G107" s="8"/>
      <c r="H107" s="8"/>
      <c r="I107" s="8"/>
      <c r="J107" s="8"/>
      <c r="K107" s="8"/>
      <c r="L107" s="8"/>
      <c r="M107" s="8"/>
      <c r="N107" s="8"/>
      <c r="O107" s="8"/>
      <c r="P107" s="8"/>
      <c r="Q107" s="8"/>
      <c r="R107" s="8"/>
      <c r="S107" s="8"/>
      <c r="T107" s="8"/>
    </row>
    <row r="108" spans="3:20">
      <c r="C108" s="8"/>
      <c r="D108" s="8"/>
      <c r="E108" s="8"/>
      <c r="F108" s="8"/>
      <c r="G108" s="8"/>
      <c r="H108" s="8"/>
      <c r="I108" s="8"/>
      <c r="J108" s="8"/>
      <c r="K108" s="8"/>
      <c r="L108" s="8"/>
      <c r="M108" s="8"/>
      <c r="N108" s="8"/>
      <c r="O108" s="8"/>
      <c r="P108" s="8"/>
      <c r="Q108" s="8"/>
      <c r="R108" s="8"/>
      <c r="S108" s="8"/>
      <c r="T108" s="8"/>
    </row>
    <row r="109" spans="3:20">
      <c r="C109" s="8"/>
      <c r="D109" s="8"/>
      <c r="E109" s="8"/>
      <c r="F109" s="8"/>
      <c r="G109" s="8"/>
      <c r="H109" s="8"/>
      <c r="I109" s="8"/>
      <c r="J109" s="8"/>
      <c r="K109" s="8"/>
      <c r="L109" s="8"/>
      <c r="M109" s="8"/>
      <c r="N109" s="8"/>
      <c r="O109" s="8"/>
      <c r="P109" s="8"/>
      <c r="Q109" s="8"/>
      <c r="R109" s="8"/>
      <c r="S109" s="8"/>
      <c r="T109" s="8"/>
    </row>
    <row r="110" spans="3:20">
      <c r="C110" s="8"/>
      <c r="D110" s="8"/>
      <c r="E110" s="8"/>
      <c r="F110" s="8"/>
      <c r="G110" s="8"/>
      <c r="H110" s="8"/>
      <c r="I110" s="8"/>
      <c r="J110" s="8"/>
      <c r="K110" s="8"/>
      <c r="L110" s="8"/>
      <c r="M110" s="8"/>
      <c r="N110" s="8"/>
      <c r="O110" s="8"/>
      <c r="P110" s="8"/>
      <c r="Q110" s="8"/>
      <c r="R110" s="8"/>
      <c r="S110" s="8"/>
      <c r="T110" s="8"/>
    </row>
    <row r="111" spans="3:20">
      <c r="C111" s="8"/>
      <c r="D111" s="8"/>
      <c r="E111" s="8"/>
      <c r="F111" s="8"/>
      <c r="G111" s="8"/>
      <c r="H111" s="8"/>
      <c r="I111" s="8"/>
      <c r="J111" s="8"/>
      <c r="K111" s="8"/>
      <c r="L111" s="8"/>
      <c r="M111" s="8"/>
      <c r="N111" s="8"/>
      <c r="O111" s="8"/>
      <c r="P111" s="8"/>
      <c r="Q111" s="8"/>
      <c r="R111" s="8"/>
      <c r="S111" s="8"/>
      <c r="T111" s="8"/>
    </row>
    <row r="112" spans="3:20">
      <c r="C112" s="8"/>
      <c r="D112" s="8"/>
      <c r="E112" s="8"/>
      <c r="F112" s="8"/>
      <c r="G112" s="8"/>
      <c r="H112" s="8"/>
      <c r="I112" s="8"/>
      <c r="J112" s="8"/>
      <c r="K112" s="8"/>
      <c r="L112" s="8"/>
      <c r="M112" s="8"/>
      <c r="N112" s="8"/>
      <c r="O112" s="8"/>
      <c r="P112" s="8"/>
      <c r="Q112" s="8"/>
      <c r="R112" s="8"/>
      <c r="S112" s="8"/>
      <c r="T112" s="8"/>
    </row>
    <row r="113" spans="3:20">
      <c r="C113" s="8"/>
      <c r="D113" s="8"/>
      <c r="E113" s="8"/>
      <c r="F113" s="8"/>
      <c r="G113" s="8"/>
      <c r="H113" s="8"/>
      <c r="I113" s="8"/>
      <c r="J113" s="8"/>
      <c r="K113" s="8"/>
      <c r="L113" s="8"/>
      <c r="M113" s="8"/>
      <c r="N113" s="8"/>
      <c r="O113" s="8"/>
      <c r="P113" s="8"/>
      <c r="Q113" s="8"/>
      <c r="R113" s="8"/>
      <c r="S113" s="8"/>
      <c r="T113" s="8"/>
    </row>
  </sheetData>
  <autoFilter ref="A38:L87">
    <sortState ref="A39:L87">
      <sortCondition ref="B38:B87"/>
    </sortState>
  </autoFilter>
  <mergeCells count="13">
    <mergeCell ref="A37:B37"/>
    <mergeCell ref="B9:H9"/>
    <mergeCell ref="B10:H10"/>
    <mergeCell ref="A3:H3"/>
    <mergeCell ref="B5:H5"/>
    <mergeCell ref="B6:H6"/>
    <mergeCell ref="B7:H7"/>
    <mergeCell ref="B8:H8"/>
    <mergeCell ref="J4:K4"/>
    <mergeCell ref="M4:N4"/>
    <mergeCell ref="G2:H2"/>
    <mergeCell ref="J3:K3"/>
    <mergeCell ref="M3:N3"/>
  </mergeCells>
  <conditionalFormatting sqref="C14:I14 C15:H23 D24:H31 C35:H35 D32:I34">
    <cfRule type="expression" dxfId="125" priority="3">
      <formula>ISERROR(C14)</formula>
    </cfRule>
  </conditionalFormatting>
  <conditionalFormatting sqref="I15:I31">
    <cfRule type="expression" dxfId="124" priority="2">
      <formula>ISERROR(I15)</formula>
    </cfRule>
  </conditionalFormatting>
  <conditionalFormatting sqref="I13">
    <cfRule type="expression" dxfId="123" priority="1">
      <formula>ISERROR(I13)</formula>
    </cfRule>
  </conditionalFormatting>
  <hyperlinks>
    <hyperlink ref="G2" location="'Information och Innehåll'!A1" display="Tillbaka till Information och Innehåll"/>
    <hyperlink ref="J6" location="V1.1.1!A1" display="V1.1.1"/>
    <hyperlink ref="J7" location="V1.1.2!A1" display="V1.1.2"/>
    <hyperlink ref="J8" location="V1.1.3!A1" display="V1.1.3"/>
    <hyperlink ref="J9" location="V2.1.1!A1" display="V2.1.1"/>
    <hyperlink ref="J10" location="V2.1.2!A1" display="V2.1.2"/>
    <hyperlink ref="J12" location="V3.1.2!A1" display="V3.1.2"/>
    <hyperlink ref="J11" location="V3.1.1!A1" display="V3.1.1"/>
    <hyperlink ref="J13" location="V3.1.3!A1" display="V3.1.3"/>
    <hyperlink ref="J15" location="V4.1.1!A1" display="V4.1.1"/>
    <hyperlink ref="J16" location="V4.2.1!A1" display="V4.2.1"/>
    <hyperlink ref="J17" location="V4.2.2!A1" display="V4.2.2"/>
    <hyperlink ref="J18" location="V4.2.3!A1" display="V4.2.3"/>
    <hyperlink ref="J19" location="V4.2.4!A1" display="V4.2.4"/>
    <hyperlink ref="J20" location="V5.1.1!A1" display="V5.1.1"/>
    <hyperlink ref="J21" location="V5.1.2!A1" display="V5.1.2"/>
    <hyperlink ref="K6" location="B1.1.1!A1" display="B1.1.1"/>
    <hyperlink ref="K7" location="B1.1.2!A1" display="B1.1.2"/>
    <hyperlink ref="K8" location="B1.2.1!A1" display="B1.2.1"/>
    <hyperlink ref="K9" location="B1.2.2!A1" display="B1.2.2"/>
    <hyperlink ref="K10" location="B1.2.3!A1" display="B1.2.3"/>
    <hyperlink ref="K11" location="B2.1.1!A1" display="B2.1.1"/>
    <hyperlink ref="K13" location="B2.2.1!A1" display="B2.2.1"/>
    <hyperlink ref="K14" location="B2.2.2!A1" display="B2.2.2"/>
    <hyperlink ref="K15" location="B2.2.3!A1" display="B2.2.3"/>
    <hyperlink ref="K16" location="B2.2.4!A1" display="B2.2.4"/>
    <hyperlink ref="K17" location="B3.1.1!A1" display="B3.1.1"/>
    <hyperlink ref="K18" location="B3.1.2!A1" display="B3.1.2"/>
    <hyperlink ref="K21" location="B4.1.1!A1" display="B4.1.1"/>
    <hyperlink ref="K22" location="B5.1.1!A1" display="B5.1.1"/>
    <hyperlink ref="K23" location="B5.1.2!A1" display="B5.1.2"/>
    <hyperlink ref="K24" location="B5.1.3!A1" display="B5.1.3"/>
    <hyperlink ref="K19" location="B3.1.3!A1" display="B3.1.3"/>
    <hyperlink ref="K12" location="B2.1.2!A1" display="B2.1.2"/>
    <hyperlink ref="J22" location="V5.1.3!A1" display="V5.1.3"/>
    <hyperlink ref="K20" location="B3.2.1!A1" display="B3.2.1"/>
    <hyperlink ref="J14" location="B3.2.1!A1" display="V3.2.1"/>
    <hyperlink ref="M6" location="'V1.1.1 DATA'!A1" display="V1.1.1"/>
    <hyperlink ref="M7" location="'V1.1.2 DATA'!A1" display="V1.1.2"/>
    <hyperlink ref="M8" location="'V1.1.3 Data'!A1" display="V1.1.3"/>
    <hyperlink ref="M9" location="'V2.1.1 DATA'!A1" display="V2.1.1"/>
    <hyperlink ref="M10" location="'V2.1.2 DATA'!A1" display="V2.1.2"/>
    <hyperlink ref="M12" location="'V3.1.2 DATA'!A1" display="V3.1.2"/>
    <hyperlink ref="M11" location="'V3.1.1 DATA'!A1" display="V3.1.1"/>
    <hyperlink ref="M13" location="'V3.1.3 DATA'!A1" display="V3.1.3"/>
    <hyperlink ref="M14" location="'V3.2.1 DATA'!A1" display="V3.2.1"/>
    <hyperlink ref="M15" location="'V4.1.1 DATA'!A1" display="V4.1.1"/>
    <hyperlink ref="M16" location="'V4.2.1 DATA'!A1" display="V4.2.1"/>
    <hyperlink ref="M18" location="'V4.2.3 DATA'!A1" display="V4.2.3"/>
    <hyperlink ref="M19" location="'V4.2.4 DATA'!A1" display="V4.2.4"/>
    <hyperlink ref="M20" location="'V5.1.1 DATA'!A1" display="V5.1.1"/>
    <hyperlink ref="M21" location="'V5.1.2 DATA'!A1" display="V5.1.2"/>
    <hyperlink ref="N6" location="'B1.1.1 DATA'!A1" display="B1.1.1"/>
    <hyperlink ref="N7" location="'B1.1.2 DATA'!A1" display="B1.1.2"/>
    <hyperlink ref="N8" location="'B1.2.1 DATA'!A1" display="B1.2.1"/>
    <hyperlink ref="N9" location="'B1.2.2 DATA'!A1" display="B1.2.2"/>
    <hyperlink ref="N10" location="'B1.2.3 DATA'!A1" display="B1.2.3"/>
    <hyperlink ref="N11" location="'B2.1.1 DATA'!A1" display="B2.1.1"/>
    <hyperlink ref="N13" location="'B2.2.1 DATA'!A1" display="B2.2.1"/>
    <hyperlink ref="N14" location="'B2.2.2 DATA'!A1" display="B2.2.2"/>
    <hyperlink ref="N15" location="'B2.2.3 DATA'!A1" display="B2.2.3"/>
    <hyperlink ref="N16" location="'B2.2.4 DATA'!A1" display="B2.2.4"/>
    <hyperlink ref="N17" location="'B3.1.1 DATA'!A1" display="B3.1.1"/>
    <hyperlink ref="N18" location="'B3.1.2 DATA'!A1" display="B3.1.2"/>
    <hyperlink ref="N20" location="'B3.2.1 DATA'!A1" display="B3.2.1"/>
    <hyperlink ref="N21" location="'B4.1.1 DATA'!A1" display="B4.1.1"/>
    <hyperlink ref="N22" location="'B5.1.1 DATA'!A1" display="B5.1.1"/>
    <hyperlink ref="N23" location="'B5.1.2 DATA'!A1" display="B5.1.2"/>
    <hyperlink ref="N24" location="'B5.1.3 DATA'!A1" display="B5.1.3"/>
    <hyperlink ref="N12" location="'B2.1.2 DATA'!A1" display="B2.1.2"/>
    <hyperlink ref="M22" location="'V5.1.3 DATA'!A1" display="V5.1.3"/>
    <hyperlink ref="N19" location="'B3.1.3 DATA'!A1" display="B3.1.3"/>
    <hyperlink ref="M17" location="'V4.2.2 DATA'!A1" display="V4.2.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B5DAC7"/>
  </sheetPr>
  <dimension ref="A2:AA57"/>
  <sheetViews>
    <sheetView showGridLines="0" showRowColHeaders="0" zoomScale="70" zoomScaleNormal="70" workbookViewId="0"/>
  </sheetViews>
  <sheetFormatPr defaultRowHeight="14.25"/>
  <cols>
    <col min="1" max="1" width="2.796875" customWidth="1"/>
    <col min="2"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470</v>
      </c>
      <c r="C3" s="338"/>
      <c r="D3" s="338"/>
      <c r="E3" s="338"/>
      <c r="F3" s="338"/>
      <c r="G3" s="338"/>
      <c r="H3" s="338"/>
      <c r="I3" s="338"/>
      <c r="J3" s="338"/>
      <c r="K3" s="338"/>
      <c r="L3" s="338"/>
      <c r="M3" s="338"/>
      <c r="N3" s="338"/>
      <c r="O3" s="338"/>
      <c r="P3" s="338"/>
      <c r="Q3" s="338"/>
      <c r="R3" s="338"/>
      <c r="S3" s="338"/>
      <c r="T3" s="338"/>
    </row>
    <row r="4" spans="1:20" ht="30.75">
      <c r="B4" s="339" t="s">
        <v>483</v>
      </c>
      <c r="C4" s="339"/>
      <c r="D4" s="339"/>
      <c r="E4" s="339"/>
      <c r="F4" s="339"/>
      <c r="G4" s="339"/>
      <c r="H4" s="339"/>
      <c r="I4" s="339"/>
      <c r="J4" s="339"/>
      <c r="K4" s="339"/>
      <c r="L4" s="339"/>
      <c r="M4" s="339"/>
      <c r="N4" s="339"/>
      <c r="O4" s="339"/>
      <c r="P4" s="339"/>
      <c r="Q4" s="339"/>
      <c r="R4" s="339"/>
      <c r="S4" s="339"/>
      <c r="T4" s="339"/>
    </row>
    <row r="5" spans="1:20" ht="18">
      <c r="B5" s="340" t="s">
        <v>45</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31"/>
      <c r="O10" s="31"/>
      <c r="P10" s="31"/>
      <c r="Q10" s="31"/>
      <c r="R10" s="31"/>
      <c r="S10" s="31"/>
      <c r="T10" s="31"/>
    </row>
    <row r="11" spans="1:20">
      <c r="B11" s="336" t="s">
        <v>40</v>
      </c>
      <c r="C11" s="336"/>
      <c r="D11" s="336"/>
      <c r="E11" s="336"/>
      <c r="F11" s="336"/>
      <c r="G11" s="336"/>
      <c r="H11" s="336"/>
      <c r="I11" s="336"/>
      <c r="J11" s="336"/>
      <c r="K11" s="336"/>
      <c r="L11" s="336"/>
      <c r="N11" s="111" t="s">
        <v>211</v>
      </c>
      <c r="O11" s="111" t="s">
        <v>286</v>
      </c>
      <c r="P11" s="111"/>
      <c r="Q11" s="111"/>
      <c r="R11" s="111"/>
      <c r="S11" s="111"/>
      <c r="T11" s="111"/>
    </row>
    <row r="12" spans="1:20">
      <c r="B12" s="1"/>
      <c r="C12" s="337" t="s">
        <v>539</v>
      </c>
      <c r="D12" s="337"/>
      <c r="E12" s="337"/>
      <c r="F12" s="337"/>
      <c r="G12" s="337"/>
      <c r="H12" s="337"/>
      <c r="I12" s="337"/>
      <c r="J12" s="337"/>
      <c r="K12" s="337"/>
      <c r="L12" s="337"/>
      <c r="N12" s="111" t="s">
        <v>287</v>
      </c>
      <c r="O12" s="111" t="s">
        <v>220</v>
      </c>
      <c r="P12" s="111" t="s">
        <v>221</v>
      </c>
      <c r="Q12" s="111" t="s">
        <v>222</v>
      </c>
      <c r="R12" s="111" t="s">
        <v>223</v>
      </c>
      <c r="S12" s="111" t="s">
        <v>224</v>
      </c>
      <c r="T12" s="111" t="s">
        <v>225</v>
      </c>
    </row>
    <row r="13" spans="1:20">
      <c r="B13" s="32"/>
      <c r="C13" s="332" t="s">
        <v>217</v>
      </c>
      <c r="D13" s="332"/>
      <c r="E13" s="332"/>
      <c r="F13" s="332"/>
      <c r="G13" s="332"/>
      <c r="H13" s="332"/>
      <c r="I13" s="332"/>
      <c r="J13" s="332"/>
      <c r="K13" s="332"/>
      <c r="L13" s="332"/>
      <c r="N13" s="112">
        <v>2016</v>
      </c>
      <c r="O13" s="111">
        <v>0.36585365853658536</v>
      </c>
      <c r="P13" s="111">
        <v>0.73170731707317072</v>
      </c>
      <c r="Q13" s="111">
        <v>0.46341463414634149</v>
      </c>
      <c r="R13" s="111">
        <v>0.48780487804878048</v>
      </c>
      <c r="S13" s="111">
        <v>0.53658536585365857</v>
      </c>
      <c r="T13" s="111">
        <v>0.68292682926829273</v>
      </c>
    </row>
    <row r="14" spans="1:20">
      <c r="B14" s="32"/>
      <c r="C14" s="333" t="s">
        <v>292</v>
      </c>
      <c r="D14" s="333"/>
      <c r="E14" s="333"/>
      <c r="F14" s="333"/>
      <c r="G14" s="333"/>
      <c r="H14" s="333"/>
      <c r="I14" s="333"/>
      <c r="J14" s="333"/>
      <c r="K14" s="333"/>
      <c r="L14" s="333"/>
      <c r="N14" s="112">
        <v>2017</v>
      </c>
      <c r="O14" s="111">
        <v>0.32608695652173914</v>
      </c>
      <c r="P14" s="111">
        <v>0.69565217391304346</v>
      </c>
      <c r="Q14" s="111">
        <v>0.47826086956521741</v>
      </c>
      <c r="R14" s="111">
        <v>0.36956521739130432</v>
      </c>
      <c r="S14" s="111">
        <v>0.47826086956521741</v>
      </c>
      <c r="T14" s="111">
        <v>0.60869565217391308</v>
      </c>
    </row>
    <row r="15" spans="1:20">
      <c r="B15" s="32"/>
      <c r="C15" s="333" t="s">
        <v>218</v>
      </c>
      <c r="D15" s="333"/>
      <c r="E15" s="333"/>
      <c r="F15" s="333"/>
      <c r="G15" s="333"/>
      <c r="H15" s="333"/>
      <c r="I15" s="333"/>
      <c r="J15" s="333"/>
      <c r="K15" s="333"/>
      <c r="L15" s="333"/>
      <c r="N15" s="112">
        <v>2018</v>
      </c>
      <c r="O15" s="111"/>
      <c r="P15" s="111"/>
      <c r="Q15" s="111"/>
      <c r="R15" s="111"/>
      <c r="S15" s="111"/>
      <c r="T15" s="111"/>
    </row>
    <row r="16" spans="1:20">
      <c r="A16" s="3"/>
      <c r="B16" s="32"/>
      <c r="C16" s="47"/>
      <c r="D16" s="47"/>
      <c r="E16" s="47"/>
      <c r="F16" s="47"/>
      <c r="G16" s="47"/>
      <c r="H16" s="47"/>
      <c r="I16" s="47"/>
      <c r="J16" s="47"/>
      <c r="K16" s="47"/>
      <c r="L16" s="32"/>
      <c r="N16" s="112">
        <v>2019</v>
      </c>
      <c r="O16" s="111"/>
      <c r="P16" s="111"/>
      <c r="Q16" s="111"/>
      <c r="R16" s="111"/>
      <c r="S16" s="111"/>
      <c r="T16" s="111"/>
    </row>
    <row r="17" spans="1:26">
      <c r="A17" s="3"/>
      <c r="B17" s="336" t="s">
        <v>41</v>
      </c>
      <c r="C17" s="336"/>
      <c r="D17" s="336"/>
      <c r="E17" s="336"/>
      <c r="F17" s="336"/>
      <c r="G17" s="336"/>
      <c r="H17" s="336"/>
      <c r="I17" s="336"/>
      <c r="J17" s="336"/>
      <c r="K17" s="336"/>
      <c r="L17" s="336"/>
      <c r="N17" s="112">
        <v>2020</v>
      </c>
      <c r="O17" s="111"/>
      <c r="P17" s="111"/>
      <c r="Q17" s="111"/>
      <c r="R17" s="111"/>
      <c r="S17" s="111"/>
      <c r="T17" s="111"/>
    </row>
    <row r="18" spans="1:26">
      <c r="A18" s="3"/>
      <c r="B18" s="1"/>
      <c r="C18" s="333" t="s">
        <v>295</v>
      </c>
      <c r="D18" s="333"/>
      <c r="E18" s="333"/>
      <c r="F18" s="333"/>
      <c r="G18" s="333"/>
      <c r="H18" s="333"/>
      <c r="I18" s="333"/>
      <c r="J18" s="333"/>
      <c r="K18" s="333"/>
      <c r="L18" s="333"/>
      <c r="N18" s="112">
        <v>2021</v>
      </c>
      <c r="O18" s="111"/>
      <c r="P18" s="111"/>
      <c r="Q18" s="111"/>
      <c r="R18" s="111"/>
      <c r="S18" s="111"/>
      <c r="T18" s="111"/>
    </row>
    <row r="19" spans="1:26">
      <c r="A19" s="3"/>
      <c r="B19" s="32"/>
      <c r="C19" s="333" t="s">
        <v>317</v>
      </c>
      <c r="D19" s="333"/>
      <c r="E19" s="333"/>
      <c r="F19" s="333"/>
      <c r="G19" s="333"/>
      <c r="H19" s="333"/>
      <c r="I19" s="333"/>
      <c r="J19" s="333"/>
      <c r="K19" s="333"/>
      <c r="L19" s="333"/>
      <c r="N19" s="112">
        <v>2022</v>
      </c>
      <c r="O19" s="111"/>
      <c r="P19" s="111"/>
      <c r="Q19" s="111"/>
      <c r="R19" s="111"/>
      <c r="S19" s="111"/>
      <c r="T19" s="111"/>
    </row>
    <row r="20" spans="1:26">
      <c r="A20" s="3"/>
      <c r="B20" s="32"/>
      <c r="C20" s="333" t="s">
        <v>369</v>
      </c>
      <c r="D20" s="333"/>
      <c r="E20" s="333"/>
      <c r="F20" s="333"/>
      <c r="G20" s="333"/>
      <c r="H20" s="333"/>
      <c r="I20" s="333"/>
      <c r="J20" s="333"/>
      <c r="K20" s="333"/>
      <c r="L20" s="333"/>
      <c r="N20" s="112">
        <v>2023</v>
      </c>
      <c r="O20" s="111"/>
      <c r="P20" s="111"/>
      <c r="Q20" s="111"/>
      <c r="R20" s="111"/>
      <c r="S20" s="111"/>
      <c r="T20" s="111"/>
    </row>
    <row r="21" spans="1:26">
      <c r="A21" s="3"/>
      <c r="B21" s="32"/>
      <c r="C21" s="58" t="str">
        <f>"--&gt;"</f>
        <v>--&gt;</v>
      </c>
      <c r="D21" s="334" t="s">
        <v>212</v>
      </c>
      <c r="E21" s="334"/>
      <c r="F21" s="334"/>
      <c r="G21" s="334"/>
      <c r="H21" s="334"/>
      <c r="I21" s="334"/>
      <c r="J21" s="334"/>
      <c r="K21" s="334"/>
      <c r="L21" s="334"/>
      <c r="N21" s="112">
        <v>2024</v>
      </c>
      <c r="O21" s="111"/>
      <c r="P21" s="111"/>
      <c r="Q21" s="111"/>
      <c r="R21" s="111"/>
      <c r="S21" s="111"/>
      <c r="T21" s="111"/>
    </row>
    <row r="22" spans="1:26">
      <c r="A22" s="3"/>
      <c r="B22" s="32"/>
      <c r="C22" s="32"/>
      <c r="D22" s="334"/>
      <c r="E22" s="334"/>
      <c r="F22" s="334"/>
      <c r="G22" s="334"/>
      <c r="H22" s="334"/>
      <c r="I22" s="334"/>
      <c r="J22" s="334"/>
      <c r="K22" s="334"/>
      <c r="L22" s="334"/>
      <c r="N22" s="112">
        <v>2025</v>
      </c>
      <c r="O22" s="111"/>
      <c r="P22" s="111"/>
      <c r="Q22" s="111"/>
      <c r="R22" s="111"/>
      <c r="S22" s="111"/>
      <c r="T22" s="111"/>
    </row>
    <row r="23" spans="1:26">
      <c r="A23" s="3"/>
      <c r="B23" s="32"/>
      <c r="C23" s="333" t="s">
        <v>356</v>
      </c>
      <c r="D23" s="333"/>
      <c r="E23" s="333"/>
      <c r="F23" s="333"/>
      <c r="G23" s="333"/>
      <c r="H23" s="333"/>
      <c r="I23" s="333"/>
      <c r="J23" s="333"/>
      <c r="K23" s="333"/>
      <c r="L23" s="333"/>
    </row>
    <row r="24" spans="1:26">
      <c r="A24" s="3"/>
      <c r="B24" s="32"/>
      <c r="C24" s="333"/>
      <c r="D24" s="333"/>
      <c r="E24" s="333"/>
      <c r="F24" s="333"/>
      <c r="G24" s="333"/>
      <c r="H24" s="333"/>
      <c r="I24" s="333"/>
      <c r="J24" s="333"/>
      <c r="K24" s="333"/>
      <c r="L24" s="333"/>
      <c r="Q24" s="2"/>
      <c r="S24" s="11"/>
      <c r="T24" s="11"/>
    </row>
    <row r="25" spans="1:26">
      <c r="A25" s="3"/>
      <c r="B25" s="32"/>
      <c r="C25" s="333"/>
      <c r="D25" s="333"/>
      <c r="E25" s="333"/>
      <c r="F25" s="333"/>
      <c r="G25" s="333"/>
      <c r="H25" s="333"/>
      <c r="I25" s="333"/>
      <c r="J25" s="333"/>
      <c r="K25" s="333"/>
      <c r="L25" s="333"/>
      <c r="Q25" s="2"/>
      <c r="S25" s="11"/>
      <c r="T25" s="11"/>
    </row>
    <row r="26" spans="1:26">
      <c r="A26" s="3"/>
      <c r="B26" s="32"/>
      <c r="C26" s="335" t="s">
        <v>540</v>
      </c>
      <c r="D26" s="335"/>
      <c r="E26" s="335"/>
      <c r="F26" s="335"/>
      <c r="G26" s="335"/>
      <c r="H26" s="335"/>
      <c r="I26" s="335"/>
      <c r="J26" s="335"/>
      <c r="K26" s="335"/>
      <c r="L26" s="335"/>
      <c r="Q26" s="2"/>
      <c r="S26" s="11"/>
      <c r="T26" s="11"/>
    </row>
    <row r="27" spans="1:26">
      <c r="B27" s="47"/>
      <c r="C27" s="335"/>
      <c r="D27" s="335"/>
      <c r="E27" s="335"/>
      <c r="F27" s="335"/>
      <c r="G27" s="335"/>
      <c r="H27" s="335"/>
      <c r="I27" s="335"/>
      <c r="J27" s="335"/>
      <c r="K27" s="335"/>
      <c r="L27" s="335"/>
      <c r="Q27" s="2"/>
      <c r="S27" s="11"/>
      <c r="T27" s="11"/>
    </row>
    <row r="28" spans="1:26">
      <c r="B28" s="47"/>
      <c r="C28" s="335"/>
      <c r="D28" s="335"/>
      <c r="E28" s="335"/>
      <c r="F28" s="335"/>
      <c r="G28" s="335"/>
      <c r="H28" s="335"/>
      <c r="I28" s="335"/>
      <c r="J28" s="335"/>
      <c r="K28" s="335"/>
      <c r="L28" s="335"/>
      <c r="Q28" s="2"/>
      <c r="S28" s="11"/>
      <c r="T28" s="11"/>
    </row>
    <row r="29" spans="1:26">
      <c r="B29" s="83"/>
      <c r="C29" s="351"/>
      <c r="D29" s="351"/>
      <c r="E29" s="351"/>
      <c r="F29" s="351"/>
      <c r="G29" s="351"/>
      <c r="H29" s="351"/>
      <c r="I29" s="351"/>
      <c r="J29" s="351"/>
      <c r="K29" s="351"/>
      <c r="L29" s="351"/>
      <c r="S29" s="11"/>
      <c r="T29" s="11"/>
    </row>
    <row r="30" spans="1:26">
      <c r="B30" s="31"/>
      <c r="C30" s="351"/>
      <c r="D30" s="351"/>
      <c r="E30" s="351"/>
      <c r="F30" s="351"/>
      <c r="G30" s="351"/>
      <c r="H30" s="351"/>
      <c r="I30" s="351"/>
      <c r="J30" s="351"/>
      <c r="K30" s="351"/>
      <c r="L30" s="351"/>
      <c r="M30" s="9"/>
      <c r="N30" s="31"/>
      <c r="O30" s="34"/>
      <c r="P30" s="35"/>
      <c r="Q30" s="35"/>
      <c r="R30" s="35"/>
      <c r="S30" s="35"/>
      <c r="T30" s="31"/>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7">
      <c r="B34" s="1"/>
      <c r="C34" s="1"/>
      <c r="D34" s="1"/>
      <c r="E34" s="1"/>
      <c r="F34" s="1"/>
      <c r="G34" s="1"/>
      <c r="H34" s="1"/>
      <c r="I34" s="1"/>
      <c r="J34" s="1"/>
      <c r="K34" s="1"/>
      <c r="L34" s="1"/>
      <c r="M34" s="1"/>
      <c r="N34" s="1"/>
      <c r="O34" s="1"/>
      <c r="P34" s="1"/>
      <c r="Q34" s="1"/>
      <c r="R34" s="1"/>
      <c r="S34" s="1"/>
      <c r="T34" s="1"/>
      <c r="V34" s="56" t="s">
        <v>61</v>
      </c>
      <c r="W34" s="56" t="s">
        <v>62</v>
      </c>
      <c r="X34" s="11"/>
      <c r="Y34" s="56" t="s">
        <v>61</v>
      </c>
      <c r="Z34" s="56" t="s">
        <v>62</v>
      </c>
    </row>
    <row r="35" spans="1:27">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7">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7">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7">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7">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7">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7">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7">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7">
      <c r="B43" s="1"/>
      <c r="C43" s="1"/>
      <c r="D43" s="1"/>
      <c r="E43" s="1"/>
      <c r="F43" s="1"/>
      <c r="G43" s="1"/>
      <c r="H43" s="1"/>
      <c r="I43" s="1"/>
      <c r="J43" s="1"/>
      <c r="K43" s="1"/>
      <c r="L43" s="1"/>
      <c r="M43" s="1"/>
      <c r="N43" s="1"/>
      <c r="O43" s="1"/>
      <c r="P43" s="1"/>
      <c r="Q43" s="1"/>
      <c r="R43" s="1"/>
      <c r="S43" s="1"/>
      <c r="T43" s="1"/>
      <c r="V43" s="245" t="s">
        <v>439</v>
      </c>
      <c r="W43" s="244" t="s">
        <v>456</v>
      </c>
      <c r="X43" s="6"/>
      <c r="Y43" s="244" t="s">
        <v>439</v>
      </c>
      <c r="Z43" s="244" t="s">
        <v>456</v>
      </c>
      <c r="AA43" s="6"/>
    </row>
    <row r="44" spans="1:27">
      <c r="B44" s="1"/>
      <c r="C44" s="1"/>
      <c r="D44" s="1"/>
      <c r="E44" s="1"/>
      <c r="F44" s="1"/>
      <c r="G44" s="1"/>
      <c r="H44" s="1"/>
      <c r="I44" s="1"/>
      <c r="J44" s="1"/>
      <c r="K44" s="1"/>
      <c r="L44" s="1"/>
      <c r="M44" s="1"/>
      <c r="N44" s="1"/>
      <c r="O44" s="1"/>
      <c r="P44" s="1"/>
      <c r="Q44" s="1"/>
      <c r="R44" s="1"/>
      <c r="S44" s="1"/>
      <c r="T44" s="1"/>
      <c r="V44" s="244" t="s">
        <v>440</v>
      </c>
      <c r="W44" s="244" t="s">
        <v>457</v>
      </c>
      <c r="X44" s="6"/>
      <c r="Y44" s="244" t="s">
        <v>440</v>
      </c>
      <c r="Z44" s="244" t="s">
        <v>457</v>
      </c>
      <c r="AA44" s="6"/>
    </row>
    <row r="45" spans="1:27">
      <c r="B45" s="1"/>
      <c r="C45" s="1"/>
      <c r="D45" s="1"/>
      <c r="E45" s="1"/>
      <c r="F45" s="1"/>
      <c r="G45" s="1"/>
      <c r="H45" s="1"/>
      <c r="I45" s="1"/>
      <c r="J45" s="1"/>
      <c r="K45" s="1"/>
      <c r="L45" s="1"/>
      <c r="M45" s="1"/>
      <c r="N45" s="1"/>
      <c r="O45" s="1"/>
      <c r="P45" s="1"/>
      <c r="Q45" s="1"/>
      <c r="R45" s="1"/>
      <c r="S45" s="1"/>
      <c r="T45" s="1"/>
      <c r="V45" s="244" t="s">
        <v>441</v>
      </c>
      <c r="W45" s="244" t="s">
        <v>458</v>
      </c>
      <c r="X45" s="6"/>
      <c r="Y45" s="244" t="s">
        <v>441</v>
      </c>
      <c r="Z45" s="244" t="s">
        <v>458</v>
      </c>
      <c r="AA45" s="6"/>
    </row>
    <row r="46" spans="1:27">
      <c r="B46" s="1"/>
      <c r="C46" s="1"/>
      <c r="D46" s="1"/>
      <c r="E46" s="1"/>
      <c r="F46" s="1"/>
      <c r="G46" s="1"/>
      <c r="H46" s="1"/>
      <c r="I46" s="1"/>
      <c r="J46" s="1"/>
      <c r="K46" s="1"/>
      <c r="L46" s="1"/>
      <c r="M46" s="1"/>
      <c r="N46" s="1"/>
      <c r="O46" s="1"/>
      <c r="P46" s="1"/>
      <c r="Q46" s="1"/>
      <c r="R46" s="1"/>
      <c r="S46" s="1"/>
      <c r="T46" s="1"/>
      <c r="V46" s="244" t="s">
        <v>442</v>
      </c>
      <c r="W46" s="244" t="s">
        <v>459</v>
      </c>
      <c r="X46" s="6"/>
      <c r="Y46" s="244" t="s">
        <v>442</v>
      </c>
      <c r="Z46" s="244" t="s">
        <v>459</v>
      </c>
      <c r="AA46" s="6"/>
    </row>
    <row r="47" spans="1:27">
      <c r="B47" s="1"/>
      <c r="C47" s="1"/>
      <c r="D47" s="1"/>
      <c r="E47" s="1"/>
      <c r="F47" s="1"/>
      <c r="G47" s="1"/>
      <c r="H47" s="1"/>
      <c r="I47" s="1"/>
      <c r="J47" s="1"/>
      <c r="K47" s="1"/>
      <c r="L47" s="1"/>
      <c r="M47" s="1"/>
      <c r="N47" s="1"/>
      <c r="O47" s="1"/>
      <c r="P47" s="1"/>
      <c r="Q47" s="1"/>
      <c r="R47" s="1"/>
      <c r="S47" s="1"/>
      <c r="T47" s="1"/>
      <c r="V47" s="244" t="s">
        <v>443</v>
      </c>
      <c r="W47" s="244" t="s">
        <v>460</v>
      </c>
      <c r="X47" s="6"/>
      <c r="Y47" s="244" t="s">
        <v>443</v>
      </c>
      <c r="Z47" s="244" t="s">
        <v>460</v>
      </c>
      <c r="AA47" s="6"/>
    </row>
    <row r="48" spans="1:27">
      <c r="B48" s="1"/>
      <c r="C48" s="1"/>
      <c r="D48" s="1"/>
      <c r="E48" s="1"/>
      <c r="F48" s="1"/>
      <c r="G48" s="1"/>
      <c r="H48" s="1"/>
      <c r="I48" s="1"/>
      <c r="J48" s="1"/>
      <c r="K48" s="1"/>
      <c r="L48" s="1"/>
      <c r="M48" s="1"/>
      <c r="N48" s="1"/>
      <c r="O48" s="1"/>
      <c r="P48" s="1"/>
      <c r="Q48" s="1"/>
      <c r="R48" s="1"/>
      <c r="S48" s="1"/>
      <c r="T48" s="1"/>
      <c r="V48" s="244" t="s">
        <v>444</v>
      </c>
      <c r="W48" s="245" t="s">
        <v>461</v>
      </c>
      <c r="X48" s="6"/>
      <c r="Y48" s="244" t="s">
        <v>444</v>
      </c>
      <c r="Z48" s="245" t="s">
        <v>461</v>
      </c>
      <c r="AA48" s="6"/>
    </row>
    <row r="49" spans="2:27">
      <c r="B49" s="1"/>
      <c r="C49" s="1"/>
      <c r="D49" s="1"/>
      <c r="E49" s="1"/>
      <c r="F49" s="1"/>
      <c r="G49" s="1"/>
      <c r="H49" s="1"/>
      <c r="I49" s="1"/>
      <c r="J49" s="1"/>
      <c r="K49" s="1"/>
      <c r="L49" s="1"/>
      <c r="M49" s="1"/>
      <c r="N49" s="1"/>
      <c r="O49" s="1"/>
      <c r="P49" s="1"/>
      <c r="Q49" s="1"/>
      <c r="R49" s="1"/>
      <c r="S49" s="1"/>
      <c r="T49" s="1"/>
      <c r="V49" s="244" t="s">
        <v>445</v>
      </c>
      <c r="W49" s="244" t="s">
        <v>462</v>
      </c>
      <c r="X49" s="6"/>
      <c r="Y49" s="244" t="s">
        <v>445</v>
      </c>
      <c r="Z49" s="244" t="s">
        <v>462</v>
      </c>
      <c r="AA49" s="6"/>
    </row>
    <row r="50" spans="2:27">
      <c r="B50" s="1"/>
      <c r="C50" s="1"/>
      <c r="D50" s="1"/>
      <c r="E50" s="1"/>
      <c r="F50" s="1"/>
      <c r="G50" s="1"/>
      <c r="H50" s="1"/>
      <c r="I50" s="1"/>
      <c r="J50" s="1"/>
      <c r="K50" s="1"/>
      <c r="L50" s="1"/>
      <c r="M50" s="1"/>
      <c r="N50" s="1"/>
      <c r="O50" s="1"/>
      <c r="P50" s="1"/>
      <c r="Q50" s="1"/>
      <c r="R50" s="1"/>
      <c r="S50" s="1"/>
      <c r="T50" s="1"/>
      <c r="V50" s="246" t="s">
        <v>446</v>
      </c>
      <c r="W50" s="244" t="s">
        <v>463</v>
      </c>
      <c r="X50" s="6"/>
      <c r="Y50" s="246" t="s">
        <v>446</v>
      </c>
      <c r="Z50" s="244" t="s">
        <v>463</v>
      </c>
      <c r="AA50" s="6"/>
    </row>
    <row r="51" spans="2:27">
      <c r="B51" s="1"/>
      <c r="C51" s="1"/>
      <c r="D51" s="1"/>
      <c r="E51" s="1"/>
      <c r="F51" s="1"/>
      <c r="G51" s="1"/>
      <c r="H51" s="1"/>
      <c r="I51" s="1"/>
      <c r="J51" s="1"/>
      <c r="K51" s="1"/>
      <c r="L51" s="1"/>
      <c r="M51" s="1"/>
      <c r="N51" s="1"/>
      <c r="O51" s="1"/>
      <c r="P51" s="1"/>
      <c r="Q51" s="1"/>
      <c r="R51" s="1"/>
      <c r="S51" s="1"/>
      <c r="T51" s="1"/>
      <c r="V51" s="247" t="s">
        <v>447</v>
      </c>
      <c r="W51" s="244" t="s">
        <v>464</v>
      </c>
      <c r="X51" s="6"/>
      <c r="Y51" s="247" t="s">
        <v>447</v>
      </c>
      <c r="Z51" s="244" t="s">
        <v>464</v>
      </c>
      <c r="AA51" s="6"/>
    </row>
    <row r="52" spans="2:27">
      <c r="B52" s="1"/>
      <c r="C52" s="1"/>
      <c r="D52" s="1"/>
      <c r="E52" s="1"/>
      <c r="F52" s="1"/>
      <c r="G52" s="1"/>
      <c r="H52" s="1"/>
      <c r="I52" s="1"/>
      <c r="J52" s="1"/>
      <c r="K52" s="1"/>
      <c r="L52" s="1"/>
      <c r="M52" s="1"/>
      <c r="N52" s="1"/>
      <c r="O52" s="1"/>
      <c r="P52" s="1"/>
      <c r="Q52" s="1"/>
      <c r="R52" s="1"/>
      <c r="S52" s="1"/>
      <c r="T52" s="1"/>
      <c r="V52" s="295"/>
      <c r="W52" s="244" t="s">
        <v>465</v>
      </c>
      <c r="X52" s="6"/>
      <c r="Y52" s="284"/>
      <c r="Z52" s="244" t="s">
        <v>465</v>
      </c>
      <c r="AA52" s="6"/>
    </row>
    <row r="53" spans="2:27">
      <c r="B53" s="1"/>
      <c r="C53" s="1"/>
      <c r="D53" s="1"/>
      <c r="E53" s="1"/>
      <c r="F53" s="1"/>
      <c r="G53" s="1"/>
      <c r="H53" s="1"/>
      <c r="I53" s="1"/>
      <c r="J53" s="1"/>
      <c r="K53" s="1"/>
      <c r="L53" s="1"/>
      <c r="M53" s="1"/>
      <c r="N53" s="1"/>
      <c r="O53" s="1"/>
      <c r="P53" s="1"/>
      <c r="Q53" s="1"/>
      <c r="R53" s="1"/>
      <c r="S53" s="1"/>
      <c r="T53" s="1"/>
      <c r="V53" s="204"/>
      <c r="W53" s="248" t="s">
        <v>466</v>
      </c>
      <c r="X53" s="6"/>
      <c r="Y53" s="257"/>
      <c r="Z53" s="258" t="s">
        <v>466</v>
      </c>
      <c r="AA53" s="6"/>
    </row>
    <row r="54" spans="2:27">
      <c r="B54" s="119"/>
      <c r="C54" s="119"/>
      <c r="D54" s="119"/>
      <c r="E54" s="119"/>
      <c r="F54" s="119"/>
      <c r="G54" s="119"/>
      <c r="H54" s="119"/>
      <c r="I54" s="119"/>
      <c r="J54" s="119"/>
      <c r="K54" s="119"/>
      <c r="L54" s="119"/>
      <c r="M54" s="119"/>
      <c r="N54" s="119"/>
      <c r="O54" s="119"/>
      <c r="P54" s="119"/>
      <c r="Q54" s="119"/>
      <c r="R54" s="119"/>
      <c r="S54" s="119"/>
      <c r="T54" s="119"/>
      <c r="V54" s="250"/>
      <c r="W54" s="251"/>
      <c r="X54" s="6"/>
      <c r="Y54" s="250"/>
      <c r="Z54" s="251"/>
      <c r="AA54" s="6"/>
    </row>
    <row r="55" spans="2:27">
      <c r="B55" s="119"/>
      <c r="C55" s="119"/>
      <c r="D55" s="119"/>
      <c r="E55" s="119"/>
      <c r="F55" s="119"/>
      <c r="G55" s="119"/>
      <c r="H55" s="119"/>
      <c r="I55" s="119"/>
      <c r="J55" s="119"/>
      <c r="K55" s="119"/>
      <c r="L55" s="119"/>
      <c r="M55" s="119"/>
      <c r="N55" s="119"/>
      <c r="O55" s="119"/>
      <c r="P55" s="119"/>
      <c r="Q55" s="119"/>
      <c r="R55" s="119"/>
      <c r="S55" s="119"/>
      <c r="T55" s="119"/>
      <c r="V55" s="249"/>
      <c r="W55" s="251"/>
      <c r="X55" s="6"/>
      <c r="Y55" s="249"/>
      <c r="Z55" s="251"/>
      <c r="AA55" s="6"/>
    </row>
    <row r="56" spans="2:27">
      <c r="V56" s="6"/>
      <c r="W56" s="6"/>
      <c r="X56" s="6"/>
      <c r="Y56" s="6"/>
      <c r="Z56" s="6"/>
      <c r="AA56" s="6"/>
    </row>
    <row r="57" spans="2:27">
      <c r="V57" s="6"/>
      <c r="W57" s="6"/>
      <c r="X57" s="6"/>
      <c r="Y57" s="6"/>
      <c r="Z57" s="6"/>
      <c r="AA57" s="6"/>
    </row>
  </sheetData>
  <mergeCells count="24">
    <mergeCell ref="B11:L11"/>
    <mergeCell ref="C12:L12"/>
    <mergeCell ref="C13:L13"/>
    <mergeCell ref="C14:L14"/>
    <mergeCell ref="B3:T3"/>
    <mergeCell ref="B4:T4"/>
    <mergeCell ref="B5:T5"/>
    <mergeCell ref="R7:T7"/>
    <mergeCell ref="B9:L9"/>
    <mergeCell ref="N9:T9"/>
    <mergeCell ref="Y32:Z32"/>
    <mergeCell ref="Y33:Z33"/>
    <mergeCell ref="V33:W33"/>
    <mergeCell ref="C15:L15"/>
    <mergeCell ref="B17:L17"/>
    <mergeCell ref="C18:L18"/>
    <mergeCell ref="C19:L19"/>
    <mergeCell ref="C20:L20"/>
    <mergeCell ref="D21:L22"/>
    <mergeCell ref="C23:L25"/>
    <mergeCell ref="C26:L28"/>
    <mergeCell ref="C29:L30"/>
    <mergeCell ref="B32:T32"/>
    <mergeCell ref="V32:W32"/>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B49073"/>
  </sheetPr>
  <dimension ref="A1:BJ167"/>
  <sheetViews>
    <sheetView showGridLines="0" showRowColHeaders="0" zoomScale="70" zoomScaleNormal="70" workbookViewId="0"/>
  </sheetViews>
  <sheetFormatPr defaultRowHeight="14.25"/>
  <cols>
    <col min="1" max="1" width="15.796875" customWidth="1"/>
    <col min="2" max="8" width="26.796875" customWidth="1"/>
    <col min="9" max="64" width="12.796875" customWidth="1"/>
  </cols>
  <sheetData>
    <row r="1" spans="1:59" ht="15.75">
      <c r="A1" s="16" t="s">
        <v>219</v>
      </c>
      <c r="B1" s="84"/>
      <c r="C1" s="84"/>
      <c r="D1" s="84"/>
      <c r="E1" s="84"/>
      <c r="F1" s="84"/>
      <c r="G1" s="84"/>
    </row>
    <row r="2" spans="1:59" ht="15.75">
      <c r="A2" s="26" t="s">
        <v>34</v>
      </c>
      <c r="C2" s="27">
        <v>42977</v>
      </c>
      <c r="G2" s="342" t="s">
        <v>44</v>
      </c>
      <c r="H2" s="342"/>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row>
    <row r="3" spans="1:59" ht="23.65" thickBot="1">
      <c r="A3" s="354" t="s">
        <v>7</v>
      </c>
      <c r="B3" s="354"/>
      <c r="C3" s="354"/>
      <c r="D3" s="354"/>
      <c r="E3" s="354"/>
      <c r="F3" s="354"/>
      <c r="G3" s="354"/>
      <c r="H3" s="354"/>
      <c r="J3" s="321" t="s">
        <v>46</v>
      </c>
      <c r="K3" s="321"/>
      <c r="L3" s="11"/>
      <c r="M3" s="318" t="s">
        <v>46</v>
      </c>
      <c r="N3" s="31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row>
    <row r="4" spans="1:59">
      <c r="A4" s="119"/>
      <c r="B4" s="119"/>
      <c r="C4" s="119"/>
      <c r="D4" s="119"/>
      <c r="E4" s="119"/>
      <c r="F4" s="119"/>
      <c r="G4" s="119"/>
      <c r="H4" s="119"/>
      <c r="J4" s="319" t="s">
        <v>65</v>
      </c>
      <c r="K4" s="320"/>
      <c r="L4" s="11"/>
      <c r="M4" s="319" t="s">
        <v>66</v>
      </c>
      <c r="N4" s="320"/>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row>
    <row r="5" spans="1:59">
      <c r="A5" s="119"/>
      <c r="B5" s="352" t="s">
        <v>374</v>
      </c>
      <c r="C5" s="352"/>
      <c r="D5" s="352"/>
      <c r="E5" s="352"/>
      <c r="F5" s="352"/>
      <c r="G5" s="352"/>
      <c r="H5" s="352"/>
      <c r="J5" s="56" t="s">
        <v>61</v>
      </c>
      <c r="K5" s="56" t="s">
        <v>62</v>
      </c>
      <c r="L5" s="11"/>
      <c r="M5" s="56" t="s">
        <v>61</v>
      </c>
      <c r="N5" s="56" t="s">
        <v>62</v>
      </c>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row>
    <row r="6" spans="1:59">
      <c r="A6" s="119"/>
      <c r="B6" s="352" t="s">
        <v>326</v>
      </c>
      <c r="C6" s="352"/>
      <c r="D6" s="352"/>
      <c r="E6" s="352"/>
      <c r="F6" s="352"/>
      <c r="G6" s="352"/>
      <c r="H6" s="352"/>
      <c r="J6" s="244" t="s">
        <v>392</v>
      </c>
      <c r="K6" s="244" t="s">
        <v>448</v>
      </c>
      <c r="L6" s="11"/>
      <c r="M6" s="244" t="s">
        <v>392</v>
      </c>
      <c r="N6" s="244" t="s">
        <v>448</v>
      </c>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row>
    <row r="7" spans="1:59">
      <c r="A7" s="119"/>
      <c r="B7" s="352" t="s">
        <v>329</v>
      </c>
      <c r="C7" s="352"/>
      <c r="D7" s="352"/>
      <c r="E7" s="352"/>
      <c r="F7" s="352"/>
      <c r="G7" s="352"/>
      <c r="H7" s="352"/>
      <c r="J7" s="244" t="s">
        <v>393</v>
      </c>
      <c r="K7" s="244" t="s">
        <v>449</v>
      </c>
      <c r="L7" s="11"/>
      <c r="M7" s="244" t="s">
        <v>393</v>
      </c>
      <c r="N7" s="244" t="s">
        <v>449</v>
      </c>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row>
    <row r="8" spans="1:59">
      <c r="A8" s="119"/>
      <c r="B8" s="353" t="s">
        <v>325</v>
      </c>
      <c r="C8" s="353"/>
      <c r="D8" s="353"/>
      <c r="E8" s="353"/>
      <c r="F8" s="353"/>
      <c r="G8" s="353"/>
      <c r="H8" s="353"/>
      <c r="J8" s="244" t="s">
        <v>394</v>
      </c>
      <c r="K8" s="244" t="s">
        <v>450</v>
      </c>
      <c r="L8" s="11"/>
      <c r="M8" s="244" t="s">
        <v>394</v>
      </c>
      <c r="N8" s="244" t="s">
        <v>450</v>
      </c>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row>
    <row r="9" spans="1:59">
      <c r="A9" s="119"/>
      <c r="B9" s="353" t="s">
        <v>541</v>
      </c>
      <c r="C9" s="353"/>
      <c r="D9" s="353"/>
      <c r="E9" s="353"/>
      <c r="F9" s="353"/>
      <c r="G9" s="353"/>
      <c r="H9" s="353"/>
      <c r="J9" s="244" t="s">
        <v>434</v>
      </c>
      <c r="K9" s="244" t="s">
        <v>451</v>
      </c>
      <c r="L9" s="11"/>
      <c r="M9" s="244" t="s">
        <v>434</v>
      </c>
      <c r="N9" s="244" t="s">
        <v>451</v>
      </c>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row>
    <row r="10" spans="1:59">
      <c r="A10" s="119"/>
      <c r="B10" s="123" t="s">
        <v>542</v>
      </c>
      <c r="C10" s="123"/>
      <c r="D10" s="123"/>
      <c r="E10" s="123"/>
      <c r="F10" s="123"/>
      <c r="G10" s="123"/>
      <c r="H10" s="123"/>
      <c r="J10" s="244" t="s">
        <v>435</v>
      </c>
      <c r="K10" s="244" t="s">
        <v>452</v>
      </c>
      <c r="M10" s="244" t="s">
        <v>435</v>
      </c>
      <c r="N10" s="244" t="s">
        <v>452</v>
      </c>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row>
    <row r="11" spans="1:59">
      <c r="A11" s="119"/>
      <c r="B11" s="119"/>
      <c r="C11" s="119"/>
      <c r="D11" s="119"/>
      <c r="E11" s="119"/>
      <c r="F11" s="119"/>
      <c r="G11" s="119"/>
      <c r="H11" s="119"/>
      <c r="J11" s="244" t="s">
        <v>436</v>
      </c>
      <c r="K11" s="244" t="s">
        <v>453</v>
      </c>
      <c r="M11" s="244" t="s">
        <v>436</v>
      </c>
      <c r="N11" s="244" t="s">
        <v>453</v>
      </c>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row>
    <row r="12" spans="1:59" ht="15.75">
      <c r="A12" s="26"/>
      <c r="C12" s="27"/>
      <c r="J12" s="244" t="s">
        <v>437</v>
      </c>
      <c r="K12" s="245" t="s">
        <v>454</v>
      </c>
      <c r="M12" s="244" t="s">
        <v>437</v>
      </c>
      <c r="N12" s="245" t="s">
        <v>454</v>
      </c>
      <c r="O12" s="8"/>
      <c r="P12" s="8"/>
      <c r="Q12" s="8"/>
      <c r="R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row>
    <row r="13" spans="1:59">
      <c r="A13" s="133" t="s">
        <v>2</v>
      </c>
      <c r="B13" s="133" t="s">
        <v>203</v>
      </c>
      <c r="C13" s="133" t="s">
        <v>153</v>
      </c>
      <c r="D13" s="133" t="s">
        <v>158</v>
      </c>
      <c r="E13" s="133" t="s">
        <v>162</v>
      </c>
      <c r="F13" s="133" t="s">
        <v>178</v>
      </c>
      <c r="G13" s="133" t="s">
        <v>188</v>
      </c>
      <c r="H13" s="133" t="s">
        <v>209</v>
      </c>
      <c r="J13" s="244" t="s">
        <v>438</v>
      </c>
      <c r="K13" s="244" t="s">
        <v>455</v>
      </c>
      <c r="M13" s="244" t="s">
        <v>438</v>
      </c>
      <c r="N13" s="244" t="s">
        <v>455</v>
      </c>
      <c r="O13" s="152"/>
      <c r="P13" s="152"/>
      <c r="Q13" s="152"/>
      <c r="R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8"/>
      <c r="BG13" s="8"/>
    </row>
    <row r="14" spans="1:59">
      <c r="A14" s="2">
        <v>2016</v>
      </c>
      <c r="B14" t="s">
        <v>220</v>
      </c>
      <c r="C14" s="79">
        <f>COUNTIF(C$78:C$92,"=1")/COUNT(C$78:C$92)</f>
        <v>0.38461538461538464</v>
      </c>
      <c r="D14" s="79">
        <f>COUNTIF(C$93:C$97,"=1")/COUNT(C$93:C$97)</f>
        <v>0</v>
      </c>
      <c r="E14" s="79">
        <f>COUNTIF(C$98:C$101,"=1")/COUNT(C$98:C$101)</f>
        <v>0.25</v>
      </c>
      <c r="F14" s="79">
        <f>COUNTIF(C$102:C$116,"=1")/COUNT(C$102:C$116)</f>
        <v>0.33333333333333331</v>
      </c>
      <c r="G14" s="79">
        <f>COUNTIF(C$117:C$126,"=1")/COUNT(C$117:C$126)</f>
        <v>0.55555555555555558</v>
      </c>
      <c r="H14" s="79">
        <f>COUNTIF(C$78:C$126,"=1")/COUNT(C$78:C$126)</f>
        <v>0.36585365853658536</v>
      </c>
      <c r="J14" s="245" t="s">
        <v>439</v>
      </c>
      <c r="K14" s="244" t="s">
        <v>456</v>
      </c>
      <c r="M14" s="244" t="s">
        <v>439</v>
      </c>
      <c r="N14" s="244" t="s">
        <v>456</v>
      </c>
      <c r="O14" s="153"/>
      <c r="P14" s="82"/>
      <c r="Q14" s="82"/>
      <c r="R14" s="82"/>
      <c r="X14" s="82"/>
      <c r="Y14" s="82"/>
      <c r="Z14" s="82"/>
      <c r="AA14" s="82"/>
      <c r="AB14" s="82"/>
      <c r="AC14" s="153"/>
      <c r="AD14" s="82"/>
      <c r="AE14" s="153"/>
      <c r="AF14" s="82"/>
      <c r="AG14" s="153"/>
      <c r="AH14" s="82"/>
      <c r="AI14" s="82"/>
      <c r="AJ14" s="82"/>
      <c r="AK14" s="82"/>
      <c r="AL14" s="82"/>
      <c r="AM14" s="82"/>
      <c r="AN14" s="82"/>
      <c r="AO14" s="82"/>
      <c r="AP14" s="82"/>
      <c r="AQ14" s="82"/>
      <c r="AR14" s="82"/>
      <c r="AS14" s="82"/>
      <c r="AT14" s="82"/>
      <c r="AU14" s="82"/>
      <c r="AV14" s="82"/>
      <c r="AW14" s="82"/>
      <c r="AX14" s="82"/>
      <c r="AY14" s="82"/>
      <c r="AZ14" s="153"/>
      <c r="BA14" s="82"/>
      <c r="BB14" s="82"/>
      <c r="BC14" s="82"/>
      <c r="BD14" s="82"/>
      <c r="BE14" s="153"/>
      <c r="BF14" s="8"/>
      <c r="BG14" s="8"/>
    </row>
    <row r="15" spans="1:59">
      <c r="A15">
        <v>2016</v>
      </c>
      <c r="B15" t="s">
        <v>221</v>
      </c>
      <c r="C15" s="79">
        <f>COUNTIF(D$78:D$92,"=1")/COUNT(D$78:D$92)</f>
        <v>0.76923076923076927</v>
      </c>
      <c r="D15" s="79">
        <f>COUNTIF(D$93:D$97,"=1")/COUNT(D$93:D$97)</f>
        <v>0.33333333333333331</v>
      </c>
      <c r="E15" s="79">
        <f>COUNTIF(D$98:D$101,"=1")/COUNT(D$98:D$101)</f>
        <v>0.25</v>
      </c>
      <c r="F15" s="79">
        <f>COUNTIF(D$102:D$116,"=1")/COUNT(D$102:D$116)</f>
        <v>0.91666666666666663</v>
      </c>
      <c r="G15" s="79">
        <f>COUNTIF(D$117:D$126,"=1")/COUNT(D$117:D$126)</f>
        <v>0.77777777777777779</v>
      </c>
      <c r="H15" s="79">
        <f>COUNTIF(D$78:D$126,"=1")/COUNT(D$78:D$126)</f>
        <v>0.73170731707317072</v>
      </c>
      <c r="J15" s="244" t="s">
        <v>440</v>
      </c>
      <c r="K15" s="244" t="s">
        <v>457</v>
      </c>
      <c r="M15" s="244" t="s">
        <v>440</v>
      </c>
      <c r="N15" s="244" t="s">
        <v>457</v>
      </c>
      <c r="O15" s="153"/>
      <c r="P15" s="82"/>
      <c r="Q15" s="82"/>
      <c r="R15" s="82"/>
      <c r="X15" s="82"/>
      <c r="Y15" s="82"/>
      <c r="Z15" s="82"/>
      <c r="AA15" s="82"/>
      <c r="AB15" s="82"/>
      <c r="AC15" s="153"/>
      <c r="AD15" s="82"/>
      <c r="AE15" s="153"/>
      <c r="AF15" s="82"/>
      <c r="AG15" s="153"/>
      <c r="AH15" s="82"/>
      <c r="AI15" s="82"/>
      <c r="AJ15" s="82"/>
      <c r="AK15" s="82"/>
      <c r="AL15" s="82"/>
      <c r="AM15" s="82"/>
      <c r="AN15" s="82"/>
      <c r="AO15" s="82"/>
      <c r="AP15" s="82"/>
      <c r="AQ15" s="82"/>
      <c r="AR15" s="82"/>
      <c r="AS15" s="82"/>
      <c r="AT15" s="82"/>
      <c r="AU15" s="82"/>
      <c r="AV15" s="82"/>
      <c r="AW15" s="82"/>
      <c r="AX15" s="82"/>
      <c r="AY15" s="82"/>
      <c r="AZ15" s="153"/>
      <c r="BA15" s="82"/>
      <c r="BB15" s="82"/>
      <c r="BC15" s="82"/>
      <c r="BD15" s="82"/>
      <c r="BE15" s="153"/>
      <c r="BF15" s="8"/>
      <c r="BG15" s="8"/>
    </row>
    <row r="16" spans="1:59">
      <c r="A16" s="2">
        <v>2016</v>
      </c>
      <c r="B16" t="s">
        <v>222</v>
      </c>
      <c r="C16" s="79">
        <f>COUNTIF(E$78:E$92,"=1")/COUNT(E$78:E$92)</f>
        <v>0.53846153846153844</v>
      </c>
      <c r="D16" s="79">
        <f>COUNTIF(E$93:E$97,"=1")/COUNT(E$93:E$97)</f>
        <v>0</v>
      </c>
      <c r="E16" s="79">
        <f>COUNTIF(E$98:E$101,"=1")/COUNT(E$98:E$101)</f>
        <v>0.5</v>
      </c>
      <c r="F16" s="79">
        <f>COUNTIF(E$102:E$116,"=1")/COUNT(E$102:E$116)</f>
        <v>0.33333333333333331</v>
      </c>
      <c r="G16" s="79">
        <f>COUNTIF(E$117:E$126,"=1")/COUNT(E$117:E$126)</f>
        <v>0.66666666666666663</v>
      </c>
      <c r="H16" s="79">
        <f>COUNTIF(E$78:E$126,"=1")/COUNT(E$78:E$126)</f>
        <v>0.46341463414634149</v>
      </c>
      <c r="J16" s="244" t="s">
        <v>441</v>
      </c>
      <c r="K16" s="244" t="s">
        <v>458</v>
      </c>
      <c r="M16" s="244" t="s">
        <v>441</v>
      </c>
      <c r="N16" s="244" t="s">
        <v>458</v>
      </c>
      <c r="O16" s="153"/>
      <c r="P16" s="82"/>
      <c r="Q16" s="82"/>
      <c r="R16" s="82"/>
      <c r="X16" s="82"/>
      <c r="Y16" s="82"/>
      <c r="Z16" s="82"/>
      <c r="AA16" s="82"/>
      <c r="AB16" s="82"/>
      <c r="AC16" s="153"/>
      <c r="AD16" s="82"/>
      <c r="AE16" s="153"/>
      <c r="AF16" s="82"/>
      <c r="AG16" s="153"/>
      <c r="AH16" s="82"/>
      <c r="AI16" s="82"/>
      <c r="AJ16" s="82"/>
      <c r="AK16" s="82"/>
      <c r="AL16" s="82"/>
      <c r="AM16" s="82"/>
      <c r="AN16" s="82"/>
      <c r="AO16" s="82"/>
      <c r="AP16" s="82"/>
      <c r="AQ16" s="82"/>
      <c r="AR16" s="82"/>
      <c r="AS16" s="82"/>
      <c r="AT16" s="82"/>
      <c r="AU16" s="82"/>
      <c r="AV16" s="82"/>
      <c r="AW16" s="82"/>
      <c r="AX16" s="82"/>
      <c r="AY16" s="82"/>
      <c r="AZ16" s="153"/>
      <c r="BA16" s="82"/>
      <c r="BB16" s="82"/>
      <c r="BC16" s="82"/>
      <c r="BD16" s="82"/>
      <c r="BE16" s="153"/>
      <c r="BF16" s="8"/>
      <c r="BG16" s="8"/>
    </row>
    <row r="17" spans="1:59">
      <c r="A17" s="2">
        <v>2016</v>
      </c>
      <c r="B17" t="s">
        <v>223</v>
      </c>
      <c r="C17" s="79">
        <f>COUNTIF(F$78:F$92,"=1")/COUNT(F$78:F$92)</f>
        <v>0.46153846153846156</v>
      </c>
      <c r="D17" s="79">
        <f>COUNTIF(F$93:F$97,"=1")/COUNT(F$93:F$97)</f>
        <v>0.33333333333333331</v>
      </c>
      <c r="E17" s="79">
        <f>COUNTIF(F$98:F$101,"=1")/COUNT(F$98:F$101)</f>
        <v>0.25</v>
      </c>
      <c r="F17" s="79">
        <f>COUNTIF(F$102:F$116,"=1")/COUNT(F$102:F$116)</f>
        <v>0.41666666666666669</v>
      </c>
      <c r="G17" s="79">
        <f>COUNTIF(F$117:F$126,"=1")/COUNT(F$117:F$126)</f>
        <v>0.77777777777777779</v>
      </c>
      <c r="H17" s="79">
        <f>COUNTIF(F$78:F$126,"=1")/COUNT(F$78:F$126)</f>
        <v>0.48780487804878048</v>
      </c>
      <c r="J17" s="244" t="s">
        <v>442</v>
      </c>
      <c r="K17" s="244" t="s">
        <v>459</v>
      </c>
      <c r="M17" s="244" t="s">
        <v>442</v>
      </c>
      <c r="N17" s="244" t="s">
        <v>459</v>
      </c>
      <c r="O17" s="82"/>
      <c r="P17" s="82"/>
      <c r="Q17" s="82"/>
      <c r="R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153"/>
      <c r="BC17" s="82"/>
      <c r="BD17" s="82"/>
      <c r="BE17" s="153"/>
      <c r="BF17" s="8"/>
      <c r="BG17" s="8"/>
    </row>
    <row r="18" spans="1:59">
      <c r="A18" s="2">
        <v>2016</v>
      </c>
      <c r="B18" t="s">
        <v>224</v>
      </c>
      <c r="C18" s="79">
        <f>COUNTIF(G$78:G$92,"=1")/COUNT(G$78:G$92)</f>
        <v>0.61538461538461542</v>
      </c>
      <c r="D18" s="79">
        <f>COUNTIF(G$93:G$97,"=1")/COUNT(G$93:G$97)</f>
        <v>1</v>
      </c>
      <c r="E18" s="79">
        <f>COUNTIF(G$98:G$101,"=1")/COUNT(G$98:G$101)</f>
        <v>0.25</v>
      </c>
      <c r="F18" s="79">
        <f>COUNTIF(G$102:G$116,"=1")/COUNT(G$102:G$116)</f>
        <v>0.5</v>
      </c>
      <c r="G18" s="79">
        <f>COUNTIF(G$117:G$126,"=1")/COUNT(G$117:G$126)</f>
        <v>0.44444444444444442</v>
      </c>
      <c r="H18" s="79">
        <f>COUNTIF(G$78:G$126,"=1")/COUNT(G$78:G$126)</f>
        <v>0.53658536585365857</v>
      </c>
      <c r="J18" s="244" t="s">
        <v>443</v>
      </c>
      <c r="K18" s="244" t="s">
        <v>460</v>
      </c>
      <c r="L18" s="6"/>
      <c r="M18" s="244" t="s">
        <v>443</v>
      </c>
      <c r="N18" s="244" t="s">
        <v>460</v>
      </c>
      <c r="O18" s="252"/>
      <c r="P18" s="82"/>
      <c r="Q18" s="82"/>
      <c r="R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153"/>
      <c r="BC18" s="82"/>
      <c r="BD18" s="82"/>
      <c r="BE18" s="153"/>
      <c r="BF18" s="8"/>
      <c r="BG18" s="8"/>
    </row>
    <row r="19" spans="1:59">
      <c r="A19" s="2">
        <v>2016</v>
      </c>
      <c r="B19" t="s">
        <v>225</v>
      </c>
      <c r="C19" s="79">
        <f>COUNTIF(H$78:H$92,"=1")/COUNT(H$78:H$92)</f>
        <v>0.61538461538461542</v>
      </c>
      <c r="D19" s="79">
        <f>COUNTIF(H$93:H$97,"=1")/COUNT(H$93:H$97)</f>
        <v>1</v>
      </c>
      <c r="E19" s="79">
        <f>COUNTIF(H$98:H$101,"=1")/COUNT(H$98:H$101)</f>
        <v>0.5</v>
      </c>
      <c r="F19" s="79">
        <f>COUNTIF(H$102:H$116,"=1")/COUNT(H$102:H$116)</f>
        <v>0.66666666666666663</v>
      </c>
      <c r="G19" s="79">
        <f>COUNTIF(H$117:H$126,"=1")/COUNT(H$117:H$126)</f>
        <v>0.77777777777777779</v>
      </c>
      <c r="H19" s="79">
        <f>COUNTIF(H$78:H$126,"=1")/COUNT(H$78:H$126)</f>
        <v>0.68292682926829273</v>
      </c>
      <c r="J19" s="244" t="s">
        <v>444</v>
      </c>
      <c r="K19" s="245" t="s">
        <v>461</v>
      </c>
      <c r="L19" s="6"/>
      <c r="M19" s="244" t="s">
        <v>444</v>
      </c>
      <c r="N19" s="245" t="s">
        <v>461</v>
      </c>
      <c r="O19" s="252"/>
      <c r="P19" s="82"/>
      <c r="Q19" s="82"/>
      <c r="R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153"/>
      <c r="BB19" s="153"/>
      <c r="BC19" s="82"/>
      <c r="BD19" s="82"/>
      <c r="BE19" s="153"/>
      <c r="BF19" s="8"/>
      <c r="BG19" s="8"/>
    </row>
    <row r="20" spans="1:59">
      <c r="A20" s="2">
        <v>2017</v>
      </c>
      <c r="B20" t="s">
        <v>220</v>
      </c>
      <c r="C20" s="79">
        <f>COUNTIF(I$78:I$92,"=1")/COUNT(I$78:I$92)</f>
        <v>0.33333333333333331</v>
      </c>
      <c r="D20" s="79">
        <f>COUNTIF(I$93:I$97,"=1")/COUNT(I$93:I$97)</f>
        <v>0</v>
      </c>
      <c r="E20" s="79">
        <f>COUNTIF(I$98:I$101,"=1")/COUNT(I$98:I$101)</f>
        <v>0.25</v>
      </c>
      <c r="F20" s="79">
        <f>COUNTIF(I$102:I$116,"=1")/COUNT(I$102:I$116)</f>
        <v>0.46666666666666667</v>
      </c>
      <c r="G20" s="79">
        <f>COUNTIF(I$117:I$126,"=1")/COUNT(I$117:I$126)</f>
        <v>0.22222222222222221</v>
      </c>
      <c r="H20" s="79">
        <f>COUNTIF(I$78:I$126,"=1")/COUNT(I$78:I$126)</f>
        <v>0.32608695652173914</v>
      </c>
      <c r="J20" s="244" t="s">
        <v>445</v>
      </c>
      <c r="K20" s="244" t="s">
        <v>462</v>
      </c>
      <c r="L20" s="6"/>
      <c r="M20" s="244" t="s">
        <v>445</v>
      </c>
      <c r="N20" s="244" t="s">
        <v>462</v>
      </c>
      <c r="O20" s="6"/>
      <c r="P20" s="8"/>
      <c r="Q20" s="8"/>
      <c r="R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row>
    <row r="21" spans="1:59">
      <c r="A21" s="2">
        <v>2017</v>
      </c>
      <c r="B21" t="s">
        <v>221</v>
      </c>
      <c r="C21" s="79">
        <f>COUNTIF(J$78:J$92,"=1")/COUNT(J$78:J$92)</f>
        <v>0.8666666666666667</v>
      </c>
      <c r="D21" s="79">
        <f>COUNTIF(J$93:J$97,"=1")/COUNT(J$93:J$97)</f>
        <v>0.33333333333333331</v>
      </c>
      <c r="E21" s="79">
        <f>COUNTIF(J$98:J$101,"=1")/COUNT(J$98:J$101)</f>
        <v>0.5</v>
      </c>
      <c r="F21" s="79">
        <f>COUNTIF(J$102:J$116,"=1")/COUNT(J$102:J$116)</f>
        <v>0.8</v>
      </c>
      <c r="G21" s="79">
        <f>COUNTIF(J$117:J$126,"=1")/COUNT(J$117:J$126)</f>
        <v>0.44444444444444442</v>
      </c>
      <c r="H21" s="79">
        <f>COUNTIF(J$78:J$126,"=1")/COUNT(J$78:J$126)</f>
        <v>0.69565217391304346</v>
      </c>
      <c r="J21" s="246" t="s">
        <v>446</v>
      </c>
      <c r="K21" s="244" t="s">
        <v>463</v>
      </c>
      <c r="L21" s="6"/>
      <c r="M21" s="246" t="s">
        <v>446</v>
      </c>
      <c r="N21" s="244" t="s">
        <v>463</v>
      </c>
      <c r="O21" s="6"/>
      <c r="P21" s="8"/>
      <c r="Q21" s="8"/>
      <c r="R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row>
    <row r="22" spans="1:59">
      <c r="A22" s="2">
        <v>2017</v>
      </c>
      <c r="B22" t="s">
        <v>222</v>
      </c>
      <c r="C22" s="79">
        <f>COUNTIF(K$78:K$92,"=1")/COUNT(K$78:K$92)</f>
        <v>0.6</v>
      </c>
      <c r="D22" s="79">
        <f>COUNTIF(K$93:K$97,"=1")/COUNT(K$93:K$97)</f>
        <v>0</v>
      </c>
      <c r="E22" s="79">
        <f>COUNTIF(K$98:K$101,"=1")/COUNT(K$98:K$101)</f>
        <v>0.5</v>
      </c>
      <c r="F22" s="79">
        <f>COUNTIF(K$102:K$116,"=1")/COUNT(K$102:K$116)</f>
        <v>0.46666666666666667</v>
      </c>
      <c r="G22" s="79">
        <f>COUNTIF(K$117:K$126,"=1")/COUNT(K$117:K$126)</f>
        <v>0.44444444444444442</v>
      </c>
      <c r="H22" s="79">
        <f>COUNTIF(K$78:K$126,"=1")/COUNT(K$78:K$126)</f>
        <v>0.47826086956521741</v>
      </c>
      <c r="J22" s="247" t="s">
        <v>447</v>
      </c>
      <c r="K22" s="244" t="s">
        <v>464</v>
      </c>
      <c r="L22" s="6"/>
      <c r="M22" s="247" t="s">
        <v>447</v>
      </c>
      <c r="N22" s="244" t="s">
        <v>464</v>
      </c>
      <c r="O22" s="6"/>
      <c r="P22" s="8"/>
      <c r="Q22" s="8"/>
      <c r="R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row>
    <row r="23" spans="1:59">
      <c r="A23" s="2">
        <v>2017</v>
      </c>
      <c r="B23" t="s">
        <v>223</v>
      </c>
      <c r="C23" s="79">
        <f>COUNTIF(L$78:L$92,"=1")/COUNT(L$78:L$92)</f>
        <v>0.33333333333333331</v>
      </c>
      <c r="D23" s="79">
        <f>COUNTIF(L$93:L$97,"=1")/COUNT(L$93:L$97)</f>
        <v>0.33333333333333331</v>
      </c>
      <c r="E23" s="79">
        <f>COUNTIF(L$98:L$101,"=1")/COUNT(L$98:L$101)</f>
        <v>0.25</v>
      </c>
      <c r="F23" s="79">
        <f>COUNTIF(L$102:L$116,"=1")/COUNT(L$102:L$116)</f>
        <v>0.46666666666666667</v>
      </c>
      <c r="G23" s="79">
        <f>COUNTIF(L$117:L$126,"=1")/COUNT(L$117:L$126)</f>
        <v>0.33333333333333331</v>
      </c>
      <c r="H23" s="79">
        <f>COUNTIF(L$78:L$126,"=1")/COUNT(L$78:L$126)</f>
        <v>0.36956521739130432</v>
      </c>
      <c r="J23" s="295"/>
      <c r="K23" s="244" t="s">
        <v>465</v>
      </c>
      <c r="L23" s="6"/>
      <c r="M23" s="284"/>
      <c r="N23" s="244" t="s">
        <v>465</v>
      </c>
      <c r="O23" s="6"/>
      <c r="P23" s="8"/>
      <c r="Q23" s="8"/>
      <c r="R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row>
    <row r="24" spans="1:59">
      <c r="A24" s="2">
        <v>2017</v>
      </c>
      <c r="B24" t="s">
        <v>224</v>
      </c>
      <c r="C24" s="79">
        <f>COUNTIF(M$78:M$92,"=1")/COUNT(M$78:M$92)</f>
        <v>0.53333333333333333</v>
      </c>
      <c r="D24" s="79">
        <f>COUNTIF(M$93:M$97,"=1")/COUNT(M$93:M$97)</f>
        <v>0</v>
      </c>
      <c r="E24" s="79">
        <f>COUNTIF(M$98:M$101,"=1")/COUNT(M$98:M$101)</f>
        <v>0.5</v>
      </c>
      <c r="F24" s="79">
        <f>COUNTIF(M$102:M$116,"=1")/COUNT(M$102:M$116)</f>
        <v>0.6</v>
      </c>
      <c r="G24" s="79">
        <f>COUNTIF(M$117:M$126,"=1")/COUNT(M$117:M$126)</f>
        <v>0.33333333333333331</v>
      </c>
      <c r="H24" s="79">
        <f>COUNTIF(M$78:M$126,"=1")/COUNT(M$78:M$126)</f>
        <v>0.47826086956521741</v>
      </c>
      <c r="J24" s="204"/>
      <c r="K24" s="248" t="s">
        <v>466</v>
      </c>
      <c r="L24" s="6"/>
      <c r="M24" s="257"/>
      <c r="N24" s="258" t="s">
        <v>466</v>
      </c>
      <c r="O24" s="6"/>
      <c r="P24" s="8"/>
      <c r="Q24" s="8"/>
      <c r="R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row>
    <row r="25" spans="1:59">
      <c r="A25" s="2">
        <v>2017</v>
      </c>
      <c r="B25" t="s">
        <v>225</v>
      </c>
      <c r="C25" s="79">
        <f>COUNTIF(N$78:N$92,"=1")/COUNT(N$78:N$92)</f>
        <v>0.66666666666666663</v>
      </c>
      <c r="D25" s="79">
        <f>COUNTIF(N$93:N$97,"=1")/COUNT(N$93:N$97)</f>
        <v>1</v>
      </c>
      <c r="E25" s="79">
        <f>COUNTIF(N$98:N$101,"=1")/COUNT(N$98:N$101)</f>
        <v>0.5</v>
      </c>
      <c r="F25" s="79">
        <f>COUNTIF(N$102:N$116,"=1")/COUNT(N$102:N$116)</f>
        <v>0.53333333333333333</v>
      </c>
      <c r="G25" s="79">
        <f>COUNTIF(N$117:N$126,"=1")/COUNT(N$117:N$126)</f>
        <v>0.55555555555555558</v>
      </c>
      <c r="H25" s="79">
        <f>COUNTIF(N$78:N$126,"=1")/COUNT(N$78:N$126)</f>
        <v>0.60869565217391308</v>
      </c>
      <c r="J25" s="250"/>
      <c r="K25" s="251"/>
      <c r="L25" s="6"/>
      <c r="M25" s="250"/>
      <c r="N25" s="251"/>
      <c r="O25" s="6"/>
      <c r="P25" s="8"/>
      <c r="Q25" s="8"/>
      <c r="R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row>
    <row r="26" spans="1:59">
      <c r="A26">
        <v>2018</v>
      </c>
      <c r="B26" t="s">
        <v>220</v>
      </c>
      <c r="C26" s="79"/>
      <c r="D26" s="79"/>
      <c r="E26" s="79"/>
      <c r="F26" s="79"/>
      <c r="G26" s="79"/>
      <c r="H26" s="79"/>
      <c r="J26" s="249"/>
      <c r="K26" s="251"/>
      <c r="L26" s="6"/>
      <c r="M26" s="249"/>
      <c r="N26" s="251"/>
      <c r="O26" s="6"/>
      <c r="P26" s="8"/>
      <c r="Q26" s="8"/>
      <c r="R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row>
    <row r="27" spans="1:59">
      <c r="A27">
        <v>2018</v>
      </c>
      <c r="B27" t="s">
        <v>221</v>
      </c>
      <c r="C27" s="79"/>
      <c r="D27" s="79"/>
      <c r="E27" s="79"/>
      <c r="F27" s="79"/>
      <c r="G27" s="79"/>
      <c r="H27" s="79"/>
      <c r="J27" s="6"/>
      <c r="K27" s="6"/>
      <c r="L27" s="6"/>
      <c r="M27" s="6"/>
      <c r="N27" s="6"/>
      <c r="O27" s="6"/>
      <c r="P27" s="8"/>
      <c r="Q27" s="8"/>
      <c r="R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row>
    <row r="28" spans="1:59">
      <c r="A28">
        <v>2018</v>
      </c>
      <c r="B28" t="s">
        <v>222</v>
      </c>
      <c r="C28" s="79"/>
      <c r="D28" s="79"/>
      <c r="E28" s="79"/>
      <c r="F28" s="79"/>
      <c r="G28" s="79"/>
      <c r="H28" s="79"/>
      <c r="J28" s="6"/>
      <c r="K28" s="6"/>
      <c r="L28" s="6"/>
      <c r="M28" s="6"/>
      <c r="N28" s="6"/>
      <c r="O28" s="6"/>
      <c r="P28" s="8"/>
      <c r="Q28" s="8"/>
      <c r="R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row>
    <row r="29" spans="1:59">
      <c r="A29">
        <v>2018</v>
      </c>
      <c r="B29" t="s">
        <v>223</v>
      </c>
      <c r="C29" s="79"/>
      <c r="D29" s="79"/>
      <c r="E29" s="79"/>
      <c r="F29" s="79"/>
      <c r="G29" s="79"/>
      <c r="H29" s="79"/>
    </row>
    <row r="30" spans="1:59">
      <c r="A30">
        <v>2018</v>
      </c>
      <c r="B30" t="s">
        <v>224</v>
      </c>
      <c r="C30" s="79"/>
      <c r="D30" s="79"/>
      <c r="E30" s="79"/>
      <c r="F30" s="79"/>
      <c r="G30" s="79"/>
      <c r="H30" s="79"/>
    </row>
    <row r="31" spans="1:59">
      <c r="A31">
        <v>2018</v>
      </c>
      <c r="B31" t="s">
        <v>225</v>
      </c>
      <c r="C31" s="79"/>
      <c r="D31" s="79"/>
      <c r="E31" s="79"/>
      <c r="F31" s="79"/>
      <c r="G31" s="79"/>
      <c r="H31" s="79"/>
    </row>
    <row r="32" spans="1:59">
      <c r="A32">
        <v>2019</v>
      </c>
      <c r="B32" t="s">
        <v>220</v>
      </c>
      <c r="C32" s="79"/>
      <c r="D32" s="79"/>
      <c r="E32" s="79"/>
      <c r="F32" s="79"/>
      <c r="G32" s="79"/>
      <c r="H32" s="79"/>
    </row>
    <row r="33" spans="1:60">
      <c r="A33">
        <v>2019</v>
      </c>
      <c r="B33" t="s">
        <v>221</v>
      </c>
      <c r="C33" s="79"/>
      <c r="D33" s="79"/>
      <c r="E33" s="79"/>
      <c r="F33" s="79"/>
      <c r="G33" s="79"/>
      <c r="H33" s="79"/>
    </row>
    <row r="34" spans="1:60">
      <c r="A34">
        <v>2019</v>
      </c>
      <c r="B34" t="s">
        <v>222</v>
      </c>
      <c r="C34" s="79"/>
      <c r="D34" s="79"/>
      <c r="E34" s="79"/>
      <c r="F34" s="79"/>
      <c r="G34" s="79"/>
      <c r="H34" s="79"/>
    </row>
    <row r="35" spans="1:60">
      <c r="A35">
        <v>2019</v>
      </c>
      <c r="B35" t="s">
        <v>223</v>
      </c>
      <c r="C35" s="79"/>
      <c r="D35" s="79"/>
      <c r="E35" s="79"/>
      <c r="F35" s="79"/>
      <c r="G35" s="79"/>
      <c r="H35" s="79"/>
      <c r="BG35" s="57"/>
      <c r="BH35" s="57"/>
    </row>
    <row r="36" spans="1:60">
      <c r="A36">
        <v>2019</v>
      </c>
      <c r="B36" t="s">
        <v>224</v>
      </c>
      <c r="C36" s="79"/>
      <c r="D36" s="79"/>
      <c r="E36" s="79"/>
      <c r="F36" s="79"/>
      <c r="G36" s="79"/>
      <c r="H36" s="79"/>
    </row>
    <row r="37" spans="1:60">
      <c r="A37">
        <v>2019</v>
      </c>
      <c r="B37" t="s">
        <v>225</v>
      </c>
      <c r="C37" s="79"/>
      <c r="D37" s="79"/>
      <c r="E37" s="79"/>
      <c r="F37" s="79"/>
      <c r="G37" s="79"/>
      <c r="H37" s="79"/>
    </row>
    <row r="38" spans="1:60">
      <c r="A38">
        <v>2020</v>
      </c>
      <c r="B38" t="s">
        <v>220</v>
      </c>
      <c r="C38" s="79" t="e">
        <f>COUNTIF(AA$78:AA$92,"=1")/COUNT(AA$78:AA$92)</f>
        <v>#DIV/0!</v>
      </c>
      <c r="D38" s="79" t="e">
        <f>COUNTIF(AA$93:AA$97,"=1")/COUNT(AA$93:AA$97)</f>
        <v>#DIV/0!</v>
      </c>
      <c r="E38" s="79" t="e">
        <f>COUNTIF(AA$98:AA$101,"=1")/COUNT(AA$98:AA$101)</f>
        <v>#DIV/0!</v>
      </c>
      <c r="F38" s="79" t="e">
        <f>COUNTIF(AA$102:AA$116,"=1")/COUNT(AA$102:AA$116)</f>
        <v>#DIV/0!</v>
      </c>
      <c r="G38" s="79" t="e">
        <f>COUNTIF(AA$117:AA$126,"=1")/COUNT(AA$117:AA$126)</f>
        <v>#DIV/0!</v>
      </c>
      <c r="H38" s="79" t="e">
        <f>COUNTIF(AA$78:AA$126,"=1")/COUNT(AA$78:AA$126)</f>
        <v>#DIV/0!</v>
      </c>
    </row>
    <row r="39" spans="1:60">
      <c r="A39">
        <v>2020</v>
      </c>
      <c r="B39" t="s">
        <v>221</v>
      </c>
      <c r="C39" s="79" t="e">
        <f>COUNTIF(AB$78:AB$92,"=1")/COUNT(AB$78:AB$92)</f>
        <v>#DIV/0!</v>
      </c>
      <c r="D39" s="79" t="e">
        <f>COUNTIF(AB$93:AB$97,"=1")/COUNT(AB$93:AB$97)</f>
        <v>#DIV/0!</v>
      </c>
      <c r="E39" s="79" t="e">
        <f>COUNTIF(AB$98:AB$101,"=1")/COUNT(AB$98:AB$101)</f>
        <v>#DIV/0!</v>
      </c>
      <c r="F39" s="79" t="e">
        <f>COUNTIF(AB$102:AB$116,"=1")/COUNT(AB$102:AB$116)</f>
        <v>#DIV/0!</v>
      </c>
      <c r="G39" s="79" t="e">
        <f>COUNTIF(AB$117:AB$126,"=1")/COUNT(AB$117:AB$126)</f>
        <v>#DIV/0!</v>
      </c>
      <c r="H39" s="79" t="e">
        <f>COUNTIF(AB$78:AB$126,"=1")/COUNT(AB$78:AB$126)</f>
        <v>#DIV/0!</v>
      </c>
    </row>
    <row r="40" spans="1:60">
      <c r="A40">
        <v>2020</v>
      </c>
      <c r="B40" t="s">
        <v>222</v>
      </c>
      <c r="C40" s="79" t="e">
        <f>COUNTIF(AC$78:AC$92,"=1")/COUNT(AC$78:AC$92)</f>
        <v>#DIV/0!</v>
      </c>
      <c r="D40" s="79" t="e">
        <f>COUNTIF(AC$93:AC$97,"=1")/COUNT(AC$93:AC$97)</f>
        <v>#DIV/0!</v>
      </c>
      <c r="E40" s="79" t="e">
        <f>COUNTIF(AC$98:AC$101,"=1")/COUNT(AC$98:AC$101)</f>
        <v>#DIV/0!</v>
      </c>
      <c r="F40" s="79" t="e">
        <f>COUNTIF(AC$102:AC$116,"=1")/COUNT(AC$102:AC$116)</f>
        <v>#DIV/0!</v>
      </c>
      <c r="G40" s="79" t="e">
        <f>COUNTIF(AC$117:AC$126,"=1")/COUNT(AC$117:AC$126)</f>
        <v>#DIV/0!</v>
      </c>
      <c r="H40" s="79" t="e">
        <f>COUNTIF(AC$78:AC$126,"=1")/COUNT(AC$78:AC$126)</f>
        <v>#DIV/0!</v>
      </c>
    </row>
    <row r="41" spans="1:60">
      <c r="A41">
        <v>2020</v>
      </c>
      <c r="B41" t="s">
        <v>223</v>
      </c>
      <c r="C41" s="79" t="e">
        <f>COUNTIF(AD$78:AD$92,"=1")/COUNT(AD$78:AD$92)</f>
        <v>#DIV/0!</v>
      </c>
      <c r="D41" s="79" t="e">
        <f>COUNTIF(AD$93:AD$97,"=1")/COUNT(AD$93:AD$97)</f>
        <v>#DIV/0!</v>
      </c>
      <c r="E41" s="79" t="e">
        <f>COUNTIF(AD$98:AD$101,"=1")/COUNT(AD$98:AD$101)</f>
        <v>#DIV/0!</v>
      </c>
      <c r="F41" s="79" t="e">
        <f>COUNTIF(AD$102:AD$116,"=1")/COUNT(AD$102:AD$116)</f>
        <v>#DIV/0!</v>
      </c>
      <c r="G41" s="79" t="e">
        <f>COUNTIF(AD$117:AD$126,"=1")/COUNT(AD$117:AD$126)</f>
        <v>#DIV/0!</v>
      </c>
      <c r="H41" s="79" t="e">
        <f>COUNTIF(AD$78:AD$126,"=1")/COUNT(AD$78:AD$126)</f>
        <v>#DIV/0!</v>
      </c>
    </row>
    <row r="42" spans="1:60">
      <c r="A42">
        <v>2020</v>
      </c>
      <c r="B42" t="s">
        <v>224</v>
      </c>
      <c r="C42" s="79" t="e">
        <f>COUNTIF(AE$78:AE$92,"=1")/COUNT(AE$78:AE$92)</f>
        <v>#DIV/0!</v>
      </c>
      <c r="D42" s="79" t="e">
        <f>COUNTIF(AE$93:AE$97,"=1")/COUNT(AE$93:AE$97)</f>
        <v>#DIV/0!</v>
      </c>
      <c r="E42" s="79" t="e">
        <f>COUNTIF(AE$98:AE$101,"=1")/COUNT(AE$98:AE$101)</f>
        <v>#DIV/0!</v>
      </c>
      <c r="F42" s="79" t="e">
        <f>COUNTIF(AE$102:AE$116,"=1")/COUNT(AE$102:AE$116)</f>
        <v>#DIV/0!</v>
      </c>
      <c r="G42" s="79" t="e">
        <f>COUNTIF(AE$117:AE$126,"=1")/COUNT(AE$117:AE$126)</f>
        <v>#DIV/0!</v>
      </c>
      <c r="H42" s="79" t="e">
        <f>COUNTIF(AE$78:AE$126,"=1")/COUNT(AE$78:AE$126)</f>
        <v>#DIV/0!</v>
      </c>
    </row>
    <row r="43" spans="1:60">
      <c r="A43">
        <v>2020</v>
      </c>
      <c r="B43" t="s">
        <v>225</v>
      </c>
      <c r="C43" s="79" t="e">
        <f>COUNTIF(AF$78:AF$92,"=1")/COUNT(AF$78:AF$92)</f>
        <v>#DIV/0!</v>
      </c>
      <c r="D43" s="79" t="e">
        <f>COUNTIF(AF$93:AF$97,"=1")/COUNT(AF$93:AF$97)</f>
        <v>#DIV/0!</v>
      </c>
      <c r="E43" s="79" t="e">
        <f>COUNTIF(AF$98:AF$101,"=1")/COUNT(AF$98:AF$101)</f>
        <v>#DIV/0!</v>
      </c>
      <c r="F43" s="79" t="e">
        <f>COUNTIF(AF$102:AF$116,"=1")/COUNT(AF$102:AF$116)</f>
        <v>#DIV/0!</v>
      </c>
      <c r="G43" s="79" t="e">
        <f>COUNTIF(AF$117:AF$126,"=1")/COUNT(AF$117:AF$126)</f>
        <v>#DIV/0!</v>
      </c>
      <c r="H43" s="79" t="e">
        <f>COUNTIF(AF$78:AF$126,"=1")/COUNT(AF$78:AF$126)</f>
        <v>#DIV/0!</v>
      </c>
    </row>
    <row r="44" spans="1:60">
      <c r="A44">
        <v>2021</v>
      </c>
      <c r="B44" t="s">
        <v>220</v>
      </c>
      <c r="C44" s="79" t="e">
        <f>COUNTIF(AG$78:AG$92,"=1")/COUNT(AG$78:AG$92)</f>
        <v>#DIV/0!</v>
      </c>
      <c r="D44" s="79" t="e">
        <f>COUNTIF(AG$93:AG$97,"=1")/COUNT(AG$93:AG$97)</f>
        <v>#DIV/0!</v>
      </c>
      <c r="E44" s="79" t="e">
        <f>COUNTIF(AG$98:AG$101,"=1")/COUNT(AG$98:AG$101)</f>
        <v>#DIV/0!</v>
      </c>
      <c r="F44" s="79" t="e">
        <f>COUNTIF(AG$102:AG$116,"=1")/COUNT(AG$102:AG$116)</f>
        <v>#DIV/0!</v>
      </c>
      <c r="G44" s="79" t="e">
        <f>COUNTIF(AG$117:AG$126,"=1")/COUNT(AG$117:AG$126)</f>
        <v>#DIV/0!</v>
      </c>
      <c r="H44" s="79" t="e">
        <f>COUNTIF(AG$78:AG$126,"=1")/COUNT(AG$78:AG$126)</f>
        <v>#DIV/0!</v>
      </c>
    </row>
    <row r="45" spans="1:60">
      <c r="A45">
        <v>2021</v>
      </c>
      <c r="B45" t="s">
        <v>221</v>
      </c>
      <c r="C45" s="79" t="e">
        <f>COUNTIF(AH$78:AH$92,"=1")/COUNT(AH$78:AH$92)</f>
        <v>#DIV/0!</v>
      </c>
      <c r="D45" s="79" t="e">
        <f>COUNTIF(AH$93:AH$97,"=1")/COUNT(AH$93:AH$97)</f>
        <v>#DIV/0!</v>
      </c>
      <c r="E45" s="79" t="e">
        <f>COUNTIF(AH$98:AH$101,"=1")/COUNT(AH$98:AH$101)</f>
        <v>#DIV/0!</v>
      </c>
      <c r="F45" s="79" t="e">
        <f>COUNTIF(AH$102:AH$116,"=1")/COUNT(AH$102:AH$116)</f>
        <v>#DIV/0!</v>
      </c>
      <c r="G45" s="79" t="e">
        <f>COUNTIF(AH$117:AH$126,"=1")/COUNT(AH$117:AH$126)</f>
        <v>#DIV/0!</v>
      </c>
      <c r="H45" s="79" t="e">
        <f>COUNTIF(AH$78:AH$126,"=1")/COUNT(AH$78:AH$126)</f>
        <v>#DIV/0!</v>
      </c>
    </row>
    <row r="46" spans="1:60">
      <c r="A46">
        <v>2021</v>
      </c>
      <c r="B46" t="s">
        <v>222</v>
      </c>
      <c r="C46" s="79" t="e">
        <f>COUNTIF(AI$78:AI$92,"=1")/COUNT(AI$78:AI$92)</f>
        <v>#DIV/0!</v>
      </c>
      <c r="D46" s="79" t="e">
        <f>COUNTIF(AI$93:AI$97,"=1")/COUNT(AI$93:AI$97)</f>
        <v>#DIV/0!</v>
      </c>
      <c r="E46" s="79" t="e">
        <f>COUNTIF(AI$98:AI$101,"=1")/COUNT(AI$98:AI$101)</f>
        <v>#DIV/0!</v>
      </c>
      <c r="F46" s="79" t="e">
        <f>COUNTIF(AI$102:AI$116,"=1")/COUNT(AI$102:AI$116)</f>
        <v>#DIV/0!</v>
      </c>
      <c r="G46" s="79" t="e">
        <f>COUNTIF(AI$117:AI$126,"=1")/COUNT(AI$117:AI$126)</f>
        <v>#DIV/0!</v>
      </c>
      <c r="H46" s="79" t="e">
        <f>COUNTIF(AI$78:AI$126,"=1")/COUNT(AI$78:AI$126)</f>
        <v>#DIV/0!</v>
      </c>
    </row>
    <row r="47" spans="1:60">
      <c r="A47">
        <v>2021</v>
      </c>
      <c r="B47" t="s">
        <v>223</v>
      </c>
      <c r="C47" s="79" t="e">
        <f>COUNTIF(AJ$78:AJ$92,"=1")/COUNT(AJ$78:AJ$92)</f>
        <v>#DIV/0!</v>
      </c>
      <c r="D47" s="79" t="e">
        <f>COUNTIF(AJ$93:AJ$97,"=1")/COUNT(AJ$93:AJ$97)</f>
        <v>#DIV/0!</v>
      </c>
      <c r="E47" s="79" t="e">
        <f>COUNTIF(AJ$98:AJ$101,"=1")/COUNT(AJ$98:AJ$101)</f>
        <v>#DIV/0!</v>
      </c>
      <c r="F47" s="79" t="e">
        <f>COUNTIF(AJ$102:AJ$116,"=1")/COUNT(AJ$102:AJ$116)</f>
        <v>#DIV/0!</v>
      </c>
      <c r="G47" s="79" t="e">
        <f>COUNTIF(AJ$117:AJ$126,"=1")/COUNT(AJ$117:AJ$126)</f>
        <v>#DIV/0!</v>
      </c>
      <c r="H47" s="79" t="e">
        <f>COUNTIF(AJ$78:AJ$126,"=1")/COUNT(AJ$78:AJ$126)</f>
        <v>#DIV/0!</v>
      </c>
    </row>
    <row r="48" spans="1:60">
      <c r="A48">
        <v>2021</v>
      </c>
      <c r="B48" t="s">
        <v>224</v>
      </c>
      <c r="C48" s="79" t="e">
        <f>COUNTIF(AK$78:AK$92,"=1")/COUNT(AK$78:AK$92)</f>
        <v>#DIV/0!</v>
      </c>
      <c r="D48" s="79" t="e">
        <f>COUNTIF(AK$93:AK$97,"=1")/COUNT(AK$93:AK$97)</f>
        <v>#DIV/0!</v>
      </c>
      <c r="E48" s="79" t="e">
        <f>COUNTIF(AK$98:AK$101,"=1")/COUNT(AK$98:AK$101)</f>
        <v>#DIV/0!</v>
      </c>
      <c r="F48" s="79" t="e">
        <f>COUNTIF(AK$102:AK$116,"=1")/COUNT(AK$102:AK$116)</f>
        <v>#DIV/0!</v>
      </c>
      <c r="G48" s="79" t="e">
        <f>COUNTIF(AK$117:AK$126,"=1")/COUNT(AK$117:AK$126)</f>
        <v>#DIV/0!</v>
      </c>
      <c r="H48" s="79" t="e">
        <f>COUNTIF(AK$78:AK$126,"=1")/COUNT(AK$78:AK$126)</f>
        <v>#DIV/0!</v>
      </c>
    </row>
    <row r="49" spans="1:8">
      <c r="A49">
        <v>2021</v>
      </c>
      <c r="B49" t="s">
        <v>225</v>
      </c>
      <c r="C49" s="79" t="e">
        <f>COUNTIF(AL$78:AL$92,"=1")/COUNT(AL$78:AL$92)</f>
        <v>#DIV/0!</v>
      </c>
      <c r="D49" s="79" t="e">
        <f>COUNTIF(AL$93:AL$97,"=1")/COUNT(AL$93:AL$97)</f>
        <v>#DIV/0!</v>
      </c>
      <c r="E49" s="79" t="e">
        <f>COUNTIF(AL$98:AL$101,"=1")/COUNT(AL$98:AL$101)</f>
        <v>#DIV/0!</v>
      </c>
      <c r="F49" s="79" t="e">
        <f>COUNTIF(AL$102:AL$116,"=1")/COUNT(AL$102:AL$116)</f>
        <v>#DIV/0!</v>
      </c>
      <c r="G49" s="79" t="e">
        <f>COUNTIF(AL$117:AL$126,"=1")/COUNT(AL$117:AL$126)</f>
        <v>#DIV/0!</v>
      </c>
      <c r="H49" s="79" t="e">
        <f>COUNTIF(AL$78:AL$126,"=1")/COUNT(AL$78:AL$126)</f>
        <v>#DIV/0!</v>
      </c>
    </row>
    <row r="50" spans="1:8">
      <c r="A50">
        <v>2022</v>
      </c>
      <c r="B50" t="s">
        <v>220</v>
      </c>
      <c r="C50" s="79" t="e">
        <f>COUNTIF(AM$78:AM$92,"=1")/COUNT(AM$78:AM$92)</f>
        <v>#DIV/0!</v>
      </c>
      <c r="D50" s="79" t="e">
        <f>COUNTIF(AM$93:AM$97,"=1")/COUNT(AM$93:AM$97)</f>
        <v>#DIV/0!</v>
      </c>
      <c r="E50" s="79" t="e">
        <f>COUNTIF(AM$98:AM$101,"=1")/COUNT(AM$98:AM$101)</f>
        <v>#DIV/0!</v>
      </c>
      <c r="F50" s="79" t="e">
        <f>COUNTIF(AM$102:AM$116,"=1")/COUNT(AM$102:AM$116)</f>
        <v>#DIV/0!</v>
      </c>
      <c r="G50" s="79" t="e">
        <f>COUNTIF(AM$117:AM$126,"=1")/COUNT(AM$117:AM$126)</f>
        <v>#DIV/0!</v>
      </c>
      <c r="H50" s="79" t="e">
        <f>COUNTIF(AM$78:AM$126,"=1")/COUNT(AM$78:AM$126)</f>
        <v>#DIV/0!</v>
      </c>
    </row>
    <row r="51" spans="1:8">
      <c r="A51">
        <v>2022</v>
      </c>
      <c r="B51" t="s">
        <v>221</v>
      </c>
      <c r="C51" s="79" t="e">
        <f>COUNTIF(AN$78:AN$92,"=1")/COUNT(AN$78:AN$92)</f>
        <v>#DIV/0!</v>
      </c>
      <c r="D51" s="79" t="e">
        <f>COUNTIF(AN$93:AN$97,"=1")/COUNT(AN$93:AN$97)</f>
        <v>#DIV/0!</v>
      </c>
      <c r="E51" s="79" t="e">
        <f>COUNTIF(AN$98:AN$101,"=1")/COUNT(AN$98:AN$101)</f>
        <v>#DIV/0!</v>
      </c>
      <c r="F51" s="79" t="e">
        <f>COUNTIF(AN$102:AN$116,"=1")/COUNT(AN$102:AN$116)</f>
        <v>#DIV/0!</v>
      </c>
      <c r="G51" s="79" t="e">
        <f>COUNTIF(AN$117:AN$126,"=1")/COUNT(AN$117:AN$126)</f>
        <v>#DIV/0!</v>
      </c>
      <c r="H51" s="79" t="e">
        <f>COUNTIF(AN$78:AN$126,"=1")/COUNT(AN$78:AN$126)</f>
        <v>#DIV/0!</v>
      </c>
    </row>
    <row r="52" spans="1:8">
      <c r="A52">
        <v>2022</v>
      </c>
      <c r="B52" t="s">
        <v>222</v>
      </c>
      <c r="C52" s="79" t="e">
        <f>COUNTIF(AO$78:AO$92,"=1")/COUNT(AO$78:AO$92)</f>
        <v>#DIV/0!</v>
      </c>
      <c r="D52" s="79" t="e">
        <f>COUNTIF(AO$93:AO$97,"=1")/COUNT(AO$93:AO$97)</f>
        <v>#DIV/0!</v>
      </c>
      <c r="E52" s="79" t="e">
        <f>COUNTIF(AO$98:AO$101,"=1")/COUNT(AO$98:AO$101)</f>
        <v>#DIV/0!</v>
      </c>
      <c r="F52" s="79" t="e">
        <f>COUNTIF(AO$102:AO$116,"=1")/COUNT(AO$102:AO$116)</f>
        <v>#DIV/0!</v>
      </c>
      <c r="G52" s="79" t="e">
        <f>COUNTIF(AO$117:AO$126,"=1")/COUNT(AO$117:AO$126)</f>
        <v>#DIV/0!</v>
      </c>
      <c r="H52" s="79" t="e">
        <f>COUNTIF(AO$78:AO$126,"=1")/COUNT(AO$78:AO$126)</f>
        <v>#DIV/0!</v>
      </c>
    </row>
    <row r="53" spans="1:8">
      <c r="A53">
        <v>2022</v>
      </c>
      <c r="B53" t="s">
        <v>223</v>
      </c>
      <c r="C53" s="79" t="e">
        <f>COUNTIF(AP$78:AP$92,"=1")/COUNT(AP$78:AP$92)</f>
        <v>#DIV/0!</v>
      </c>
      <c r="D53" s="79" t="e">
        <f>COUNTIF(AP$93:AP$97,"=1")/COUNT(AP$93:AP$97)</f>
        <v>#DIV/0!</v>
      </c>
      <c r="E53" s="79" t="e">
        <f>COUNTIF(AP$98:AP$101,"=1")/COUNT(AP$98:AP$101)</f>
        <v>#DIV/0!</v>
      </c>
      <c r="F53" s="79" t="e">
        <f>COUNTIF(AP$102:AP$116,"=1")/COUNT(AP$102:AP$116)</f>
        <v>#DIV/0!</v>
      </c>
      <c r="G53" s="79" t="e">
        <f>COUNTIF(AP$117:AP$126,"=1")/COUNT(AP$117:AP$126)</f>
        <v>#DIV/0!</v>
      </c>
      <c r="H53" s="79" t="e">
        <f>COUNTIF(AP$78:AP$126,"=1")/COUNT(AP$78:AP$126)</f>
        <v>#DIV/0!</v>
      </c>
    </row>
    <row r="54" spans="1:8">
      <c r="A54">
        <v>2022</v>
      </c>
      <c r="B54" t="s">
        <v>224</v>
      </c>
      <c r="C54" s="79" t="e">
        <f>COUNTIF(AQ$78:AQ$92,"=1")/COUNT(AQ$78:AQ$92)</f>
        <v>#DIV/0!</v>
      </c>
      <c r="D54" s="79" t="e">
        <f>COUNTIF(AQ$93:AQ$97,"=1")/COUNT(AQ$93:AQ$97)</f>
        <v>#DIV/0!</v>
      </c>
      <c r="E54" s="79" t="e">
        <f>COUNTIF(AQ$98:AQ$101,"=1")/COUNT(AQ$98:AQ$101)</f>
        <v>#DIV/0!</v>
      </c>
      <c r="F54" s="79" t="e">
        <f>COUNTIF(AQ$102:AQ$116,"=1")/COUNT(AQ$102:AQ$116)</f>
        <v>#DIV/0!</v>
      </c>
      <c r="G54" s="79" t="e">
        <f>COUNTIF(AQ$117:AQ$126,"=1")/COUNT(AQ$117:AQ$126)</f>
        <v>#DIV/0!</v>
      </c>
      <c r="H54" s="79" t="e">
        <f>COUNTIF(AQ$78:AQ$126,"=1")/COUNT(AQ$78:AQ$126)</f>
        <v>#DIV/0!</v>
      </c>
    </row>
    <row r="55" spans="1:8">
      <c r="A55">
        <v>2022</v>
      </c>
      <c r="B55" t="s">
        <v>225</v>
      </c>
      <c r="C55" s="79" t="e">
        <f>COUNTIF(AR$78:AR$92,"=1")/COUNT(AR$78:AR$92)</f>
        <v>#DIV/0!</v>
      </c>
      <c r="D55" s="79" t="e">
        <f>COUNTIF(AR$93:AR$97,"=1")/COUNT(AR$93:AR$97)</f>
        <v>#DIV/0!</v>
      </c>
      <c r="E55" s="79" t="e">
        <f>COUNTIF(AR$98:AR$101,"=1")/COUNT(AR$98:AR$101)</f>
        <v>#DIV/0!</v>
      </c>
      <c r="F55" s="79" t="e">
        <f>COUNTIF(AR$102:AR$116,"=1")/COUNT(AR$102:AR$116)</f>
        <v>#DIV/0!</v>
      </c>
      <c r="G55" s="79" t="e">
        <f>COUNTIF(AR$117:AR$126,"=1")/COUNT(AR$117:AR$126)</f>
        <v>#DIV/0!</v>
      </c>
      <c r="H55" s="79" t="e">
        <f>COUNTIF(AR$78:AR$126,"=1")/COUNT(AR$78:AR$126)</f>
        <v>#DIV/0!</v>
      </c>
    </row>
    <row r="56" spans="1:8">
      <c r="A56">
        <v>2023</v>
      </c>
      <c r="B56" t="s">
        <v>220</v>
      </c>
      <c r="C56" s="79" t="e">
        <f>COUNTIF(AS$78:AS$92,"=1")/COUNT(AS$78:AS$92)</f>
        <v>#DIV/0!</v>
      </c>
      <c r="D56" s="79" t="e">
        <f>COUNTIF(AS$93:AS$97,"=1")/COUNT(AS$93:AS$97)</f>
        <v>#DIV/0!</v>
      </c>
      <c r="E56" s="79" t="e">
        <f>COUNTIF(AS$98:AS$101,"=1")/COUNT(AS$98:AS$101)</f>
        <v>#DIV/0!</v>
      </c>
      <c r="F56" s="79" t="e">
        <f>COUNTIF(AS$102:AS$116,"=1")/COUNT(AS$102:AS$116)</f>
        <v>#DIV/0!</v>
      </c>
      <c r="G56" s="79" t="e">
        <f>COUNTIF(AS$117:AS$126,"=1")/COUNT(AS$117:AS$126)</f>
        <v>#DIV/0!</v>
      </c>
      <c r="H56" s="79" t="e">
        <f>COUNTIF(AS$78:AS$126,"=1")/COUNT(AS$78:AS$126)</f>
        <v>#DIV/0!</v>
      </c>
    </row>
    <row r="57" spans="1:8">
      <c r="A57">
        <v>2023</v>
      </c>
      <c r="B57" t="s">
        <v>221</v>
      </c>
      <c r="C57" s="79" t="e">
        <f>COUNTIF(AT$78:AT$92,"=1")/COUNT(AT$78:AT$92)</f>
        <v>#DIV/0!</v>
      </c>
      <c r="D57" s="79" t="e">
        <f>COUNTIF(AT$93:AT$97,"=1")/COUNT(AT$93:AT$97)</f>
        <v>#DIV/0!</v>
      </c>
      <c r="E57" s="79" t="e">
        <f>COUNTIF(AT$98:AT$101,"=1")/COUNT(AT$98:AT$101)</f>
        <v>#DIV/0!</v>
      </c>
      <c r="F57" s="79" t="e">
        <f>COUNTIF(AT$102:AT$116,"=1")/COUNT(AT$102:AT$116)</f>
        <v>#DIV/0!</v>
      </c>
      <c r="G57" s="79" t="e">
        <f>COUNTIF(AT$117:AT$126,"=1")/COUNT(AT$117:AT$126)</f>
        <v>#DIV/0!</v>
      </c>
      <c r="H57" s="79" t="e">
        <f>COUNTIF(AT$78:AT$126,"=1")/COUNT(AT$78:AT$126)</f>
        <v>#DIV/0!</v>
      </c>
    </row>
    <row r="58" spans="1:8">
      <c r="A58">
        <v>2023</v>
      </c>
      <c r="B58" t="s">
        <v>222</v>
      </c>
      <c r="C58" s="79" t="e">
        <f>COUNTIF(AU$78:AU$92,"=1")/COUNT(AU$78:AU$92)</f>
        <v>#DIV/0!</v>
      </c>
      <c r="D58" s="79" t="e">
        <f>COUNTIF(AU$93:AU$97,"=1")/COUNT(AU$93:AU$97)</f>
        <v>#DIV/0!</v>
      </c>
      <c r="E58" s="79" t="e">
        <f>COUNTIF(AU$98:AU$101,"=1")/COUNT(AU$98:AU$101)</f>
        <v>#DIV/0!</v>
      </c>
      <c r="F58" s="79" t="e">
        <f>COUNTIF(AU$102:AU$116,"=1")/COUNT(AU$102:AU$116)</f>
        <v>#DIV/0!</v>
      </c>
      <c r="G58" s="79" t="e">
        <f>COUNTIF(AU$117:AU$126,"=1")/COUNT(AU$117:AU$126)</f>
        <v>#DIV/0!</v>
      </c>
      <c r="H58" s="79" t="e">
        <f>COUNTIF(AU$78:AU$126,"=1")/COUNT(AU$78:AU$126)</f>
        <v>#DIV/0!</v>
      </c>
    </row>
    <row r="59" spans="1:8">
      <c r="A59">
        <v>2023</v>
      </c>
      <c r="B59" t="s">
        <v>223</v>
      </c>
      <c r="C59" s="79" t="e">
        <f>COUNTIF(AV$78:AV$92,"=1")/COUNT(AV$78:AV$92)</f>
        <v>#DIV/0!</v>
      </c>
      <c r="D59" s="79" t="e">
        <f>COUNTIF(AV$93:AV$97,"=1")/COUNT(AV$93:AV$97)</f>
        <v>#DIV/0!</v>
      </c>
      <c r="E59" s="79" t="e">
        <f>COUNTIF(AV$98:AV$101,"=1")/COUNT(AV$98:AV$101)</f>
        <v>#DIV/0!</v>
      </c>
      <c r="F59" s="79" t="e">
        <f>COUNTIF(AV$102:AV$116,"=1")/COUNT(AV$102:AV$116)</f>
        <v>#DIV/0!</v>
      </c>
      <c r="G59" s="79" t="e">
        <f>COUNTIF(AV$117:AV$126,"=1")/COUNT(AV$117:AV$126)</f>
        <v>#DIV/0!</v>
      </c>
      <c r="H59" s="79" t="e">
        <f>COUNTIF(AV$78:AV$126,"=1")/COUNT(AV$78:AV$126)</f>
        <v>#DIV/0!</v>
      </c>
    </row>
    <row r="60" spans="1:8">
      <c r="A60">
        <v>2023</v>
      </c>
      <c r="B60" t="s">
        <v>224</v>
      </c>
      <c r="C60" s="79" t="e">
        <f>COUNTIF(AW$78:AW$92,"=1")/COUNT(AW$78:AW$92)</f>
        <v>#DIV/0!</v>
      </c>
      <c r="D60" s="79" t="e">
        <f>COUNTIF(AW$93:AW$97,"=1")/COUNT(AW$93:AW$97)</f>
        <v>#DIV/0!</v>
      </c>
      <c r="E60" s="79" t="e">
        <f>COUNTIF(AW$98:AW$101,"=1")/COUNT(AW$98:AW$101)</f>
        <v>#DIV/0!</v>
      </c>
      <c r="F60" s="79" t="e">
        <f>COUNTIF(AW$102:AW$116,"=1")/COUNT(AW$102:AW$116)</f>
        <v>#DIV/0!</v>
      </c>
      <c r="G60" s="79" t="e">
        <f>COUNTIF(AW$117:AW$126,"=1")/COUNT(AW$117:AW$126)</f>
        <v>#DIV/0!</v>
      </c>
      <c r="H60" s="79" t="e">
        <f>COUNTIF(AW$78:AW$126,"=1")/COUNT(AW$78:AW$126)</f>
        <v>#DIV/0!</v>
      </c>
    </row>
    <row r="61" spans="1:8">
      <c r="A61">
        <v>2023</v>
      </c>
      <c r="B61" t="s">
        <v>225</v>
      </c>
      <c r="C61" s="79" t="e">
        <f>COUNTIF(AX$78:AX$92,"=1")/COUNT(AX$78:AX$92)</f>
        <v>#DIV/0!</v>
      </c>
      <c r="D61" s="79" t="e">
        <f>COUNTIF(AX$93:AX$97,"=1")/COUNT(AX$93:AX$97)</f>
        <v>#DIV/0!</v>
      </c>
      <c r="E61" s="79" t="e">
        <f>COUNTIF(AX$98:AX$101,"=1")/COUNT(AX$98:AX$101)</f>
        <v>#DIV/0!</v>
      </c>
      <c r="F61" s="79" t="e">
        <f>COUNTIF(AX$102:AX$116,"=1")/COUNT(AX$102:AX$116)</f>
        <v>#DIV/0!</v>
      </c>
      <c r="G61" s="79" t="e">
        <f>COUNTIF(AX$117:AX$126,"=1")/COUNT(AX$117:AX$126)</f>
        <v>#DIV/0!</v>
      </c>
      <c r="H61" s="79" t="e">
        <f>COUNTIF(AX$78:AX$126,"=1")/COUNT(AX$78:AX$126)</f>
        <v>#DIV/0!</v>
      </c>
    </row>
    <row r="62" spans="1:8">
      <c r="A62">
        <v>2024</v>
      </c>
      <c r="B62" t="s">
        <v>220</v>
      </c>
      <c r="C62" s="79" t="e">
        <f>COUNTIF(AY$78:AY$92,"=1")/COUNT(AY$78:AY$92)</f>
        <v>#DIV/0!</v>
      </c>
      <c r="D62" s="79" t="e">
        <f>COUNTIF(AY$93:AY$97,"=1")/COUNT(AY$93:AY$97)</f>
        <v>#DIV/0!</v>
      </c>
      <c r="E62" s="79" t="e">
        <f>COUNTIF(AY$98:AY$101,"=1")/COUNT(AY$98:AY$101)</f>
        <v>#DIV/0!</v>
      </c>
      <c r="F62" s="79" t="e">
        <f>COUNTIF(AY$102:AY$116,"=1")/COUNT(AY$102:AY$116)</f>
        <v>#DIV/0!</v>
      </c>
      <c r="G62" s="79" t="e">
        <f>COUNTIF(AY$117:AY$126,"=1")/COUNT(AY$117:AY$126)</f>
        <v>#DIV/0!</v>
      </c>
      <c r="H62" s="79" t="e">
        <f>COUNTIF(AY$78:AY$126,"=1")/COUNT(AY$78:AY$126)</f>
        <v>#DIV/0!</v>
      </c>
    </row>
    <row r="63" spans="1:8">
      <c r="A63">
        <v>2024</v>
      </c>
      <c r="B63" t="s">
        <v>221</v>
      </c>
      <c r="C63" s="79" t="e">
        <f>COUNTIF(AZ$78:AZ$92,"=1")/COUNT(AZ$78:AZ$92)</f>
        <v>#DIV/0!</v>
      </c>
      <c r="D63" s="79" t="e">
        <f>COUNTIF(AZ$93:AZ$97,"=1")/COUNT(AZ$93:AZ$97)</f>
        <v>#DIV/0!</v>
      </c>
      <c r="E63" s="79" t="e">
        <f>COUNTIF(AZ$98:AZ$101,"=1")/COUNT(AZ$98:AZ$101)</f>
        <v>#DIV/0!</v>
      </c>
      <c r="F63" s="79" t="e">
        <f>COUNTIF(AZ$102:AZ$116,"=1")/COUNT(AZ$102:AZ$116)</f>
        <v>#DIV/0!</v>
      </c>
      <c r="G63" s="79" t="e">
        <f>COUNTIF(AZ$117:AZ$126,"=1")/COUNT(AZ$117:AZ$126)</f>
        <v>#DIV/0!</v>
      </c>
      <c r="H63" s="79" t="e">
        <f>COUNTIF(AZ$78:AZ$126,"=1")/COUNT(AZ$78:AZ$126)</f>
        <v>#DIV/0!</v>
      </c>
    </row>
    <row r="64" spans="1:8">
      <c r="A64">
        <v>2024</v>
      </c>
      <c r="B64" t="s">
        <v>222</v>
      </c>
      <c r="C64" s="79" t="e">
        <f>COUNTIF(BA$78:BA$92,"=1")/COUNT(BA$78:BA$92)</f>
        <v>#DIV/0!</v>
      </c>
      <c r="D64" s="79" t="e">
        <f>COUNTIF(BA$93:BA$97,"=1")/COUNT(BA$93:BA$97)</f>
        <v>#DIV/0!</v>
      </c>
      <c r="E64" s="79" t="e">
        <f>COUNTIF(BA$98:BA$101,"=1")/COUNT(BA$98:BA$101)</f>
        <v>#DIV/0!</v>
      </c>
      <c r="F64" s="79" t="e">
        <f>COUNTIF(BA$102:BA$116,"=1")/COUNT(BA$102:BA$116)</f>
        <v>#DIV/0!</v>
      </c>
      <c r="G64" s="79" t="e">
        <f>COUNTIF(BA$117:BA$126,"=1")/COUNT(BA$117:BA$126)</f>
        <v>#DIV/0!</v>
      </c>
      <c r="H64" s="79" t="e">
        <f>COUNTIF(BA$78:BA$126,"=1")/COUNT(BA$78:BA$126)</f>
        <v>#DIV/0!</v>
      </c>
    </row>
    <row r="65" spans="1:62">
      <c r="A65">
        <v>2024</v>
      </c>
      <c r="B65" t="s">
        <v>223</v>
      </c>
      <c r="C65" s="79" t="e">
        <f>COUNTIF(BB$78:BB$92,"=1")/COUNT(BB$78:BB$92)</f>
        <v>#DIV/0!</v>
      </c>
      <c r="D65" s="79" t="e">
        <f>COUNTIF(BB$93:BB$97,"=1")/COUNT(BB$93:BB$97)</f>
        <v>#DIV/0!</v>
      </c>
      <c r="E65" s="79" t="e">
        <f>COUNTIF(BB$98:BB$101,"=1")/COUNT(BB$98:BB$101)</f>
        <v>#DIV/0!</v>
      </c>
      <c r="F65" s="79" t="e">
        <f>COUNTIF(BB$102:BB$116,"=1")/COUNT(BB$102:BB$116)</f>
        <v>#DIV/0!</v>
      </c>
      <c r="G65" s="79" t="e">
        <f>COUNTIF(BB$117:BB$126,"=1")/COUNT(BB$117:BB$126)</f>
        <v>#DIV/0!</v>
      </c>
      <c r="H65" s="79" t="e">
        <f>COUNTIF(BB$78:BB$126,"=1")/COUNT(BB$78:BB$126)</f>
        <v>#DIV/0!</v>
      </c>
    </row>
    <row r="66" spans="1:62">
      <c r="A66">
        <v>2024</v>
      </c>
      <c r="B66" t="s">
        <v>224</v>
      </c>
      <c r="C66" s="79" t="e">
        <f>COUNTIF(BC$78:BC$92,"=1")/COUNT(BC$78:BC$92)</f>
        <v>#DIV/0!</v>
      </c>
      <c r="D66" s="79" t="e">
        <f>COUNTIF(BC$93:BC$97,"=1")/COUNT(BC$93:BC$97)</f>
        <v>#DIV/0!</v>
      </c>
      <c r="E66" s="79" t="e">
        <f>COUNTIF(BC$98:BC$101,"=1")/COUNT(BC$98:BC$101)</f>
        <v>#DIV/0!</v>
      </c>
      <c r="F66" s="79" t="e">
        <f>COUNTIF(BC$102:BC$116,"=1")/COUNT(BC$102:BC$116)</f>
        <v>#DIV/0!</v>
      </c>
      <c r="G66" s="79" t="e">
        <f>COUNTIF(BC$117:BC$126,"=1")/COUNT(BC$117:BC$126)</f>
        <v>#DIV/0!</v>
      </c>
      <c r="H66" s="79" t="e">
        <f>COUNTIF(BC$78:BC$126,"=1")/COUNT(BC$78:BC$126)</f>
        <v>#DIV/0!</v>
      </c>
    </row>
    <row r="67" spans="1:62">
      <c r="A67">
        <v>2024</v>
      </c>
      <c r="B67" t="s">
        <v>225</v>
      </c>
      <c r="C67" s="79" t="e">
        <f>COUNTIF(BD$78:BD$92,"=1")/COUNT(BD$78:BD$92)</f>
        <v>#DIV/0!</v>
      </c>
      <c r="D67" s="79" t="e">
        <f>COUNTIF(BD$93:BD$97,"=1")/COUNT(BD$93:BD$97)</f>
        <v>#DIV/0!</v>
      </c>
      <c r="E67" s="79" t="e">
        <f>COUNTIF(BD$98:BD$101,"=1")/COUNT(BD$98:BD$101)</f>
        <v>#DIV/0!</v>
      </c>
      <c r="F67" s="79" t="e">
        <f>COUNTIF(BD$102:BD$116,"=1")/COUNT(BD$102:BD$116)</f>
        <v>#DIV/0!</v>
      </c>
      <c r="G67" s="79" t="e">
        <f>COUNTIF(BD$117:BD$126,"=1")/COUNT(BD$117:BD$126)</f>
        <v>#DIV/0!</v>
      </c>
      <c r="H67" s="79" t="e">
        <f>COUNTIF(BD$78:BD$126,"=1")/COUNT(BD$78:BD$126)</f>
        <v>#DIV/0!</v>
      </c>
    </row>
    <row r="68" spans="1:62">
      <c r="A68">
        <v>2025</v>
      </c>
      <c r="B68" t="s">
        <v>220</v>
      </c>
      <c r="C68" s="79" t="e">
        <f>COUNTIF(BE$78:BE$92,"=1")/COUNT(BE$78:BE$92)</f>
        <v>#DIV/0!</v>
      </c>
      <c r="D68" s="79" t="e">
        <f>COUNTIF(BE$93:BE$97,"=1")/COUNT(BE$93:BE$97)</f>
        <v>#DIV/0!</v>
      </c>
      <c r="E68" s="79" t="e">
        <f>COUNTIF(BE$98:BE$101,"=1")/COUNT(BE$98:BE$101)</f>
        <v>#DIV/0!</v>
      </c>
      <c r="F68" s="79" t="e">
        <f>COUNTIF(BE$102:BE$116,"=1")/COUNT(BE$102:BE$116)</f>
        <v>#DIV/0!</v>
      </c>
      <c r="G68" s="79" t="e">
        <f>COUNTIF(BE$117:BE$126,"=1")/COUNT(BE$117:BE$126)</f>
        <v>#DIV/0!</v>
      </c>
      <c r="H68" s="79" t="e">
        <f>COUNTIF(BE$78:BE$126,"=1")/COUNT(BE$78:BE$126)</f>
        <v>#DIV/0!</v>
      </c>
    </row>
    <row r="69" spans="1:62">
      <c r="A69">
        <v>2025</v>
      </c>
      <c r="B69" t="s">
        <v>221</v>
      </c>
      <c r="C69" s="79" t="e">
        <f>COUNTIF(BF$78:BF$92,"=1")/COUNT(BF$78:BF$92)</f>
        <v>#DIV/0!</v>
      </c>
      <c r="D69" s="79" t="e">
        <f>COUNTIF(BF$93:BF$97,"=1")/COUNT(BF$93:BF$97)</f>
        <v>#DIV/0!</v>
      </c>
      <c r="E69" s="79" t="e">
        <f>COUNTIF(BF$98:BF$101,"=1")/COUNT(BF$98:BF$101)</f>
        <v>#DIV/0!</v>
      </c>
      <c r="F69" s="79" t="e">
        <f>COUNTIF(BF$102:BF$116,"=1")/COUNT(BF$102:BF$116)</f>
        <v>#DIV/0!</v>
      </c>
      <c r="G69" s="79" t="e">
        <f>COUNTIF(BF$117:BF$126,"=1")/COUNT(BF$117:BF$126)</f>
        <v>#DIV/0!</v>
      </c>
      <c r="H69" s="79" t="e">
        <f>COUNTIF(BF$78:BF$126,"=1")/COUNT(BF$78:BF$126)</f>
        <v>#DIV/0!</v>
      </c>
    </row>
    <row r="70" spans="1:62">
      <c r="A70">
        <v>2025</v>
      </c>
      <c r="B70" t="s">
        <v>222</v>
      </c>
      <c r="C70" s="79" t="e">
        <f>COUNTIF(BG$78:BG$92,"=1")/COUNT(BG$78:BG$92)</f>
        <v>#DIV/0!</v>
      </c>
      <c r="D70" s="79" t="e">
        <f>COUNTIF(BG$93:BG$97,"=1")/COUNT(BG$93:BG$97)</f>
        <v>#DIV/0!</v>
      </c>
      <c r="E70" s="79" t="e">
        <f>COUNTIF(BG$98:BG$101,"=1")/COUNT(BG$98:BG$101)</f>
        <v>#DIV/0!</v>
      </c>
      <c r="F70" s="79" t="e">
        <f>COUNTIF(BG$102:BG$116,"=1")/COUNT(BG$102:BG$116)</f>
        <v>#DIV/0!</v>
      </c>
      <c r="G70" s="79" t="e">
        <f>COUNTIF(BG$117:BG$126,"=1")/COUNT(BG$117:BG$126)</f>
        <v>#DIV/0!</v>
      </c>
      <c r="H70" s="79" t="e">
        <f>COUNTIF(BG$78:BG$126,"=1")/COUNT(BG$78:BG$126)</f>
        <v>#DIV/0!</v>
      </c>
    </row>
    <row r="71" spans="1:62">
      <c r="A71">
        <v>2025</v>
      </c>
      <c r="B71" t="s">
        <v>223</v>
      </c>
      <c r="C71" s="79" t="e">
        <f>COUNTIF(BH$78:BH$92,"=1")/COUNT(BH$78:BH$92)</f>
        <v>#DIV/0!</v>
      </c>
      <c r="D71" s="79" t="e">
        <f>COUNTIF(BH$93:BH$97,"=1")/COUNT(BH$93:BH$97)</f>
        <v>#DIV/0!</v>
      </c>
      <c r="E71" s="79" t="e">
        <f>COUNTIF(BH$98:BH$101,"=1")/COUNT(BH$98:BH$101)</f>
        <v>#DIV/0!</v>
      </c>
      <c r="F71" s="79" t="e">
        <f>COUNTIF(BH$102:BH$116,"=1")/COUNT(BH$102:BH$116)</f>
        <v>#DIV/0!</v>
      </c>
      <c r="G71" s="79" t="e">
        <f>COUNTIF(BH$117:BH$126,"=1")/COUNT(BH$117:BH$126)</f>
        <v>#DIV/0!</v>
      </c>
      <c r="H71" s="79" t="e">
        <f>COUNTIF(BH$78:BH$126,"=1")/COUNT(BH$78:BH$126)</f>
        <v>#DIV/0!</v>
      </c>
    </row>
    <row r="72" spans="1:62">
      <c r="A72">
        <v>2025</v>
      </c>
      <c r="B72" t="s">
        <v>224</v>
      </c>
      <c r="C72" s="79" t="e">
        <f>COUNTIF(BI$78:BI$92,"=1")/COUNT(BI$78:BI$92)</f>
        <v>#DIV/0!</v>
      </c>
      <c r="D72" s="79" t="e">
        <f>COUNTIF(BI$93:BI$97,"=1")/COUNT(BI$93:BI$97)</f>
        <v>#DIV/0!</v>
      </c>
      <c r="E72" s="79" t="e">
        <f>COUNTIF(BI$98:BI$101,"=1")/COUNT(BI$98:BI$101)</f>
        <v>#DIV/0!</v>
      </c>
      <c r="F72" s="79" t="e">
        <f>COUNTIF(BI$102:BI$116,"=1")/COUNT(BI$102:BI$116)</f>
        <v>#DIV/0!</v>
      </c>
      <c r="G72" s="79" t="e">
        <f>COUNTIF(BI$117:BI$126,"=1")/COUNT(BI$117:BI$126)</f>
        <v>#DIV/0!</v>
      </c>
      <c r="H72" s="79" t="e">
        <f>COUNTIF(BI$78:BI$126,"=1")/COUNT(BI$78:BI$126)</f>
        <v>#DIV/0!</v>
      </c>
    </row>
    <row r="73" spans="1:62">
      <c r="A73">
        <v>2025</v>
      </c>
      <c r="B73" t="s">
        <v>225</v>
      </c>
      <c r="C73" s="79" t="e">
        <f>COUNTIF(BJ$78:BJ$92,"=1")/COUNT(BJ$78:BJ$92)</f>
        <v>#DIV/0!</v>
      </c>
      <c r="D73" s="79" t="e">
        <f>COUNTIF(BJ$93:BJ$97,"=1")/COUNT(BJ$93:BJ$97)</f>
        <v>#DIV/0!</v>
      </c>
      <c r="E73" s="79" t="e">
        <f>COUNTIF(BJ$98:BJ$101,"=1")/COUNT(BJ$98:BJ$101)</f>
        <v>#DIV/0!</v>
      </c>
      <c r="F73" s="79" t="e">
        <f>COUNTIF(BJ$102:BJ$116,"=1")/COUNT(BJ$102:BJ$116)</f>
        <v>#DIV/0!</v>
      </c>
      <c r="G73" s="79" t="e">
        <f>COUNTIF(BJ$117:BJ$126,"=1")/COUNT(BJ$117:BJ$126)</f>
        <v>#DIV/0!</v>
      </c>
      <c r="H73" s="79" t="e">
        <f>COUNTIF(BJ$78:BJ$126,"=1")/COUNT(BJ$78:BJ$126)</f>
        <v>#DIV/0!</v>
      </c>
    </row>
    <row r="76" spans="1:62" ht="18">
      <c r="A76" s="355" t="s">
        <v>195</v>
      </c>
      <c r="B76" s="355"/>
      <c r="C76" s="356">
        <v>2016</v>
      </c>
      <c r="D76" s="357"/>
      <c r="E76" s="357"/>
      <c r="F76" s="357"/>
      <c r="G76" s="357"/>
      <c r="H76" s="358"/>
      <c r="I76" s="356">
        <v>2017</v>
      </c>
      <c r="J76" s="357"/>
      <c r="K76" s="357"/>
      <c r="L76" s="357"/>
      <c r="M76" s="357"/>
      <c r="N76" s="358"/>
      <c r="O76" s="356">
        <v>2018</v>
      </c>
      <c r="P76" s="357"/>
      <c r="Q76" s="357"/>
      <c r="R76" s="357"/>
      <c r="S76" s="357"/>
      <c r="T76" s="358"/>
      <c r="U76" s="356">
        <v>2019</v>
      </c>
      <c r="V76" s="357"/>
      <c r="W76" s="357"/>
      <c r="X76" s="357"/>
      <c r="Y76" s="357"/>
      <c r="Z76" s="358"/>
      <c r="AA76" s="356">
        <v>2020</v>
      </c>
      <c r="AB76" s="357"/>
      <c r="AC76" s="357"/>
      <c r="AD76" s="357"/>
      <c r="AE76" s="357"/>
      <c r="AF76" s="358"/>
      <c r="AG76" s="356">
        <v>2021</v>
      </c>
      <c r="AH76" s="357"/>
      <c r="AI76" s="357"/>
      <c r="AJ76" s="357"/>
      <c r="AK76" s="357"/>
      <c r="AL76" s="358"/>
      <c r="AM76" s="356">
        <v>2022</v>
      </c>
      <c r="AN76" s="357"/>
      <c r="AO76" s="357"/>
      <c r="AP76" s="357"/>
      <c r="AQ76" s="357"/>
      <c r="AR76" s="358"/>
      <c r="AS76" s="356">
        <v>2023</v>
      </c>
      <c r="AT76" s="357"/>
      <c r="AU76" s="357"/>
      <c r="AV76" s="357"/>
      <c r="AW76" s="357"/>
      <c r="AX76" s="358"/>
      <c r="AY76" s="356">
        <v>2024</v>
      </c>
      <c r="AZ76" s="357"/>
      <c r="BA76" s="357"/>
      <c r="BB76" s="357"/>
      <c r="BC76" s="357"/>
      <c r="BD76" s="358"/>
      <c r="BE76" s="356">
        <v>2025</v>
      </c>
      <c r="BF76" s="357"/>
      <c r="BG76" s="357"/>
      <c r="BH76" s="357"/>
      <c r="BI76" s="357"/>
      <c r="BJ76" s="358"/>
    </row>
    <row r="77" spans="1:62" ht="18">
      <c r="A77" s="81" t="s">
        <v>199</v>
      </c>
      <c r="B77" s="80" t="s">
        <v>210</v>
      </c>
      <c r="C77" s="178" t="s">
        <v>226</v>
      </c>
      <c r="D77" s="139" t="s">
        <v>227</v>
      </c>
      <c r="E77" s="139" t="s">
        <v>228</v>
      </c>
      <c r="F77" s="139" t="s">
        <v>229</v>
      </c>
      <c r="G77" s="139" t="s">
        <v>230</v>
      </c>
      <c r="H77" s="139" t="s">
        <v>231</v>
      </c>
      <c r="I77" s="178" t="s">
        <v>226</v>
      </c>
      <c r="J77" s="139" t="s">
        <v>227</v>
      </c>
      <c r="K77" s="139" t="s">
        <v>228</v>
      </c>
      <c r="L77" s="139" t="s">
        <v>229</v>
      </c>
      <c r="M77" s="139" t="s">
        <v>230</v>
      </c>
      <c r="N77" s="139" t="s">
        <v>231</v>
      </c>
      <c r="O77" s="178" t="s">
        <v>226</v>
      </c>
      <c r="P77" s="139" t="s">
        <v>227</v>
      </c>
      <c r="Q77" s="139" t="s">
        <v>228</v>
      </c>
      <c r="R77" s="139" t="s">
        <v>229</v>
      </c>
      <c r="S77" s="139" t="s">
        <v>230</v>
      </c>
      <c r="T77" s="139" t="s">
        <v>231</v>
      </c>
      <c r="U77" s="178" t="s">
        <v>226</v>
      </c>
      <c r="V77" s="139" t="s">
        <v>227</v>
      </c>
      <c r="W77" s="139" t="s">
        <v>228</v>
      </c>
      <c r="X77" s="139" t="s">
        <v>229</v>
      </c>
      <c r="Y77" s="139" t="s">
        <v>230</v>
      </c>
      <c r="Z77" s="139" t="s">
        <v>231</v>
      </c>
      <c r="AA77" s="178" t="s">
        <v>226</v>
      </c>
      <c r="AB77" s="139" t="s">
        <v>227</v>
      </c>
      <c r="AC77" s="139" t="s">
        <v>228</v>
      </c>
      <c r="AD77" s="132" t="s">
        <v>229</v>
      </c>
      <c r="AE77" s="132" t="s">
        <v>230</v>
      </c>
      <c r="AF77" s="132" t="s">
        <v>231</v>
      </c>
      <c r="AG77" s="131" t="s">
        <v>226</v>
      </c>
      <c r="AH77" s="132" t="s">
        <v>227</v>
      </c>
      <c r="AI77" s="139" t="s">
        <v>228</v>
      </c>
      <c r="AJ77" s="132" t="s">
        <v>229</v>
      </c>
      <c r="AK77" s="132" t="s">
        <v>230</v>
      </c>
      <c r="AL77" s="132" t="s">
        <v>231</v>
      </c>
      <c r="AM77" s="131" t="s">
        <v>226</v>
      </c>
      <c r="AN77" s="132" t="s">
        <v>227</v>
      </c>
      <c r="AO77" s="139" t="s">
        <v>228</v>
      </c>
      <c r="AP77" s="132" t="s">
        <v>229</v>
      </c>
      <c r="AQ77" s="132" t="s">
        <v>230</v>
      </c>
      <c r="AR77" s="132" t="s">
        <v>231</v>
      </c>
      <c r="AS77" s="131" t="s">
        <v>226</v>
      </c>
      <c r="AT77" s="132" t="s">
        <v>227</v>
      </c>
      <c r="AU77" s="139" t="s">
        <v>228</v>
      </c>
      <c r="AV77" s="132" t="s">
        <v>229</v>
      </c>
      <c r="AW77" s="132" t="s">
        <v>230</v>
      </c>
      <c r="AX77" s="132" t="s">
        <v>231</v>
      </c>
      <c r="AY77" s="131" t="s">
        <v>226</v>
      </c>
      <c r="AZ77" s="132" t="s">
        <v>227</v>
      </c>
      <c r="BA77" s="139" t="s">
        <v>228</v>
      </c>
      <c r="BB77" s="132" t="s">
        <v>229</v>
      </c>
      <c r="BC77" s="132" t="s">
        <v>230</v>
      </c>
      <c r="BD77" s="132" t="s">
        <v>231</v>
      </c>
      <c r="BE77" s="131" t="s">
        <v>226</v>
      </c>
      <c r="BF77" s="132" t="s">
        <v>227</v>
      </c>
      <c r="BG77" s="139" t="s">
        <v>228</v>
      </c>
      <c r="BH77" s="132" t="s">
        <v>229</v>
      </c>
      <c r="BI77" s="132" t="s">
        <v>230</v>
      </c>
      <c r="BJ77" s="132" t="s">
        <v>231</v>
      </c>
    </row>
    <row r="78" spans="1:62">
      <c r="A78" s="68" t="s">
        <v>189</v>
      </c>
      <c r="B78" t="s">
        <v>153</v>
      </c>
      <c r="C78" s="82">
        <v>0</v>
      </c>
      <c r="D78" s="82">
        <v>0</v>
      </c>
      <c r="E78" s="82">
        <v>0</v>
      </c>
      <c r="F78" s="82">
        <v>0</v>
      </c>
      <c r="G78" s="82">
        <v>0</v>
      </c>
      <c r="H78" s="82">
        <v>0</v>
      </c>
      <c r="I78" s="82">
        <v>0</v>
      </c>
      <c r="J78" s="82">
        <v>0</v>
      </c>
      <c r="K78" s="82">
        <v>0</v>
      </c>
      <c r="L78" s="82">
        <v>0</v>
      </c>
      <c r="M78" s="82">
        <v>0</v>
      </c>
      <c r="N78" s="82">
        <v>0</v>
      </c>
      <c r="O78" s="82"/>
      <c r="P78" s="82"/>
      <c r="Q78" s="82"/>
      <c r="R78" s="82"/>
      <c r="S78" s="82"/>
      <c r="T78" s="82"/>
      <c r="U78" s="8"/>
      <c r="V78" s="8"/>
      <c r="W78" s="8"/>
      <c r="X78" s="8"/>
      <c r="Y78" s="8"/>
      <c r="Z78" s="8"/>
      <c r="AA78" s="8"/>
      <c r="AB78" s="8"/>
      <c r="AC78" s="8"/>
    </row>
    <row r="79" spans="1:62">
      <c r="A79" s="69" t="s">
        <v>141</v>
      </c>
      <c r="B79" t="s">
        <v>153</v>
      </c>
      <c r="C79" s="82">
        <v>1</v>
      </c>
      <c r="D79" s="82">
        <v>1</v>
      </c>
      <c r="E79" s="82">
        <v>1</v>
      </c>
      <c r="F79" s="82">
        <v>1</v>
      </c>
      <c r="G79" s="82">
        <v>1</v>
      </c>
      <c r="H79" s="82">
        <v>1</v>
      </c>
      <c r="I79" s="82">
        <v>0</v>
      </c>
      <c r="J79" s="82">
        <v>1</v>
      </c>
      <c r="K79" s="82">
        <v>1</v>
      </c>
      <c r="L79" s="82">
        <v>0</v>
      </c>
      <c r="M79" s="82">
        <v>1</v>
      </c>
      <c r="N79" s="82">
        <v>1</v>
      </c>
      <c r="O79" s="82"/>
      <c r="P79" s="82"/>
      <c r="Q79" s="82"/>
      <c r="R79" s="82"/>
      <c r="S79" s="82"/>
      <c r="T79" s="82"/>
      <c r="U79" s="8"/>
      <c r="V79" s="8"/>
      <c r="W79" s="8"/>
      <c r="X79" s="8"/>
      <c r="Y79" s="8"/>
      <c r="Z79" s="8"/>
      <c r="AA79" s="8"/>
      <c r="AB79" s="8"/>
      <c r="AC79" s="8"/>
    </row>
    <row r="80" spans="1:62">
      <c r="A80" s="69" t="s">
        <v>143</v>
      </c>
      <c r="B80" t="s">
        <v>153</v>
      </c>
      <c r="C80" s="82">
        <v>0</v>
      </c>
      <c r="D80" s="82">
        <v>1</v>
      </c>
      <c r="E80" s="82">
        <v>1</v>
      </c>
      <c r="F80" s="82">
        <v>0</v>
      </c>
      <c r="G80" s="82">
        <v>0</v>
      </c>
      <c r="H80" s="82">
        <v>1</v>
      </c>
      <c r="I80" s="82">
        <v>0</v>
      </c>
      <c r="J80" s="82">
        <v>1</v>
      </c>
      <c r="K80" s="82">
        <v>0</v>
      </c>
      <c r="L80" s="82">
        <v>0</v>
      </c>
      <c r="M80" s="82">
        <v>0</v>
      </c>
      <c r="N80" s="82">
        <v>0</v>
      </c>
      <c r="O80" s="82"/>
      <c r="P80" s="82"/>
      <c r="Q80" s="82"/>
      <c r="R80" s="82"/>
      <c r="S80" s="82"/>
      <c r="T80" s="82"/>
      <c r="U80" s="8"/>
      <c r="V80" s="8"/>
      <c r="W80" s="8"/>
      <c r="X80" s="8"/>
      <c r="Y80" s="8"/>
      <c r="Z80" s="8"/>
      <c r="AA80" s="8"/>
      <c r="AB80" s="8"/>
      <c r="AC80" s="8"/>
    </row>
    <row r="81" spans="1:29">
      <c r="A81" s="69" t="s">
        <v>152</v>
      </c>
      <c r="B81" t="s">
        <v>153</v>
      </c>
      <c r="C81" s="82" t="s">
        <v>207</v>
      </c>
      <c r="D81" s="82" t="s">
        <v>207</v>
      </c>
      <c r="E81" s="82" t="s">
        <v>207</v>
      </c>
      <c r="F81" s="82" t="s">
        <v>207</v>
      </c>
      <c r="G81" s="82" t="s">
        <v>207</v>
      </c>
      <c r="H81" s="82" t="s">
        <v>207</v>
      </c>
      <c r="I81" s="82">
        <v>0</v>
      </c>
      <c r="J81" s="82">
        <v>1</v>
      </c>
      <c r="K81" s="82">
        <v>1</v>
      </c>
      <c r="L81" s="82">
        <v>0</v>
      </c>
      <c r="M81" s="82">
        <v>0</v>
      </c>
      <c r="N81" s="82">
        <v>1</v>
      </c>
      <c r="O81" s="82"/>
      <c r="P81" s="82"/>
      <c r="Q81" s="82"/>
      <c r="R81" s="82"/>
      <c r="S81" s="82"/>
      <c r="T81" s="82"/>
      <c r="U81" s="8"/>
      <c r="V81" s="8"/>
      <c r="W81" s="8"/>
      <c r="X81" s="8"/>
      <c r="Y81" s="8"/>
      <c r="Z81" s="8"/>
      <c r="AA81" s="8"/>
      <c r="AB81" s="8"/>
      <c r="AC81" s="8"/>
    </row>
    <row r="82" spans="1:29">
      <c r="A82" s="69" t="s">
        <v>146</v>
      </c>
      <c r="B82" t="s">
        <v>153</v>
      </c>
      <c r="C82" s="82">
        <v>1</v>
      </c>
      <c r="D82" s="82">
        <v>1</v>
      </c>
      <c r="E82" s="82">
        <v>1</v>
      </c>
      <c r="F82" s="82">
        <v>1</v>
      </c>
      <c r="G82" s="82">
        <v>1</v>
      </c>
      <c r="H82" s="82">
        <v>1</v>
      </c>
      <c r="I82" s="82">
        <v>1</v>
      </c>
      <c r="J82" s="82">
        <v>1</v>
      </c>
      <c r="K82" s="82">
        <v>1</v>
      </c>
      <c r="L82" s="82">
        <v>1</v>
      </c>
      <c r="M82" s="82">
        <v>1</v>
      </c>
      <c r="N82" s="82">
        <v>1</v>
      </c>
      <c r="O82" s="82"/>
      <c r="P82" s="82"/>
      <c r="Q82" s="82"/>
      <c r="R82" s="82"/>
      <c r="S82" s="82"/>
      <c r="T82" s="82"/>
      <c r="U82" s="8"/>
      <c r="V82" s="8"/>
      <c r="W82" s="8"/>
      <c r="X82" s="8"/>
      <c r="Y82" s="8"/>
      <c r="Z82" s="8"/>
      <c r="AA82" s="8"/>
      <c r="AB82" s="8"/>
      <c r="AC82" s="8"/>
    </row>
    <row r="83" spans="1:29">
      <c r="A83" s="69" t="s">
        <v>142</v>
      </c>
      <c r="B83" t="s">
        <v>153</v>
      </c>
      <c r="C83" s="82" t="s">
        <v>207</v>
      </c>
      <c r="D83" s="82" t="s">
        <v>207</v>
      </c>
      <c r="E83" s="82" t="s">
        <v>207</v>
      </c>
      <c r="F83" s="82" t="s">
        <v>207</v>
      </c>
      <c r="G83" s="82" t="s">
        <v>207</v>
      </c>
      <c r="H83" s="82" t="s">
        <v>207</v>
      </c>
      <c r="I83" s="82">
        <v>1</v>
      </c>
      <c r="J83" s="82">
        <v>1</v>
      </c>
      <c r="K83" s="82">
        <v>1</v>
      </c>
      <c r="L83" s="82">
        <v>1</v>
      </c>
      <c r="M83" s="82">
        <v>1</v>
      </c>
      <c r="N83" s="82">
        <v>1</v>
      </c>
      <c r="O83" s="82"/>
      <c r="P83" s="82"/>
      <c r="Q83" s="82"/>
      <c r="R83" s="82"/>
      <c r="S83" s="82"/>
      <c r="T83" s="82"/>
      <c r="U83" s="8"/>
      <c r="V83" s="8"/>
      <c r="W83" s="8"/>
      <c r="X83" s="8"/>
      <c r="Y83" s="8"/>
      <c r="Z83" s="8"/>
      <c r="AA83" s="8"/>
      <c r="AB83" s="8"/>
      <c r="AC83" s="8"/>
    </row>
    <row r="84" spans="1:29">
      <c r="A84" s="69" t="s">
        <v>148</v>
      </c>
      <c r="B84" t="s">
        <v>153</v>
      </c>
      <c r="C84" s="82">
        <v>0</v>
      </c>
      <c r="D84" s="82">
        <v>1</v>
      </c>
      <c r="E84" s="82">
        <v>0</v>
      </c>
      <c r="F84" s="82">
        <v>0</v>
      </c>
      <c r="G84" s="82">
        <v>0</v>
      </c>
      <c r="H84" s="82">
        <v>0</v>
      </c>
      <c r="I84" s="82">
        <v>0</v>
      </c>
      <c r="J84" s="82">
        <v>1</v>
      </c>
      <c r="K84" s="82">
        <v>0</v>
      </c>
      <c r="L84" s="82">
        <v>0</v>
      </c>
      <c r="M84" s="82">
        <v>0</v>
      </c>
      <c r="N84" s="82">
        <v>0</v>
      </c>
      <c r="O84" s="82"/>
      <c r="P84" s="82"/>
      <c r="Q84" s="82"/>
      <c r="R84" s="82"/>
      <c r="S84" s="82"/>
      <c r="T84" s="82"/>
      <c r="U84" s="8"/>
      <c r="V84" s="8"/>
      <c r="W84" s="8"/>
      <c r="X84" s="8"/>
      <c r="Y84" s="8"/>
      <c r="Z84" s="8"/>
      <c r="AA84" s="8"/>
      <c r="AB84" s="8"/>
      <c r="AC84" s="8"/>
    </row>
    <row r="85" spans="1:29">
      <c r="A85" s="69" t="s">
        <v>149</v>
      </c>
      <c r="B85" t="s">
        <v>153</v>
      </c>
      <c r="C85" s="82">
        <v>0</v>
      </c>
      <c r="D85" s="82">
        <v>1</v>
      </c>
      <c r="E85" s="82">
        <v>1</v>
      </c>
      <c r="F85" s="82">
        <v>0</v>
      </c>
      <c r="G85" s="82">
        <v>0</v>
      </c>
      <c r="H85" s="82">
        <v>1</v>
      </c>
      <c r="I85" s="82">
        <v>0</v>
      </c>
      <c r="J85" s="82">
        <v>1</v>
      </c>
      <c r="K85" s="82">
        <v>1</v>
      </c>
      <c r="L85" s="82">
        <v>0</v>
      </c>
      <c r="M85" s="82">
        <v>0</v>
      </c>
      <c r="N85" s="82">
        <v>1</v>
      </c>
      <c r="O85" s="82"/>
      <c r="P85" s="82"/>
      <c r="Q85" s="82"/>
      <c r="R85" s="82"/>
      <c r="S85" s="82"/>
      <c r="T85" s="82"/>
      <c r="U85" s="8"/>
      <c r="V85" s="8"/>
      <c r="W85" s="8"/>
      <c r="X85" s="8"/>
      <c r="Y85" s="8"/>
      <c r="Z85" s="8"/>
      <c r="AA85" s="8"/>
      <c r="AB85" s="8"/>
      <c r="AC85" s="8"/>
    </row>
    <row r="86" spans="1:29">
      <c r="A86" s="69" t="s">
        <v>147</v>
      </c>
      <c r="B86" t="s">
        <v>153</v>
      </c>
      <c r="C86" s="82">
        <v>0</v>
      </c>
      <c r="D86" s="82">
        <v>1</v>
      </c>
      <c r="E86" s="82">
        <v>0</v>
      </c>
      <c r="F86" s="82">
        <v>0</v>
      </c>
      <c r="G86" s="82">
        <v>0</v>
      </c>
      <c r="H86" s="82">
        <v>0</v>
      </c>
      <c r="I86" s="82">
        <v>0</v>
      </c>
      <c r="J86" s="82">
        <v>1</v>
      </c>
      <c r="K86" s="82">
        <v>0</v>
      </c>
      <c r="L86" s="82">
        <v>0</v>
      </c>
      <c r="M86" s="82">
        <v>0</v>
      </c>
      <c r="N86" s="82">
        <v>0</v>
      </c>
      <c r="O86" s="82"/>
      <c r="P86" s="82"/>
      <c r="Q86" s="82"/>
      <c r="R86" s="82"/>
      <c r="S86" s="82"/>
      <c r="T86" s="82"/>
      <c r="U86" s="8"/>
      <c r="V86" s="8"/>
      <c r="W86" s="8"/>
      <c r="X86" s="8"/>
      <c r="Y86" s="8"/>
      <c r="Z86" s="8"/>
      <c r="AA86" s="8"/>
      <c r="AB86" s="8"/>
      <c r="AC86" s="8"/>
    </row>
    <row r="87" spans="1:29">
      <c r="A87" s="68" t="s">
        <v>190</v>
      </c>
      <c r="B87" t="s">
        <v>153</v>
      </c>
      <c r="C87" s="82">
        <v>0</v>
      </c>
      <c r="D87" s="82">
        <v>1</v>
      </c>
      <c r="E87" s="82">
        <v>0</v>
      </c>
      <c r="F87" s="82">
        <v>0</v>
      </c>
      <c r="G87" s="82">
        <v>1</v>
      </c>
      <c r="H87" s="82">
        <v>0</v>
      </c>
      <c r="I87" s="82">
        <v>0</v>
      </c>
      <c r="J87" s="82">
        <v>1</v>
      </c>
      <c r="K87" s="82">
        <v>0</v>
      </c>
      <c r="L87" s="82">
        <v>0</v>
      </c>
      <c r="M87" s="82">
        <v>1</v>
      </c>
      <c r="N87" s="82">
        <v>0</v>
      </c>
      <c r="O87" s="82"/>
      <c r="P87" s="82"/>
      <c r="Q87" s="82"/>
      <c r="R87" s="82"/>
      <c r="S87" s="82"/>
      <c r="T87" s="82"/>
      <c r="U87" s="8"/>
      <c r="V87" s="8"/>
      <c r="W87" s="8"/>
      <c r="X87" s="8"/>
      <c r="Y87" s="8"/>
      <c r="Z87" s="8"/>
      <c r="AA87" s="8"/>
      <c r="AB87" s="8"/>
      <c r="AC87" s="8"/>
    </row>
    <row r="88" spans="1:29">
      <c r="A88" s="69" t="s">
        <v>145</v>
      </c>
      <c r="B88" t="s">
        <v>153</v>
      </c>
      <c r="C88" s="82">
        <v>1</v>
      </c>
      <c r="D88" s="82">
        <v>1</v>
      </c>
      <c r="E88" s="82">
        <v>1</v>
      </c>
      <c r="F88" s="82">
        <v>1</v>
      </c>
      <c r="G88" s="82">
        <v>1</v>
      </c>
      <c r="H88" s="82">
        <v>1</v>
      </c>
      <c r="I88" s="82">
        <v>0</v>
      </c>
      <c r="J88" s="82">
        <v>1</v>
      </c>
      <c r="K88" s="82">
        <v>1</v>
      </c>
      <c r="L88" s="82">
        <v>0</v>
      </c>
      <c r="M88" s="82">
        <v>1</v>
      </c>
      <c r="N88" s="82">
        <v>1</v>
      </c>
      <c r="O88" s="82"/>
      <c r="P88" s="82"/>
      <c r="Q88" s="82"/>
      <c r="R88" s="82"/>
      <c r="S88" s="82"/>
      <c r="T88" s="82"/>
      <c r="U88" s="8"/>
      <c r="V88" s="8"/>
      <c r="W88" s="8"/>
      <c r="X88" s="8"/>
      <c r="Y88" s="8"/>
      <c r="Z88" s="8"/>
      <c r="AA88" s="8"/>
      <c r="AB88" s="8"/>
      <c r="AC88" s="8"/>
    </row>
    <row r="89" spans="1:29">
      <c r="A89" s="68" t="s">
        <v>191</v>
      </c>
      <c r="B89" t="s">
        <v>153</v>
      </c>
      <c r="C89" s="82">
        <v>1</v>
      </c>
      <c r="D89" s="82">
        <v>1</v>
      </c>
      <c r="E89" s="82">
        <v>1</v>
      </c>
      <c r="F89" s="82">
        <v>1</v>
      </c>
      <c r="G89" s="82">
        <v>1</v>
      </c>
      <c r="H89" s="82">
        <v>1</v>
      </c>
      <c r="I89" s="82">
        <v>1</v>
      </c>
      <c r="J89" s="82">
        <v>1</v>
      </c>
      <c r="K89" s="82">
        <v>1</v>
      </c>
      <c r="L89" s="82">
        <v>1</v>
      </c>
      <c r="M89" s="82">
        <v>1</v>
      </c>
      <c r="N89" s="82">
        <v>1</v>
      </c>
      <c r="O89" s="82"/>
      <c r="P89" s="82"/>
      <c r="Q89" s="82"/>
      <c r="R89" s="82"/>
      <c r="S89" s="82"/>
      <c r="T89" s="82"/>
      <c r="U89" s="8"/>
      <c r="V89" s="8"/>
      <c r="W89" s="8"/>
      <c r="X89" s="8"/>
      <c r="Y89" s="8"/>
      <c r="Z89" s="8"/>
      <c r="AA89" s="8"/>
      <c r="AB89" s="8"/>
      <c r="AC89" s="8"/>
    </row>
    <row r="90" spans="1:29">
      <c r="A90" s="69" t="s">
        <v>150</v>
      </c>
      <c r="B90" t="s">
        <v>153</v>
      </c>
      <c r="C90" s="82">
        <v>1</v>
      </c>
      <c r="D90" s="82">
        <v>1</v>
      </c>
      <c r="E90" s="82">
        <v>1</v>
      </c>
      <c r="F90" s="82">
        <v>1</v>
      </c>
      <c r="G90" s="82">
        <v>1</v>
      </c>
      <c r="H90" s="82">
        <v>1</v>
      </c>
      <c r="I90" s="82">
        <v>1</v>
      </c>
      <c r="J90" s="82">
        <v>1</v>
      </c>
      <c r="K90" s="82">
        <v>1</v>
      </c>
      <c r="L90" s="82">
        <v>1</v>
      </c>
      <c r="M90" s="82">
        <v>1</v>
      </c>
      <c r="N90" s="82">
        <v>1</v>
      </c>
      <c r="O90" s="82"/>
      <c r="P90" s="82"/>
      <c r="Q90" s="82"/>
      <c r="R90" s="82"/>
      <c r="S90" s="82"/>
      <c r="T90" s="82"/>
      <c r="U90" s="8"/>
      <c r="V90" s="8"/>
      <c r="W90" s="8"/>
      <c r="X90" s="8"/>
      <c r="Y90" s="8"/>
      <c r="Z90" s="8"/>
      <c r="AA90" s="8"/>
      <c r="AB90" s="8"/>
      <c r="AC90" s="8"/>
    </row>
    <row r="91" spans="1:29">
      <c r="A91" s="69" t="s">
        <v>151</v>
      </c>
      <c r="B91" t="s">
        <v>153</v>
      </c>
      <c r="C91" s="82">
        <v>0</v>
      </c>
      <c r="D91" s="82">
        <v>0</v>
      </c>
      <c r="E91" s="82">
        <v>0</v>
      </c>
      <c r="F91" s="82">
        <v>0</v>
      </c>
      <c r="G91" s="82">
        <v>1</v>
      </c>
      <c r="H91" s="82">
        <v>0</v>
      </c>
      <c r="I91" s="82">
        <v>1</v>
      </c>
      <c r="J91" s="82">
        <v>1</v>
      </c>
      <c r="K91" s="82">
        <v>1</v>
      </c>
      <c r="L91" s="82">
        <v>1</v>
      </c>
      <c r="M91" s="82">
        <v>1</v>
      </c>
      <c r="N91" s="82">
        <v>1</v>
      </c>
      <c r="O91" s="82"/>
      <c r="P91" s="82"/>
      <c r="Q91" s="82"/>
      <c r="R91" s="82"/>
      <c r="S91" s="82"/>
      <c r="T91" s="82"/>
      <c r="U91" s="8"/>
      <c r="V91" s="8"/>
      <c r="W91" s="8"/>
      <c r="X91" s="8"/>
      <c r="Y91" s="8"/>
      <c r="Z91" s="8"/>
      <c r="AA91" s="8"/>
      <c r="AB91" s="8"/>
      <c r="AC91" s="8"/>
    </row>
    <row r="92" spans="1:29">
      <c r="A92" s="69" t="s">
        <v>144</v>
      </c>
      <c r="B92" t="s">
        <v>153</v>
      </c>
      <c r="C92" s="82">
        <v>0</v>
      </c>
      <c r="D92" s="82">
        <v>0</v>
      </c>
      <c r="E92" s="82">
        <v>0</v>
      </c>
      <c r="F92" s="82">
        <v>1</v>
      </c>
      <c r="G92" s="82">
        <v>1</v>
      </c>
      <c r="H92" s="82">
        <v>1</v>
      </c>
      <c r="I92" s="82">
        <v>0</v>
      </c>
      <c r="J92" s="82">
        <v>0</v>
      </c>
      <c r="K92" s="82">
        <v>0</v>
      </c>
      <c r="L92" s="82">
        <v>0</v>
      </c>
      <c r="M92" s="82">
        <v>0</v>
      </c>
      <c r="N92" s="82">
        <v>1</v>
      </c>
      <c r="O92" s="82"/>
      <c r="P92" s="82"/>
      <c r="Q92" s="82"/>
      <c r="R92" s="82"/>
      <c r="S92" s="82"/>
      <c r="T92" s="82"/>
      <c r="U92" s="8"/>
      <c r="V92" s="8"/>
      <c r="W92" s="8"/>
      <c r="X92" s="8"/>
      <c r="Y92" s="8"/>
      <c r="Z92" s="8"/>
      <c r="AA92" s="8"/>
      <c r="AB92" s="8"/>
      <c r="AC92" s="8"/>
    </row>
    <row r="93" spans="1:29">
      <c r="A93" s="69" t="s">
        <v>154</v>
      </c>
      <c r="B93" s="71" t="s">
        <v>158</v>
      </c>
      <c r="C93" s="82" t="s">
        <v>207</v>
      </c>
      <c r="D93" s="82" t="s">
        <v>207</v>
      </c>
      <c r="E93" s="82" t="s">
        <v>207</v>
      </c>
      <c r="F93" s="82" t="s">
        <v>208</v>
      </c>
      <c r="G93" s="82" t="s">
        <v>207</v>
      </c>
      <c r="H93" s="82" t="s">
        <v>208</v>
      </c>
      <c r="I93" s="82" t="s">
        <v>207</v>
      </c>
      <c r="J93" s="82" t="s">
        <v>207</v>
      </c>
      <c r="K93" s="82" t="s">
        <v>207</v>
      </c>
      <c r="L93" s="82" t="s">
        <v>207</v>
      </c>
      <c r="M93" s="82" t="s">
        <v>207</v>
      </c>
      <c r="N93" s="82" t="s">
        <v>208</v>
      </c>
      <c r="O93" s="82"/>
      <c r="P93" s="82"/>
      <c r="Q93" s="82"/>
      <c r="R93" s="82"/>
      <c r="S93" s="82"/>
      <c r="T93" s="82"/>
      <c r="U93" s="8"/>
      <c r="V93" s="8"/>
      <c r="W93" s="8"/>
      <c r="X93" s="8"/>
      <c r="Y93" s="8"/>
      <c r="Z93" s="8"/>
      <c r="AA93" s="8"/>
      <c r="AB93" s="8"/>
      <c r="AC93" s="8"/>
    </row>
    <row r="94" spans="1:29">
      <c r="A94" s="69" t="s">
        <v>155</v>
      </c>
      <c r="B94" s="71" t="s">
        <v>158</v>
      </c>
      <c r="C94" s="82">
        <v>0</v>
      </c>
      <c r="D94" s="82">
        <v>0</v>
      </c>
      <c r="E94" s="82">
        <v>0</v>
      </c>
      <c r="F94" s="82">
        <v>0</v>
      </c>
      <c r="G94" s="82">
        <v>1</v>
      </c>
      <c r="H94" s="82">
        <v>1</v>
      </c>
      <c r="I94" s="82">
        <v>0</v>
      </c>
      <c r="J94" s="82">
        <v>0</v>
      </c>
      <c r="K94" s="82">
        <v>0</v>
      </c>
      <c r="L94" s="82">
        <v>0</v>
      </c>
      <c r="M94" s="82">
        <v>0</v>
      </c>
      <c r="N94" s="82">
        <v>1</v>
      </c>
      <c r="O94" s="82"/>
      <c r="P94" s="82"/>
      <c r="Q94" s="82"/>
      <c r="R94" s="82"/>
      <c r="S94" s="82"/>
      <c r="T94" s="82"/>
      <c r="U94" s="8"/>
      <c r="V94" s="8"/>
      <c r="W94" s="8"/>
      <c r="X94" s="8"/>
      <c r="Y94" s="8"/>
      <c r="Z94" s="8"/>
      <c r="AA94" s="8"/>
      <c r="AB94" s="8"/>
      <c r="AC94" s="8"/>
    </row>
    <row r="95" spans="1:29">
      <c r="A95" s="69" t="s">
        <v>156</v>
      </c>
      <c r="B95" s="71" t="s">
        <v>158</v>
      </c>
      <c r="C95" s="82">
        <v>0</v>
      </c>
      <c r="D95" s="82">
        <v>1</v>
      </c>
      <c r="E95" s="82">
        <v>0</v>
      </c>
      <c r="F95" s="82">
        <v>1</v>
      </c>
      <c r="G95" s="82">
        <v>1</v>
      </c>
      <c r="H95" s="82">
        <v>1</v>
      </c>
      <c r="I95" s="82">
        <v>0</v>
      </c>
      <c r="J95" s="82">
        <v>1</v>
      </c>
      <c r="K95" s="82">
        <v>0</v>
      </c>
      <c r="L95" s="82">
        <v>1</v>
      </c>
      <c r="M95" s="82">
        <v>0</v>
      </c>
      <c r="N95" s="82">
        <v>1</v>
      </c>
      <c r="O95" s="82"/>
      <c r="P95" s="82"/>
      <c r="Q95" s="82"/>
      <c r="R95" s="82"/>
      <c r="S95" s="82"/>
      <c r="T95" s="82"/>
      <c r="U95" s="8"/>
      <c r="V95" s="8"/>
      <c r="W95" s="8"/>
      <c r="X95" s="8"/>
      <c r="Y95" s="8"/>
      <c r="Z95" s="8"/>
      <c r="AA95" s="8"/>
      <c r="AB95" s="8"/>
      <c r="AC95" s="8"/>
    </row>
    <row r="96" spans="1:29">
      <c r="A96" s="69" t="s">
        <v>157</v>
      </c>
      <c r="B96" s="71" t="s">
        <v>158</v>
      </c>
      <c r="C96" s="82">
        <v>0</v>
      </c>
      <c r="D96" s="82">
        <v>0</v>
      </c>
      <c r="E96" s="82">
        <v>0</v>
      </c>
      <c r="F96" s="82">
        <v>0</v>
      </c>
      <c r="G96" s="82">
        <v>1</v>
      </c>
      <c r="H96" s="82">
        <v>1</v>
      </c>
      <c r="I96" s="82">
        <v>0</v>
      </c>
      <c r="J96" s="82">
        <v>0</v>
      </c>
      <c r="K96" s="82">
        <v>0</v>
      </c>
      <c r="L96" s="82">
        <v>0</v>
      </c>
      <c r="M96" s="82">
        <v>0</v>
      </c>
      <c r="N96" s="82">
        <v>1</v>
      </c>
      <c r="O96" s="82"/>
      <c r="P96" s="82"/>
      <c r="Q96" s="82"/>
      <c r="R96" s="82"/>
      <c r="S96" s="82"/>
      <c r="T96" s="82"/>
      <c r="U96" s="8"/>
      <c r="V96" s="8"/>
      <c r="W96" s="8"/>
      <c r="X96" s="8"/>
      <c r="Y96" s="8"/>
      <c r="Z96" s="8"/>
      <c r="AA96" s="8"/>
      <c r="AB96" s="8"/>
      <c r="AC96" s="8"/>
    </row>
    <row r="97" spans="1:29">
      <c r="A97" s="68" t="s">
        <v>192</v>
      </c>
      <c r="B97" s="71" t="s">
        <v>158</v>
      </c>
      <c r="C97" s="82" t="s">
        <v>207</v>
      </c>
      <c r="D97" s="82" t="s">
        <v>207</v>
      </c>
      <c r="E97" s="82" t="s">
        <v>207</v>
      </c>
      <c r="F97" s="82" t="s">
        <v>207</v>
      </c>
      <c r="G97" s="82" t="s">
        <v>207</v>
      </c>
      <c r="H97" s="82" t="s">
        <v>207</v>
      </c>
      <c r="I97" s="82" t="s">
        <v>207</v>
      </c>
      <c r="J97" s="82" t="s">
        <v>207</v>
      </c>
      <c r="K97" s="82" t="s">
        <v>207</v>
      </c>
      <c r="L97" s="82" t="s">
        <v>207</v>
      </c>
      <c r="M97" s="82" t="s">
        <v>207</v>
      </c>
      <c r="N97" s="82" t="s">
        <v>207</v>
      </c>
      <c r="O97" s="82"/>
      <c r="P97" s="82"/>
      <c r="Q97" s="82"/>
      <c r="R97" s="82"/>
      <c r="S97" s="82"/>
      <c r="T97" s="82"/>
      <c r="U97" s="8"/>
      <c r="V97" s="8"/>
      <c r="W97" s="8"/>
      <c r="X97" s="8"/>
      <c r="Y97" s="8"/>
      <c r="Z97" s="8"/>
      <c r="AA97" s="8"/>
      <c r="AB97" s="8"/>
      <c r="AC97" s="8"/>
    </row>
    <row r="98" spans="1:29">
      <c r="A98" s="69" t="s">
        <v>159</v>
      </c>
      <c r="B98" s="71" t="s">
        <v>162</v>
      </c>
      <c r="C98" s="82">
        <v>0</v>
      </c>
      <c r="D98" s="82">
        <v>0</v>
      </c>
      <c r="E98" s="82">
        <v>0</v>
      </c>
      <c r="F98" s="82">
        <v>0</v>
      </c>
      <c r="G98" s="82">
        <v>0</v>
      </c>
      <c r="H98" s="82">
        <v>0</v>
      </c>
      <c r="I98" s="82">
        <v>0</v>
      </c>
      <c r="J98" s="82">
        <v>0</v>
      </c>
      <c r="K98" s="82">
        <v>0</v>
      </c>
      <c r="L98" s="82">
        <v>0</v>
      </c>
      <c r="M98" s="82">
        <v>0</v>
      </c>
      <c r="N98" s="82">
        <v>0</v>
      </c>
      <c r="O98" s="82"/>
      <c r="P98" s="82"/>
      <c r="Q98" s="82"/>
      <c r="R98" s="82"/>
      <c r="S98" s="82"/>
      <c r="T98" s="82"/>
      <c r="U98" s="8"/>
      <c r="V98" s="8"/>
      <c r="W98" s="8"/>
      <c r="X98" s="8"/>
      <c r="Y98" s="8"/>
      <c r="Z98" s="8"/>
      <c r="AA98" s="8"/>
      <c r="AB98" s="8"/>
      <c r="AC98" s="8"/>
    </row>
    <row r="99" spans="1:29">
      <c r="A99" s="69" t="s">
        <v>160</v>
      </c>
      <c r="B99" s="71" t="s">
        <v>162</v>
      </c>
      <c r="C99" s="82">
        <v>0</v>
      </c>
      <c r="D99" s="82">
        <v>0</v>
      </c>
      <c r="E99" s="82">
        <v>0</v>
      </c>
      <c r="F99" s="82">
        <v>0</v>
      </c>
      <c r="G99" s="82">
        <v>0</v>
      </c>
      <c r="H99" s="82">
        <v>0</v>
      </c>
      <c r="I99" s="82">
        <v>0</v>
      </c>
      <c r="J99" s="82">
        <v>0</v>
      </c>
      <c r="K99" s="82">
        <v>0</v>
      </c>
      <c r="L99" s="82">
        <v>0</v>
      </c>
      <c r="M99" s="82">
        <v>0</v>
      </c>
      <c r="N99" s="82">
        <v>0</v>
      </c>
      <c r="O99" s="82"/>
      <c r="P99" s="82"/>
      <c r="Q99" s="82"/>
      <c r="R99" s="82"/>
      <c r="S99" s="82"/>
      <c r="T99" s="82"/>
      <c r="U99" s="8"/>
      <c r="V99" s="8"/>
      <c r="W99" s="8"/>
      <c r="X99" s="8"/>
      <c r="Y99" s="8"/>
      <c r="Z99" s="8"/>
      <c r="AA99" s="8"/>
      <c r="AB99" s="8"/>
      <c r="AC99" s="8"/>
    </row>
    <row r="100" spans="1:29">
      <c r="A100" s="68" t="s">
        <v>193</v>
      </c>
      <c r="B100" s="71" t="s">
        <v>162</v>
      </c>
      <c r="C100" s="82">
        <v>0</v>
      </c>
      <c r="D100" s="82">
        <v>0</v>
      </c>
      <c r="E100" s="82">
        <v>1</v>
      </c>
      <c r="F100" s="82">
        <v>0</v>
      </c>
      <c r="G100" s="82">
        <v>0</v>
      </c>
      <c r="H100" s="82">
        <v>1</v>
      </c>
      <c r="I100" s="82">
        <v>0</v>
      </c>
      <c r="J100" s="82">
        <v>1</v>
      </c>
      <c r="K100" s="82">
        <v>1</v>
      </c>
      <c r="L100" s="82">
        <v>0</v>
      </c>
      <c r="M100" s="82">
        <v>1</v>
      </c>
      <c r="N100" s="82">
        <v>1</v>
      </c>
      <c r="O100" s="82"/>
      <c r="P100" s="82"/>
      <c r="Q100" s="82"/>
      <c r="R100" s="82"/>
      <c r="S100" s="82"/>
      <c r="T100" s="82"/>
      <c r="U100" s="8"/>
      <c r="V100" s="8"/>
      <c r="W100" s="8"/>
      <c r="X100" s="8"/>
      <c r="Y100" s="8"/>
      <c r="Z100" s="8"/>
      <c r="AA100" s="8"/>
      <c r="AB100" s="8"/>
      <c r="AC100" s="8"/>
    </row>
    <row r="101" spans="1:29">
      <c r="A101" s="69" t="s">
        <v>161</v>
      </c>
      <c r="B101" s="71" t="s">
        <v>162</v>
      </c>
      <c r="C101" s="82">
        <v>1</v>
      </c>
      <c r="D101" s="82">
        <v>1</v>
      </c>
      <c r="E101" s="82">
        <v>1</v>
      </c>
      <c r="F101" s="82">
        <v>1</v>
      </c>
      <c r="G101" s="82">
        <v>1</v>
      </c>
      <c r="H101" s="82">
        <v>1</v>
      </c>
      <c r="I101" s="82">
        <v>1</v>
      </c>
      <c r="J101" s="82">
        <v>1</v>
      </c>
      <c r="K101" s="82">
        <v>1</v>
      </c>
      <c r="L101" s="82">
        <v>1</v>
      </c>
      <c r="M101" s="82">
        <v>1</v>
      </c>
      <c r="N101" s="82">
        <v>1</v>
      </c>
      <c r="O101" s="82"/>
      <c r="P101" s="82"/>
      <c r="Q101" s="82"/>
      <c r="R101" s="82"/>
      <c r="S101" s="82"/>
      <c r="T101" s="82"/>
      <c r="U101" s="8"/>
      <c r="V101" s="8"/>
      <c r="W101" s="8"/>
      <c r="X101" s="8"/>
      <c r="Y101" s="8"/>
      <c r="Z101" s="8"/>
      <c r="AA101" s="8"/>
      <c r="AB101" s="8"/>
      <c r="AC101" s="8"/>
    </row>
    <row r="102" spans="1:29">
      <c r="A102" s="69" t="s">
        <v>163</v>
      </c>
      <c r="B102" s="71" t="s">
        <v>178</v>
      </c>
      <c r="C102" s="82" t="s">
        <v>207</v>
      </c>
      <c r="D102" s="82" t="s">
        <v>207</v>
      </c>
      <c r="E102" s="82" t="s">
        <v>207</v>
      </c>
      <c r="F102" s="82" t="s">
        <v>207</v>
      </c>
      <c r="G102" s="82" t="s">
        <v>207</v>
      </c>
      <c r="H102" s="82" t="s">
        <v>207</v>
      </c>
      <c r="I102" s="82">
        <v>1</v>
      </c>
      <c r="J102" s="82">
        <v>1</v>
      </c>
      <c r="K102" s="82">
        <v>1</v>
      </c>
      <c r="L102" s="82">
        <v>1</v>
      </c>
      <c r="M102" s="82">
        <v>1</v>
      </c>
      <c r="N102" s="82">
        <v>1</v>
      </c>
      <c r="O102" s="82"/>
      <c r="P102" s="82"/>
      <c r="Q102" s="82"/>
      <c r="R102" s="82"/>
      <c r="S102" s="82"/>
      <c r="T102" s="82"/>
      <c r="U102" s="8"/>
      <c r="V102" s="8"/>
      <c r="W102" s="8"/>
      <c r="X102" s="8"/>
      <c r="Y102" s="8"/>
      <c r="Z102" s="8"/>
      <c r="AA102" s="8"/>
      <c r="AB102" s="8"/>
      <c r="AC102" s="8"/>
    </row>
    <row r="103" spans="1:29">
      <c r="A103" s="69" t="s">
        <v>164</v>
      </c>
      <c r="B103" s="71" t="s">
        <v>178</v>
      </c>
      <c r="C103" s="82">
        <v>1</v>
      </c>
      <c r="D103" s="82">
        <v>1</v>
      </c>
      <c r="E103" s="82">
        <v>1</v>
      </c>
      <c r="F103" s="82">
        <v>1</v>
      </c>
      <c r="G103" s="82">
        <v>1</v>
      </c>
      <c r="H103" s="82">
        <v>1</v>
      </c>
      <c r="I103" s="82">
        <v>1</v>
      </c>
      <c r="J103" s="82">
        <v>1</v>
      </c>
      <c r="K103" s="82">
        <v>1</v>
      </c>
      <c r="L103" s="82">
        <v>1</v>
      </c>
      <c r="M103" s="82">
        <v>1</v>
      </c>
      <c r="N103" s="82">
        <v>1</v>
      </c>
      <c r="O103" s="82"/>
      <c r="P103" s="82"/>
      <c r="Q103" s="82"/>
      <c r="R103" s="82"/>
      <c r="S103" s="82"/>
      <c r="T103" s="82"/>
      <c r="U103" s="8"/>
      <c r="V103" s="8"/>
      <c r="W103" s="8"/>
      <c r="X103" s="8"/>
      <c r="Y103" s="8"/>
      <c r="Z103" s="8"/>
      <c r="AA103" s="8"/>
      <c r="AB103" s="8"/>
      <c r="AC103" s="8"/>
    </row>
    <row r="104" spans="1:29">
      <c r="A104" s="69" t="s">
        <v>165</v>
      </c>
      <c r="B104" s="71" t="s">
        <v>178</v>
      </c>
      <c r="C104" s="82">
        <v>1</v>
      </c>
      <c r="D104" s="82">
        <v>1</v>
      </c>
      <c r="E104" s="82">
        <v>1</v>
      </c>
      <c r="F104" s="82">
        <v>1</v>
      </c>
      <c r="G104" s="82">
        <v>1</v>
      </c>
      <c r="H104" s="82">
        <v>1</v>
      </c>
      <c r="I104" s="82">
        <v>1</v>
      </c>
      <c r="J104" s="82">
        <v>1</v>
      </c>
      <c r="K104" s="82">
        <v>1</v>
      </c>
      <c r="L104" s="82">
        <v>1</v>
      </c>
      <c r="M104" s="82">
        <v>1</v>
      </c>
      <c r="N104" s="82">
        <v>1</v>
      </c>
      <c r="O104" s="82"/>
      <c r="P104" s="82"/>
      <c r="Q104" s="82"/>
      <c r="R104" s="82"/>
      <c r="S104" s="82"/>
      <c r="T104" s="82"/>
      <c r="U104" s="8"/>
      <c r="V104" s="8"/>
      <c r="W104" s="8"/>
      <c r="X104" s="8"/>
      <c r="Y104" s="8"/>
      <c r="Z104" s="8"/>
      <c r="AA104" s="8"/>
      <c r="AB104" s="8"/>
      <c r="AC104" s="8"/>
    </row>
    <row r="105" spans="1:29">
      <c r="A105" s="69" t="s">
        <v>166</v>
      </c>
      <c r="B105" s="71" t="s">
        <v>178</v>
      </c>
      <c r="C105" s="82" t="s">
        <v>207</v>
      </c>
      <c r="D105" s="82" t="s">
        <v>207</v>
      </c>
      <c r="E105" s="82" t="s">
        <v>207</v>
      </c>
      <c r="F105" s="82" t="s">
        <v>207</v>
      </c>
      <c r="G105" s="82" t="s">
        <v>207</v>
      </c>
      <c r="H105" s="82" t="s">
        <v>207</v>
      </c>
      <c r="I105" s="82">
        <v>1</v>
      </c>
      <c r="J105" s="82">
        <v>1</v>
      </c>
      <c r="K105" s="82">
        <v>1</v>
      </c>
      <c r="L105" s="82">
        <v>1</v>
      </c>
      <c r="M105" s="82">
        <v>1</v>
      </c>
      <c r="N105" s="82">
        <v>1</v>
      </c>
      <c r="O105" s="82"/>
      <c r="P105" s="82"/>
      <c r="Q105" s="82"/>
      <c r="R105" s="82"/>
      <c r="S105" s="82"/>
      <c r="T105" s="82"/>
      <c r="U105" s="8"/>
      <c r="V105" s="8"/>
      <c r="W105" s="8"/>
      <c r="X105" s="8"/>
      <c r="Y105" s="8"/>
      <c r="Z105" s="8"/>
      <c r="AA105" s="8"/>
      <c r="AB105" s="8"/>
      <c r="AC105" s="8"/>
    </row>
    <row r="106" spans="1:29">
      <c r="A106" s="69" t="s">
        <v>167</v>
      </c>
      <c r="B106" s="71" t="s">
        <v>178</v>
      </c>
      <c r="C106" s="82">
        <v>0</v>
      </c>
      <c r="D106" s="82">
        <v>1</v>
      </c>
      <c r="E106" s="82">
        <v>0</v>
      </c>
      <c r="F106" s="82">
        <v>1</v>
      </c>
      <c r="G106" s="82">
        <v>0</v>
      </c>
      <c r="H106" s="82">
        <v>1</v>
      </c>
      <c r="I106" s="82">
        <v>0</v>
      </c>
      <c r="J106" s="82">
        <v>1</v>
      </c>
      <c r="K106" s="82">
        <v>0</v>
      </c>
      <c r="L106" s="82">
        <v>0</v>
      </c>
      <c r="M106" s="82">
        <v>0</v>
      </c>
      <c r="N106" s="82">
        <v>0</v>
      </c>
      <c r="O106" s="82"/>
      <c r="P106" s="82"/>
      <c r="Q106" s="82"/>
      <c r="R106" s="82"/>
      <c r="S106" s="82"/>
      <c r="T106" s="82"/>
      <c r="U106" s="8"/>
      <c r="V106" s="8"/>
      <c r="W106" s="8"/>
      <c r="X106" s="8"/>
      <c r="Y106" s="8"/>
      <c r="Z106" s="8"/>
      <c r="AA106" s="8"/>
      <c r="AB106" s="8"/>
      <c r="AC106" s="8"/>
    </row>
    <row r="107" spans="1:29">
      <c r="A107" s="69" t="s">
        <v>168</v>
      </c>
      <c r="B107" s="71" t="s">
        <v>178</v>
      </c>
      <c r="C107" s="82">
        <v>0</v>
      </c>
      <c r="D107" s="82">
        <v>1</v>
      </c>
      <c r="E107" s="82">
        <v>0</v>
      </c>
      <c r="F107" s="82">
        <v>0</v>
      </c>
      <c r="G107" s="82">
        <v>1</v>
      </c>
      <c r="H107" s="82">
        <v>0</v>
      </c>
      <c r="I107" s="82">
        <v>0</v>
      </c>
      <c r="J107" s="82">
        <v>1</v>
      </c>
      <c r="K107" s="82">
        <v>0</v>
      </c>
      <c r="L107" s="82">
        <v>0</v>
      </c>
      <c r="M107" s="82">
        <v>1</v>
      </c>
      <c r="N107" s="82">
        <v>0</v>
      </c>
      <c r="O107" s="82"/>
      <c r="P107" s="82"/>
      <c r="Q107" s="82"/>
      <c r="R107" s="82"/>
      <c r="S107" s="82"/>
      <c r="T107" s="82"/>
      <c r="U107" s="8"/>
      <c r="V107" s="8"/>
      <c r="W107" s="8"/>
      <c r="X107" s="8"/>
      <c r="Y107" s="8"/>
      <c r="Z107" s="8"/>
      <c r="AA107" s="8"/>
      <c r="AB107" s="8"/>
      <c r="AC107" s="8"/>
    </row>
    <row r="108" spans="1:29">
      <c r="A108" s="69" t="s">
        <v>169</v>
      </c>
      <c r="B108" s="71" t="s">
        <v>178</v>
      </c>
      <c r="C108" s="82">
        <v>0</v>
      </c>
      <c r="D108" s="82">
        <v>1</v>
      </c>
      <c r="E108" s="82">
        <v>0</v>
      </c>
      <c r="F108" s="82">
        <v>0</v>
      </c>
      <c r="G108" s="82">
        <v>0</v>
      </c>
      <c r="H108" s="82">
        <v>0</v>
      </c>
      <c r="I108" s="82">
        <v>0</v>
      </c>
      <c r="J108" s="82">
        <v>0</v>
      </c>
      <c r="K108" s="82">
        <v>0</v>
      </c>
      <c r="L108" s="82">
        <v>0</v>
      </c>
      <c r="M108" s="82">
        <v>0</v>
      </c>
      <c r="N108" s="82">
        <v>0</v>
      </c>
      <c r="O108" s="82"/>
      <c r="P108" s="82"/>
      <c r="Q108" s="82"/>
      <c r="R108" s="82"/>
      <c r="S108" s="82"/>
      <c r="T108" s="82"/>
      <c r="U108" s="8"/>
      <c r="V108" s="8"/>
      <c r="W108" s="8"/>
      <c r="X108" s="8"/>
      <c r="Y108" s="8"/>
      <c r="Z108" s="8"/>
      <c r="AA108" s="8"/>
      <c r="AB108" s="8"/>
      <c r="AC108" s="8"/>
    </row>
    <row r="109" spans="1:29">
      <c r="A109" s="69" t="s">
        <v>170</v>
      </c>
      <c r="B109" s="71" t="s">
        <v>178</v>
      </c>
      <c r="C109" s="82">
        <v>0</v>
      </c>
      <c r="D109" s="82">
        <v>1</v>
      </c>
      <c r="E109" s="82">
        <v>0</v>
      </c>
      <c r="F109" s="82">
        <v>0</v>
      </c>
      <c r="G109" s="82">
        <v>1</v>
      </c>
      <c r="H109" s="82">
        <v>0</v>
      </c>
      <c r="I109" s="82">
        <v>0</v>
      </c>
      <c r="J109" s="82">
        <v>1</v>
      </c>
      <c r="K109" s="82">
        <v>0</v>
      </c>
      <c r="L109" s="82">
        <v>0</v>
      </c>
      <c r="M109" s="82">
        <v>0</v>
      </c>
      <c r="N109" s="82">
        <v>0</v>
      </c>
      <c r="O109" s="82"/>
      <c r="P109" s="82"/>
      <c r="Q109" s="82"/>
      <c r="R109" s="82"/>
      <c r="S109" s="82"/>
      <c r="T109" s="82"/>
      <c r="U109" s="8"/>
      <c r="V109" s="8"/>
      <c r="W109" s="8"/>
      <c r="X109" s="8"/>
      <c r="Y109" s="8"/>
      <c r="Z109" s="8"/>
      <c r="AA109" s="8"/>
      <c r="AB109" s="8"/>
      <c r="AC109" s="8"/>
    </row>
    <row r="110" spans="1:29">
      <c r="A110" s="69" t="s">
        <v>171</v>
      </c>
      <c r="B110" s="71" t="s">
        <v>178</v>
      </c>
      <c r="C110" s="82" t="s">
        <v>207</v>
      </c>
      <c r="D110" s="82" t="s">
        <v>207</v>
      </c>
      <c r="E110" s="82" t="s">
        <v>207</v>
      </c>
      <c r="F110" s="82" t="s">
        <v>207</v>
      </c>
      <c r="G110" s="82" t="s">
        <v>207</v>
      </c>
      <c r="H110" s="82" t="s">
        <v>207</v>
      </c>
      <c r="I110" s="82">
        <v>0</v>
      </c>
      <c r="J110" s="82">
        <v>0</v>
      </c>
      <c r="K110" s="82">
        <v>0</v>
      </c>
      <c r="L110" s="82">
        <v>0</v>
      </c>
      <c r="M110" s="82">
        <v>1</v>
      </c>
      <c r="N110" s="82">
        <v>1</v>
      </c>
      <c r="O110" s="82"/>
      <c r="P110" s="82"/>
      <c r="Q110" s="82"/>
      <c r="R110" s="82"/>
      <c r="S110" s="82"/>
      <c r="T110" s="82"/>
      <c r="U110" s="8"/>
      <c r="V110" s="8"/>
      <c r="W110" s="8"/>
      <c r="X110" s="8"/>
      <c r="Y110" s="8"/>
      <c r="Z110" s="8"/>
      <c r="AA110" s="8"/>
      <c r="AB110" s="8"/>
      <c r="AC110" s="8"/>
    </row>
    <row r="111" spans="1:29">
      <c r="A111" s="69" t="s">
        <v>172</v>
      </c>
      <c r="B111" s="71" t="s">
        <v>178</v>
      </c>
      <c r="C111" s="82">
        <v>1</v>
      </c>
      <c r="D111" s="82">
        <v>1</v>
      </c>
      <c r="E111" s="82">
        <v>1</v>
      </c>
      <c r="F111" s="82">
        <v>1</v>
      </c>
      <c r="G111" s="82">
        <v>1</v>
      </c>
      <c r="H111" s="82">
        <v>1</v>
      </c>
      <c r="I111" s="82">
        <v>0</v>
      </c>
      <c r="J111" s="82">
        <v>1</v>
      </c>
      <c r="K111" s="82">
        <v>0</v>
      </c>
      <c r="L111" s="82">
        <v>0</v>
      </c>
      <c r="M111" s="82">
        <v>0</v>
      </c>
      <c r="N111" s="82">
        <v>0</v>
      </c>
      <c r="O111" s="82"/>
      <c r="P111" s="82"/>
      <c r="Q111" s="82"/>
      <c r="R111" s="82"/>
      <c r="S111" s="82"/>
      <c r="T111" s="82"/>
      <c r="U111" s="8"/>
      <c r="V111" s="8"/>
      <c r="W111" s="8"/>
      <c r="X111" s="8"/>
      <c r="Y111" s="8"/>
      <c r="Z111" s="8"/>
      <c r="AA111" s="8"/>
      <c r="AB111" s="8"/>
      <c r="AC111" s="8"/>
    </row>
    <row r="112" spans="1:29">
      <c r="A112" s="69" t="s">
        <v>173</v>
      </c>
      <c r="B112" s="71" t="s">
        <v>178</v>
      </c>
      <c r="C112" s="82">
        <v>0</v>
      </c>
      <c r="D112" s="82">
        <v>0</v>
      </c>
      <c r="E112" s="82">
        <v>0</v>
      </c>
      <c r="F112" s="82">
        <v>0</v>
      </c>
      <c r="G112" s="82">
        <v>0</v>
      </c>
      <c r="H112" s="82">
        <v>1</v>
      </c>
      <c r="I112" s="82">
        <v>1</v>
      </c>
      <c r="J112" s="82">
        <v>0</v>
      </c>
      <c r="K112" s="82">
        <v>1</v>
      </c>
      <c r="L112" s="82">
        <v>1</v>
      </c>
      <c r="M112" s="82">
        <v>1</v>
      </c>
      <c r="N112" s="82">
        <v>1</v>
      </c>
      <c r="O112" s="82"/>
      <c r="P112" s="82"/>
      <c r="Q112" s="82"/>
      <c r="R112" s="82"/>
      <c r="S112" s="82"/>
      <c r="T112" s="82"/>
      <c r="U112" s="8"/>
      <c r="V112" s="8"/>
      <c r="W112" s="8"/>
      <c r="X112" s="8"/>
      <c r="Y112" s="8"/>
      <c r="Z112" s="8"/>
      <c r="AA112" s="8"/>
      <c r="AB112" s="8"/>
      <c r="AC112" s="8"/>
    </row>
    <row r="113" spans="1:29">
      <c r="A113" s="69" t="s">
        <v>174</v>
      </c>
      <c r="B113" s="71" t="s">
        <v>178</v>
      </c>
      <c r="C113" s="82">
        <v>1</v>
      </c>
      <c r="D113" s="82">
        <v>1</v>
      </c>
      <c r="E113" s="82">
        <v>1</v>
      </c>
      <c r="F113" s="82">
        <v>1</v>
      </c>
      <c r="G113" s="82">
        <v>1</v>
      </c>
      <c r="H113" s="82">
        <v>1</v>
      </c>
      <c r="I113" s="82">
        <v>1</v>
      </c>
      <c r="J113" s="82">
        <v>1</v>
      </c>
      <c r="K113" s="82">
        <v>1</v>
      </c>
      <c r="L113" s="82">
        <v>1</v>
      </c>
      <c r="M113" s="82">
        <v>1</v>
      </c>
      <c r="N113" s="82">
        <v>1</v>
      </c>
      <c r="O113" s="82"/>
      <c r="P113" s="82"/>
      <c r="Q113" s="82"/>
      <c r="R113" s="82"/>
      <c r="S113" s="82"/>
      <c r="T113" s="82"/>
      <c r="U113" s="8"/>
      <c r="V113" s="8"/>
      <c r="W113" s="8"/>
      <c r="X113" s="8"/>
      <c r="Y113" s="8"/>
      <c r="Z113" s="8"/>
      <c r="AA113" s="8"/>
      <c r="AB113" s="8"/>
      <c r="AC113" s="8"/>
    </row>
    <row r="114" spans="1:29">
      <c r="A114" s="69" t="s">
        <v>175</v>
      </c>
      <c r="B114" s="71" t="s">
        <v>178</v>
      </c>
      <c r="C114" s="82">
        <v>0</v>
      </c>
      <c r="D114" s="82">
        <v>1</v>
      </c>
      <c r="E114" s="82">
        <v>0</v>
      </c>
      <c r="F114" s="82">
        <v>0</v>
      </c>
      <c r="G114" s="82">
        <v>0</v>
      </c>
      <c r="H114" s="82">
        <v>1</v>
      </c>
      <c r="I114" s="82">
        <v>0</v>
      </c>
      <c r="J114" s="82">
        <v>1</v>
      </c>
      <c r="K114" s="82">
        <v>0</v>
      </c>
      <c r="L114" s="82">
        <v>0</v>
      </c>
      <c r="M114" s="82">
        <v>0</v>
      </c>
      <c r="N114" s="82">
        <v>0</v>
      </c>
      <c r="O114" s="82"/>
      <c r="P114" s="82"/>
      <c r="Q114" s="82"/>
      <c r="R114" s="82"/>
      <c r="S114" s="82"/>
      <c r="T114" s="82"/>
      <c r="U114" s="8"/>
      <c r="V114" s="8"/>
      <c r="W114" s="8"/>
      <c r="X114" s="8"/>
      <c r="Y114" s="8"/>
      <c r="Z114" s="8"/>
      <c r="AA114" s="8"/>
      <c r="AB114" s="8"/>
      <c r="AC114" s="8"/>
    </row>
    <row r="115" spans="1:29">
      <c r="A115" s="69" t="s">
        <v>176</v>
      </c>
      <c r="B115" s="71" t="s">
        <v>178</v>
      </c>
      <c r="C115" s="82">
        <v>0</v>
      </c>
      <c r="D115" s="82">
        <v>1</v>
      </c>
      <c r="E115" s="82">
        <v>0</v>
      </c>
      <c r="F115" s="82">
        <v>0</v>
      </c>
      <c r="G115" s="82">
        <v>0</v>
      </c>
      <c r="H115" s="82">
        <v>0</v>
      </c>
      <c r="I115" s="82">
        <v>1</v>
      </c>
      <c r="J115" s="82">
        <v>1</v>
      </c>
      <c r="K115" s="82">
        <v>1</v>
      </c>
      <c r="L115" s="82">
        <v>1</v>
      </c>
      <c r="M115" s="82">
        <v>1</v>
      </c>
      <c r="N115" s="82">
        <v>1</v>
      </c>
      <c r="O115" s="82"/>
      <c r="P115" s="82"/>
      <c r="Q115" s="82"/>
      <c r="R115" s="82"/>
      <c r="S115" s="82"/>
      <c r="T115" s="82"/>
      <c r="U115" s="8"/>
      <c r="V115" s="8"/>
      <c r="W115" s="8"/>
      <c r="X115" s="8"/>
      <c r="Y115" s="8"/>
      <c r="Z115" s="8"/>
      <c r="AA115" s="8"/>
      <c r="AB115" s="8"/>
      <c r="AC115" s="8"/>
    </row>
    <row r="116" spans="1:29">
      <c r="A116" s="69" t="s">
        <v>177</v>
      </c>
      <c r="B116" s="71" t="s">
        <v>178</v>
      </c>
      <c r="C116" s="82">
        <v>0</v>
      </c>
      <c r="D116" s="82">
        <v>1</v>
      </c>
      <c r="E116" s="82">
        <v>0</v>
      </c>
      <c r="F116" s="82">
        <v>0</v>
      </c>
      <c r="G116" s="82">
        <v>0</v>
      </c>
      <c r="H116" s="82">
        <v>1</v>
      </c>
      <c r="I116" s="82">
        <v>0</v>
      </c>
      <c r="J116" s="82">
        <v>1</v>
      </c>
      <c r="K116" s="82">
        <v>0</v>
      </c>
      <c r="L116" s="82">
        <v>0</v>
      </c>
      <c r="M116" s="82">
        <v>0</v>
      </c>
      <c r="N116" s="82">
        <v>0</v>
      </c>
      <c r="O116" s="82"/>
      <c r="P116" s="82"/>
      <c r="Q116" s="82"/>
      <c r="R116" s="82"/>
      <c r="S116" s="82"/>
      <c r="T116" s="82"/>
      <c r="U116" s="8"/>
      <c r="V116" s="8"/>
      <c r="W116" s="8"/>
      <c r="X116" s="8"/>
      <c r="Y116" s="8"/>
      <c r="Z116" s="8"/>
      <c r="AA116" s="8"/>
      <c r="AB116" s="8"/>
      <c r="AC116" s="8"/>
    </row>
    <row r="117" spans="1:29">
      <c r="A117" s="68" t="s">
        <v>194</v>
      </c>
      <c r="B117" s="71" t="s">
        <v>188</v>
      </c>
      <c r="C117" s="82">
        <v>1</v>
      </c>
      <c r="D117" s="82">
        <v>1</v>
      </c>
      <c r="E117" s="82">
        <v>1</v>
      </c>
      <c r="F117" s="82">
        <v>1</v>
      </c>
      <c r="G117" s="82">
        <v>0</v>
      </c>
      <c r="H117" s="82">
        <v>0</v>
      </c>
      <c r="I117" s="82">
        <v>0</v>
      </c>
      <c r="J117" s="82">
        <v>0</v>
      </c>
      <c r="K117" s="82">
        <v>0</v>
      </c>
      <c r="L117" s="82">
        <v>1</v>
      </c>
      <c r="M117" s="82">
        <v>1</v>
      </c>
      <c r="N117" s="82">
        <v>0</v>
      </c>
      <c r="O117" s="82"/>
      <c r="P117" s="82"/>
      <c r="Q117" s="82"/>
      <c r="R117" s="82"/>
      <c r="S117" s="82"/>
      <c r="T117" s="82"/>
      <c r="U117" s="8"/>
      <c r="V117" s="8"/>
      <c r="W117" s="8"/>
      <c r="X117" s="8"/>
      <c r="Y117" s="8"/>
      <c r="Z117" s="8"/>
      <c r="AA117" s="8"/>
      <c r="AB117" s="8"/>
      <c r="AC117" s="8"/>
    </row>
    <row r="118" spans="1:29">
      <c r="A118" s="69" t="s">
        <v>184</v>
      </c>
      <c r="B118" s="71" t="s">
        <v>188</v>
      </c>
      <c r="C118" s="82">
        <v>1</v>
      </c>
      <c r="D118" s="82">
        <v>1</v>
      </c>
      <c r="E118" s="82">
        <v>1</v>
      </c>
      <c r="F118" s="82">
        <v>1</v>
      </c>
      <c r="G118" s="82">
        <v>0</v>
      </c>
      <c r="H118" s="82">
        <v>1</v>
      </c>
      <c r="I118" s="82">
        <v>0</v>
      </c>
      <c r="J118" s="82">
        <v>1</v>
      </c>
      <c r="K118" s="82">
        <v>1</v>
      </c>
      <c r="L118" s="82">
        <v>0</v>
      </c>
      <c r="M118" s="82">
        <v>0</v>
      </c>
      <c r="N118" s="82">
        <v>1</v>
      </c>
      <c r="O118" s="82"/>
      <c r="P118" s="82"/>
      <c r="Q118" s="82"/>
      <c r="R118" s="82"/>
      <c r="S118" s="82"/>
      <c r="T118" s="82"/>
      <c r="U118" s="8"/>
      <c r="V118" s="8"/>
      <c r="W118" s="8"/>
      <c r="X118" s="8"/>
      <c r="Y118" s="8"/>
      <c r="Z118" s="8"/>
      <c r="AA118" s="8"/>
      <c r="AB118" s="8"/>
      <c r="AC118" s="8"/>
    </row>
    <row r="119" spans="1:29">
      <c r="A119" s="69" t="s">
        <v>182</v>
      </c>
      <c r="B119" s="71" t="s">
        <v>188</v>
      </c>
      <c r="C119" s="82">
        <v>0</v>
      </c>
      <c r="D119" s="82">
        <v>1</v>
      </c>
      <c r="E119" s="82">
        <v>1</v>
      </c>
      <c r="F119" s="82">
        <v>1</v>
      </c>
      <c r="G119" s="82">
        <v>1</v>
      </c>
      <c r="H119" s="82">
        <v>1</v>
      </c>
      <c r="I119" s="82">
        <v>0</v>
      </c>
      <c r="J119" s="82">
        <v>0</v>
      </c>
      <c r="K119" s="82">
        <v>0</v>
      </c>
      <c r="L119" s="82">
        <v>0</v>
      </c>
      <c r="M119" s="82">
        <v>0</v>
      </c>
      <c r="N119" s="82">
        <v>0</v>
      </c>
      <c r="O119" s="82"/>
      <c r="P119" s="82"/>
      <c r="Q119" s="82"/>
      <c r="R119" s="82"/>
      <c r="S119" s="82"/>
      <c r="T119" s="82"/>
      <c r="U119" s="8"/>
      <c r="V119" s="8"/>
      <c r="W119" s="8"/>
      <c r="X119" s="8"/>
      <c r="Y119" s="8"/>
      <c r="Z119" s="8"/>
      <c r="AA119" s="8"/>
      <c r="AB119" s="8"/>
      <c r="AC119" s="8"/>
    </row>
    <row r="120" spans="1:29">
      <c r="A120" s="69" t="s">
        <v>181</v>
      </c>
      <c r="B120" s="71" t="s">
        <v>188</v>
      </c>
      <c r="C120" s="82">
        <v>1</v>
      </c>
      <c r="D120" s="82">
        <v>1</v>
      </c>
      <c r="E120" s="82">
        <v>1</v>
      </c>
      <c r="F120" s="82">
        <v>1</v>
      </c>
      <c r="G120" s="82">
        <v>1</v>
      </c>
      <c r="H120" s="82">
        <v>1</v>
      </c>
      <c r="I120" s="82">
        <v>0</v>
      </c>
      <c r="J120" s="82">
        <v>1</v>
      </c>
      <c r="K120" s="82">
        <v>1</v>
      </c>
      <c r="L120" s="82">
        <v>0</v>
      </c>
      <c r="M120" s="82">
        <v>0</v>
      </c>
      <c r="N120" s="82">
        <v>1</v>
      </c>
      <c r="O120" s="82"/>
      <c r="P120" s="82"/>
      <c r="Q120" s="82"/>
      <c r="R120" s="82"/>
      <c r="S120" s="82"/>
      <c r="T120" s="82"/>
      <c r="U120" s="8"/>
      <c r="V120" s="8"/>
      <c r="W120" s="8"/>
      <c r="X120" s="8"/>
      <c r="Y120" s="8"/>
      <c r="Z120" s="8"/>
      <c r="AA120" s="8"/>
      <c r="AB120" s="8"/>
      <c r="AC120" s="8"/>
    </row>
    <row r="121" spans="1:29">
      <c r="A121" s="69" t="s">
        <v>179</v>
      </c>
      <c r="B121" s="71" t="s">
        <v>188</v>
      </c>
      <c r="C121" s="82">
        <v>0</v>
      </c>
      <c r="D121" s="82">
        <v>1</v>
      </c>
      <c r="E121" s="82">
        <v>0</v>
      </c>
      <c r="F121" s="82">
        <v>1</v>
      </c>
      <c r="G121" s="82">
        <v>1</v>
      </c>
      <c r="H121" s="82">
        <v>1</v>
      </c>
      <c r="I121" s="82">
        <v>0</v>
      </c>
      <c r="J121" s="82">
        <v>0</v>
      </c>
      <c r="K121" s="82">
        <v>0</v>
      </c>
      <c r="L121" s="82">
        <v>0</v>
      </c>
      <c r="M121" s="82">
        <v>0</v>
      </c>
      <c r="N121" s="82">
        <v>0</v>
      </c>
      <c r="O121" s="82"/>
      <c r="P121" s="82"/>
      <c r="Q121" s="82"/>
      <c r="R121" s="82"/>
      <c r="S121" s="82"/>
      <c r="T121" s="82"/>
      <c r="U121" s="8"/>
      <c r="V121" s="8"/>
      <c r="W121" s="8"/>
      <c r="X121" s="8"/>
      <c r="Y121" s="8"/>
      <c r="Z121" s="8"/>
      <c r="AA121" s="8"/>
      <c r="AB121" s="8"/>
      <c r="AC121" s="8"/>
    </row>
    <row r="122" spans="1:29">
      <c r="A122" s="69" t="s">
        <v>185</v>
      </c>
      <c r="B122" s="71" t="s">
        <v>188</v>
      </c>
      <c r="C122" s="82">
        <v>0</v>
      </c>
      <c r="D122" s="82">
        <v>0</v>
      </c>
      <c r="E122" s="82">
        <v>0</v>
      </c>
      <c r="F122" s="82">
        <v>0</v>
      </c>
      <c r="G122" s="82">
        <v>0</v>
      </c>
      <c r="H122" s="82">
        <v>1</v>
      </c>
      <c r="I122" s="82">
        <v>0</v>
      </c>
      <c r="J122" s="82">
        <v>0</v>
      </c>
      <c r="K122" s="82">
        <v>0</v>
      </c>
      <c r="L122" s="82">
        <v>0</v>
      </c>
      <c r="M122" s="82">
        <v>0</v>
      </c>
      <c r="N122" s="82">
        <v>1</v>
      </c>
      <c r="O122" s="82"/>
      <c r="P122" s="82"/>
      <c r="Q122" s="82"/>
      <c r="R122" s="82"/>
      <c r="S122" s="82"/>
      <c r="T122" s="82"/>
      <c r="U122" s="8"/>
      <c r="V122" s="8"/>
      <c r="W122" s="8"/>
      <c r="X122" s="8"/>
      <c r="Y122" s="8"/>
      <c r="Z122" s="8"/>
      <c r="AA122" s="8"/>
      <c r="AB122" s="8"/>
      <c r="AC122" s="8"/>
    </row>
    <row r="123" spans="1:29">
      <c r="A123" s="70" t="s">
        <v>187</v>
      </c>
      <c r="B123" s="71" t="s">
        <v>188</v>
      </c>
      <c r="C123" s="82">
        <v>1</v>
      </c>
      <c r="D123" s="82">
        <v>0</v>
      </c>
      <c r="E123" s="82">
        <v>1</v>
      </c>
      <c r="F123" s="82">
        <v>1</v>
      </c>
      <c r="G123" s="82">
        <v>0</v>
      </c>
      <c r="H123" s="82">
        <v>1</v>
      </c>
      <c r="I123" s="82">
        <v>1</v>
      </c>
      <c r="J123" s="82">
        <v>1</v>
      </c>
      <c r="K123" s="82">
        <v>1</v>
      </c>
      <c r="L123" s="82">
        <v>1</v>
      </c>
      <c r="M123" s="82">
        <v>1</v>
      </c>
      <c r="N123" s="82">
        <v>1</v>
      </c>
      <c r="O123" s="82"/>
      <c r="P123" s="82"/>
      <c r="Q123" s="82"/>
      <c r="R123" s="82"/>
      <c r="S123" s="82"/>
      <c r="T123" s="82"/>
      <c r="U123" s="8"/>
      <c r="V123" s="8"/>
      <c r="W123" s="8"/>
      <c r="X123" s="8"/>
      <c r="Y123" s="8"/>
      <c r="Z123" s="8"/>
      <c r="AA123" s="8"/>
      <c r="AB123" s="8"/>
      <c r="AC123" s="8"/>
    </row>
    <row r="124" spans="1:29">
      <c r="A124" s="69" t="s">
        <v>186</v>
      </c>
      <c r="B124" s="71" t="s">
        <v>188</v>
      </c>
      <c r="C124" s="82">
        <v>1</v>
      </c>
      <c r="D124" s="82">
        <v>1</v>
      </c>
      <c r="E124" s="82">
        <v>1</v>
      </c>
      <c r="F124" s="82">
        <v>1</v>
      </c>
      <c r="G124" s="82">
        <v>1</v>
      </c>
      <c r="H124" s="82">
        <v>1</v>
      </c>
      <c r="I124" s="82">
        <v>1</v>
      </c>
      <c r="J124" s="82">
        <v>1</v>
      </c>
      <c r="K124" s="82">
        <v>1</v>
      </c>
      <c r="L124" s="82">
        <v>1</v>
      </c>
      <c r="M124" s="82">
        <v>1</v>
      </c>
      <c r="N124" s="82">
        <v>1</v>
      </c>
      <c r="O124" s="82"/>
      <c r="P124" s="82"/>
      <c r="Q124" s="82"/>
      <c r="R124" s="82"/>
      <c r="S124" s="82"/>
      <c r="T124" s="82"/>
      <c r="U124" s="8"/>
      <c r="V124" s="8"/>
      <c r="W124" s="8"/>
      <c r="X124" s="8"/>
      <c r="Y124" s="8"/>
      <c r="Z124" s="8"/>
      <c r="AA124" s="8"/>
      <c r="AB124" s="8"/>
      <c r="AC124" s="8"/>
    </row>
    <row r="125" spans="1:29">
      <c r="A125" s="69" t="s">
        <v>183</v>
      </c>
      <c r="B125" s="71" t="s">
        <v>188</v>
      </c>
      <c r="C125" s="82" t="s">
        <v>207</v>
      </c>
      <c r="D125" s="82" t="s">
        <v>207</v>
      </c>
      <c r="E125" s="82" t="s">
        <v>207</v>
      </c>
      <c r="F125" s="82" t="s">
        <v>207</v>
      </c>
      <c r="G125" s="82" t="s">
        <v>207</v>
      </c>
      <c r="H125" s="82" t="s">
        <v>207</v>
      </c>
      <c r="I125" s="82">
        <v>0</v>
      </c>
      <c r="J125" s="82">
        <v>0</v>
      </c>
      <c r="K125" s="82">
        <v>0</v>
      </c>
      <c r="L125" s="82">
        <v>0</v>
      </c>
      <c r="M125" s="82">
        <v>0</v>
      </c>
      <c r="N125" s="82">
        <v>0</v>
      </c>
      <c r="O125" s="82"/>
      <c r="P125" s="82"/>
      <c r="Q125" s="82"/>
      <c r="R125" s="82"/>
      <c r="S125" s="82"/>
      <c r="T125" s="82"/>
      <c r="U125" s="8"/>
      <c r="V125" s="8"/>
      <c r="W125" s="8"/>
      <c r="X125" s="8"/>
      <c r="Y125" s="8"/>
      <c r="Z125" s="8"/>
      <c r="AA125" s="8"/>
      <c r="AB125" s="8"/>
      <c r="AC125" s="8"/>
    </row>
    <row r="126" spans="1:29">
      <c r="A126" s="69" t="s">
        <v>180</v>
      </c>
      <c r="B126" s="71" t="s">
        <v>188</v>
      </c>
      <c r="C126" s="82">
        <v>0</v>
      </c>
      <c r="D126" s="82">
        <v>1</v>
      </c>
      <c r="E126" s="82">
        <v>0</v>
      </c>
      <c r="F126" s="82">
        <v>0</v>
      </c>
      <c r="G126" s="82">
        <v>0</v>
      </c>
      <c r="H126" s="82">
        <v>0</v>
      </c>
      <c r="I126" s="82" t="s">
        <v>207</v>
      </c>
      <c r="J126" s="82" t="s">
        <v>207</v>
      </c>
      <c r="K126" s="82" t="s">
        <v>207</v>
      </c>
      <c r="L126" s="82" t="s">
        <v>207</v>
      </c>
      <c r="M126" s="82" t="s">
        <v>207</v>
      </c>
      <c r="N126" s="82" t="s">
        <v>207</v>
      </c>
      <c r="O126" s="82"/>
      <c r="P126" s="82"/>
      <c r="Q126" s="82"/>
      <c r="R126" s="82"/>
      <c r="S126" s="82"/>
      <c r="T126" s="82"/>
      <c r="U126" s="8"/>
      <c r="V126" s="8"/>
      <c r="W126" s="8"/>
      <c r="X126" s="8"/>
      <c r="Y126" s="8"/>
      <c r="Z126" s="8"/>
      <c r="AA126" s="8"/>
      <c r="AB126" s="8"/>
      <c r="AC126" s="8"/>
    </row>
    <row r="127" spans="1:2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3:2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3:29">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3:2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3:29">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3:2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3:29">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3:2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3:29">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3:2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3:29">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3:2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3:29">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3:2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3:29">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3:2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3:29">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3:2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3:29">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3:2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3:29">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3:2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3:29">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3:2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3:29">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3:2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3:29">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3:2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3:29">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3:2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3:29">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3:2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3:29">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3:2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3:29">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3:2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3:29">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3:2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3:29">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3:2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sheetData>
  <autoFilter ref="A77:BJ126">
    <sortState ref="A68:BJ116">
      <sortCondition ref="B67:B116"/>
    </sortState>
  </autoFilter>
  <mergeCells count="22">
    <mergeCell ref="A76:B76"/>
    <mergeCell ref="AM76:AR76"/>
    <mergeCell ref="AS76:AX76"/>
    <mergeCell ref="AY76:BD76"/>
    <mergeCell ref="BE76:BJ76"/>
    <mergeCell ref="C76:H76"/>
    <mergeCell ref="I76:N76"/>
    <mergeCell ref="O76:T76"/>
    <mergeCell ref="U76:Z76"/>
    <mergeCell ref="AA76:AF76"/>
    <mergeCell ref="AG76:AL76"/>
    <mergeCell ref="B9:H9"/>
    <mergeCell ref="G2:H2"/>
    <mergeCell ref="J3:K3"/>
    <mergeCell ref="M3:N3"/>
    <mergeCell ref="J4:K4"/>
    <mergeCell ref="M4:N4"/>
    <mergeCell ref="A3:H3"/>
    <mergeCell ref="B5:H5"/>
    <mergeCell ref="B6:H6"/>
    <mergeCell ref="B7:H7"/>
    <mergeCell ref="B8:H8"/>
  </mergeCells>
  <conditionalFormatting sqref="C14:H43">
    <cfRule type="expression" dxfId="119" priority="2">
      <formula>ISERROR(C14)</formula>
    </cfRule>
  </conditionalFormatting>
  <conditionalFormatting sqref="C44:H73">
    <cfRule type="expression" dxfId="118" priority="1">
      <formula>ISERROR(C44)</formula>
    </cfRule>
  </conditionalFormatting>
  <hyperlinks>
    <hyperlink ref="G2" location="'Information och Innehåll'!A1" display="Tillbaka till Information och Innehåll"/>
    <hyperlink ref="J6" location="V1.1.1!A1" display="V1.1.1"/>
    <hyperlink ref="J7" location="V1.1.2!A1" display="V1.1.2"/>
    <hyperlink ref="J8" location="V1.1.3!A1" display="V1.1.3"/>
    <hyperlink ref="J9" location="V2.1.1!A1" display="V2.1.1"/>
    <hyperlink ref="J10" location="V2.1.2!A1" display="V2.1.2"/>
    <hyperlink ref="J12" location="V3.1.2!A1" display="V3.1.2"/>
    <hyperlink ref="J11" location="V3.1.1!A1" display="V3.1.1"/>
    <hyperlink ref="J13" location="V3.1.3!A1" display="V3.1.3"/>
    <hyperlink ref="J15" location="V4.1.1!A1" display="V4.1.1"/>
    <hyperlink ref="J16" location="V4.2.1!A1" display="V4.2.1"/>
    <hyperlink ref="J17" location="V4.2.2!A1" display="V4.2.2"/>
    <hyperlink ref="J18" location="V4.2.3!A1" display="V4.2.3"/>
    <hyperlink ref="J19" location="V4.2.4!A1" display="V4.2.4"/>
    <hyperlink ref="J20" location="V5.1.1!A1" display="V5.1.1"/>
    <hyperlink ref="J21" location="V5.1.2!A1" display="V5.1.2"/>
    <hyperlink ref="K6" location="B1.1.1!A1" display="B1.1.1"/>
    <hyperlink ref="K7" location="B1.1.2!A1" display="B1.1.2"/>
    <hyperlink ref="K8" location="B1.2.1!A1" display="B1.2.1"/>
    <hyperlink ref="K9" location="B1.2.2!A1" display="B1.2.2"/>
    <hyperlink ref="K10" location="B1.2.3!A1" display="B1.2.3"/>
    <hyperlink ref="K11" location="B2.1.1!A1" display="B2.1.1"/>
    <hyperlink ref="K13" location="B2.2.1!A1" display="B2.2.1"/>
    <hyperlink ref="K14" location="B2.2.2!A1" display="B2.2.2"/>
    <hyperlink ref="K15" location="B2.2.3!A1" display="B2.2.3"/>
    <hyperlink ref="K16" location="B2.2.4!A1" display="B2.2.4"/>
    <hyperlink ref="K17" location="B3.1.1!A1" display="B3.1.1"/>
    <hyperlink ref="K18" location="B3.1.2!A1" display="B3.1.2"/>
    <hyperlink ref="K21" location="B4.1.1!A1" display="B4.1.1"/>
    <hyperlink ref="K22" location="B5.1.1!A1" display="B5.1.1"/>
    <hyperlink ref="K23" location="B5.1.2!A1" display="B5.1.2"/>
    <hyperlink ref="K24" location="B5.1.3!A1" display="B5.1.3"/>
    <hyperlink ref="K19" location="B3.1.3!A1" display="B3.1.3"/>
    <hyperlink ref="K12" location="B2.1.2!A1" display="B2.1.2"/>
    <hyperlink ref="J22" location="V5.1.3!A1" display="V5.1.3"/>
    <hyperlink ref="K20" location="B3.2.1!A1" display="B3.2.1"/>
    <hyperlink ref="J14" location="B3.2.1!A1" display="V3.2.1"/>
    <hyperlink ref="M6" location="'V1.1.1 DATA'!A1" display="V1.1.1"/>
    <hyperlink ref="M7" location="'V1.1.2 DATA'!A1" display="V1.1.2"/>
    <hyperlink ref="M8" location="'V1.1.3 Data'!A1" display="V1.1.3"/>
    <hyperlink ref="M9" location="'V2.1.1 DATA'!A1" display="V2.1.1"/>
    <hyperlink ref="M10" location="'V2.1.2 DATA'!A1" display="V2.1.2"/>
    <hyperlink ref="M12" location="'V3.1.2 DATA'!A1" display="V3.1.2"/>
    <hyperlink ref="M11" location="'V3.1.1 DATA'!A1" display="V3.1.1"/>
    <hyperlink ref="M13" location="'V3.1.3 DATA'!A1" display="V3.1.3"/>
    <hyperlink ref="M14" location="'V3.2.1 DATA'!A1" display="V3.2.1"/>
    <hyperlink ref="M15" location="'V4.1.1 DATA'!A1" display="V4.1.1"/>
    <hyperlink ref="M16" location="'V4.2.1 DATA'!A1" display="V4.2.1"/>
    <hyperlink ref="M18" location="'V4.2.3 DATA'!A1" display="V4.2.3"/>
    <hyperlink ref="M19" location="'V4.2.4 DATA'!A1" display="V4.2.4"/>
    <hyperlink ref="M20" location="'V5.1.1 DATA'!A1" display="V5.1.1"/>
    <hyperlink ref="M21" location="'V5.1.2 DATA'!A1" display="V5.1.2"/>
    <hyperlink ref="N6" location="'B1.1.1 DATA'!A1" display="B1.1.1"/>
    <hyperlink ref="N7" location="'B1.1.2 DATA'!A1" display="B1.1.2"/>
    <hyperlink ref="N8" location="'B1.2.1 DATA'!A1" display="B1.2.1"/>
    <hyperlink ref="N9" location="'B1.2.2 DATA'!A1" display="B1.2.2"/>
    <hyperlink ref="N10" location="'B1.2.3 DATA'!A1" display="B1.2.3"/>
    <hyperlink ref="N11" location="'B2.1.1 DATA'!A1" display="B2.1.1"/>
    <hyperlink ref="N13" location="'B2.2.1 DATA'!A1" display="B2.2.1"/>
    <hyperlink ref="N14" location="'B2.2.2 DATA'!A1" display="B2.2.2"/>
    <hyperlink ref="N15" location="'B2.2.3 DATA'!A1" display="B2.2.3"/>
    <hyperlink ref="N16" location="'B2.2.4 DATA'!A1" display="B2.2.4"/>
    <hyperlink ref="N17" location="'B3.1.1 DATA'!A1" display="B3.1.1"/>
    <hyperlink ref="N18" location="'B3.1.2 DATA'!A1" display="B3.1.2"/>
    <hyperlink ref="N20" location="'B3.2.1 DATA'!A1" display="B3.2.1"/>
    <hyperlink ref="N21" location="'B4.1.1 DATA'!A1" display="B4.1.1"/>
    <hyperlink ref="N22" location="'B5.1.1 DATA'!A1" display="B5.1.1"/>
    <hyperlink ref="N23" location="'B5.1.2 DATA'!A1" display="B5.1.2"/>
    <hyperlink ref="N24" location="'B5.1.3 DATA'!A1" display="B5.1.3"/>
    <hyperlink ref="N12" location="'B2.1.2 DATA'!A1" display="B2.1.2"/>
    <hyperlink ref="M22" location="'V5.1.3 DATA'!A1" display="V5.1.3"/>
    <hyperlink ref="N19" location="'B3.1.3 DATA'!A1" display="B3.1.3"/>
    <hyperlink ref="M17" location="'V4.2.2 DATA'!A1" display="V4.2.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B49073"/>
  </sheetPr>
  <dimension ref="A1:W97"/>
  <sheetViews>
    <sheetView showGridLines="0" showRowColHeaders="0" zoomScale="70" zoomScaleNormal="70" workbookViewId="0"/>
  </sheetViews>
  <sheetFormatPr defaultRowHeight="14.25"/>
  <cols>
    <col min="1" max="1" width="5.796875" customWidth="1"/>
    <col min="2" max="17" width="12.796875" customWidth="1"/>
    <col min="18" max="18" width="5.796875" customWidth="1"/>
    <col min="19" max="20" width="12.796875" customWidth="1"/>
    <col min="21" max="21" width="2.796875" customWidth="1"/>
    <col min="22" max="23" width="12.796875" customWidth="1"/>
  </cols>
  <sheetData>
    <row r="1" spans="1:23" ht="15.75">
      <c r="A1" s="16" t="s">
        <v>302</v>
      </c>
    </row>
    <row r="2" spans="1:23" ht="15.75">
      <c r="A2" s="26" t="s">
        <v>35</v>
      </c>
      <c r="C2" s="27">
        <v>42977</v>
      </c>
      <c r="N2" s="342" t="s">
        <v>44</v>
      </c>
      <c r="O2" s="342"/>
      <c r="P2" s="342"/>
      <c r="Q2" s="342"/>
    </row>
    <row r="3" spans="1:23" ht="23.65" thickBot="1">
      <c r="A3" s="343" t="s">
        <v>7</v>
      </c>
      <c r="B3" s="343"/>
      <c r="C3" s="343"/>
      <c r="D3" s="343"/>
      <c r="E3" s="343"/>
      <c r="F3" s="343"/>
      <c r="G3" s="343"/>
      <c r="H3" s="343"/>
      <c r="I3" s="343"/>
      <c r="J3" s="343"/>
      <c r="K3" s="343"/>
      <c r="L3" s="343"/>
      <c r="M3" s="343"/>
      <c r="N3" s="343"/>
      <c r="O3" s="343"/>
      <c r="P3" s="343"/>
      <c r="Q3" s="343"/>
      <c r="S3" s="321" t="s">
        <v>46</v>
      </c>
      <c r="T3" s="321"/>
      <c r="U3" s="11"/>
      <c r="V3" s="318" t="s">
        <v>46</v>
      </c>
      <c r="W3" s="318"/>
    </row>
    <row r="4" spans="1:23">
      <c r="A4" s="119"/>
      <c r="B4" s="119"/>
      <c r="C4" s="119"/>
      <c r="D4" s="119"/>
      <c r="E4" s="119"/>
      <c r="F4" s="119"/>
      <c r="G4" s="119"/>
      <c r="H4" s="119"/>
      <c r="I4" s="119"/>
      <c r="J4" s="119"/>
      <c r="K4" s="119"/>
      <c r="L4" s="119"/>
      <c r="M4" s="119"/>
      <c r="N4" s="119"/>
      <c r="O4" s="119"/>
      <c r="P4" s="119"/>
      <c r="Q4" s="119"/>
      <c r="S4" s="319" t="s">
        <v>65</v>
      </c>
      <c r="T4" s="320"/>
      <c r="U4" s="11"/>
      <c r="V4" s="319" t="s">
        <v>66</v>
      </c>
      <c r="W4" s="320"/>
    </row>
    <row r="5" spans="1:23">
      <c r="A5" s="119"/>
      <c r="B5" s="337" t="s">
        <v>374</v>
      </c>
      <c r="C5" s="337"/>
      <c r="D5" s="337"/>
      <c r="E5" s="337"/>
      <c r="F5" s="337"/>
      <c r="G5" s="337"/>
      <c r="H5" s="337"/>
      <c r="I5" s="337"/>
      <c r="J5" s="337"/>
      <c r="K5" s="337"/>
      <c r="L5" s="119"/>
      <c r="M5" s="119"/>
      <c r="N5" s="119"/>
      <c r="O5" s="119"/>
      <c r="P5" s="119"/>
      <c r="Q5" s="119"/>
      <c r="S5" s="56" t="s">
        <v>61</v>
      </c>
      <c r="T5" s="56" t="s">
        <v>62</v>
      </c>
      <c r="U5" s="11"/>
      <c r="V5" s="56" t="s">
        <v>61</v>
      </c>
      <c r="W5" s="56" t="s">
        <v>62</v>
      </c>
    </row>
    <row r="6" spans="1:23">
      <c r="A6" s="119"/>
      <c r="B6" s="337" t="s">
        <v>330</v>
      </c>
      <c r="C6" s="337"/>
      <c r="D6" s="337"/>
      <c r="E6" s="337"/>
      <c r="F6" s="337"/>
      <c r="G6" s="337"/>
      <c r="H6" s="337"/>
      <c r="I6" s="337"/>
      <c r="J6" s="337"/>
      <c r="K6" s="337"/>
      <c r="L6" s="119"/>
      <c r="M6" s="119"/>
      <c r="N6" s="119"/>
      <c r="O6" s="119"/>
      <c r="P6" s="119"/>
      <c r="Q6" s="119"/>
      <c r="S6" s="244" t="s">
        <v>392</v>
      </c>
      <c r="T6" s="244" t="s">
        <v>448</v>
      </c>
      <c r="U6" s="11"/>
      <c r="V6" s="244" t="s">
        <v>392</v>
      </c>
      <c r="W6" s="244" t="s">
        <v>448</v>
      </c>
    </row>
    <row r="7" spans="1:23">
      <c r="A7" s="119"/>
      <c r="B7" s="333" t="s">
        <v>505</v>
      </c>
      <c r="C7" s="333"/>
      <c r="D7" s="333"/>
      <c r="E7" s="333"/>
      <c r="F7" s="333"/>
      <c r="G7" s="333"/>
      <c r="H7" s="333"/>
      <c r="I7" s="333"/>
      <c r="J7" s="333"/>
      <c r="K7" s="333"/>
      <c r="L7" s="119"/>
      <c r="M7" s="119"/>
      <c r="N7" s="119"/>
      <c r="O7" s="119"/>
      <c r="P7" s="119"/>
      <c r="Q7" s="119"/>
      <c r="S7" s="244" t="s">
        <v>393</v>
      </c>
      <c r="T7" s="244" t="s">
        <v>449</v>
      </c>
      <c r="U7" s="11"/>
      <c r="V7" s="244" t="s">
        <v>393</v>
      </c>
      <c r="W7" s="244" t="s">
        <v>449</v>
      </c>
    </row>
    <row r="8" spans="1:23">
      <c r="A8" s="119"/>
      <c r="B8" s="333" t="s">
        <v>506</v>
      </c>
      <c r="C8" s="333"/>
      <c r="D8" s="333"/>
      <c r="E8" s="333"/>
      <c r="F8" s="333"/>
      <c r="G8" s="333"/>
      <c r="H8" s="333"/>
      <c r="I8" s="333"/>
      <c r="J8" s="333"/>
      <c r="K8" s="333"/>
      <c r="L8" s="119"/>
      <c r="M8" s="119"/>
      <c r="N8" s="119"/>
      <c r="O8" s="119"/>
      <c r="P8" s="119"/>
      <c r="Q8" s="119"/>
      <c r="S8" s="244" t="s">
        <v>394</v>
      </c>
      <c r="T8" s="244" t="s">
        <v>450</v>
      </c>
      <c r="U8" s="11"/>
      <c r="V8" s="244" t="s">
        <v>394</v>
      </c>
      <c r="W8" s="244" t="s">
        <v>450</v>
      </c>
    </row>
    <row r="9" spans="1:23">
      <c r="A9" s="119"/>
      <c r="B9" s="119"/>
      <c r="C9" s="119"/>
      <c r="D9" s="119"/>
      <c r="E9" s="119"/>
      <c r="F9" s="119"/>
      <c r="G9" s="119"/>
      <c r="H9" s="119"/>
      <c r="I9" s="119"/>
      <c r="J9" s="119"/>
      <c r="K9" s="119"/>
      <c r="L9" s="119"/>
      <c r="M9" s="119"/>
      <c r="N9" s="119"/>
      <c r="O9" s="119"/>
      <c r="P9" s="119"/>
      <c r="Q9" s="119"/>
      <c r="S9" s="244" t="s">
        <v>434</v>
      </c>
      <c r="T9" s="244" t="s">
        <v>451</v>
      </c>
      <c r="U9" s="11"/>
      <c r="V9" s="244" t="s">
        <v>434</v>
      </c>
      <c r="W9" s="244" t="s">
        <v>451</v>
      </c>
    </row>
    <row r="10" spans="1:23" ht="15.75">
      <c r="R10" s="50"/>
      <c r="S10" s="244" t="s">
        <v>435</v>
      </c>
      <c r="T10" s="244" t="s">
        <v>452</v>
      </c>
      <c r="V10" s="244" t="s">
        <v>435</v>
      </c>
      <c r="W10" s="244" t="s">
        <v>452</v>
      </c>
    </row>
    <row r="11" spans="1:23">
      <c r="A11" s="130" t="s">
        <v>2</v>
      </c>
      <c r="B11" s="130" t="s">
        <v>3</v>
      </c>
      <c r="C11" s="130" t="s">
        <v>9</v>
      </c>
      <c r="D11" s="130" t="s">
        <v>10</v>
      </c>
      <c r="E11" s="130" t="s">
        <v>11</v>
      </c>
      <c r="F11" s="130" t="s">
        <v>12</v>
      </c>
      <c r="G11" s="130" t="s">
        <v>13</v>
      </c>
      <c r="H11" s="130" t="s">
        <v>14</v>
      </c>
      <c r="I11" s="130" t="s">
        <v>15</v>
      </c>
      <c r="J11" s="130" t="s">
        <v>16</v>
      </c>
      <c r="K11" s="130" t="s">
        <v>17</v>
      </c>
      <c r="L11" s="130" t="s">
        <v>18</v>
      </c>
      <c r="M11" s="130" t="s">
        <v>19</v>
      </c>
      <c r="N11" s="130" t="s">
        <v>20</v>
      </c>
      <c r="O11" s="130" t="s">
        <v>21</v>
      </c>
      <c r="P11" s="130" t="s">
        <v>4</v>
      </c>
      <c r="Q11" s="130" t="s">
        <v>53</v>
      </c>
      <c r="S11" s="244" t="s">
        <v>436</v>
      </c>
      <c r="T11" s="244" t="s">
        <v>453</v>
      </c>
      <c r="V11" s="244" t="s">
        <v>436</v>
      </c>
      <c r="W11" s="244" t="s">
        <v>453</v>
      </c>
    </row>
    <row r="12" spans="1:23">
      <c r="A12" s="15">
        <v>2010</v>
      </c>
      <c r="B12" s="15" t="s">
        <v>5</v>
      </c>
      <c r="C12" s="15">
        <v>11.03</v>
      </c>
      <c r="D12" s="15">
        <v>28.6</v>
      </c>
      <c r="E12" s="15">
        <v>15.62</v>
      </c>
      <c r="F12" s="15">
        <v>11.08</v>
      </c>
      <c r="G12" s="15">
        <v>14.2</v>
      </c>
      <c r="H12" s="15">
        <v>22.18</v>
      </c>
      <c r="I12" s="15">
        <v>26.12</v>
      </c>
      <c r="J12" s="15">
        <v>20.97</v>
      </c>
      <c r="K12" s="15">
        <v>19.670000000000002</v>
      </c>
      <c r="L12" s="15">
        <v>18.84</v>
      </c>
      <c r="M12" s="15">
        <v>16.670000000000002</v>
      </c>
      <c r="N12" s="15">
        <v>4.42</v>
      </c>
      <c r="O12" s="15">
        <v>41.09</v>
      </c>
      <c r="P12" s="15">
        <v>56.96</v>
      </c>
      <c r="Q12" s="15">
        <v>19.600000000000001</v>
      </c>
      <c r="S12" s="244" t="s">
        <v>437</v>
      </c>
      <c r="T12" s="245" t="s">
        <v>454</v>
      </c>
      <c r="V12" s="244" t="s">
        <v>437</v>
      </c>
      <c r="W12" s="245" t="s">
        <v>454</v>
      </c>
    </row>
    <row r="13" spans="1:23">
      <c r="A13" s="8">
        <v>2010</v>
      </c>
      <c r="B13" s="8" t="s">
        <v>6</v>
      </c>
      <c r="C13" s="8">
        <v>9.59</v>
      </c>
      <c r="D13" s="8">
        <v>2.0099999999999998</v>
      </c>
      <c r="E13" s="8">
        <v>4.09</v>
      </c>
      <c r="F13" s="8">
        <v>5.76</v>
      </c>
      <c r="G13" s="8">
        <v>7.36</v>
      </c>
      <c r="H13" s="8">
        <v>5.75</v>
      </c>
      <c r="I13" s="8">
        <v>14.36</v>
      </c>
      <c r="J13" s="8">
        <v>8.39</v>
      </c>
      <c r="K13" s="8">
        <v>19.86</v>
      </c>
      <c r="L13" s="8">
        <v>14.1</v>
      </c>
      <c r="M13" s="8">
        <v>3.07</v>
      </c>
      <c r="N13" s="8">
        <v>3.58</v>
      </c>
      <c r="O13" s="8" t="s">
        <v>22</v>
      </c>
      <c r="P13" s="8">
        <v>10.8</v>
      </c>
      <c r="Q13" s="8">
        <v>8.18</v>
      </c>
      <c r="S13" s="244" t="s">
        <v>438</v>
      </c>
      <c r="T13" s="244" t="s">
        <v>455</v>
      </c>
      <c r="V13" s="244" t="s">
        <v>438</v>
      </c>
      <c r="W13" s="244" t="s">
        <v>455</v>
      </c>
    </row>
    <row r="14" spans="1:23">
      <c r="A14" s="14">
        <v>2010</v>
      </c>
      <c r="B14" s="14" t="s">
        <v>42</v>
      </c>
      <c r="C14" s="14">
        <v>10.32</v>
      </c>
      <c r="D14" s="14">
        <v>15.64</v>
      </c>
      <c r="E14" s="14">
        <v>9.99</v>
      </c>
      <c r="F14" s="14">
        <v>8.4700000000000006</v>
      </c>
      <c r="G14" s="14">
        <v>10.84</v>
      </c>
      <c r="H14" s="14">
        <v>14.11</v>
      </c>
      <c r="I14" s="14">
        <v>20.3</v>
      </c>
      <c r="J14" s="14">
        <v>14.68</v>
      </c>
      <c r="K14" s="14">
        <v>19.760000000000002</v>
      </c>
      <c r="L14" s="14">
        <v>16.46</v>
      </c>
      <c r="M14" s="14">
        <v>9.58</v>
      </c>
      <c r="N14" s="14">
        <v>3.95</v>
      </c>
      <c r="O14" s="14">
        <v>17.05</v>
      </c>
      <c r="P14" s="14">
        <v>26.3</v>
      </c>
      <c r="Q14" s="14">
        <v>13.82</v>
      </c>
      <c r="S14" s="245" t="s">
        <v>439</v>
      </c>
      <c r="T14" s="244" t="s">
        <v>456</v>
      </c>
      <c r="V14" s="244" t="s">
        <v>439</v>
      </c>
      <c r="W14" s="244" t="s">
        <v>456</v>
      </c>
    </row>
    <row r="15" spans="1:23">
      <c r="A15" s="15">
        <v>2011</v>
      </c>
      <c r="B15" s="15" t="s">
        <v>5</v>
      </c>
      <c r="C15" s="15">
        <v>17.82</v>
      </c>
      <c r="D15" s="15">
        <v>13.09</v>
      </c>
      <c r="E15" s="15">
        <v>9.73</v>
      </c>
      <c r="F15" s="15">
        <v>20.399999999999999</v>
      </c>
      <c r="G15" s="15">
        <v>16.3</v>
      </c>
      <c r="H15" s="15">
        <v>17.89</v>
      </c>
      <c r="I15" s="15">
        <v>22.1</v>
      </c>
      <c r="J15" s="15">
        <v>27.16</v>
      </c>
      <c r="K15" s="15">
        <v>16.079999999999998</v>
      </c>
      <c r="L15" s="15">
        <v>19.95</v>
      </c>
      <c r="M15" s="15">
        <v>16.190000000000001</v>
      </c>
      <c r="N15" s="15">
        <v>17.55</v>
      </c>
      <c r="O15" s="15">
        <v>23.42</v>
      </c>
      <c r="P15" s="15">
        <v>21</v>
      </c>
      <c r="Q15" s="15">
        <v>18.059999999999999</v>
      </c>
      <c r="S15" s="244" t="s">
        <v>440</v>
      </c>
      <c r="T15" s="244" t="s">
        <v>457</v>
      </c>
      <c r="V15" s="244" t="s">
        <v>440</v>
      </c>
      <c r="W15" s="244" t="s">
        <v>457</v>
      </c>
    </row>
    <row r="16" spans="1:23">
      <c r="A16" s="8">
        <v>2011</v>
      </c>
      <c r="B16" s="8" t="s">
        <v>6</v>
      </c>
      <c r="C16" s="8">
        <v>5.56</v>
      </c>
      <c r="D16" s="8">
        <v>5.92</v>
      </c>
      <c r="E16" s="8">
        <v>4.07</v>
      </c>
      <c r="F16" s="8">
        <v>7.73</v>
      </c>
      <c r="G16" s="8">
        <v>11.2</v>
      </c>
      <c r="H16" s="8">
        <v>16.72</v>
      </c>
      <c r="I16" s="8">
        <v>12.31</v>
      </c>
      <c r="J16" s="8">
        <v>6.28</v>
      </c>
      <c r="K16" s="8">
        <v>16.13</v>
      </c>
      <c r="L16" s="8">
        <v>15.5</v>
      </c>
      <c r="M16" s="8">
        <v>12.02</v>
      </c>
      <c r="N16" s="8">
        <v>7.21</v>
      </c>
      <c r="O16" s="8">
        <v>8.3800000000000008</v>
      </c>
      <c r="P16" s="8">
        <v>3.58</v>
      </c>
      <c r="Q16" s="8">
        <v>9.73</v>
      </c>
      <c r="S16" s="244" t="s">
        <v>441</v>
      </c>
      <c r="T16" s="244" t="s">
        <v>458</v>
      </c>
      <c r="V16" s="244" t="s">
        <v>441</v>
      </c>
      <c r="W16" s="244" t="s">
        <v>458</v>
      </c>
    </row>
    <row r="17" spans="1:23">
      <c r="A17" s="14">
        <v>2011</v>
      </c>
      <c r="B17" s="14" t="s">
        <v>42</v>
      </c>
      <c r="C17" s="14">
        <v>11.8</v>
      </c>
      <c r="D17" s="14">
        <v>9.6</v>
      </c>
      <c r="E17" s="14">
        <v>6.97</v>
      </c>
      <c r="F17" s="14">
        <v>14.19</v>
      </c>
      <c r="G17" s="14">
        <v>13.79</v>
      </c>
      <c r="H17" s="14">
        <v>17.32</v>
      </c>
      <c r="I17" s="14">
        <v>17.260000000000002</v>
      </c>
      <c r="J17" s="14">
        <v>16.73</v>
      </c>
      <c r="K17" s="14">
        <v>16.11</v>
      </c>
      <c r="L17" s="14">
        <v>17.72</v>
      </c>
      <c r="M17" s="14">
        <v>14.03</v>
      </c>
      <c r="N17" s="14">
        <v>11.87</v>
      </c>
      <c r="O17" s="14">
        <v>14.66</v>
      </c>
      <c r="P17" s="14">
        <v>9.48</v>
      </c>
      <c r="Q17" s="14">
        <v>13.85</v>
      </c>
      <c r="S17" s="244" t="s">
        <v>442</v>
      </c>
      <c r="T17" s="244" t="s">
        <v>459</v>
      </c>
      <c r="V17" s="244" t="s">
        <v>442</v>
      </c>
      <c r="W17" s="244" t="s">
        <v>459</v>
      </c>
    </row>
    <row r="18" spans="1:23">
      <c r="A18" s="15">
        <v>2012</v>
      </c>
      <c r="B18" s="15" t="s">
        <v>5</v>
      </c>
      <c r="C18" s="15">
        <v>13.87</v>
      </c>
      <c r="D18" s="15">
        <v>27.61</v>
      </c>
      <c r="E18" s="15">
        <v>17.399999999999999</v>
      </c>
      <c r="F18" s="15">
        <v>18.78</v>
      </c>
      <c r="G18" s="15">
        <v>23.95</v>
      </c>
      <c r="H18" s="15">
        <v>22.67</v>
      </c>
      <c r="I18" s="15">
        <v>30.05</v>
      </c>
      <c r="J18" s="15">
        <v>22.76</v>
      </c>
      <c r="K18" s="15">
        <v>16.47</v>
      </c>
      <c r="L18" s="15">
        <v>23.39</v>
      </c>
      <c r="M18" s="15">
        <v>31</v>
      </c>
      <c r="N18" s="15">
        <v>17.25</v>
      </c>
      <c r="O18" s="15">
        <v>35.090000000000003</v>
      </c>
      <c r="P18" s="15">
        <v>55.25</v>
      </c>
      <c r="Q18" s="15">
        <v>23.13</v>
      </c>
      <c r="S18" s="244" t="s">
        <v>443</v>
      </c>
      <c r="T18" s="244" t="s">
        <v>460</v>
      </c>
      <c r="V18" s="244" t="s">
        <v>443</v>
      </c>
      <c r="W18" s="244" t="s">
        <v>460</v>
      </c>
    </row>
    <row r="19" spans="1:23">
      <c r="A19" s="8">
        <v>2012</v>
      </c>
      <c r="B19" s="8" t="s">
        <v>6</v>
      </c>
      <c r="C19" s="8">
        <v>9.0299999999999994</v>
      </c>
      <c r="D19" s="8">
        <v>3.87</v>
      </c>
      <c r="E19" s="8">
        <v>6.07</v>
      </c>
      <c r="F19" s="8">
        <v>7.83</v>
      </c>
      <c r="G19" s="8">
        <v>9.4600000000000009</v>
      </c>
      <c r="H19" s="8">
        <v>12.65</v>
      </c>
      <c r="I19" s="8">
        <v>10.27</v>
      </c>
      <c r="J19" s="8">
        <v>4.16</v>
      </c>
      <c r="K19" s="8">
        <v>6.17</v>
      </c>
      <c r="L19" s="8">
        <v>6.36</v>
      </c>
      <c r="M19" s="8">
        <v>5.83</v>
      </c>
      <c r="N19" s="8">
        <v>7.19</v>
      </c>
      <c r="O19" s="8">
        <v>12.59</v>
      </c>
      <c r="P19" s="8">
        <v>7.18</v>
      </c>
      <c r="Q19" s="8">
        <v>7.71</v>
      </c>
      <c r="S19" s="244" t="s">
        <v>444</v>
      </c>
      <c r="T19" s="245" t="s">
        <v>461</v>
      </c>
      <c r="V19" s="244" t="s">
        <v>444</v>
      </c>
      <c r="W19" s="245" t="s">
        <v>461</v>
      </c>
    </row>
    <row r="20" spans="1:23">
      <c r="A20" s="14">
        <v>2012</v>
      </c>
      <c r="B20" s="14" t="s">
        <v>42</v>
      </c>
      <c r="C20" s="14">
        <v>11.5</v>
      </c>
      <c r="D20" s="14">
        <v>16.03</v>
      </c>
      <c r="E20" s="14">
        <v>11.86</v>
      </c>
      <c r="F20" s="14">
        <v>13.41</v>
      </c>
      <c r="G20" s="14">
        <v>16.8</v>
      </c>
      <c r="H20" s="14">
        <v>17.75</v>
      </c>
      <c r="I20" s="14">
        <v>20.29</v>
      </c>
      <c r="J20" s="14">
        <v>13.48</v>
      </c>
      <c r="K20" s="14">
        <v>11.31</v>
      </c>
      <c r="L20" s="14">
        <v>14.86</v>
      </c>
      <c r="M20" s="14">
        <v>18.03</v>
      </c>
      <c r="N20" s="14">
        <v>11.76</v>
      </c>
      <c r="O20" s="14">
        <v>21.99</v>
      </c>
      <c r="P20" s="14">
        <v>23.63</v>
      </c>
      <c r="Q20" s="14">
        <v>15.34</v>
      </c>
      <c r="S20" s="244" t="s">
        <v>445</v>
      </c>
      <c r="T20" s="244" t="s">
        <v>462</v>
      </c>
      <c r="V20" s="244" t="s">
        <v>445</v>
      </c>
      <c r="W20" s="244" t="s">
        <v>462</v>
      </c>
    </row>
    <row r="21" spans="1:23">
      <c r="A21" s="15">
        <v>2013</v>
      </c>
      <c r="B21" s="15" t="s">
        <v>5</v>
      </c>
      <c r="C21" s="15">
        <v>11.96</v>
      </c>
      <c r="D21" s="15">
        <v>16.2</v>
      </c>
      <c r="E21" s="15">
        <v>19.12</v>
      </c>
      <c r="F21" s="15">
        <v>3.8</v>
      </c>
      <c r="G21" s="15">
        <v>16.72</v>
      </c>
      <c r="H21" s="15">
        <v>15.54</v>
      </c>
      <c r="I21" s="15">
        <v>25.67</v>
      </c>
      <c r="J21" s="15">
        <v>35.06</v>
      </c>
      <c r="K21" s="15">
        <v>31.49</v>
      </c>
      <c r="L21" s="15">
        <v>31.23</v>
      </c>
      <c r="M21" s="15">
        <v>29.21</v>
      </c>
      <c r="N21" s="15">
        <v>41.81</v>
      </c>
      <c r="O21" s="15">
        <v>58.46</v>
      </c>
      <c r="P21" s="15">
        <v>48.04</v>
      </c>
      <c r="Q21" s="15">
        <v>23.24</v>
      </c>
      <c r="S21" s="246" t="s">
        <v>446</v>
      </c>
      <c r="T21" s="244" t="s">
        <v>463</v>
      </c>
      <c r="V21" s="246" t="s">
        <v>446</v>
      </c>
      <c r="W21" s="244" t="s">
        <v>463</v>
      </c>
    </row>
    <row r="22" spans="1:23">
      <c r="A22" s="8">
        <v>2013</v>
      </c>
      <c r="B22" s="8" t="s">
        <v>6</v>
      </c>
      <c r="C22" s="8">
        <v>8.89</v>
      </c>
      <c r="D22" s="8">
        <v>13.15</v>
      </c>
      <c r="E22" s="8">
        <v>6.01</v>
      </c>
      <c r="F22" s="8">
        <v>9.92</v>
      </c>
      <c r="G22" s="8">
        <v>15.23</v>
      </c>
      <c r="H22" s="8">
        <v>1.78</v>
      </c>
      <c r="I22" s="8">
        <v>16.27</v>
      </c>
      <c r="J22" s="8">
        <v>8.3000000000000007</v>
      </c>
      <c r="K22" s="8">
        <v>10.46</v>
      </c>
      <c r="L22" s="8">
        <v>8.27</v>
      </c>
      <c r="M22" s="8">
        <v>11.1</v>
      </c>
      <c r="N22" s="8">
        <v>10.65</v>
      </c>
      <c r="O22" s="8">
        <v>8.42</v>
      </c>
      <c r="P22" s="8">
        <v>3.61</v>
      </c>
      <c r="Q22" s="8">
        <v>9.56</v>
      </c>
      <c r="S22" s="247" t="s">
        <v>447</v>
      </c>
      <c r="T22" s="244" t="s">
        <v>464</v>
      </c>
      <c r="V22" s="247" t="s">
        <v>447</v>
      </c>
      <c r="W22" s="244" t="s">
        <v>464</v>
      </c>
    </row>
    <row r="23" spans="1:23">
      <c r="A23" s="14">
        <v>2013</v>
      </c>
      <c r="B23" s="14" t="s">
        <v>42</v>
      </c>
      <c r="C23" s="14">
        <v>10.45</v>
      </c>
      <c r="D23" s="14">
        <v>14.71</v>
      </c>
      <c r="E23" s="14">
        <v>12.71</v>
      </c>
      <c r="F23" s="14">
        <v>6.8</v>
      </c>
      <c r="G23" s="14">
        <v>15.98</v>
      </c>
      <c r="H23" s="14">
        <v>8.77</v>
      </c>
      <c r="I23" s="14">
        <v>21.04</v>
      </c>
      <c r="J23" s="14">
        <v>21.72</v>
      </c>
      <c r="K23" s="14">
        <v>20.96</v>
      </c>
      <c r="L23" s="14">
        <v>19.71</v>
      </c>
      <c r="M23" s="14">
        <v>19.920000000000002</v>
      </c>
      <c r="N23" s="14">
        <v>24.95</v>
      </c>
      <c r="O23" s="14">
        <v>29.38</v>
      </c>
      <c r="P23" s="14">
        <v>18.91</v>
      </c>
      <c r="Q23" s="14">
        <v>16.329999999999998</v>
      </c>
      <c r="S23" s="295"/>
      <c r="T23" s="244" t="s">
        <v>465</v>
      </c>
      <c r="V23" s="284"/>
      <c r="W23" s="244" t="s">
        <v>465</v>
      </c>
    </row>
    <row r="24" spans="1:23">
      <c r="A24" s="15">
        <v>2014</v>
      </c>
      <c r="B24" s="15" t="s">
        <v>5</v>
      </c>
      <c r="C24" s="15">
        <v>13.58</v>
      </c>
      <c r="D24" s="15">
        <v>13.93</v>
      </c>
      <c r="E24" s="15">
        <v>13.16</v>
      </c>
      <c r="F24" s="15">
        <v>15.35</v>
      </c>
      <c r="G24" s="15">
        <v>16.62</v>
      </c>
      <c r="H24" s="15">
        <v>27.85</v>
      </c>
      <c r="I24" s="15">
        <v>23.05</v>
      </c>
      <c r="J24" s="15">
        <v>26.67</v>
      </c>
      <c r="K24" s="15">
        <v>32.08</v>
      </c>
      <c r="L24" s="15">
        <v>14.47</v>
      </c>
      <c r="M24" s="15">
        <v>5.48</v>
      </c>
      <c r="N24" s="15">
        <v>28.08</v>
      </c>
      <c r="O24" s="15">
        <v>52.52</v>
      </c>
      <c r="P24" s="15">
        <v>40.82</v>
      </c>
      <c r="Q24" s="15">
        <v>20.41</v>
      </c>
      <c r="S24" s="204"/>
      <c r="T24" s="248" t="s">
        <v>466</v>
      </c>
      <c r="U24" s="6"/>
      <c r="V24" s="257"/>
      <c r="W24" s="258" t="s">
        <v>466</v>
      </c>
    </row>
    <row r="25" spans="1:23">
      <c r="A25" s="8">
        <v>2014</v>
      </c>
      <c r="B25" s="8" t="s">
        <v>6</v>
      </c>
      <c r="C25" s="8">
        <v>5.29</v>
      </c>
      <c r="D25" s="8">
        <v>7.26</v>
      </c>
      <c r="E25" s="8">
        <v>9.8800000000000008</v>
      </c>
      <c r="F25" s="8">
        <v>14.03</v>
      </c>
      <c r="G25" s="8">
        <v>11.38</v>
      </c>
      <c r="H25" s="8">
        <v>12.55</v>
      </c>
      <c r="I25" s="8">
        <v>17.79</v>
      </c>
      <c r="J25" s="8">
        <v>14.51</v>
      </c>
      <c r="K25" s="8">
        <v>8.49</v>
      </c>
      <c r="L25" s="8">
        <v>14.35</v>
      </c>
      <c r="M25" s="8">
        <v>10.51</v>
      </c>
      <c r="N25" s="8">
        <v>6.94</v>
      </c>
      <c r="O25" s="8">
        <v>21.2</v>
      </c>
      <c r="P25" s="8">
        <v>14.37</v>
      </c>
      <c r="Q25" s="8">
        <v>11.68</v>
      </c>
      <c r="S25" s="250"/>
      <c r="T25" s="251"/>
      <c r="U25" s="6"/>
      <c r="V25" s="250"/>
      <c r="W25" s="251"/>
    </row>
    <row r="26" spans="1:23">
      <c r="A26" s="14">
        <v>2014</v>
      </c>
      <c r="B26" s="14" t="s">
        <v>42</v>
      </c>
      <c r="C26" s="14">
        <v>9.52</v>
      </c>
      <c r="D26" s="14">
        <v>10.67</v>
      </c>
      <c r="E26" s="14">
        <v>11.56</v>
      </c>
      <c r="F26" s="14">
        <v>14.7</v>
      </c>
      <c r="G26" s="14">
        <v>14.04</v>
      </c>
      <c r="H26" s="14">
        <v>20.309999999999999</v>
      </c>
      <c r="I26" s="14">
        <v>20.46</v>
      </c>
      <c r="J26" s="14">
        <v>20.62</v>
      </c>
      <c r="K26" s="14">
        <v>20.239999999999998</v>
      </c>
      <c r="L26" s="14">
        <v>14.41</v>
      </c>
      <c r="M26" s="14">
        <v>8.0500000000000007</v>
      </c>
      <c r="N26" s="14">
        <v>16.739999999999998</v>
      </c>
      <c r="O26" s="14">
        <v>34.380000000000003</v>
      </c>
      <c r="P26" s="14">
        <v>23.51</v>
      </c>
      <c r="Q26" s="14">
        <v>16</v>
      </c>
      <c r="S26" s="249"/>
      <c r="T26" s="251"/>
      <c r="U26" s="6"/>
      <c r="V26" s="249"/>
      <c r="W26" s="251"/>
    </row>
    <row r="27" spans="1:23">
      <c r="A27" s="15">
        <v>2015</v>
      </c>
      <c r="B27" s="15" t="s">
        <v>5</v>
      </c>
      <c r="C27" s="15">
        <v>11.98</v>
      </c>
      <c r="D27" s="15">
        <v>33.619999999999997</v>
      </c>
      <c r="E27" s="15">
        <v>22.11</v>
      </c>
      <c r="F27" s="15">
        <v>13.44</v>
      </c>
      <c r="G27" s="15">
        <v>25.59</v>
      </c>
      <c r="H27" s="15">
        <v>40.68</v>
      </c>
      <c r="I27" s="15">
        <v>27.83</v>
      </c>
      <c r="J27" s="15">
        <v>26.52</v>
      </c>
      <c r="K27" s="15">
        <v>23.8</v>
      </c>
      <c r="L27" s="15">
        <v>20.83</v>
      </c>
      <c r="M27" s="15">
        <v>23.11</v>
      </c>
      <c r="N27" s="15">
        <v>30.96</v>
      </c>
      <c r="O27" s="15">
        <v>23.16</v>
      </c>
      <c r="P27" s="15">
        <v>53.69</v>
      </c>
      <c r="Q27" s="15">
        <v>25.57</v>
      </c>
    </row>
    <row r="28" spans="1:23">
      <c r="A28" s="8">
        <v>2015</v>
      </c>
      <c r="B28" s="8" t="s">
        <v>6</v>
      </c>
      <c r="C28" s="8">
        <v>7.15</v>
      </c>
      <c r="D28" s="8">
        <v>10.49</v>
      </c>
      <c r="E28" s="8">
        <v>7.78</v>
      </c>
      <c r="F28" s="8">
        <v>8.02</v>
      </c>
      <c r="G28" s="8">
        <v>7.56</v>
      </c>
      <c r="H28" s="8">
        <v>12.74</v>
      </c>
      <c r="I28" s="8">
        <v>7.65</v>
      </c>
      <c r="J28" s="8">
        <v>8.27</v>
      </c>
      <c r="K28" s="8">
        <v>6.41</v>
      </c>
      <c r="L28" s="8">
        <v>10.31</v>
      </c>
      <c r="M28" s="8">
        <v>4.95</v>
      </c>
      <c r="N28" s="8">
        <v>3.39</v>
      </c>
      <c r="O28" s="8">
        <v>8.5399999999999991</v>
      </c>
      <c r="P28" s="8">
        <v>10.73</v>
      </c>
      <c r="Q28" s="8">
        <v>8.2899999999999991</v>
      </c>
    </row>
    <row r="29" spans="1:23">
      <c r="A29" s="14">
        <v>2015</v>
      </c>
      <c r="B29" s="14" t="s">
        <v>42</v>
      </c>
      <c r="C29" s="14">
        <v>9.6199999999999992</v>
      </c>
      <c r="D29" s="14">
        <v>22.29</v>
      </c>
      <c r="E29" s="14">
        <v>15.14</v>
      </c>
      <c r="F29" s="14">
        <v>10.78</v>
      </c>
      <c r="G29" s="14">
        <v>16.72</v>
      </c>
      <c r="H29" s="14">
        <v>26.91</v>
      </c>
      <c r="I29" s="14">
        <v>17.899999999999999</v>
      </c>
      <c r="J29" s="14">
        <v>17.46</v>
      </c>
      <c r="K29" s="14">
        <v>15.05</v>
      </c>
      <c r="L29" s="14">
        <v>15.54</v>
      </c>
      <c r="M29" s="14">
        <v>13.87</v>
      </c>
      <c r="N29" s="14">
        <v>16.260000000000002</v>
      </c>
      <c r="O29" s="14">
        <v>14.74</v>
      </c>
      <c r="P29" s="14">
        <v>25.67</v>
      </c>
      <c r="Q29" s="14">
        <v>16.86</v>
      </c>
    </row>
    <row r="30" spans="1:23">
      <c r="A30" s="12">
        <v>2016</v>
      </c>
      <c r="B30" s="15" t="s">
        <v>5</v>
      </c>
      <c r="C30" s="12"/>
      <c r="D30" s="23"/>
      <c r="E30" s="23"/>
      <c r="F30" s="23"/>
      <c r="G30" s="23"/>
      <c r="H30" s="23"/>
      <c r="I30" s="23"/>
      <c r="J30" s="23"/>
      <c r="K30" s="23"/>
      <c r="L30" s="23"/>
      <c r="M30" s="23"/>
      <c r="N30" s="23"/>
      <c r="O30" s="23"/>
      <c r="P30" s="23"/>
      <c r="Q30" s="23"/>
    </row>
    <row r="31" spans="1:23">
      <c r="A31" s="9">
        <v>2016</v>
      </c>
      <c r="B31" s="8" t="s">
        <v>6</v>
      </c>
      <c r="C31" s="9"/>
      <c r="D31" s="25"/>
      <c r="E31" s="25"/>
      <c r="F31" s="25"/>
      <c r="G31" s="25"/>
      <c r="H31" s="25"/>
      <c r="I31" s="25"/>
      <c r="J31" s="25"/>
      <c r="K31" s="25"/>
      <c r="L31" s="25"/>
      <c r="M31" s="25"/>
      <c r="N31" s="25"/>
      <c r="O31" s="25"/>
      <c r="P31" s="25"/>
      <c r="Q31" s="25"/>
    </row>
    <row r="32" spans="1:23">
      <c r="A32" s="13">
        <v>2016</v>
      </c>
      <c r="B32" s="14" t="s">
        <v>42</v>
      </c>
      <c r="C32" s="13"/>
      <c r="D32" s="38"/>
      <c r="E32" s="38"/>
      <c r="F32" s="38"/>
      <c r="G32" s="38"/>
      <c r="H32" s="38"/>
      <c r="I32" s="38"/>
      <c r="J32" s="38"/>
      <c r="K32" s="38"/>
      <c r="L32" s="38"/>
      <c r="M32" s="38"/>
      <c r="N32" s="38"/>
      <c r="O32" s="38"/>
      <c r="P32" s="38"/>
      <c r="Q32" s="38"/>
    </row>
    <row r="33" spans="1:21">
      <c r="A33" s="12">
        <v>2017</v>
      </c>
      <c r="B33" s="15" t="s">
        <v>5</v>
      </c>
      <c r="C33" s="12"/>
      <c r="D33" s="23"/>
      <c r="E33" s="23"/>
      <c r="F33" s="23"/>
      <c r="G33" s="23"/>
      <c r="H33" s="23"/>
      <c r="I33" s="23"/>
      <c r="J33" s="23"/>
      <c r="K33" s="23"/>
      <c r="L33" s="23"/>
      <c r="M33" s="23"/>
      <c r="N33" s="23"/>
      <c r="O33" s="23"/>
      <c r="P33" s="23"/>
      <c r="Q33" s="23"/>
    </row>
    <row r="34" spans="1:21">
      <c r="A34" s="37">
        <v>2017</v>
      </c>
      <c r="B34" s="8" t="s">
        <v>6</v>
      </c>
      <c r="C34" s="9"/>
      <c r="D34" s="36"/>
      <c r="E34" s="36"/>
      <c r="F34" s="36"/>
      <c r="G34" s="36"/>
      <c r="H34" s="36"/>
      <c r="I34" s="36"/>
      <c r="J34" s="36"/>
      <c r="K34" s="36"/>
      <c r="L34" s="36"/>
      <c r="M34" s="36"/>
      <c r="N34" s="36"/>
      <c r="O34" s="36"/>
      <c r="P34" s="36"/>
      <c r="Q34" s="36"/>
    </row>
    <row r="35" spans="1:21">
      <c r="A35" s="39">
        <v>2017</v>
      </c>
      <c r="B35" s="14" t="s">
        <v>42</v>
      </c>
      <c r="C35" s="13"/>
      <c r="D35" s="24"/>
      <c r="E35" s="24"/>
      <c r="F35" s="24"/>
      <c r="G35" s="24"/>
      <c r="H35" s="24"/>
      <c r="I35" s="24"/>
      <c r="J35" s="24"/>
      <c r="K35" s="24"/>
      <c r="L35" s="24"/>
      <c r="M35" s="24"/>
      <c r="N35" s="24"/>
      <c r="O35" s="24"/>
      <c r="P35" s="24"/>
      <c r="Q35" s="24"/>
    </row>
    <row r="36" spans="1:21">
      <c r="A36" s="40">
        <v>2018</v>
      </c>
      <c r="B36" s="15" t="s">
        <v>5</v>
      </c>
      <c r="C36" s="12"/>
      <c r="D36" s="23"/>
      <c r="E36" s="23"/>
      <c r="F36" s="23"/>
      <c r="G36" s="23"/>
      <c r="H36" s="23"/>
      <c r="I36" s="23"/>
      <c r="J36" s="23"/>
      <c r="K36" s="23"/>
      <c r="L36" s="23"/>
      <c r="M36" s="23"/>
      <c r="N36" s="23"/>
      <c r="O36" s="23"/>
      <c r="P36" s="23"/>
      <c r="Q36" s="23"/>
    </row>
    <row r="37" spans="1:21">
      <c r="A37" s="37">
        <v>2018</v>
      </c>
      <c r="B37" s="8" t="s">
        <v>6</v>
      </c>
      <c r="C37" s="9"/>
      <c r="D37" s="36"/>
      <c r="E37" s="36"/>
      <c r="F37" s="36"/>
      <c r="G37" s="36"/>
      <c r="H37" s="36"/>
      <c r="I37" s="36"/>
      <c r="J37" s="36"/>
      <c r="K37" s="36"/>
      <c r="L37" s="36"/>
      <c r="M37" s="36"/>
      <c r="N37" s="36"/>
      <c r="O37" s="36"/>
      <c r="P37" s="36"/>
      <c r="Q37" s="36"/>
    </row>
    <row r="38" spans="1:21">
      <c r="A38" s="39">
        <v>2018</v>
      </c>
      <c r="B38" s="14" t="s">
        <v>42</v>
      </c>
      <c r="C38" s="13"/>
      <c r="D38" s="38"/>
      <c r="E38" s="38"/>
      <c r="F38" s="38"/>
      <c r="G38" s="38"/>
      <c r="H38" s="38"/>
      <c r="I38" s="38"/>
      <c r="J38" s="38"/>
      <c r="K38" s="38"/>
      <c r="L38" s="38"/>
      <c r="M38" s="38"/>
      <c r="N38" s="38"/>
      <c r="O38" s="38"/>
      <c r="P38" s="38"/>
      <c r="Q38" s="38"/>
    </row>
    <row r="39" spans="1:21">
      <c r="A39" s="40">
        <v>2019</v>
      </c>
      <c r="B39" s="15" t="s">
        <v>5</v>
      </c>
      <c r="C39" s="12"/>
      <c r="D39" s="41"/>
      <c r="E39" s="41"/>
      <c r="F39" s="41"/>
      <c r="G39" s="41"/>
      <c r="H39" s="41"/>
      <c r="I39" s="41"/>
      <c r="J39" s="41"/>
      <c r="K39" s="41"/>
      <c r="L39" s="41"/>
      <c r="M39" s="41"/>
      <c r="N39" s="41"/>
      <c r="O39" s="41"/>
      <c r="P39" s="41"/>
      <c r="Q39" s="41"/>
    </row>
    <row r="40" spans="1:21">
      <c r="A40" s="37">
        <v>2019</v>
      </c>
      <c r="B40" s="8" t="s">
        <v>6</v>
      </c>
      <c r="C40" s="9"/>
      <c r="D40" s="36"/>
      <c r="E40" s="36"/>
      <c r="F40" s="36"/>
      <c r="G40" s="36"/>
      <c r="H40" s="36"/>
      <c r="I40" s="36"/>
      <c r="J40" s="36"/>
      <c r="K40" s="36"/>
      <c r="L40" s="36"/>
      <c r="M40" s="36"/>
      <c r="N40" s="36"/>
      <c r="O40" s="36"/>
      <c r="P40" s="36"/>
      <c r="Q40" s="36"/>
      <c r="R40" s="11"/>
      <c r="U40" s="11"/>
    </row>
    <row r="41" spans="1:21">
      <c r="A41" s="39">
        <v>2019</v>
      </c>
      <c r="B41" s="14" t="s">
        <v>42</v>
      </c>
      <c r="C41" s="13"/>
      <c r="D41" s="38"/>
      <c r="E41" s="38"/>
      <c r="F41" s="38"/>
      <c r="G41" s="38"/>
      <c r="H41" s="38"/>
      <c r="I41" s="38"/>
      <c r="J41" s="38"/>
      <c r="K41" s="38"/>
      <c r="L41" s="38"/>
      <c r="M41" s="38"/>
      <c r="N41" s="38"/>
      <c r="O41" s="38"/>
      <c r="P41" s="38"/>
      <c r="Q41" s="38"/>
      <c r="R41" s="11"/>
      <c r="U41" s="11"/>
    </row>
    <row r="42" spans="1:21">
      <c r="A42" s="40">
        <v>2020</v>
      </c>
      <c r="B42" s="15" t="s">
        <v>5</v>
      </c>
      <c r="C42" s="12"/>
      <c r="D42" s="23"/>
      <c r="E42" s="23"/>
      <c r="F42" s="23"/>
      <c r="G42" s="23"/>
      <c r="H42" s="23"/>
      <c r="I42" s="23"/>
      <c r="J42" s="23"/>
      <c r="K42" s="23"/>
      <c r="L42" s="23"/>
      <c r="M42" s="23"/>
      <c r="N42" s="23"/>
      <c r="O42" s="23"/>
      <c r="P42" s="23"/>
      <c r="Q42" s="23"/>
      <c r="R42" s="11"/>
      <c r="U42" s="11"/>
    </row>
    <row r="43" spans="1:21">
      <c r="A43" s="37">
        <v>2020</v>
      </c>
      <c r="B43" s="8" t="s">
        <v>6</v>
      </c>
      <c r="C43" s="9"/>
      <c r="D43" s="25"/>
      <c r="E43" s="25"/>
      <c r="F43" s="25"/>
      <c r="G43" s="25"/>
      <c r="H43" s="25"/>
      <c r="I43" s="25"/>
      <c r="J43" s="25"/>
      <c r="K43" s="25"/>
      <c r="L43" s="25"/>
      <c r="M43" s="25"/>
      <c r="N43" s="25"/>
      <c r="O43" s="25"/>
      <c r="P43" s="25"/>
      <c r="Q43" s="25"/>
      <c r="R43" s="11"/>
      <c r="U43" s="11"/>
    </row>
    <row r="44" spans="1:21">
      <c r="A44" s="39">
        <v>2020</v>
      </c>
      <c r="B44" s="14" t="s">
        <v>42</v>
      </c>
      <c r="C44" s="13"/>
      <c r="D44" s="38"/>
      <c r="E44" s="38"/>
      <c r="F44" s="38"/>
      <c r="G44" s="38"/>
      <c r="H44" s="38"/>
      <c r="I44" s="38"/>
      <c r="J44" s="38"/>
      <c r="K44" s="38"/>
      <c r="L44" s="38"/>
      <c r="M44" s="38"/>
      <c r="N44" s="38"/>
      <c r="O44" s="38"/>
      <c r="P44" s="38"/>
      <c r="Q44" s="38"/>
      <c r="R44" s="11"/>
      <c r="U44" s="11"/>
    </row>
    <row r="45" spans="1:21">
      <c r="A45" s="40">
        <v>2021</v>
      </c>
      <c r="B45" s="15" t="s">
        <v>5</v>
      </c>
      <c r="C45" s="12"/>
      <c r="D45" s="41"/>
      <c r="E45" s="41"/>
      <c r="F45" s="41"/>
      <c r="G45" s="41"/>
      <c r="H45" s="41"/>
      <c r="I45" s="41"/>
      <c r="J45" s="41"/>
      <c r="K45" s="41"/>
      <c r="L45" s="41"/>
      <c r="M45" s="41"/>
      <c r="N45" s="41"/>
      <c r="O45" s="41"/>
      <c r="P45" s="41"/>
      <c r="Q45" s="41"/>
      <c r="R45" s="11"/>
      <c r="U45" s="11"/>
    </row>
    <row r="46" spans="1:21">
      <c r="A46" s="37">
        <v>2021</v>
      </c>
      <c r="B46" s="8" t="s">
        <v>6</v>
      </c>
      <c r="C46" s="9"/>
      <c r="D46" s="25"/>
      <c r="E46" s="25"/>
      <c r="F46" s="25"/>
      <c r="G46" s="25"/>
      <c r="H46" s="25"/>
      <c r="I46" s="25"/>
      <c r="J46" s="25"/>
      <c r="K46" s="25"/>
      <c r="L46" s="25"/>
      <c r="M46" s="25"/>
      <c r="N46" s="25"/>
      <c r="O46" s="25"/>
      <c r="P46" s="25"/>
      <c r="Q46" s="25"/>
      <c r="R46" s="11"/>
      <c r="U46" s="11"/>
    </row>
    <row r="47" spans="1:21">
      <c r="A47" s="39">
        <v>2021</v>
      </c>
      <c r="B47" s="14" t="s">
        <v>42</v>
      </c>
      <c r="C47" s="13"/>
      <c r="D47" s="24"/>
      <c r="E47" s="24"/>
      <c r="F47" s="24"/>
      <c r="G47" s="24"/>
      <c r="H47" s="24"/>
      <c r="I47" s="24"/>
      <c r="J47" s="24"/>
      <c r="K47" s="24"/>
      <c r="L47" s="24"/>
      <c r="M47" s="24"/>
      <c r="N47" s="24"/>
      <c r="O47" s="24"/>
      <c r="P47" s="24"/>
      <c r="Q47" s="24"/>
      <c r="R47" s="11"/>
      <c r="U47" s="11"/>
    </row>
    <row r="48" spans="1:21">
      <c r="A48" s="40">
        <v>2022</v>
      </c>
      <c r="B48" s="15" t="s">
        <v>5</v>
      </c>
      <c r="C48" s="12"/>
      <c r="D48" s="41"/>
      <c r="E48" s="41"/>
      <c r="F48" s="41"/>
      <c r="G48" s="41"/>
      <c r="H48" s="41"/>
      <c r="I48" s="41"/>
      <c r="J48" s="41"/>
      <c r="K48" s="41"/>
      <c r="L48" s="41"/>
      <c r="M48" s="41"/>
      <c r="N48" s="41"/>
      <c r="O48" s="41"/>
      <c r="P48" s="41"/>
      <c r="Q48" s="41"/>
      <c r="R48" s="42"/>
      <c r="U48" s="11"/>
    </row>
    <row r="49" spans="1:21">
      <c r="A49" s="37">
        <v>2022</v>
      </c>
      <c r="B49" s="8" t="s">
        <v>6</v>
      </c>
      <c r="C49" s="9"/>
      <c r="D49" s="25"/>
      <c r="E49" s="25"/>
      <c r="F49" s="25"/>
      <c r="G49" s="25"/>
      <c r="H49" s="25"/>
      <c r="I49" s="25"/>
      <c r="J49" s="25"/>
      <c r="K49" s="25"/>
      <c r="L49" s="25"/>
      <c r="M49" s="25"/>
      <c r="N49" s="25"/>
      <c r="O49" s="25"/>
      <c r="P49" s="25"/>
      <c r="Q49" s="25"/>
      <c r="R49" s="42"/>
      <c r="U49" s="11"/>
    </row>
    <row r="50" spans="1:21">
      <c r="A50" s="39">
        <v>2022</v>
      </c>
      <c r="B50" s="14" t="s">
        <v>42</v>
      </c>
      <c r="C50" s="13"/>
      <c r="D50" s="24"/>
      <c r="E50" s="24"/>
      <c r="F50" s="24"/>
      <c r="G50" s="24"/>
      <c r="H50" s="24"/>
      <c r="I50" s="24"/>
      <c r="J50" s="24"/>
      <c r="K50" s="24"/>
      <c r="L50" s="24"/>
      <c r="M50" s="24"/>
      <c r="N50" s="24"/>
      <c r="O50" s="24"/>
      <c r="P50" s="24"/>
      <c r="Q50" s="24"/>
      <c r="R50" s="42"/>
      <c r="U50" s="11"/>
    </row>
    <row r="51" spans="1:21">
      <c r="A51" s="40">
        <v>2023</v>
      </c>
      <c r="B51" s="15" t="s">
        <v>5</v>
      </c>
      <c r="C51" s="12"/>
      <c r="D51" s="12"/>
      <c r="E51" s="12"/>
      <c r="F51" s="12"/>
      <c r="G51" s="12"/>
      <c r="H51" s="12"/>
      <c r="I51" s="12"/>
      <c r="J51" s="12"/>
      <c r="K51" s="12"/>
      <c r="L51" s="12"/>
      <c r="M51" s="12"/>
      <c r="N51" s="12"/>
      <c r="O51" s="12"/>
      <c r="P51" s="12"/>
      <c r="Q51" s="12"/>
      <c r="R51" s="11"/>
      <c r="U51" s="11"/>
    </row>
    <row r="52" spans="1:21">
      <c r="A52" s="9">
        <v>2023</v>
      </c>
      <c r="B52" s="8" t="s">
        <v>6</v>
      </c>
      <c r="C52" s="9"/>
      <c r="D52" s="9"/>
      <c r="E52" s="9"/>
      <c r="F52" s="9"/>
      <c r="G52" s="9"/>
      <c r="H52" s="9"/>
      <c r="I52" s="9"/>
      <c r="J52" s="9"/>
      <c r="K52" s="9"/>
      <c r="L52" s="9"/>
      <c r="M52" s="9"/>
      <c r="N52" s="9"/>
      <c r="O52" s="9"/>
      <c r="P52" s="9"/>
      <c r="Q52" s="9"/>
      <c r="R52" s="11"/>
      <c r="U52" s="11"/>
    </row>
    <row r="53" spans="1:21">
      <c r="A53" s="39">
        <v>2023</v>
      </c>
      <c r="B53" s="14" t="s">
        <v>42</v>
      </c>
      <c r="C53" s="13"/>
      <c r="D53" s="13"/>
      <c r="E53" s="13"/>
      <c r="F53" s="13"/>
      <c r="G53" s="13"/>
      <c r="H53" s="13"/>
      <c r="I53" s="14"/>
      <c r="J53" s="14"/>
      <c r="K53" s="14"/>
      <c r="L53" s="14"/>
      <c r="M53" s="14"/>
      <c r="N53" s="14"/>
      <c r="O53" s="14"/>
      <c r="P53" s="14"/>
      <c r="Q53" s="14"/>
    </row>
    <row r="54" spans="1:21">
      <c r="A54" s="40">
        <v>2024</v>
      </c>
      <c r="B54" s="15" t="s">
        <v>5</v>
      </c>
      <c r="C54" s="12"/>
      <c r="D54" s="12"/>
      <c r="E54" s="12"/>
      <c r="F54" s="12"/>
      <c r="G54" s="12"/>
      <c r="H54" s="12"/>
      <c r="I54" s="15"/>
      <c r="J54" s="15"/>
      <c r="K54" s="15"/>
      <c r="L54" s="15"/>
      <c r="M54" s="15"/>
      <c r="N54" s="15"/>
      <c r="O54" s="15"/>
      <c r="P54" s="15"/>
      <c r="Q54" s="15"/>
    </row>
    <row r="55" spans="1:21">
      <c r="A55" s="37">
        <v>2024</v>
      </c>
      <c r="B55" s="8" t="s">
        <v>6</v>
      </c>
      <c r="C55" s="9"/>
      <c r="D55" s="9"/>
      <c r="E55" s="9"/>
      <c r="F55" s="9"/>
      <c r="G55" s="9"/>
      <c r="H55" s="9"/>
      <c r="I55" s="8"/>
      <c r="J55" s="8"/>
      <c r="K55" s="8"/>
      <c r="L55" s="8"/>
      <c r="M55" s="8"/>
      <c r="N55" s="8"/>
      <c r="O55" s="8"/>
      <c r="P55" s="8"/>
      <c r="Q55" s="8"/>
    </row>
    <row r="56" spans="1:21">
      <c r="A56" s="39">
        <v>2024</v>
      </c>
      <c r="B56" s="14" t="s">
        <v>42</v>
      </c>
      <c r="C56" s="13"/>
      <c r="D56" s="13"/>
      <c r="E56" s="13"/>
      <c r="F56" s="13"/>
      <c r="G56" s="13"/>
      <c r="H56" s="13"/>
      <c r="I56" s="14"/>
      <c r="J56" s="14"/>
      <c r="K56" s="14"/>
      <c r="L56" s="14"/>
      <c r="M56" s="14"/>
      <c r="N56" s="14"/>
      <c r="O56" s="14"/>
      <c r="P56" s="14"/>
      <c r="Q56" s="14"/>
    </row>
    <row r="57" spans="1:21">
      <c r="A57" s="40">
        <v>2025</v>
      </c>
      <c r="B57" s="15" t="s">
        <v>5</v>
      </c>
      <c r="C57" s="12"/>
      <c r="D57" s="12"/>
      <c r="E57" s="12"/>
      <c r="F57" s="12"/>
      <c r="G57" s="12"/>
      <c r="H57" s="12"/>
      <c r="I57" s="15"/>
      <c r="J57" s="15"/>
      <c r="K57" s="15"/>
      <c r="L57" s="15"/>
      <c r="M57" s="15"/>
      <c r="N57" s="15"/>
      <c r="O57" s="15"/>
      <c r="P57" s="15"/>
      <c r="Q57" s="15"/>
    </row>
    <row r="58" spans="1:21">
      <c r="A58" s="37">
        <v>2025</v>
      </c>
      <c r="B58" s="8" t="s">
        <v>6</v>
      </c>
      <c r="C58" s="9"/>
      <c r="D58" s="9"/>
      <c r="E58" s="9"/>
      <c r="F58" s="9"/>
      <c r="G58" s="9"/>
      <c r="H58" s="9"/>
      <c r="I58" s="8"/>
      <c r="J58" s="8"/>
      <c r="K58" s="8"/>
      <c r="L58" s="8"/>
      <c r="M58" s="8"/>
      <c r="N58" s="8"/>
      <c r="O58" s="8"/>
      <c r="P58" s="8"/>
      <c r="Q58" s="8"/>
    </row>
    <row r="59" spans="1:21">
      <c r="A59" s="39">
        <v>2025</v>
      </c>
      <c r="B59" s="14" t="s">
        <v>42</v>
      </c>
      <c r="C59" s="13"/>
      <c r="D59" s="13"/>
      <c r="E59" s="13"/>
      <c r="F59" s="13"/>
      <c r="G59" s="13"/>
      <c r="H59" s="13"/>
      <c r="I59" s="14"/>
      <c r="J59" s="14"/>
      <c r="K59" s="14"/>
      <c r="L59" s="14"/>
      <c r="M59" s="14"/>
      <c r="N59" s="14"/>
      <c r="O59" s="14"/>
      <c r="P59" s="14"/>
      <c r="Q59" s="14"/>
    </row>
    <row r="60" spans="1:21">
      <c r="A60" s="28"/>
      <c r="B60" s="11"/>
      <c r="C60" s="11"/>
      <c r="D60" s="11"/>
      <c r="E60" s="11"/>
      <c r="F60" s="11"/>
      <c r="G60" s="11"/>
      <c r="H60" s="11"/>
    </row>
    <row r="61" spans="1:21">
      <c r="A61" s="28"/>
      <c r="B61" s="11"/>
      <c r="C61" s="11"/>
      <c r="D61" s="11"/>
      <c r="E61" s="11"/>
      <c r="F61" s="11"/>
      <c r="G61" s="11"/>
      <c r="H61" s="11"/>
    </row>
    <row r="62" spans="1:21">
      <c r="A62" s="28"/>
      <c r="B62" s="11"/>
      <c r="C62" s="11"/>
      <c r="D62" s="11"/>
      <c r="E62" s="11"/>
      <c r="F62" s="11"/>
      <c r="G62" s="11"/>
      <c r="H62" s="11"/>
    </row>
    <row r="63" spans="1:21">
      <c r="A63" s="28"/>
      <c r="B63" s="11"/>
      <c r="C63" s="11"/>
      <c r="D63" s="11"/>
      <c r="E63" s="11"/>
      <c r="F63" s="11"/>
      <c r="G63" s="11"/>
      <c r="H63" s="11"/>
    </row>
    <row r="64" spans="1:21">
      <c r="A64" s="28"/>
      <c r="B64" s="11"/>
      <c r="C64" s="11"/>
      <c r="D64" s="11"/>
      <c r="E64" s="11"/>
      <c r="F64" s="11"/>
      <c r="G64" s="11"/>
      <c r="H64" s="11"/>
    </row>
    <row r="65" spans="1:8">
      <c r="A65" s="28"/>
      <c r="B65" s="11"/>
      <c r="C65" s="11"/>
      <c r="D65" s="11"/>
      <c r="E65" s="11"/>
      <c r="F65" s="11"/>
      <c r="G65" s="11"/>
      <c r="H65" s="11"/>
    </row>
    <row r="66" spans="1:8">
      <c r="A66" s="28"/>
      <c r="B66" s="11"/>
      <c r="C66" s="11"/>
      <c r="D66" s="11"/>
      <c r="E66" s="11"/>
      <c r="F66" s="11"/>
      <c r="G66" s="11"/>
      <c r="H66" s="11"/>
    </row>
    <row r="67" spans="1:8">
      <c r="A67" s="28"/>
      <c r="B67" s="11"/>
      <c r="C67" s="11"/>
      <c r="D67" s="11"/>
      <c r="E67" s="11"/>
      <c r="F67" s="11"/>
      <c r="G67" s="11"/>
      <c r="H67" s="11"/>
    </row>
    <row r="68" spans="1:8">
      <c r="A68" s="28"/>
      <c r="B68" s="11"/>
      <c r="C68" s="11"/>
      <c r="D68" s="11"/>
      <c r="E68" s="11"/>
      <c r="F68" s="11"/>
      <c r="G68" s="11"/>
      <c r="H68" s="11"/>
    </row>
    <row r="69" spans="1:8">
      <c r="A69" s="28"/>
      <c r="B69" s="11"/>
      <c r="C69" s="11"/>
      <c r="D69" s="11"/>
      <c r="E69" s="11"/>
      <c r="F69" s="11"/>
      <c r="G69" s="11"/>
      <c r="H69" s="11"/>
    </row>
    <row r="70" spans="1:8">
      <c r="A70" s="28"/>
      <c r="B70" s="11"/>
      <c r="C70" s="11"/>
      <c r="D70" s="11"/>
      <c r="E70" s="11"/>
      <c r="F70" s="11"/>
      <c r="G70" s="11"/>
      <c r="H70" s="11"/>
    </row>
    <row r="71" spans="1:8">
      <c r="A71" s="28"/>
      <c r="B71" s="11"/>
      <c r="C71" s="11"/>
      <c r="D71" s="11"/>
      <c r="E71" s="11"/>
      <c r="F71" s="11"/>
      <c r="G71" s="11"/>
      <c r="H71" s="11"/>
    </row>
    <row r="72" spans="1:8">
      <c r="A72" s="28"/>
      <c r="B72" s="11"/>
      <c r="C72" s="11"/>
      <c r="D72" s="11"/>
      <c r="E72" s="11"/>
      <c r="F72" s="11"/>
      <c r="G72" s="11"/>
      <c r="H72" s="11"/>
    </row>
    <row r="73" spans="1:8">
      <c r="A73" s="28"/>
      <c r="B73" s="11"/>
      <c r="C73" s="11"/>
      <c r="D73" s="11"/>
      <c r="E73" s="11"/>
      <c r="F73" s="11"/>
      <c r="G73" s="11"/>
      <c r="H73" s="11"/>
    </row>
    <row r="74" spans="1:8">
      <c r="A74" s="28"/>
      <c r="B74" s="11"/>
      <c r="C74" s="11"/>
      <c r="D74" s="11"/>
      <c r="E74" s="11"/>
      <c r="F74" s="11"/>
      <c r="G74" s="11"/>
      <c r="H74" s="11"/>
    </row>
    <row r="75" spans="1:8">
      <c r="A75" s="11"/>
      <c r="B75" s="11"/>
      <c r="C75" s="11"/>
      <c r="D75" s="11"/>
      <c r="E75" s="11"/>
      <c r="F75" s="11"/>
      <c r="G75" s="11"/>
      <c r="H75" s="11"/>
    </row>
    <row r="76" spans="1:8">
      <c r="A76" s="11"/>
      <c r="B76" s="11"/>
      <c r="C76" s="11"/>
      <c r="D76" s="11"/>
      <c r="E76" s="11"/>
      <c r="F76" s="11"/>
      <c r="G76" s="11"/>
      <c r="H76" s="11"/>
    </row>
    <row r="77" spans="1:8">
      <c r="A77" s="11"/>
      <c r="B77" s="11"/>
      <c r="C77" s="11"/>
      <c r="D77" s="11"/>
      <c r="E77" s="11"/>
      <c r="F77" s="11"/>
      <c r="G77" s="11"/>
      <c r="H77" s="11"/>
    </row>
    <row r="78" spans="1:8">
      <c r="A78" s="11"/>
      <c r="B78" s="11"/>
      <c r="C78" s="11"/>
      <c r="D78" s="11"/>
      <c r="E78" s="11"/>
      <c r="F78" s="11"/>
      <c r="G78" s="11"/>
      <c r="H78" s="11"/>
    </row>
    <row r="79" spans="1:8">
      <c r="A79" s="11"/>
      <c r="B79" s="11"/>
      <c r="C79" s="11"/>
      <c r="D79" s="11"/>
      <c r="E79" s="11"/>
      <c r="F79" s="11"/>
      <c r="G79" s="11"/>
      <c r="H79" s="11"/>
    </row>
    <row r="80" spans="1:8">
      <c r="A80" s="11"/>
      <c r="B80" s="11"/>
      <c r="C80" s="11"/>
      <c r="D80" s="11"/>
      <c r="E80" s="11"/>
      <c r="F80" s="11"/>
      <c r="G80" s="11"/>
      <c r="H80" s="11"/>
    </row>
    <row r="81" spans="1:8">
      <c r="A81" s="11"/>
      <c r="B81" s="11"/>
      <c r="C81" s="11"/>
      <c r="D81" s="11"/>
      <c r="E81" s="11"/>
      <c r="F81" s="11"/>
      <c r="G81" s="11"/>
      <c r="H81" s="11"/>
    </row>
    <row r="82" spans="1:8">
      <c r="A82" s="11"/>
      <c r="B82" s="11"/>
      <c r="C82" s="11"/>
      <c r="D82" s="11"/>
      <c r="E82" s="11"/>
      <c r="F82" s="11"/>
      <c r="G82" s="11"/>
      <c r="H82" s="11"/>
    </row>
    <row r="83" spans="1:8">
      <c r="A83" s="11"/>
      <c r="B83" s="11"/>
      <c r="C83" s="11"/>
      <c r="D83" s="11"/>
      <c r="E83" s="11"/>
      <c r="F83" s="11"/>
      <c r="G83" s="11"/>
      <c r="H83" s="11"/>
    </row>
    <row r="84" spans="1:8">
      <c r="A84" s="11"/>
      <c r="B84" s="11"/>
      <c r="C84" s="11"/>
      <c r="D84" s="11"/>
      <c r="E84" s="11"/>
      <c r="F84" s="11"/>
      <c r="G84" s="11"/>
      <c r="H84" s="11"/>
    </row>
    <row r="85" spans="1:8">
      <c r="A85" s="11"/>
      <c r="B85" s="11"/>
      <c r="C85" s="11"/>
      <c r="D85" s="11"/>
      <c r="E85" s="11"/>
      <c r="F85" s="11"/>
      <c r="G85" s="11"/>
      <c r="H85" s="11"/>
    </row>
    <row r="86" spans="1:8">
      <c r="A86" s="11"/>
      <c r="B86" s="11"/>
      <c r="C86" s="11"/>
      <c r="D86" s="11"/>
      <c r="E86" s="11"/>
      <c r="F86" s="11"/>
      <c r="G86" s="11"/>
      <c r="H86" s="11"/>
    </row>
    <row r="87" spans="1:8">
      <c r="A87" s="11"/>
      <c r="B87" s="11"/>
      <c r="C87" s="11"/>
      <c r="D87" s="11"/>
      <c r="E87" s="11"/>
      <c r="F87" s="11"/>
      <c r="G87" s="11"/>
      <c r="H87" s="11"/>
    </row>
    <row r="88" spans="1:8">
      <c r="A88" s="11"/>
      <c r="B88" s="11"/>
      <c r="C88" s="11"/>
      <c r="D88" s="11"/>
      <c r="E88" s="11"/>
      <c r="F88" s="11"/>
      <c r="G88" s="11"/>
      <c r="H88" s="11"/>
    </row>
    <row r="89" spans="1:8">
      <c r="A89" s="11"/>
      <c r="B89" s="11"/>
      <c r="C89" s="11"/>
      <c r="D89" s="11"/>
      <c r="E89" s="11"/>
      <c r="F89" s="11"/>
      <c r="G89" s="11"/>
      <c r="H89" s="11"/>
    </row>
    <row r="90" spans="1:8">
      <c r="A90" s="11"/>
      <c r="B90" s="11"/>
      <c r="C90" s="11"/>
      <c r="D90" s="11"/>
      <c r="E90" s="11"/>
      <c r="F90" s="11"/>
      <c r="G90" s="11"/>
      <c r="H90" s="11"/>
    </row>
    <row r="91" spans="1:8">
      <c r="A91" s="11"/>
      <c r="B91" s="11"/>
      <c r="C91" s="11"/>
      <c r="D91" s="11"/>
      <c r="E91" s="11"/>
      <c r="F91" s="11"/>
      <c r="G91" s="11"/>
      <c r="H91" s="11"/>
    </row>
    <row r="92" spans="1:8">
      <c r="A92" s="11"/>
      <c r="B92" s="11"/>
      <c r="C92" s="11"/>
      <c r="D92" s="11"/>
      <c r="E92" s="11"/>
      <c r="F92" s="11"/>
      <c r="G92" s="11"/>
      <c r="H92" s="11"/>
    </row>
    <row r="93" spans="1:8">
      <c r="A93" s="11"/>
      <c r="B93" s="11"/>
      <c r="C93" s="11"/>
      <c r="D93" s="11"/>
      <c r="E93" s="11"/>
      <c r="F93" s="11"/>
      <c r="G93" s="11"/>
      <c r="H93" s="11"/>
    </row>
    <row r="94" spans="1:8">
      <c r="A94" s="11"/>
      <c r="B94" s="11"/>
      <c r="C94" s="11"/>
      <c r="D94" s="11"/>
      <c r="E94" s="11"/>
      <c r="F94" s="11"/>
      <c r="G94" s="11"/>
      <c r="H94" s="11"/>
    </row>
    <row r="95" spans="1:8">
      <c r="A95" s="11"/>
      <c r="B95" s="11"/>
      <c r="C95" s="11"/>
      <c r="D95" s="11"/>
      <c r="E95" s="11"/>
      <c r="F95" s="11"/>
      <c r="G95" s="11"/>
      <c r="H95" s="11"/>
    </row>
    <row r="96" spans="1:8">
      <c r="A96" s="11"/>
      <c r="B96" s="11"/>
      <c r="C96" s="11"/>
      <c r="D96" s="11"/>
      <c r="E96" s="11"/>
      <c r="F96" s="11"/>
      <c r="G96" s="11"/>
      <c r="H96" s="11"/>
    </row>
    <row r="97" spans="1:8">
      <c r="A97" s="11"/>
      <c r="B97" s="11"/>
      <c r="C97" s="11"/>
      <c r="D97" s="11"/>
      <c r="E97" s="11"/>
      <c r="F97" s="11"/>
      <c r="G97" s="11"/>
      <c r="H97" s="11"/>
    </row>
  </sheetData>
  <mergeCells count="10">
    <mergeCell ref="B5:K5"/>
    <mergeCell ref="B7:K7"/>
    <mergeCell ref="B6:K6"/>
    <mergeCell ref="B8:K8"/>
    <mergeCell ref="N2:Q2"/>
    <mergeCell ref="S3:T3"/>
    <mergeCell ref="V3:W3"/>
    <mergeCell ref="S4:T4"/>
    <mergeCell ref="V4:W4"/>
    <mergeCell ref="A3:Q3"/>
  </mergeCells>
  <hyperlinks>
    <hyperlink ref="N2" location="'Information och Innehåll'!A1" display="Tillbaka till Information och Innehåll"/>
    <hyperlink ref="S6" location="V1.1.1!A1" display="V1.1.1"/>
    <hyperlink ref="S7" location="V1.1.2!A1" display="V1.1.2"/>
    <hyperlink ref="S8" location="V1.1.3!A1" display="V1.1.3"/>
    <hyperlink ref="S9" location="V2.1.1!A1" display="V2.1.1"/>
    <hyperlink ref="S10" location="V2.1.2!A1" display="V2.1.2"/>
    <hyperlink ref="S12" location="V3.1.2!A1" display="V3.1.2"/>
    <hyperlink ref="S11" location="V3.1.1!A1" display="V3.1.1"/>
    <hyperlink ref="S13" location="V3.1.3!A1" display="V3.1.3"/>
    <hyperlink ref="S15" location="V4.1.1!A1" display="V4.1.1"/>
    <hyperlink ref="S16" location="V4.2.1!A1" display="V4.2.1"/>
    <hyperlink ref="S17" location="V4.2.2!A1" display="V4.2.2"/>
    <hyperlink ref="S18" location="V4.2.3!A1" display="V4.2.3"/>
    <hyperlink ref="S19" location="V4.2.4!A1" display="V4.2.4"/>
    <hyperlink ref="S20" location="V5.1.1!A1" display="V5.1.1"/>
    <hyperlink ref="S21" location="V5.1.2!A1" display="V5.1.2"/>
    <hyperlink ref="T6" location="B1.1.1!A1" display="B1.1.1"/>
    <hyperlink ref="T7" location="B1.1.2!A1" display="B1.1.2"/>
    <hyperlink ref="T8" location="B1.2.1!A1" display="B1.2.1"/>
    <hyperlink ref="T9" location="B1.2.2!A1" display="B1.2.2"/>
    <hyperlink ref="T10" location="B1.2.3!A1" display="B1.2.3"/>
    <hyperlink ref="T11" location="B2.1.1!A1" display="B2.1.1"/>
    <hyperlink ref="T13" location="B2.2.1!A1" display="B2.2.1"/>
    <hyperlink ref="T14" location="B2.2.2!A1" display="B2.2.2"/>
    <hyperlink ref="T15" location="B2.2.3!A1" display="B2.2.3"/>
    <hyperlink ref="T16" location="B2.2.4!A1" display="B2.2.4"/>
    <hyperlink ref="T17" location="B3.1.1!A1" display="B3.1.1"/>
    <hyperlink ref="T18" location="B3.1.2!A1" display="B3.1.2"/>
    <hyperlink ref="T21" location="B4.1.1!A1" display="B4.1.1"/>
    <hyperlink ref="T22" location="B5.1.1!A1" display="B5.1.1"/>
    <hyperlink ref="T23" location="B5.1.2!A1" display="B5.1.2"/>
    <hyperlink ref="T24" location="B5.1.3!A1" display="B5.1.3"/>
    <hyperlink ref="T19" location="B3.1.3!A1" display="B3.1.3"/>
    <hyperlink ref="T12" location="B2.1.2!A1" display="B2.1.2"/>
    <hyperlink ref="S22" location="V5.1.3!A1" display="V5.1.3"/>
    <hyperlink ref="T20" location="B3.2.1!A1" display="B3.2.1"/>
    <hyperlink ref="S14" location="B3.2.1!A1" display="V3.2.1"/>
    <hyperlink ref="V6" location="'V1.1.1 DATA'!A1" display="V1.1.1"/>
    <hyperlink ref="V7" location="'V1.1.2 DATA'!A1" display="V1.1.2"/>
    <hyperlink ref="V8" location="'V1.1.3 Data'!A1" display="V1.1.3"/>
    <hyperlink ref="V9" location="'V2.1.1 DATA'!A1" display="V2.1.1"/>
    <hyperlink ref="V10" location="'V2.1.2 DATA'!A1" display="V2.1.2"/>
    <hyperlink ref="V12" location="'V3.1.2 DATA'!A1" display="V3.1.2"/>
    <hyperlink ref="V11" location="'V3.1.1 DATA'!A1" display="V3.1.1"/>
    <hyperlink ref="V13" location="'V3.1.3 DATA'!A1" display="V3.1.3"/>
    <hyperlink ref="V14" location="'V3.2.1 DATA'!A1" display="V3.2.1"/>
    <hyperlink ref="V15" location="'V4.1.1 DATA'!A1" display="V4.1.1"/>
    <hyperlink ref="V16" location="'V4.2.1 DATA'!A1" display="V4.2.1"/>
    <hyperlink ref="V18" location="'V4.2.3 DATA'!A1" display="V4.2.3"/>
    <hyperlink ref="V19" location="'V4.2.4 DATA'!A1" display="V4.2.4"/>
    <hyperlink ref="V20" location="'V5.1.1 DATA'!A1" display="V5.1.1"/>
    <hyperlink ref="V21" location="'V5.1.2 DATA'!A1" display="V5.1.2"/>
    <hyperlink ref="W6" location="'B1.1.1 DATA'!A1" display="B1.1.1"/>
    <hyperlink ref="W7" location="'B1.1.2 DATA'!A1" display="B1.1.2"/>
    <hyperlink ref="W8" location="'B1.2.1 DATA'!A1" display="B1.2.1"/>
    <hyperlink ref="W9" location="'B1.2.2 DATA'!A1" display="B1.2.2"/>
    <hyperlink ref="W10" location="'B1.2.3 DATA'!A1" display="B1.2.3"/>
    <hyperlink ref="W11" location="'B2.1.1 DATA'!A1" display="B2.1.1"/>
    <hyperlink ref="W13" location="'B2.2.1 DATA'!A1" display="B2.2.1"/>
    <hyperlink ref="W14" location="'B2.2.2 DATA'!A1" display="B2.2.2"/>
    <hyperlink ref="W15" location="'B2.2.3 DATA'!A1" display="B2.2.3"/>
    <hyperlink ref="W16" location="'B2.2.4 DATA'!A1" display="B2.2.4"/>
    <hyperlink ref="W17" location="'B3.1.1 DATA'!A1" display="B3.1.1"/>
    <hyperlink ref="W18" location="'B3.1.2 DATA'!A1" display="B3.1.2"/>
    <hyperlink ref="W20" location="'B3.2.1 DATA'!A1" display="B3.2.1"/>
    <hyperlink ref="W21" location="'B4.1.1 DATA'!A1" display="B4.1.1"/>
    <hyperlink ref="W22" location="'B5.1.1 DATA'!A1" display="B5.1.1"/>
    <hyperlink ref="W23" location="'B5.1.2 DATA'!A1" display="B5.1.2"/>
    <hyperlink ref="W24" location="'B5.1.3 DATA'!A1" display="B5.1.3"/>
    <hyperlink ref="W12" location="'B2.1.2 DATA'!A1" display="B2.1.2"/>
    <hyperlink ref="V22" location="'V5.1.3 DATA'!A1" display="V5.1.3"/>
    <hyperlink ref="W19" location="'B3.1.3 DATA'!A1" display="B3.1.3"/>
    <hyperlink ref="V17" location="'V4.2.2 DATA'!A1" display="V4.2.2"/>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B5DAC7"/>
  </sheetPr>
  <dimension ref="A2:AA56"/>
  <sheetViews>
    <sheetView showGridLines="0" zoomScale="70" zoomScaleNormal="70" workbookViewId="0"/>
  </sheetViews>
  <sheetFormatPr defaultRowHeight="14.25"/>
  <cols>
    <col min="1" max="1" width="2.796875" customWidth="1"/>
    <col min="2" max="4" width="8.796875" customWidth="1"/>
    <col min="5" max="5" width="14.796875" customWidth="1"/>
    <col min="6" max="12" width="8.796875" customWidth="1"/>
    <col min="13" max="13" width="2.796875" customWidth="1"/>
    <col min="14" max="15" width="14.796875" customWidth="1"/>
    <col min="16" max="16" width="18.33203125" customWidth="1"/>
    <col min="17"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401</v>
      </c>
      <c r="C3" s="338"/>
      <c r="D3" s="338"/>
      <c r="E3" s="338"/>
      <c r="F3" s="338"/>
      <c r="G3" s="338"/>
      <c r="H3" s="338"/>
      <c r="I3" s="338"/>
      <c r="J3" s="338"/>
      <c r="K3" s="338"/>
      <c r="L3" s="338"/>
      <c r="M3" s="338"/>
      <c r="N3" s="338"/>
      <c r="O3" s="338"/>
      <c r="P3" s="338"/>
      <c r="Q3" s="338"/>
      <c r="R3" s="338"/>
      <c r="S3" s="338"/>
      <c r="T3" s="338"/>
    </row>
    <row r="4" spans="1:20" ht="30.75">
      <c r="B4" s="339" t="s">
        <v>484</v>
      </c>
      <c r="C4" s="339"/>
      <c r="D4" s="339"/>
      <c r="E4" s="339"/>
      <c r="F4" s="339"/>
      <c r="G4" s="339"/>
      <c r="H4" s="339"/>
      <c r="I4" s="339"/>
      <c r="J4" s="339"/>
      <c r="K4" s="339"/>
      <c r="L4" s="339"/>
      <c r="M4" s="339"/>
      <c r="N4" s="339"/>
      <c r="O4" s="339"/>
      <c r="P4" s="339"/>
      <c r="Q4" s="339"/>
      <c r="R4" s="339"/>
      <c r="S4" s="339"/>
      <c r="T4" s="339"/>
    </row>
    <row r="5" spans="1:20" ht="18">
      <c r="B5" s="340" t="s">
        <v>51</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122"/>
      <c r="O10" s="122"/>
      <c r="P10" s="122"/>
      <c r="Q10" s="122"/>
      <c r="R10" s="122"/>
      <c r="S10" s="122"/>
      <c r="T10" s="122"/>
    </row>
    <row r="11" spans="1:20">
      <c r="B11" s="336" t="s">
        <v>40</v>
      </c>
      <c r="C11" s="336"/>
      <c r="D11" s="336"/>
      <c r="E11" s="336"/>
      <c r="F11" s="336"/>
      <c r="G11" s="336"/>
      <c r="H11" s="336"/>
      <c r="I11" s="336"/>
      <c r="J11" s="336"/>
      <c r="K11" s="336"/>
      <c r="L11" s="336"/>
      <c r="N11" s="87" t="s">
        <v>211</v>
      </c>
      <c r="O11" s="87" t="s">
        <v>286</v>
      </c>
      <c r="P11" s="86"/>
    </row>
    <row r="12" spans="1:20">
      <c r="B12" s="119"/>
      <c r="C12" s="337" t="s">
        <v>543</v>
      </c>
      <c r="D12" s="337"/>
      <c r="E12" s="337"/>
      <c r="F12" s="337"/>
      <c r="G12" s="337"/>
      <c r="H12" s="337"/>
      <c r="I12" s="337"/>
      <c r="J12" s="337"/>
      <c r="K12" s="337"/>
      <c r="L12" s="337"/>
      <c r="N12" s="87" t="s">
        <v>287</v>
      </c>
      <c r="O12" s="86" t="s">
        <v>361</v>
      </c>
      <c r="P12" s="86" t="s">
        <v>362</v>
      </c>
    </row>
    <row r="13" spans="1:20">
      <c r="B13" s="117"/>
      <c r="C13" s="332" t="s">
        <v>544</v>
      </c>
      <c r="D13" s="332"/>
      <c r="E13" s="332"/>
      <c r="F13" s="332"/>
      <c r="G13" s="332"/>
      <c r="H13" s="332"/>
      <c r="I13" s="332"/>
      <c r="J13" s="332"/>
      <c r="K13" s="332"/>
      <c r="L13" s="332"/>
      <c r="N13" s="88">
        <v>2017</v>
      </c>
      <c r="O13" s="86">
        <v>0.22727272727272727</v>
      </c>
      <c r="P13" s="86">
        <v>0.59090909090909094</v>
      </c>
    </row>
    <row r="14" spans="1:20">
      <c r="B14" s="117"/>
      <c r="C14" s="333" t="s">
        <v>292</v>
      </c>
      <c r="D14" s="333"/>
      <c r="E14" s="333"/>
      <c r="F14" s="333"/>
      <c r="G14" s="333"/>
      <c r="H14" s="333"/>
      <c r="I14" s="333"/>
      <c r="J14" s="333"/>
      <c r="K14" s="333"/>
      <c r="L14" s="333"/>
      <c r="N14" s="88">
        <v>2018</v>
      </c>
      <c r="O14" s="86"/>
      <c r="P14" s="86"/>
    </row>
    <row r="15" spans="1:20">
      <c r="B15" s="117"/>
      <c r="C15" s="333" t="s">
        <v>545</v>
      </c>
      <c r="D15" s="333"/>
      <c r="E15" s="333"/>
      <c r="F15" s="333"/>
      <c r="G15" s="333"/>
      <c r="H15" s="333"/>
      <c r="I15" s="333"/>
      <c r="J15" s="333"/>
      <c r="K15" s="333"/>
      <c r="L15" s="333"/>
      <c r="N15" s="88">
        <v>2019</v>
      </c>
      <c r="O15" s="86"/>
      <c r="P15" s="86"/>
    </row>
    <row r="16" spans="1:20">
      <c r="A16" s="3"/>
      <c r="B16" s="117"/>
      <c r="C16" s="118"/>
      <c r="D16" s="118"/>
      <c r="E16" s="118"/>
      <c r="F16" s="118"/>
      <c r="G16" s="118"/>
      <c r="H16" s="118"/>
      <c r="I16" s="118"/>
      <c r="J16" s="118"/>
      <c r="K16" s="118"/>
      <c r="L16" s="117"/>
      <c r="N16" s="88">
        <v>2020</v>
      </c>
      <c r="O16" s="86"/>
      <c r="P16" s="86"/>
    </row>
    <row r="17" spans="1:26" ht="14.45" customHeight="1">
      <c r="A17" s="3"/>
      <c r="B17" s="336" t="s">
        <v>41</v>
      </c>
      <c r="C17" s="336"/>
      <c r="D17" s="336"/>
      <c r="E17" s="336"/>
      <c r="F17" s="336"/>
      <c r="G17" s="336"/>
      <c r="H17" s="336"/>
      <c r="I17" s="336"/>
      <c r="J17" s="336"/>
      <c r="K17" s="336"/>
      <c r="L17" s="336"/>
      <c r="N17" s="88">
        <v>2021</v>
      </c>
      <c r="O17" s="86"/>
      <c r="P17" s="86"/>
    </row>
    <row r="18" spans="1:26" ht="14.45" customHeight="1">
      <c r="A18" s="3"/>
      <c r="B18" s="119"/>
      <c r="C18" s="333" t="s">
        <v>295</v>
      </c>
      <c r="D18" s="333"/>
      <c r="E18" s="333"/>
      <c r="F18" s="333"/>
      <c r="G18" s="333"/>
      <c r="H18" s="333"/>
      <c r="I18" s="333"/>
      <c r="J18" s="333"/>
      <c r="K18" s="333"/>
      <c r="L18" s="333"/>
      <c r="N18" s="88">
        <v>2022</v>
      </c>
      <c r="O18" s="86"/>
      <c r="P18" s="86"/>
    </row>
    <row r="19" spans="1:26" ht="14.45" customHeight="1">
      <c r="A19" s="3"/>
      <c r="B19" s="117"/>
      <c r="C19" s="333" t="s">
        <v>317</v>
      </c>
      <c r="D19" s="333"/>
      <c r="E19" s="333"/>
      <c r="F19" s="333"/>
      <c r="G19" s="333"/>
      <c r="H19" s="333"/>
      <c r="I19" s="333"/>
      <c r="J19" s="333"/>
      <c r="K19" s="333"/>
      <c r="L19" s="333"/>
      <c r="N19" s="88">
        <v>2023</v>
      </c>
      <c r="O19" s="86"/>
      <c r="P19" s="86"/>
    </row>
    <row r="20" spans="1:26" ht="14.45" customHeight="1">
      <c r="A20" s="3"/>
      <c r="B20" s="117"/>
      <c r="C20" s="333" t="s">
        <v>369</v>
      </c>
      <c r="D20" s="333"/>
      <c r="E20" s="333"/>
      <c r="F20" s="333"/>
      <c r="G20" s="333"/>
      <c r="H20" s="333"/>
      <c r="I20" s="333"/>
      <c r="J20" s="333"/>
      <c r="K20" s="333"/>
      <c r="L20" s="333"/>
      <c r="N20" s="88">
        <v>2024</v>
      </c>
      <c r="O20" s="86"/>
      <c r="P20" s="86"/>
    </row>
    <row r="21" spans="1:26" ht="14.45" customHeight="1">
      <c r="A21" s="3"/>
      <c r="B21" s="117"/>
      <c r="C21" s="58" t="str">
        <f>"--&gt;"</f>
        <v>--&gt;</v>
      </c>
      <c r="D21" s="334" t="s">
        <v>212</v>
      </c>
      <c r="E21" s="334"/>
      <c r="F21" s="334"/>
      <c r="G21" s="334"/>
      <c r="H21" s="334"/>
      <c r="I21" s="334"/>
      <c r="J21" s="334"/>
      <c r="K21" s="334"/>
      <c r="L21" s="334"/>
      <c r="N21" s="88">
        <v>2025</v>
      </c>
      <c r="O21" s="86"/>
      <c r="P21" s="86"/>
    </row>
    <row r="22" spans="1:26">
      <c r="A22" s="3"/>
      <c r="B22" s="117"/>
      <c r="C22" s="117"/>
      <c r="D22" s="334"/>
      <c r="E22" s="334"/>
      <c r="F22" s="334"/>
      <c r="G22" s="334"/>
      <c r="H22" s="334"/>
      <c r="I22" s="334"/>
      <c r="J22" s="334"/>
      <c r="K22" s="334"/>
      <c r="L22" s="334"/>
    </row>
    <row r="23" spans="1:26" ht="14.45" customHeight="1">
      <c r="A23" s="3"/>
      <c r="B23" s="117"/>
      <c r="C23" s="333" t="s">
        <v>356</v>
      </c>
      <c r="D23" s="333"/>
      <c r="E23" s="333"/>
      <c r="F23" s="333"/>
      <c r="G23" s="333"/>
      <c r="H23" s="333"/>
      <c r="I23" s="333"/>
      <c r="J23" s="333"/>
      <c r="K23" s="333"/>
      <c r="L23" s="333"/>
    </row>
    <row r="24" spans="1:26">
      <c r="A24" s="3"/>
      <c r="B24" s="117"/>
      <c r="C24" s="333"/>
      <c r="D24" s="333"/>
      <c r="E24" s="333"/>
      <c r="F24" s="333"/>
      <c r="G24" s="333"/>
      <c r="H24" s="333"/>
      <c r="I24" s="333"/>
      <c r="J24" s="333"/>
      <c r="K24" s="333"/>
      <c r="L24" s="333"/>
      <c r="Q24" s="2"/>
      <c r="S24" s="11"/>
      <c r="T24" s="11"/>
    </row>
    <row r="25" spans="1:26">
      <c r="A25" s="3"/>
      <c r="B25" s="117"/>
      <c r="C25" s="333"/>
      <c r="D25" s="333"/>
      <c r="E25" s="333"/>
      <c r="F25" s="333"/>
      <c r="G25" s="333"/>
      <c r="H25" s="333"/>
      <c r="I25" s="333"/>
      <c r="J25" s="333"/>
      <c r="K25" s="333"/>
      <c r="L25" s="333"/>
      <c r="Q25" s="2"/>
      <c r="S25" s="11"/>
      <c r="T25" s="11"/>
    </row>
    <row r="26" spans="1:26" ht="14.45" customHeight="1">
      <c r="A26" s="3"/>
      <c r="B26" s="117"/>
      <c r="C26" s="335" t="s">
        <v>322</v>
      </c>
      <c r="D26" s="335"/>
      <c r="E26" s="335"/>
      <c r="F26" s="335"/>
      <c r="G26" s="335"/>
      <c r="H26" s="335"/>
      <c r="I26" s="335"/>
      <c r="J26" s="335"/>
      <c r="K26" s="335"/>
      <c r="L26" s="335"/>
      <c r="Q26" s="2"/>
      <c r="S26" s="11"/>
      <c r="T26" s="11"/>
    </row>
    <row r="27" spans="1:26">
      <c r="B27" s="118"/>
      <c r="C27" s="335"/>
      <c r="D27" s="335"/>
      <c r="E27" s="335"/>
      <c r="F27" s="335"/>
      <c r="G27" s="335"/>
      <c r="H27" s="335"/>
      <c r="I27" s="335"/>
      <c r="J27" s="335"/>
      <c r="K27" s="335"/>
      <c r="L27" s="335"/>
      <c r="Q27" s="2"/>
      <c r="S27" s="11"/>
      <c r="T27" s="11"/>
    </row>
    <row r="28" spans="1:26">
      <c r="B28" s="118"/>
      <c r="C28" s="335"/>
      <c r="D28" s="335"/>
      <c r="E28" s="335"/>
      <c r="F28" s="335"/>
      <c r="G28" s="335"/>
      <c r="H28" s="335"/>
      <c r="I28" s="335"/>
      <c r="J28" s="335"/>
      <c r="K28" s="335"/>
      <c r="L28" s="335"/>
      <c r="Q28" s="2"/>
      <c r="S28" s="11"/>
      <c r="T28" s="11"/>
    </row>
    <row r="29" spans="1:26">
      <c r="B29" s="83"/>
      <c r="C29" s="351"/>
      <c r="D29" s="351"/>
      <c r="E29" s="351"/>
      <c r="F29" s="351"/>
      <c r="G29" s="351"/>
      <c r="H29" s="351"/>
      <c r="I29" s="351"/>
      <c r="J29" s="351"/>
      <c r="K29" s="351"/>
      <c r="L29" s="351"/>
      <c r="S29" s="11"/>
      <c r="T29" s="11"/>
    </row>
    <row r="30" spans="1:26">
      <c r="B30" s="122"/>
      <c r="C30" s="351"/>
      <c r="D30" s="351"/>
      <c r="E30" s="351"/>
      <c r="F30" s="351"/>
      <c r="G30" s="351"/>
      <c r="H30" s="351"/>
      <c r="I30" s="351"/>
      <c r="J30" s="351"/>
      <c r="K30" s="351"/>
      <c r="L30" s="351"/>
      <c r="M30" s="9"/>
      <c r="N30" s="122"/>
      <c r="O30" s="34"/>
      <c r="P30" s="35"/>
      <c r="Q30" s="35"/>
      <c r="R30" s="35"/>
      <c r="S30" s="35"/>
      <c r="T30" s="122"/>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6">
      <c r="A33" s="3"/>
      <c r="B33" s="119"/>
      <c r="C33" s="119"/>
      <c r="D33" s="119"/>
      <c r="E33" s="119"/>
      <c r="F33" s="119"/>
      <c r="G33" s="119"/>
      <c r="H33" s="119"/>
      <c r="I33" s="119"/>
      <c r="J33" s="119"/>
      <c r="K33" s="119"/>
      <c r="L33" s="119"/>
      <c r="M33" s="119"/>
      <c r="N33" s="119"/>
      <c r="O33" s="119"/>
      <c r="P33" s="119"/>
      <c r="Q33" s="119"/>
      <c r="R33" s="119"/>
      <c r="S33" s="119"/>
      <c r="T33" s="119"/>
      <c r="V33" s="319" t="s">
        <v>65</v>
      </c>
      <c r="W33" s="320"/>
      <c r="X33" s="11"/>
      <c r="Y33" s="319" t="s">
        <v>66</v>
      </c>
      <c r="Z33" s="320"/>
    </row>
    <row r="34" spans="1:26">
      <c r="B34" s="119"/>
      <c r="C34" s="119"/>
      <c r="D34" s="119"/>
      <c r="E34" s="119"/>
      <c r="F34" s="119"/>
      <c r="G34" s="119"/>
      <c r="H34" s="119"/>
      <c r="I34" s="119"/>
      <c r="J34" s="119"/>
      <c r="K34" s="119"/>
      <c r="L34" s="119"/>
      <c r="M34" s="119"/>
      <c r="N34" s="119"/>
      <c r="O34" s="119"/>
      <c r="P34" s="119"/>
      <c r="Q34" s="119"/>
      <c r="R34" s="119"/>
      <c r="S34" s="119"/>
      <c r="T34" s="119"/>
      <c r="V34" s="56" t="s">
        <v>61</v>
      </c>
      <c r="W34" s="56" t="s">
        <v>62</v>
      </c>
      <c r="X34" s="11"/>
      <c r="Y34" s="56" t="s">
        <v>61</v>
      </c>
      <c r="Z34" s="56" t="s">
        <v>62</v>
      </c>
    </row>
    <row r="35" spans="1:26">
      <c r="B35" s="119"/>
      <c r="C35" s="119"/>
      <c r="D35" s="119"/>
      <c r="E35" s="119"/>
      <c r="F35" s="119"/>
      <c r="G35" s="119"/>
      <c r="H35" s="119"/>
      <c r="I35" s="119"/>
      <c r="J35" s="119"/>
      <c r="K35" s="119"/>
      <c r="L35" s="119"/>
      <c r="M35" s="119"/>
      <c r="N35" s="119"/>
      <c r="O35" s="119"/>
      <c r="P35" s="119"/>
      <c r="Q35" s="119"/>
      <c r="R35" s="119"/>
      <c r="S35" s="119"/>
      <c r="T35" s="119"/>
      <c r="V35" s="244" t="s">
        <v>392</v>
      </c>
      <c r="W35" s="244" t="s">
        <v>448</v>
      </c>
      <c r="X35" s="11"/>
      <c r="Y35" s="244" t="s">
        <v>392</v>
      </c>
      <c r="Z35" s="244" t="s">
        <v>448</v>
      </c>
    </row>
    <row r="36" spans="1:26">
      <c r="B36" s="119"/>
      <c r="C36" s="119"/>
      <c r="D36" s="119"/>
      <c r="E36" s="119"/>
      <c r="F36" s="119"/>
      <c r="G36" s="119"/>
      <c r="H36" s="119"/>
      <c r="I36" s="119"/>
      <c r="J36" s="119"/>
      <c r="K36" s="119"/>
      <c r="L36" s="119"/>
      <c r="M36" s="119"/>
      <c r="N36" s="119"/>
      <c r="O36" s="119"/>
      <c r="P36" s="119"/>
      <c r="Q36" s="119"/>
      <c r="R36" s="119"/>
      <c r="S36" s="119"/>
      <c r="T36" s="119"/>
      <c r="V36" s="244" t="s">
        <v>393</v>
      </c>
      <c r="W36" s="244" t="s">
        <v>449</v>
      </c>
      <c r="X36" s="11"/>
      <c r="Y36" s="244" t="s">
        <v>393</v>
      </c>
      <c r="Z36" s="244" t="s">
        <v>449</v>
      </c>
    </row>
    <row r="37" spans="1:26">
      <c r="B37" s="119"/>
      <c r="C37" s="119"/>
      <c r="D37" s="119"/>
      <c r="E37" s="119"/>
      <c r="F37" s="119"/>
      <c r="G37" s="119"/>
      <c r="H37" s="119"/>
      <c r="I37" s="119"/>
      <c r="J37" s="119"/>
      <c r="K37" s="119"/>
      <c r="L37" s="119"/>
      <c r="M37" s="119"/>
      <c r="N37" s="119"/>
      <c r="O37" s="119"/>
      <c r="P37" s="119"/>
      <c r="Q37" s="119"/>
      <c r="R37" s="119"/>
      <c r="S37" s="119"/>
      <c r="T37" s="119"/>
      <c r="V37" s="244" t="s">
        <v>394</v>
      </c>
      <c r="W37" s="244" t="s">
        <v>450</v>
      </c>
      <c r="X37" s="11"/>
      <c r="Y37" s="244" t="s">
        <v>394</v>
      </c>
      <c r="Z37" s="244" t="s">
        <v>450</v>
      </c>
    </row>
    <row r="38" spans="1:26">
      <c r="B38" s="119"/>
      <c r="C38" s="119"/>
      <c r="D38" s="119"/>
      <c r="E38" s="119"/>
      <c r="F38" s="119"/>
      <c r="G38" s="119"/>
      <c r="H38" s="119"/>
      <c r="I38" s="119"/>
      <c r="J38" s="119"/>
      <c r="K38" s="119"/>
      <c r="L38" s="119"/>
      <c r="M38" s="119"/>
      <c r="N38" s="119"/>
      <c r="O38" s="119"/>
      <c r="P38" s="119"/>
      <c r="Q38" s="119"/>
      <c r="R38" s="119"/>
      <c r="S38" s="119"/>
      <c r="T38" s="119"/>
      <c r="V38" s="244" t="s">
        <v>434</v>
      </c>
      <c r="W38" s="244" t="s">
        <v>451</v>
      </c>
      <c r="X38" s="11"/>
      <c r="Y38" s="244" t="s">
        <v>434</v>
      </c>
      <c r="Z38" s="244" t="s">
        <v>451</v>
      </c>
    </row>
    <row r="39" spans="1:26">
      <c r="B39" s="119"/>
      <c r="C39" s="119"/>
      <c r="D39" s="119"/>
      <c r="E39" s="119"/>
      <c r="F39" s="119"/>
      <c r="G39" s="119"/>
      <c r="H39" s="119"/>
      <c r="I39" s="119"/>
      <c r="J39" s="119"/>
      <c r="K39" s="119"/>
      <c r="L39" s="119"/>
      <c r="M39" s="119"/>
      <c r="N39" s="119"/>
      <c r="O39" s="119"/>
      <c r="P39" s="119"/>
      <c r="Q39" s="119"/>
      <c r="R39" s="119"/>
      <c r="S39" s="119"/>
      <c r="T39" s="119"/>
      <c r="V39" s="244" t="s">
        <v>435</v>
      </c>
      <c r="W39" s="244" t="s">
        <v>452</v>
      </c>
      <c r="Y39" s="244" t="s">
        <v>435</v>
      </c>
      <c r="Z39" s="244" t="s">
        <v>452</v>
      </c>
    </row>
    <row r="40" spans="1:26">
      <c r="B40" s="119"/>
      <c r="C40" s="119"/>
      <c r="D40" s="119"/>
      <c r="E40" s="119"/>
      <c r="F40" s="119"/>
      <c r="G40" s="119"/>
      <c r="H40" s="119"/>
      <c r="I40" s="119"/>
      <c r="J40" s="119"/>
      <c r="K40" s="119"/>
      <c r="L40" s="119"/>
      <c r="M40" s="119"/>
      <c r="N40" s="119"/>
      <c r="O40" s="119"/>
      <c r="P40" s="119"/>
      <c r="Q40" s="119"/>
      <c r="R40" s="119"/>
      <c r="S40" s="119"/>
      <c r="T40" s="119"/>
      <c r="V40" s="244" t="s">
        <v>436</v>
      </c>
      <c r="W40" s="244" t="s">
        <v>453</v>
      </c>
      <c r="Y40" s="244" t="s">
        <v>436</v>
      </c>
      <c r="Z40" s="244" t="s">
        <v>453</v>
      </c>
    </row>
    <row r="41" spans="1:26">
      <c r="B41" s="119"/>
      <c r="C41" s="119"/>
      <c r="D41" s="119"/>
      <c r="E41" s="119"/>
      <c r="F41" s="119"/>
      <c r="G41" s="119"/>
      <c r="H41" s="119"/>
      <c r="I41" s="119"/>
      <c r="J41" s="119"/>
      <c r="K41" s="119"/>
      <c r="L41" s="119"/>
      <c r="M41" s="119"/>
      <c r="N41" s="119"/>
      <c r="O41" s="119"/>
      <c r="P41" s="119"/>
      <c r="Q41" s="119"/>
      <c r="R41" s="119"/>
      <c r="S41" s="119"/>
      <c r="T41" s="119"/>
      <c r="V41" s="244" t="s">
        <v>437</v>
      </c>
      <c r="W41" s="245" t="s">
        <v>454</v>
      </c>
      <c r="Y41" s="244" t="s">
        <v>437</v>
      </c>
      <c r="Z41" s="245" t="s">
        <v>454</v>
      </c>
    </row>
    <row r="42" spans="1:26">
      <c r="B42" s="119"/>
      <c r="C42" s="119"/>
      <c r="D42" s="119"/>
      <c r="E42" s="119"/>
      <c r="F42" s="119"/>
      <c r="G42" s="119"/>
      <c r="H42" s="119"/>
      <c r="I42" s="119"/>
      <c r="J42" s="119"/>
      <c r="K42" s="119"/>
      <c r="L42" s="119"/>
      <c r="M42" s="119"/>
      <c r="N42" s="119"/>
      <c r="O42" s="119"/>
      <c r="P42" s="119"/>
      <c r="Q42" s="119"/>
      <c r="R42" s="119"/>
      <c r="S42" s="119"/>
      <c r="T42" s="119"/>
      <c r="V42" s="244" t="s">
        <v>438</v>
      </c>
      <c r="W42" s="244" t="s">
        <v>455</v>
      </c>
      <c r="Y42" s="244" t="s">
        <v>438</v>
      </c>
      <c r="Z42" s="244" t="s">
        <v>455</v>
      </c>
    </row>
    <row r="43" spans="1:26">
      <c r="B43" s="119"/>
      <c r="C43" s="119"/>
      <c r="D43" s="119"/>
      <c r="E43" s="119"/>
      <c r="F43" s="119"/>
      <c r="G43" s="119"/>
      <c r="H43" s="119"/>
      <c r="I43" s="119"/>
      <c r="J43" s="119"/>
      <c r="K43" s="119"/>
      <c r="L43" s="119"/>
      <c r="M43" s="119"/>
      <c r="N43" s="119"/>
      <c r="O43" s="119"/>
      <c r="P43" s="119"/>
      <c r="Q43" s="119"/>
      <c r="R43" s="119"/>
      <c r="S43" s="119"/>
      <c r="T43" s="119"/>
      <c r="V43" s="245" t="s">
        <v>439</v>
      </c>
      <c r="W43" s="244" t="s">
        <v>456</v>
      </c>
      <c r="Y43" s="244" t="s">
        <v>439</v>
      </c>
      <c r="Z43" s="244" t="s">
        <v>456</v>
      </c>
    </row>
    <row r="44" spans="1:26">
      <c r="B44" s="119"/>
      <c r="C44" s="119"/>
      <c r="D44" s="119"/>
      <c r="E44" s="119"/>
      <c r="F44" s="119"/>
      <c r="G44" s="119"/>
      <c r="H44" s="119"/>
      <c r="I44" s="119"/>
      <c r="J44" s="119"/>
      <c r="K44" s="119"/>
      <c r="L44" s="119"/>
      <c r="M44" s="119"/>
      <c r="N44" s="119"/>
      <c r="O44" s="119"/>
      <c r="P44" s="119"/>
      <c r="Q44" s="119"/>
      <c r="R44" s="119"/>
      <c r="S44" s="119"/>
      <c r="T44" s="119"/>
      <c r="V44" s="244" t="s">
        <v>440</v>
      </c>
      <c r="W44" s="244" t="s">
        <v>457</v>
      </c>
      <c r="Y44" s="244" t="s">
        <v>440</v>
      </c>
      <c r="Z44" s="244" t="s">
        <v>457</v>
      </c>
    </row>
    <row r="45" spans="1:26">
      <c r="B45" s="119"/>
      <c r="C45" s="119"/>
      <c r="D45" s="119"/>
      <c r="E45" s="119"/>
      <c r="F45" s="119"/>
      <c r="G45" s="119"/>
      <c r="H45" s="119"/>
      <c r="I45" s="119"/>
      <c r="J45" s="119"/>
      <c r="K45" s="119"/>
      <c r="L45" s="119"/>
      <c r="M45" s="119"/>
      <c r="N45" s="119"/>
      <c r="O45" s="119"/>
      <c r="P45" s="119"/>
      <c r="Q45" s="119"/>
      <c r="R45" s="119"/>
      <c r="S45" s="119"/>
      <c r="T45" s="119"/>
      <c r="V45" s="244" t="s">
        <v>441</v>
      </c>
      <c r="W45" s="244" t="s">
        <v>458</v>
      </c>
      <c r="Y45" s="244" t="s">
        <v>441</v>
      </c>
      <c r="Z45" s="244" t="s">
        <v>458</v>
      </c>
    </row>
    <row r="46" spans="1:26">
      <c r="B46" s="119"/>
      <c r="C46" s="119"/>
      <c r="D46" s="119"/>
      <c r="E46" s="119"/>
      <c r="F46" s="119"/>
      <c r="G46" s="119"/>
      <c r="H46" s="119"/>
      <c r="I46" s="119"/>
      <c r="J46" s="119"/>
      <c r="K46" s="119"/>
      <c r="L46" s="119"/>
      <c r="M46" s="119"/>
      <c r="N46" s="119"/>
      <c r="O46" s="119"/>
      <c r="P46" s="119"/>
      <c r="Q46" s="119"/>
      <c r="R46" s="119"/>
      <c r="S46" s="119"/>
      <c r="T46" s="119"/>
      <c r="V46" s="244" t="s">
        <v>442</v>
      </c>
      <c r="W46" s="244" t="s">
        <v>459</v>
      </c>
      <c r="Y46" s="244" t="s">
        <v>442</v>
      </c>
      <c r="Z46" s="244" t="s">
        <v>459</v>
      </c>
    </row>
    <row r="47" spans="1:26">
      <c r="B47" s="119"/>
      <c r="C47" s="119"/>
      <c r="D47" s="119"/>
      <c r="E47" s="119"/>
      <c r="F47" s="119"/>
      <c r="G47" s="119"/>
      <c r="H47" s="119"/>
      <c r="I47" s="119"/>
      <c r="J47" s="119"/>
      <c r="K47" s="119"/>
      <c r="L47" s="119"/>
      <c r="M47" s="119"/>
      <c r="N47" s="119"/>
      <c r="O47" s="119"/>
      <c r="P47" s="119"/>
      <c r="Q47" s="119"/>
      <c r="R47" s="119"/>
      <c r="S47" s="119"/>
      <c r="T47" s="119"/>
      <c r="V47" s="244" t="s">
        <v>443</v>
      </c>
      <c r="W47" s="244" t="s">
        <v>460</v>
      </c>
      <c r="Y47" s="244" t="s">
        <v>443</v>
      </c>
      <c r="Z47" s="244" t="s">
        <v>460</v>
      </c>
    </row>
    <row r="48" spans="1:26">
      <c r="B48" s="119"/>
      <c r="C48" s="119"/>
      <c r="D48" s="119"/>
      <c r="E48" s="119"/>
      <c r="F48" s="119"/>
      <c r="G48" s="119"/>
      <c r="H48" s="119"/>
      <c r="I48" s="119"/>
      <c r="J48" s="119"/>
      <c r="K48" s="119"/>
      <c r="L48" s="119"/>
      <c r="M48" s="119"/>
      <c r="N48" s="119"/>
      <c r="O48" s="119"/>
      <c r="P48" s="119"/>
      <c r="Q48" s="119"/>
      <c r="R48" s="119"/>
      <c r="S48" s="119"/>
      <c r="T48" s="119"/>
      <c r="V48" s="244" t="s">
        <v>444</v>
      </c>
      <c r="W48" s="245" t="s">
        <v>461</v>
      </c>
      <c r="Y48" s="244" t="s">
        <v>444</v>
      </c>
      <c r="Z48" s="245" t="s">
        <v>461</v>
      </c>
    </row>
    <row r="49" spans="2:27">
      <c r="B49" s="119"/>
      <c r="C49" s="119"/>
      <c r="D49" s="119"/>
      <c r="E49" s="119"/>
      <c r="F49" s="119"/>
      <c r="G49" s="119"/>
      <c r="H49" s="119"/>
      <c r="I49" s="119"/>
      <c r="J49" s="119"/>
      <c r="K49" s="119"/>
      <c r="L49" s="119"/>
      <c r="M49" s="119"/>
      <c r="N49" s="119"/>
      <c r="O49" s="119"/>
      <c r="P49" s="119"/>
      <c r="Q49" s="119"/>
      <c r="R49" s="119"/>
      <c r="S49" s="119"/>
      <c r="T49" s="119"/>
      <c r="V49" s="244" t="s">
        <v>445</v>
      </c>
      <c r="W49" s="244" t="s">
        <v>462</v>
      </c>
      <c r="X49" s="6"/>
      <c r="Y49" s="244" t="s">
        <v>445</v>
      </c>
      <c r="Z49" s="244" t="s">
        <v>462</v>
      </c>
      <c r="AA49" s="6"/>
    </row>
    <row r="50" spans="2:27">
      <c r="B50" s="119"/>
      <c r="C50" s="119"/>
      <c r="D50" s="119"/>
      <c r="E50" s="119"/>
      <c r="F50" s="119"/>
      <c r="G50" s="119"/>
      <c r="H50" s="119"/>
      <c r="I50" s="119"/>
      <c r="J50" s="119"/>
      <c r="K50" s="119"/>
      <c r="L50" s="119"/>
      <c r="M50" s="119"/>
      <c r="N50" s="119"/>
      <c r="O50" s="119"/>
      <c r="P50" s="119"/>
      <c r="Q50" s="119"/>
      <c r="R50" s="119"/>
      <c r="S50" s="119"/>
      <c r="T50" s="119"/>
      <c r="V50" s="246" t="s">
        <v>446</v>
      </c>
      <c r="W50" s="244" t="s">
        <v>463</v>
      </c>
      <c r="X50" s="6"/>
      <c r="Y50" s="246" t="s">
        <v>446</v>
      </c>
      <c r="Z50" s="244" t="s">
        <v>463</v>
      </c>
      <c r="AA50" s="6"/>
    </row>
    <row r="51" spans="2:27">
      <c r="B51" s="119"/>
      <c r="C51" s="119"/>
      <c r="D51" s="119"/>
      <c r="E51" s="119"/>
      <c r="F51" s="119"/>
      <c r="G51" s="119"/>
      <c r="H51" s="119"/>
      <c r="I51" s="119"/>
      <c r="J51" s="119"/>
      <c r="K51" s="119"/>
      <c r="L51" s="119"/>
      <c r="M51" s="119"/>
      <c r="N51" s="119"/>
      <c r="O51" s="119"/>
      <c r="P51" s="119"/>
      <c r="Q51" s="119"/>
      <c r="R51" s="119"/>
      <c r="S51" s="119"/>
      <c r="T51" s="119"/>
      <c r="V51" s="247" t="s">
        <v>447</v>
      </c>
      <c r="W51" s="244" t="s">
        <v>464</v>
      </c>
      <c r="X51" s="6"/>
      <c r="Y51" s="247" t="s">
        <v>447</v>
      </c>
      <c r="Z51" s="244" t="s">
        <v>464</v>
      </c>
      <c r="AA51" s="6"/>
    </row>
    <row r="52" spans="2:27">
      <c r="B52" s="119"/>
      <c r="C52" s="119"/>
      <c r="D52" s="119"/>
      <c r="E52" s="119"/>
      <c r="F52" s="119"/>
      <c r="G52" s="119"/>
      <c r="H52" s="119"/>
      <c r="I52" s="119"/>
      <c r="J52" s="119"/>
      <c r="K52" s="119"/>
      <c r="L52" s="119"/>
      <c r="M52" s="119"/>
      <c r="N52" s="119"/>
      <c r="O52" s="119"/>
      <c r="P52" s="119"/>
      <c r="Q52" s="119"/>
      <c r="R52" s="119"/>
      <c r="S52" s="119"/>
      <c r="T52" s="119"/>
      <c r="V52" s="295"/>
      <c r="W52" s="244" t="s">
        <v>465</v>
      </c>
      <c r="X52" s="6"/>
      <c r="Y52" s="284"/>
      <c r="Z52" s="244" t="s">
        <v>465</v>
      </c>
      <c r="AA52" s="6"/>
    </row>
    <row r="53" spans="2:27">
      <c r="B53" s="119"/>
      <c r="C53" s="119"/>
      <c r="D53" s="119"/>
      <c r="E53" s="119"/>
      <c r="F53" s="119"/>
      <c r="G53" s="119"/>
      <c r="H53" s="119"/>
      <c r="I53" s="119"/>
      <c r="J53" s="119"/>
      <c r="K53" s="119"/>
      <c r="L53" s="119"/>
      <c r="M53" s="119"/>
      <c r="N53" s="119"/>
      <c r="O53" s="119"/>
      <c r="P53" s="119"/>
      <c r="Q53" s="119"/>
      <c r="R53" s="119"/>
      <c r="S53" s="119"/>
      <c r="T53" s="119"/>
      <c r="V53" s="204"/>
      <c r="W53" s="248" t="s">
        <v>466</v>
      </c>
      <c r="X53" s="6"/>
      <c r="Y53" s="257"/>
      <c r="Z53" s="258" t="s">
        <v>466</v>
      </c>
      <c r="AA53" s="6"/>
    </row>
    <row r="54" spans="2:27">
      <c r="B54" s="119"/>
      <c r="C54" s="119"/>
      <c r="D54" s="119"/>
      <c r="E54" s="119"/>
      <c r="F54" s="119"/>
      <c r="G54" s="119"/>
      <c r="H54" s="119"/>
      <c r="I54" s="119"/>
      <c r="J54" s="119"/>
      <c r="K54" s="119"/>
      <c r="L54" s="119"/>
      <c r="M54" s="119"/>
      <c r="N54" s="119"/>
      <c r="O54" s="119"/>
      <c r="P54" s="119"/>
      <c r="Q54" s="119"/>
      <c r="R54" s="119"/>
      <c r="S54" s="119"/>
      <c r="T54" s="119"/>
      <c r="V54" s="250"/>
      <c r="W54" s="251"/>
      <c r="X54" s="6"/>
      <c r="Y54" s="250"/>
      <c r="Z54" s="251"/>
      <c r="AA54" s="6"/>
    </row>
    <row r="55" spans="2:27">
      <c r="B55" s="119"/>
      <c r="C55" s="119"/>
      <c r="D55" s="119"/>
      <c r="E55" s="119"/>
      <c r="F55" s="119"/>
      <c r="G55" s="119"/>
      <c r="H55" s="119"/>
      <c r="I55" s="119"/>
      <c r="J55" s="119"/>
      <c r="K55" s="119"/>
      <c r="L55" s="119"/>
      <c r="M55" s="119"/>
      <c r="N55" s="119"/>
      <c r="O55" s="119"/>
      <c r="P55" s="119"/>
      <c r="Q55" s="119"/>
      <c r="R55" s="119"/>
      <c r="S55" s="119"/>
      <c r="T55" s="119"/>
      <c r="V55" s="249"/>
      <c r="W55" s="251"/>
      <c r="X55" s="6"/>
      <c r="Y55" s="249"/>
      <c r="Z55" s="251"/>
      <c r="AA55" s="6"/>
    </row>
    <row r="56" spans="2:27">
      <c r="V56" s="6"/>
      <c r="W56" s="6"/>
      <c r="X56" s="6"/>
      <c r="Y56" s="6"/>
      <c r="Z56" s="6"/>
      <c r="AA56" s="6"/>
    </row>
  </sheetData>
  <mergeCells count="24">
    <mergeCell ref="B3:T3"/>
    <mergeCell ref="B4:T4"/>
    <mergeCell ref="B5:T5"/>
    <mergeCell ref="R7:T7"/>
    <mergeCell ref="B9:L9"/>
    <mergeCell ref="N9:T9"/>
    <mergeCell ref="C26:L28"/>
    <mergeCell ref="B11:L11"/>
    <mergeCell ref="C12:L12"/>
    <mergeCell ref="C13:L13"/>
    <mergeCell ref="C14:L14"/>
    <mergeCell ref="C15:L15"/>
    <mergeCell ref="B17:L17"/>
    <mergeCell ref="C18:L18"/>
    <mergeCell ref="C19:L19"/>
    <mergeCell ref="C20:L20"/>
    <mergeCell ref="D21:L22"/>
    <mergeCell ref="C23:L25"/>
    <mergeCell ref="C29:L30"/>
    <mergeCell ref="B32:T32"/>
    <mergeCell ref="V32:W32"/>
    <mergeCell ref="Y32:Z32"/>
    <mergeCell ref="V33:W33"/>
    <mergeCell ref="Y33:Z33"/>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B49073"/>
  </sheetPr>
  <dimension ref="A1:BH146"/>
  <sheetViews>
    <sheetView showGridLines="0" showRowColHeaders="0" zoomScale="70" zoomScaleNormal="70" workbookViewId="0"/>
  </sheetViews>
  <sheetFormatPr defaultRowHeight="14.25"/>
  <cols>
    <col min="1" max="1" width="15.796875" customWidth="1"/>
    <col min="2" max="8" width="26.796875" customWidth="1"/>
    <col min="9" max="14" width="12.796875" customWidth="1"/>
    <col min="15" max="22" width="26.796875" customWidth="1"/>
    <col min="23" max="29" width="12.796875" customWidth="1"/>
    <col min="59" max="60" width="12.796875" customWidth="1"/>
  </cols>
  <sheetData>
    <row r="1" spans="1:60" ht="15.75">
      <c r="A1" s="16" t="s">
        <v>343</v>
      </c>
      <c r="B1" s="121"/>
      <c r="C1" s="121"/>
      <c r="D1" s="121"/>
      <c r="E1" s="121"/>
      <c r="F1" s="121"/>
      <c r="G1" s="121"/>
      <c r="P1" s="9"/>
      <c r="Q1" s="9"/>
      <c r="R1" s="9"/>
      <c r="S1" s="9"/>
      <c r="T1" s="9"/>
      <c r="U1" s="9"/>
      <c r="V1" s="9"/>
      <c r="W1" s="9"/>
    </row>
    <row r="2" spans="1:60" ht="15.75">
      <c r="A2" s="26" t="s">
        <v>34</v>
      </c>
      <c r="C2" s="27">
        <v>42977</v>
      </c>
      <c r="G2" s="342" t="s">
        <v>44</v>
      </c>
      <c r="H2" s="342"/>
      <c r="P2" s="9"/>
      <c r="Q2" s="9"/>
      <c r="R2" s="9"/>
      <c r="S2" s="9"/>
      <c r="T2" s="9"/>
      <c r="U2" s="9"/>
      <c r="V2" s="9"/>
      <c r="W2" s="9"/>
    </row>
    <row r="3" spans="1:60" ht="23.65" thickBot="1">
      <c r="A3" s="354" t="s">
        <v>7</v>
      </c>
      <c r="B3" s="354"/>
      <c r="C3" s="354"/>
      <c r="D3" s="354"/>
      <c r="E3" s="354"/>
      <c r="F3" s="354"/>
      <c r="G3" s="354"/>
      <c r="H3" s="354"/>
      <c r="J3" s="321" t="s">
        <v>46</v>
      </c>
      <c r="K3" s="321"/>
      <c r="L3" s="11"/>
      <c r="M3" s="318" t="s">
        <v>46</v>
      </c>
      <c r="N3" s="318"/>
      <c r="P3" s="9"/>
      <c r="Q3" s="9"/>
      <c r="R3" s="9"/>
      <c r="S3" s="9"/>
      <c r="T3" s="9"/>
      <c r="U3" s="9"/>
      <c r="V3" s="9"/>
      <c r="W3" s="9"/>
    </row>
    <row r="4" spans="1:60">
      <c r="A4" s="119"/>
      <c r="B4" s="119"/>
      <c r="C4" s="119"/>
      <c r="D4" s="119"/>
      <c r="E4" s="119"/>
      <c r="F4" s="119"/>
      <c r="G4" s="119"/>
      <c r="H4" s="119"/>
      <c r="J4" s="319" t="s">
        <v>65</v>
      </c>
      <c r="K4" s="320"/>
      <c r="L4" s="11"/>
      <c r="M4" s="319" t="s">
        <v>66</v>
      </c>
      <c r="N4" s="320"/>
      <c r="P4" s="9"/>
      <c r="Q4" s="9"/>
      <c r="R4" s="9"/>
      <c r="S4" s="9"/>
      <c r="T4" s="9"/>
      <c r="U4" s="9"/>
      <c r="V4" s="9"/>
      <c r="W4" s="9"/>
    </row>
    <row r="5" spans="1:60" ht="23.25">
      <c r="A5" s="119"/>
      <c r="B5" s="352" t="s">
        <v>374</v>
      </c>
      <c r="C5" s="352"/>
      <c r="D5" s="352"/>
      <c r="E5" s="352"/>
      <c r="F5" s="352"/>
      <c r="G5" s="352"/>
      <c r="H5" s="352"/>
      <c r="J5" s="56" t="s">
        <v>61</v>
      </c>
      <c r="K5" s="56" t="s">
        <v>62</v>
      </c>
      <c r="L5" s="11"/>
      <c r="M5" s="56" t="s">
        <v>61</v>
      </c>
      <c r="N5" s="56" t="s">
        <v>62</v>
      </c>
      <c r="P5" s="364"/>
      <c r="Q5" s="364"/>
      <c r="R5" s="9"/>
      <c r="S5" s="364"/>
      <c r="T5" s="364"/>
      <c r="U5" s="9"/>
      <c r="V5" s="9"/>
      <c r="W5" s="9"/>
    </row>
    <row r="6" spans="1:60">
      <c r="A6" s="119"/>
      <c r="B6" s="352" t="s">
        <v>326</v>
      </c>
      <c r="C6" s="352"/>
      <c r="D6" s="352"/>
      <c r="E6" s="352"/>
      <c r="F6" s="352"/>
      <c r="G6" s="352"/>
      <c r="H6" s="352"/>
      <c r="J6" s="244" t="s">
        <v>392</v>
      </c>
      <c r="K6" s="244" t="s">
        <v>448</v>
      </c>
      <c r="L6" s="11"/>
      <c r="M6" s="244" t="s">
        <v>392</v>
      </c>
      <c r="N6" s="244" t="s">
        <v>448</v>
      </c>
      <c r="P6" s="365"/>
      <c r="Q6" s="365"/>
      <c r="R6" s="9"/>
      <c r="S6" s="365"/>
      <c r="T6" s="365"/>
      <c r="U6" s="9"/>
      <c r="V6" s="9"/>
      <c r="W6" s="9"/>
    </row>
    <row r="7" spans="1:60">
      <c r="A7" s="119"/>
      <c r="B7" s="352" t="s">
        <v>329</v>
      </c>
      <c r="C7" s="352"/>
      <c r="D7" s="352"/>
      <c r="E7" s="352"/>
      <c r="F7" s="352"/>
      <c r="G7" s="352"/>
      <c r="H7" s="352"/>
      <c r="J7" s="244" t="s">
        <v>393</v>
      </c>
      <c r="K7" s="244" t="s">
        <v>449</v>
      </c>
      <c r="L7" s="11"/>
      <c r="M7" s="244" t="s">
        <v>393</v>
      </c>
      <c r="N7" s="244" t="s">
        <v>449</v>
      </c>
      <c r="P7" s="253"/>
      <c r="Q7" s="253"/>
      <c r="R7" s="9"/>
      <c r="S7" s="253"/>
      <c r="T7" s="253"/>
      <c r="U7" s="9"/>
      <c r="V7" s="9"/>
      <c r="W7" s="9"/>
    </row>
    <row r="8" spans="1:60">
      <c r="A8" s="119"/>
      <c r="B8" s="353" t="s">
        <v>325</v>
      </c>
      <c r="C8" s="353"/>
      <c r="D8" s="353"/>
      <c r="E8" s="353"/>
      <c r="F8" s="353"/>
      <c r="G8" s="353"/>
      <c r="H8" s="353"/>
      <c r="J8" s="244" t="s">
        <v>394</v>
      </c>
      <c r="K8" s="244" t="s">
        <v>450</v>
      </c>
      <c r="L8" s="11"/>
      <c r="M8" s="244" t="s">
        <v>394</v>
      </c>
      <c r="N8" s="244" t="s">
        <v>450</v>
      </c>
      <c r="P8" s="254"/>
      <c r="Q8" s="254"/>
      <c r="R8" s="9"/>
      <c r="S8" s="254"/>
      <c r="T8" s="254"/>
      <c r="U8" s="9"/>
      <c r="V8" s="9"/>
      <c r="W8" s="9"/>
    </row>
    <row r="9" spans="1:60">
      <c r="A9" s="119"/>
      <c r="B9" s="353" t="s">
        <v>546</v>
      </c>
      <c r="C9" s="353"/>
      <c r="D9" s="353"/>
      <c r="E9" s="353"/>
      <c r="F9" s="353"/>
      <c r="G9" s="353"/>
      <c r="H9" s="353"/>
      <c r="J9" s="244" t="s">
        <v>434</v>
      </c>
      <c r="K9" s="244" t="s">
        <v>451</v>
      </c>
      <c r="L9" s="11"/>
      <c r="M9" s="244" t="s">
        <v>434</v>
      </c>
      <c r="N9" s="244" t="s">
        <v>451</v>
      </c>
      <c r="P9" s="254"/>
      <c r="Q9" s="254"/>
      <c r="R9" s="9"/>
      <c r="S9" s="254"/>
      <c r="T9" s="254"/>
      <c r="U9" s="9"/>
      <c r="V9" s="9"/>
      <c r="W9" s="9"/>
    </row>
    <row r="10" spans="1:60">
      <c r="A10" s="119"/>
      <c r="B10" s="123" t="s">
        <v>547</v>
      </c>
      <c r="C10" s="123"/>
      <c r="D10" s="123"/>
      <c r="E10" s="123"/>
      <c r="F10" s="123"/>
      <c r="G10" s="123"/>
      <c r="H10" s="123"/>
      <c r="J10" s="244" t="s">
        <v>435</v>
      </c>
      <c r="K10" s="244" t="s">
        <v>452</v>
      </c>
      <c r="M10" s="244" t="s">
        <v>435</v>
      </c>
      <c r="N10" s="244" t="s">
        <v>452</v>
      </c>
      <c r="P10" s="254"/>
      <c r="Q10" s="254"/>
      <c r="R10" s="9"/>
      <c r="S10" s="254"/>
      <c r="T10" s="254"/>
      <c r="U10" s="9"/>
      <c r="V10" s="9"/>
      <c r="W10" s="9"/>
    </row>
    <row r="11" spans="1:60">
      <c r="A11" s="119"/>
      <c r="B11" s="119"/>
      <c r="C11" s="119"/>
      <c r="D11" s="119"/>
      <c r="E11" s="119"/>
      <c r="F11" s="119"/>
      <c r="G11" s="119"/>
      <c r="H11" s="119"/>
      <c r="J11" s="244" t="s">
        <v>436</v>
      </c>
      <c r="K11" s="244" t="s">
        <v>453</v>
      </c>
      <c r="M11" s="244" t="s">
        <v>436</v>
      </c>
      <c r="N11" s="244" t="s">
        <v>453</v>
      </c>
      <c r="P11" s="254"/>
      <c r="Q11" s="254"/>
      <c r="R11" s="9"/>
      <c r="S11" s="254"/>
      <c r="T11" s="254"/>
      <c r="U11" s="9"/>
      <c r="V11" s="9"/>
      <c r="W11" s="9"/>
    </row>
    <row r="12" spans="1:60" ht="15.75">
      <c r="A12" s="26"/>
      <c r="C12" s="27"/>
      <c r="J12" s="244" t="s">
        <v>437</v>
      </c>
      <c r="K12" s="245" t="s">
        <v>454</v>
      </c>
      <c r="M12" s="244" t="s">
        <v>437</v>
      </c>
      <c r="N12" s="245" t="s">
        <v>454</v>
      </c>
      <c r="P12" s="254"/>
      <c r="Q12" s="254"/>
      <c r="R12" s="9"/>
      <c r="S12" s="254"/>
      <c r="T12" s="254"/>
      <c r="U12" s="9"/>
      <c r="V12" s="9"/>
      <c r="W12" s="9"/>
    </row>
    <row r="13" spans="1:60">
      <c r="A13" s="133" t="s">
        <v>2</v>
      </c>
      <c r="B13" s="133" t="s">
        <v>203</v>
      </c>
      <c r="C13" s="133" t="s">
        <v>153</v>
      </c>
      <c r="D13" s="133" t="s">
        <v>158</v>
      </c>
      <c r="E13" s="133" t="s">
        <v>162</v>
      </c>
      <c r="F13" s="133" t="s">
        <v>178</v>
      </c>
      <c r="G13" s="133" t="s">
        <v>188</v>
      </c>
      <c r="H13" s="133" t="s">
        <v>209</v>
      </c>
      <c r="I13" s="152"/>
      <c r="J13" s="244" t="s">
        <v>438</v>
      </c>
      <c r="K13" s="244" t="s">
        <v>455</v>
      </c>
      <c r="M13" s="244" t="s">
        <v>438</v>
      </c>
      <c r="N13" s="244" t="s">
        <v>455</v>
      </c>
      <c r="O13" s="152"/>
      <c r="P13" s="254"/>
      <c r="Q13" s="254"/>
      <c r="R13" s="9"/>
      <c r="S13" s="254"/>
      <c r="T13" s="254"/>
      <c r="U13" s="255"/>
      <c r="V13" s="255"/>
      <c r="W13" s="255"/>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8"/>
      <c r="BG13" s="8"/>
      <c r="BH13" s="8"/>
    </row>
    <row r="14" spans="1:60">
      <c r="A14" s="2">
        <v>2017</v>
      </c>
      <c r="B14" t="s">
        <v>361</v>
      </c>
      <c r="C14" s="79">
        <f>COUNTIF(D$39:D$53,"=2")/COUNT(D$39:D$53)</f>
        <v>0.2857142857142857</v>
      </c>
      <c r="D14" s="79">
        <f>COUNTIF(D$54:D$58,"=2")/COUNT(D$54:D$58)</f>
        <v>0</v>
      </c>
      <c r="E14" s="79">
        <f>COUNTIF(D$59:D$62,"=2")/COUNT(D$59:D$62)</f>
        <v>0.25</v>
      </c>
      <c r="F14" s="79">
        <f>COUNTIF(D$63:D$77,"=2")/COUNT(D$63:D$77)</f>
        <v>0.2</v>
      </c>
      <c r="G14" s="79">
        <f>COUNTIF(D$78:D$87,"=2")/COUNT(D$78:D$87)</f>
        <v>0.22222222222222221</v>
      </c>
      <c r="H14" s="79">
        <f>COUNTIF(D$39:D$87,"=2")/COUNT(D$39:D$87)</f>
        <v>0.22727272727272727</v>
      </c>
      <c r="I14" s="82"/>
      <c r="J14" s="245" t="s">
        <v>439</v>
      </c>
      <c r="K14" s="244" t="s">
        <v>456</v>
      </c>
      <c r="M14" s="244" t="s">
        <v>439</v>
      </c>
      <c r="N14" s="244" t="s">
        <v>456</v>
      </c>
      <c r="O14" s="153"/>
      <c r="P14" s="254"/>
      <c r="Q14" s="256"/>
      <c r="R14" s="9"/>
      <c r="S14" s="254"/>
      <c r="T14" s="256"/>
      <c r="U14" s="96"/>
      <c r="V14" s="96"/>
      <c r="W14" s="96"/>
      <c r="X14" s="82"/>
      <c r="Y14" s="82"/>
      <c r="Z14" s="82"/>
      <c r="AA14" s="82"/>
      <c r="AB14" s="82"/>
      <c r="AC14" s="153"/>
      <c r="AD14" s="82"/>
      <c r="AE14" s="153"/>
      <c r="AF14" s="82"/>
      <c r="AG14" s="153"/>
      <c r="AH14" s="82"/>
      <c r="AI14" s="82"/>
      <c r="AJ14" s="82"/>
      <c r="AK14" s="82"/>
      <c r="AL14" s="82"/>
      <c r="AM14" s="82"/>
      <c r="AN14" s="82"/>
      <c r="AO14" s="82"/>
      <c r="AP14" s="82"/>
      <c r="AQ14" s="82"/>
      <c r="AR14" s="82"/>
      <c r="AS14" s="82"/>
      <c r="AT14" s="82"/>
      <c r="AU14" s="82"/>
      <c r="AV14" s="82"/>
      <c r="AW14" s="82"/>
      <c r="AX14" s="82"/>
      <c r="AY14" s="82"/>
      <c r="AZ14" s="153"/>
      <c r="BA14" s="82"/>
      <c r="BB14" s="82"/>
      <c r="BC14" s="82"/>
      <c r="BD14" s="82"/>
      <c r="BE14" s="153"/>
      <c r="BF14" s="8"/>
      <c r="BG14" s="8"/>
      <c r="BH14" s="8"/>
    </row>
    <row r="15" spans="1:60">
      <c r="A15">
        <v>2017</v>
      </c>
      <c r="B15" t="s">
        <v>362</v>
      </c>
      <c r="C15" s="79">
        <f>COUNTIF(D$39:D$53,"=1")/COUNT(D$39:D$53)</f>
        <v>0.5714285714285714</v>
      </c>
      <c r="D15" s="79">
        <f>COUNTIF(D$54:D$58,"=1")/COUNT(D$54:D$58)</f>
        <v>1</v>
      </c>
      <c r="E15" s="79">
        <f>COUNTIF(D$59:D$62,"=1")/COUNT(D$59:D$62)</f>
        <v>0.75</v>
      </c>
      <c r="F15" s="79">
        <f>COUNTIF(D$63:D$77,"=1")/COUNT(D$63:D$77)</f>
        <v>0.6</v>
      </c>
      <c r="G15" s="79">
        <f>COUNTIF(D$78:D$87,"=1")/COUNT(D$78:D$87)</f>
        <v>0.44444444444444442</v>
      </c>
      <c r="H15" s="79">
        <f>COUNTIF(D$39:D$87,"=1")/COUNT(D$39:D$87)</f>
        <v>0.59090909090909094</v>
      </c>
      <c r="I15" s="82"/>
      <c r="J15" s="244" t="s">
        <v>440</v>
      </c>
      <c r="K15" s="244" t="s">
        <v>457</v>
      </c>
      <c r="M15" s="244" t="s">
        <v>440</v>
      </c>
      <c r="N15" s="244" t="s">
        <v>457</v>
      </c>
      <c r="O15" s="153"/>
      <c r="P15" s="254"/>
      <c r="Q15" s="254"/>
      <c r="R15" s="9"/>
      <c r="S15" s="254"/>
      <c r="T15" s="254"/>
      <c r="U15" s="96"/>
      <c r="V15" s="96"/>
      <c r="W15" s="96"/>
      <c r="X15" s="82"/>
      <c r="Y15" s="82"/>
      <c r="Z15" s="82"/>
      <c r="AA15" s="82"/>
      <c r="AB15" s="82"/>
      <c r="AC15" s="153"/>
      <c r="AD15" s="82"/>
      <c r="AE15" s="153"/>
      <c r="AF15" s="82"/>
      <c r="AG15" s="153"/>
      <c r="AH15" s="82"/>
      <c r="AI15" s="82"/>
      <c r="AJ15" s="82"/>
      <c r="AK15" s="82"/>
      <c r="AL15" s="82"/>
      <c r="AM15" s="82"/>
      <c r="AN15" s="82"/>
      <c r="AO15" s="82"/>
      <c r="AP15" s="82"/>
      <c r="AQ15" s="82"/>
      <c r="AR15" s="82"/>
      <c r="AS15" s="82"/>
      <c r="AT15" s="82"/>
      <c r="AU15" s="82"/>
      <c r="AV15" s="82"/>
      <c r="AW15" s="82"/>
      <c r="AX15" s="82"/>
      <c r="AY15" s="82"/>
      <c r="AZ15" s="153"/>
      <c r="BA15" s="82"/>
      <c r="BB15" s="82"/>
      <c r="BC15" s="82"/>
      <c r="BD15" s="82"/>
      <c r="BE15" s="153"/>
      <c r="BF15" s="8"/>
      <c r="BG15" s="8"/>
      <c r="BH15" s="8"/>
    </row>
    <row r="16" spans="1:60">
      <c r="A16" s="2">
        <v>2018</v>
      </c>
      <c r="B16" t="s">
        <v>361</v>
      </c>
      <c r="C16" s="79" t="e">
        <f>COUNTIF(E$39:E$53,"=2")/COUNT(E$39:E$53)</f>
        <v>#DIV/0!</v>
      </c>
      <c r="D16" s="79" t="e">
        <f>COUNTIF(E$54:E$58,"=2")/COUNT(E$54:E$58)</f>
        <v>#DIV/0!</v>
      </c>
      <c r="E16" s="79" t="e">
        <f>COUNTIF(E$59:E$62,"=2")/COUNT(E$59:E$62)</f>
        <v>#DIV/0!</v>
      </c>
      <c r="F16" s="79" t="e">
        <f>COUNTIF(E$63:E$77,"=2")/COUNT(E$63:E$77)</f>
        <v>#DIV/0!</v>
      </c>
      <c r="G16" s="79" t="e">
        <f>COUNTIF(E$78:E$87,"=2")/COUNT(E$78:E$87)</f>
        <v>#DIV/0!</v>
      </c>
      <c r="H16" s="79" t="e">
        <f>COUNTIF(E$39:E$87,"=2")/COUNT(E$39:E$87)</f>
        <v>#DIV/0!</v>
      </c>
      <c r="I16" s="82"/>
      <c r="J16" s="244" t="s">
        <v>441</v>
      </c>
      <c r="K16" s="244" t="s">
        <v>458</v>
      </c>
      <c r="M16" s="244" t="s">
        <v>441</v>
      </c>
      <c r="N16" s="244" t="s">
        <v>458</v>
      </c>
      <c r="O16" s="153"/>
      <c r="P16" s="254"/>
      <c r="Q16" s="254"/>
      <c r="R16" s="9"/>
      <c r="S16" s="254"/>
      <c r="T16" s="254"/>
      <c r="U16" s="96"/>
      <c r="V16" s="96"/>
      <c r="W16" s="96"/>
      <c r="X16" s="82"/>
      <c r="Y16" s="82"/>
      <c r="Z16" s="82"/>
      <c r="AA16" s="82"/>
      <c r="AB16" s="82"/>
      <c r="AC16" s="153"/>
      <c r="AD16" s="82"/>
      <c r="AE16" s="153"/>
      <c r="AF16" s="82"/>
      <c r="AG16" s="153"/>
      <c r="AH16" s="82"/>
      <c r="AI16" s="82"/>
      <c r="AJ16" s="82"/>
      <c r="AK16" s="82"/>
      <c r="AL16" s="82"/>
      <c r="AM16" s="82"/>
      <c r="AN16" s="82"/>
      <c r="AO16" s="82"/>
      <c r="AP16" s="82"/>
      <c r="AQ16" s="82"/>
      <c r="AR16" s="82"/>
      <c r="AS16" s="82"/>
      <c r="AT16" s="82"/>
      <c r="AU16" s="82"/>
      <c r="AV16" s="82"/>
      <c r="AW16" s="82"/>
      <c r="AX16" s="82"/>
      <c r="AY16" s="82"/>
      <c r="AZ16" s="153"/>
      <c r="BA16" s="82"/>
      <c r="BB16" s="82"/>
      <c r="BC16" s="82"/>
      <c r="BD16" s="82"/>
      <c r="BE16" s="153"/>
      <c r="BF16" s="8"/>
      <c r="BG16" s="8"/>
      <c r="BH16" s="8"/>
    </row>
    <row r="17" spans="1:60">
      <c r="A17">
        <v>2018</v>
      </c>
      <c r="B17" t="s">
        <v>362</v>
      </c>
      <c r="C17" s="79" t="e">
        <f>COUNTIF(E$39:E$53,"=1")/COUNT(E$39:E$53)</f>
        <v>#DIV/0!</v>
      </c>
      <c r="D17" s="79" t="e">
        <f>COUNTIF(E$54:E$58,"=1")/COUNT(E$54:E$58)</f>
        <v>#DIV/0!</v>
      </c>
      <c r="E17" s="79" t="e">
        <f>COUNTIF(E$59:E$62,"=1")/COUNT(E$59:E$62)</f>
        <v>#DIV/0!</v>
      </c>
      <c r="F17" s="79" t="e">
        <f>COUNTIF(E$63:E$77,"=1")/COUNT(E$63:E$77)</f>
        <v>#DIV/0!</v>
      </c>
      <c r="G17" s="79" t="e">
        <f>COUNTIF(E$78:E$87,"=1")/COUNT(E$78:E$87)</f>
        <v>#DIV/0!</v>
      </c>
      <c r="H17" s="79" t="e">
        <f>COUNTIF(E$39:E$87,"=1")/COUNT(E$39:E$87)</f>
        <v>#DIV/0!</v>
      </c>
      <c r="I17" s="82"/>
      <c r="J17" s="244" t="s">
        <v>442</v>
      </c>
      <c r="K17" s="244" t="s">
        <v>459</v>
      </c>
      <c r="M17" s="244" t="s">
        <v>442</v>
      </c>
      <c r="N17" s="244" t="s">
        <v>459</v>
      </c>
      <c r="O17" s="82"/>
      <c r="P17" s="254"/>
      <c r="Q17" s="254"/>
      <c r="R17" s="9"/>
      <c r="S17" s="254"/>
      <c r="T17" s="254"/>
      <c r="U17" s="96"/>
      <c r="V17" s="96"/>
      <c r="W17" s="96"/>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153"/>
      <c r="BC17" s="82"/>
      <c r="BD17" s="82"/>
      <c r="BE17" s="153"/>
      <c r="BF17" s="8"/>
      <c r="BG17" s="8"/>
      <c r="BH17" s="8"/>
    </row>
    <row r="18" spans="1:60">
      <c r="A18">
        <v>2019</v>
      </c>
      <c r="B18" t="s">
        <v>361</v>
      </c>
      <c r="C18" s="79" t="e">
        <f>COUNTIF(F$39:F$53,"=2")/COUNT(F$39:F$53)</f>
        <v>#DIV/0!</v>
      </c>
      <c r="D18" s="79" t="e">
        <f>COUNTIF(F$54:F$58,"=2")/COUNT(F$54:F$58)</f>
        <v>#DIV/0!</v>
      </c>
      <c r="E18" s="79" t="e">
        <f>COUNTIF(F$59:F$62,"=2")/COUNT(F$59:F$62)</f>
        <v>#DIV/0!</v>
      </c>
      <c r="F18" s="79" t="e">
        <f>COUNTIF(F$63:F$77,"=2")/COUNT(F$63:F$77)</f>
        <v>#DIV/0!</v>
      </c>
      <c r="G18" s="79" t="e">
        <f>COUNTIF(F$78:F$87,"=2")/COUNT(F$78:F$87)</f>
        <v>#DIV/0!</v>
      </c>
      <c r="H18" s="79" t="e">
        <f>COUNTIF(F$39:F$87,"=2")/COUNT(F$39:F$87)</f>
        <v>#DIV/0!</v>
      </c>
      <c r="I18" s="82"/>
      <c r="J18" s="244" t="s">
        <v>443</v>
      </c>
      <c r="K18" s="244" t="s">
        <v>460</v>
      </c>
      <c r="M18" s="244" t="s">
        <v>443</v>
      </c>
      <c r="N18" s="244" t="s">
        <v>460</v>
      </c>
      <c r="O18" s="82"/>
      <c r="P18" s="254"/>
      <c r="Q18" s="254"/>
      <c r="R18" s="9"/>
      <c r="S18" s="254"/>
      <c r="T18" s="254"/>
      <c r="U18" s="96"/>
      <c r="V18" s="96"/>
      <c r="W18" s="96"/>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153"/>
      <c r="BC18" s="82"/>
      <c r="BD18" s="82"/>
      <c r="BE18" s="153"/>
      <c r="BF18" s="8"/>
      <c r="BG18" s="8"/>
      <c r="BH18" s="8"/>
    </row>
    <row r="19" spans="1:60">
      <c r="A19">
        <v>2019</v>
      </c>
      <c r="B19" t="s">
        <v>362</v>
      </c>
      <c r="C19" s="79" t="e">
        <f>COUNTIF(F$39:F$53,"=1")/COUNT(F$39:F$53)</f>
        <v>#DIV/0!</v>
      </c>
      <c r="D19" s="79" t="e">
        <f>COUNTIF(F$54:F$58,"=1")/COUNT(F$54:F$58)</f>
        <v>#DIV/0!</v>
      </c>
      <c r="E19" s="79" t="e">
        <f>COUNTIF(F$59:F$62,"=1")/COUNT(F$59:F$62)</f>
        <v>#DIV/0!</v>
      </c>
      <c r="F19" s="79" t="e">
        <f>COUNTIF(F$63:F$77,"=1")/COUNT(F$63:F$77)</f>
        <v>#DIV/0!</v>
      </c>
      <c r="G19" s="79" t="e">
        <f>COUNTIF(F$78:F$87,"=1")/COUNT(F$78:F$87)</f>
        <v>#DIV/0!</v>
      </c>
      <c r="H19" s="79" t="e">
        <f>COUNTIF(F$39:F$87,"=1")/COUNT(F$39:F$87)</f>
        <v>#DIV/0!</v>
      </c>
      <c r="I19" s="82"/>
      <c r="J19" s="244" t="s">
        <v>444</v>
      </c>
      <c r="K19" s="245" t="s">
        <v>461</v>
      </c>
      <c r="M19" s="244" t="s">
        <v>444</v>
      </c>
      <c r="N19" s="245" t="s">
        <v>461</v>
      </c>
      <c r="O19" s="82"/>
      <c r="P19" s="254"/>
      <c r="Q19" s="254"/>
      <c r="R19" s="9"/>
      <c r="S19" s="254"/>
      <c r="T19" s="254"/>
      <c r="U19" s="96"/>
      <c r="V19" s="96"/>
      <c r="W19" s="96"/>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153"/>
      <c r="BB19" s="153"/>
      <c r="BC19" s="82"/>
      <c r="BD19" s="82"/>
      <c r="BE19" s="153"/>
      <c r="BF19" s="8"/>
      <c r="BG19" s="8"/>
      <c r="BH19" s="8"/>
    </row>
    <row r="20" spans="1:60">
      <c r="A20">
        <v>2020</v>
      </c>
      <c r="B20" t="s">
        <v>361</v>
      </c>
      <c r="C20" s="79" t="e">
        <f>COUNTIF(G$39:G$53,"=2")/COUNT(G$39:G$53)</f>
        <v>#DIV/0!</v>
      </c>
      <c r="D20" s="79" t="e">
        <f>COUNTIF(G$54:G$58,"=2")/COUNT(G$54:G$58)</f>
        <v>#DIV/0!</v>
      </c>
      <c r="E20" s="79" t="e">
        <f>COUNTIF(G$59:G$62,"=2")/COUNT(G$59:G$62)</f>
        <v>#DIV/0!</v>
      </c>
      <c r="F20" s="79" t="e">
        <f>COUNTIF(G$63:G$77,"=2")/COUNT(G$63:G$77)</f>
        <v>#DIV/0!</v>
      </c>
      <c r="G20" s="79" t="e">
        <f>COUNTIF(G$78:G$87,"=2")/COUNT(G$78:G$87)</f>
        <v>#DIV/0!</v>
      </c>
      <c r="H20" s="79" t="e">
        <f>COUNTIF(G$39:G$87,"=2")/COUNT(G$39:G$87)</f>
        <v>#DIV/0!</v>
      </c>
      <c r="I20" s="8"/>
      <c r="J20" s="244" t="s">
        <v>445</v>
      </c>
      <c r="K20" s="244" t="s">
        <v>462</v>
      </c>
      <c r="L20" s="9"/>
      <c r="M20" s="244" t="s">
        <v>445</v>
      </c>
      <c r="N20" s="244" t="s">
        <v>462</v>
      </c>
      <c r="O20" s="9"/>
      <c r="P20" s="254"/>
      <c r="Q20" s="254"/>
      <c r="R20" s="9"/>
      <c r="S20" s="254"/>
      <c r="T20" s="254"/>
      <c r="U20" s="9"/>
      <c r="V20" s="9"/>
      <c r="W20" s="9"/>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row>
    <row r="21" spans="1:60">
      <c r="A21">
        <v>2020</v>
      </c>
      <c r="B21" t="s">
        <v>362</v>
      </c>
      <c r="C21" s="79" t="e">
        <f>COUNTIF(G$39:G$53,"=1")/COUNT(G$39:G$53)</f>
        <v>#DIV/0!</v>
      </c>
      <c r="D21" s="79" t="e">
        <f>COUNTIF(G$54:G$58,"=1")/COUNT(G$54:G$58)</f>
        <v>#DIV/0!</v>
      </c>
      <c r="E21" s="79" t="e">
        <f>COUNTIF(G$59:G$62,"=1")/COUNT(G$59:G$62)</f>
        <v>#DIV/0!</v>
      </c>
      <c r="F21" s="79" t="e">
        <f>COUNTIF(G$63:G$77,"=1")/COUNT(G$63:G$77)</f>
        <v>#DIV/0!</v>
      </c>
      <c r="G21" s="79" t="e">
        <f>COUNTIF(G$78:G$87,"=1")/COUNT(G$78:G$87)</f>
        <v>#DIV/0!</v>
      </c>
      <c r="H21" s="79" t="e">
        <f>COUNTIF(G$39:G$87,"=1")/COUNT(G$39:G$87)</f>
        <v>#DIV/0!</v>
      </c>
      <c r="I21" s="8"/>
      <c r="J21" s="246" t="s">
        <v>446</v>
      </c>
      <c r="K21" s="244" t="s">
        <v>463</v>
      </c>
      <c r="L21" s="9"/>
      <c r="M21" s="246" t="s">
        <v>446</v>
      </c>
      <c r="N21" s="244" t="s">
        <v>463</v>
      </c>
      <c r="O21" s="9"/>
      <c r="P21" s="254"/>
      <c r="Q21" s="256"/>
      <c r="R21" s="9"/>
      <c r="S21" s="254"/>
      <c r="T21" s="256"/>
      <c r="U21" s="9"/>
      <c r="V21" s="9"/>
      <c r="W21" s="9"/>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row>
    <row r="22" spans="1:60">
      <c r="A22">
        <v>2021</v>
      </c>
      <c r="B22" t="s">
        <v>361</v>
      </c>
      <c r="C22" s="79" t="e">
        <f>COUNTIF(H$39:H$53,"=2")/COUNT(H$39:H$53)</f>
        <v>#DIV/0!</v>
      </c>
      <c r="D22" s="79" t="e">
        <f>COUNTIF(H$54:H$58,"=2")/COUNT(H$54:H$58)</f>
        <v>#DIV/0!</v>
      </c>
      <c r="E22" s="79" t="e">
        <f>COUNTIF(H$59:H$62,"=2")/COUNT(H$59:H$62)</f>
        <v>#DIV/0!</v>
      </c>
      <c r="F22" s="79" t="e">
        <f>COUNTIF(H$63:H$77,"=2")/COUNT(H$63:H$77)</f>
        <v>#DIV/0!</v>
      </c>
      <c r="G22" s="79" t="e">
        <f>COUNTIF(H$78:H$87,"=2")/COUNT(H$78:H$87)</f>
        <v>#DIV/0!</v>
      </c>
      <c r="H22" s="79" t="e">
        <f>COUNTIF(H$39:H$87,"=2")/COUNT(H$39:H$87)</f>
        <v>#DIV/0!</v>
      </c>
      <c r="J22" s="247" t="s">
        <v>447</v>
      </c>
      <c r="K22" s="244" t="s">
        <v>464</v>
      </c>
      <c r="L22" s="9"/>
      <c r="M22" s="247" t="s">
        <v>447</v>
      </c>
      <c r="N22" s="244" t="s">
        <v>464</v>
      </c>
      <c r="O22" s="9"/>
      <c r="P22" s="254"/>
      <c r="Q22" s="254"/>
      <c r="R22" s="9"/>
      <c r="S22" s="254"/>
      <c r="T22" s="254"/>
      <c r="U22" s="9"/>
      <c r="V22" s="9"/>
      <c r="W22" s="9"/>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row>
    <row r="23" spans="1:60">
      <c r="A23">
        <v>2021</v>
      </c>
      <c r="B23" t="s">
        <v>362</v>
      </c>
      <c r="C23" s="79" t="e">
        <f>COUNTIF(H$39:H$53,"=1")/COUNT(H$39:H$53)</f>
        <v>#DIV/0!</v>
      </c>
      <c r="D23" s="79" t="e">
        <f>COUNTIF(H$54:H$58,"=1")/COUNT(H$54:H$58)</f>
        <v>#DIV/0!</v>
      </c>
      <c r="E23" s="79" t="e">
        <f>COUNTIF(H$59:H$62,"=1")/COUNT(H$59:H$62)</f>
        <v>#DIV/0!</v>
      </c>
      <c r="F23" s="79" t="e">
        <f>COUNTIF(H$63:H$77,"=1")/COUNT(H$63:H$77)</f>
        <v>#DIV/0!</v>
      </c>
      <c r="G23" s="79" t="e">
        <f>COUNTIF(H$78:H$87,"=1")/COUNT(H$78:H$87)</f>
        <v>#DIV/0!</v>
      </c>
      <c r="H23" s="79" t="e">
        <f>COUNTIF(H$39:H$87,"=1")/COUNT(H$39:H$87)</f>
        <v>#DIV/0!</v>
      </c>
      <c r="J23" s="295"/>
      <c r="K23" s="244" t="s">
        <v>465</v>
      </c>
      <c r="L23" s="9"/>
      <c r="M23" s="284"/>
      <c r="N23" s="244" t="s">
        <v>465</v>
      </c>
      <c r="O23" s="9"/>
      <c r="P23" s="254"/>
      <c r="Q23" s="254"/>
      <c r="R23" s="9"/>
      <c r="S23" s="254"/>
      <c r="T23" s="254"/>
      <c r="U23" s="9"/>
      <c r="V23" s="9"/>
      <c r="W23" s="9"/>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row>
    <row r="24" spans="1:60">
      <c r="A24">
        <v>2022</v>
      </c>
      <c r="B24" t="s">
        <v>361</v>
      </c>
      <c r="C24" s="79" t="e">
        <f>COUNTIF(I$39:I$53,"=2")/COUNT(I$39:I$53)</f>
        <v>#DIV/0!</v>
      </c>
      <c r="D24" s="79" t="e">
        <f>COUNTIF(I$54:I$58,"=2")/COUNT(I$54:I$58)</f>
        <v>#DIV/0!</v>
      </c>
      <c r="E24" s="79" t="e">
        <f>COUNTIF(I$59:I$62,"=2")/COUNT(I$59:I$62)</f>
        <v>#DIV/0!</v>
      </c>
      <c r="F24" s="79" t="e">
        <f>COUNTIF(I$63:I$77,"=2")/COUNT(I$63:I$77)</f>
        <v>#DIV/0!</v>
      </c>
      <c r="G24" s="79" t="e">
        <f>COUNTIF(I$78:I$87,"=2")/COUNT(I$78:I$87)</f>
        <v>#DIV/0!</v>
      </c>
      <c r="H24" s="79" t="e">
        <f>COUNTIF(I$39:I$87,"=2")/COUNT(I$39:I$87)</f>
        <v>#DIV/0!</v>
      </c>
      <c r="J24" s="204"/>
      <c r="K24" s="248" t="s">
        <v>466</v>
      </c>
      <c r="L24" s="9"/>
      <c r="M24" s="257"/>
      <c r="N24" s="258" t="s">
        <v>466</v>
      </c>
      <c r="O24" s="9"/>
      <c r="P24" s="254"/>
      <c r="Q24" s="254"/>
      <c r="R24" s="9"/>
      <c r="S24" s="254"/>
      <c r="T24" s="254"/>
      <c r="U24" s="9"/>
      <c r="V24" s="9"/>
      <c r="W24" s="9"/>
    </row>
    <row r="25" spans="1:60">
      <c r="A25">
        <v>2022</v>
      </c>
      <c r="B25" t="s">
        <v>362</v>
      </c>
      <c r="C25" s="79" t="e">
        <f>COUNTIF(I$39:I$53,"=1")/COUNT(I$39:I$53)</f>
        <v>#DIV/0!</v>
      </c>
      <c r="D25" s="79" t="e">
        <f>COUNTIF(I$54:I$58,"=1")/COUNT(I$54:I$58)</f>
        <v>#DIV/0!</v>
      </c>
      <c r="E25" s="79" t="e">
        <f>COUNTIF(I$59:I$62,"=1")/COUNT(I$59:I$62)</f>
        <v>#DIV/0!</v>
      </c>
      <c r="F25" s="79" t="e">
        <f>COUNTIF(I$63:I$77,"=1")/COUNT(I$63:I$77)</f>
        <v>#DIV/0!</v>
      </c>
      <c r="G25" s="79" t="e">
        <f>COUNTIF(I$78:I$87,"=1")/COUNT(I$78:I$87)</f>
        <v>#DIV/0!</v>
      </c>
      <c r="H25" s="79" t="e">
        <f>COUNTIF(I$39:I$87,"=1")/COUNT(I$39:I$87)</f>
        <v>#DIV/0!</v>
      </c>
      <c r="J25" s="256"/>
      <c r="K25" s="254"/>
      <c r="L25" s="9"/>
      <c r="M25" s="256"/>
      <c r="N25" s="254"/>
      <c r="O25" s="9"/>
      <c r="P25" s="254"/>
      <c r="Q25" s="254"/>
      <c r="R25" s="9"/>
      <c r="S25" s="254"/>
      <c r="T25" s="254"/>
      <c r="U25" s="9"/>
      <c r="V25" s="9"/>
      <c r="W25" s="9"/>
    </row>
    <row r="26" spans="1:60">
      <c r="A26">
        <v>2023</v>
      </c>
      <c r="B26" t="s">
        <v>361</v>
      </c>
      <c r="C26" s="79" t="e">
        <f>COUNTIF(J$39:J$53,"=2")/COUNT(J$39:J$53)</f>
        <v>#DIV/0!</v>
      </c>
      <c r="D26" s="79" t="e">
        <f>COUNTIF(J$54:J$58,"=2")/COUNT(J$54:J$58)</f>
        <v>#DIV/0!</v>
      </c>
      <c r="E26" s="79" t="e">
        <f>COUNTIF(J$59:J$62,"=2")/COUNT(J$59:J$62)</f>
        <v>#DIV/0!</v>
      </c>
      <c r="F26" s="79" t="e">
        <f>COUNTIF(J$63:J$77,"=2")/COUNT(J$63:J$77)</f>
        <v>#DIV/0!</v>
      </c>
      <c r="G26" s="79" t="e">
        <f>COUNTIF(J$78:J$87,"=2")/COUNT(J$78:J$87)</f>
        <v>#DIV/0!</v>
      </c>
      <c r="H26" s="79" t="e">
        <f>COUNTIF(J$39:J$87,"=2")/COUNT(J$39:J$87)</f>
        <v>#DIV/0!</v>
      </c>
      <c r="J26" s="242"/>
      <c r="K26" s="254"/>
      <c r="L26" s="9"/>
      <c r="M26" s="242"/>
      <c r="N26" s="254"/>
      <c r="O26" s="9"/>
      <c r="P26" s="254"/>
      <c r="Q26" s="254"/>
      <c r="R26" s="9"/>
      <c r="S26" s="254"/>
      <c r="T26" s="254"/>
      <c r="U26" s="9"/>
      <c r="V26" s="9"/>
      <c r="W26" s="9"/>
    </row>
    <row r="27" spans="1:60">
      <c r="A27">
        <v>2023</v>
      </c>
      <c r="B27" t="s">
        <v>362</v>
      </c>
      <c r="C27" s="79" t="e">
        <f>COUNTIF(J$39:J$53,"=1")/COUNT(J$39:J$53)</f>
        <v>#DIV/0!</v>
      </c>
      <c r="D27" s="79" t="e">
        <f>COUNTIF(J$54:J$58,"=1")/COUNT(J$54:J$58)</f>
        <v>#DIV/0!</v>
      </c>
      <c r="E27" s="79" t="e">
        <f>COUNTIF(J$59:J$62,"=1")/COUNT(J$59:J$62)</f>
        <v>#DIV/0!</v>
      </c>
      <c r="F27" s="79" t="e">
        <f>COUNTIF(J$63:J$77,"=1")/COUNT(J$63:J$77)</f>
        <v>#DIV/0!</v>
      </c>
      <c r="G27" s="79" t="e">
        <f>COUNTIF(J$78:J$87,"=1")/COUNT(J$78:J$87)</f>
        <v>#DIV/0!</v>
      </c>
      <c r="H27" s="79" t="e">
        <f>COUNTIF(J$39:J$87,"=1")/COUNT(J$39:J$87)</f>
        <v>#DIV/0!</v>
      </c>
      <c r="J27" s="9"/>
      <c r="K27" s="9"/>
      <c r="L27" s="9"/>
      <c r="M27" s="9"/>
      <c r="N27" s="9"/>
      <c r="O27" s="9"/>
      <c r="P27" s="256"/>
      <c r="Q27" s="254"/>
      <c r="R27" s="9"/>
      <c r="S27" s="256"/>
      <c r="T27" s="254"/>
      <c r="U27" s="9"/>
      <c r="V27" s="9"/>
      <c r="W27" s="9"/>
    </row>
    <row r="28" spans="1:60">
      <c r="A28">
        <v>2024</v>
      </c>
      <c r="B28" t="s">
        <v>361</v>
      </c>
      <c r="C28" s="79" t="e">
        <f>COUNTIF(K$39:K$53,"=2")/COUNT(K$39:K$53)</f>
        <v>#DIV/0!</v>
      </c>
      <c r="D28" s="79" t="e">
        <f>COUNTIF(K$54:K$58,"=2")/COUNT(K$54:K$58)</f>
        <v>#DIV/0!</v>
      </c>
      <c r="E28" s="79" t="e">
        <f>COUNTIF(K$59:K$62,"=2")/COUNT(K$59:K$62)</f>
        <v>#DIV/0!</v>
      </c>
      <c r="F28" s="79" t="e">
        <f>COUNTIF(K$63:K$77,"=2")/COUNT(K$63:K$77)</f>
        <v>#DIV/0!</v>
      </c>
      <c r="G28" s="79" t="e">
        <f>COUNTIF(K$78:K$87,"=2")/COUNT(K$78:K$87)</f>
        <v>#DIV/0!</v>
      </c>
      <c r="H28" s="79" t="e">
        <f>COUNTIF(K$39:K$87,"=2")/COUNT(K$39:K$87)</f>
        <v>#DIV/0!</v>
      </c>
      <c r="P28" s="242"/>
      <c r="Q28" s="254"/>
      <c r="R28" s="9"/>
      <c r="S28" s="242"/>
      <c r="T28" s="254"/>
      <c r="U28" s="9"/>
      <c r="V28" s="9"/>
      <c r="W28" s="9"/>
    </row>
    <row r="29" spans="1:60">
      <c r="A29">
        <v>2024</v>
      </c>
      <c r="B29" t="s">
        <v>362</v>
      </c>
      <c r="C29" s="79" t="e">
        <f>COUNTIF(K$39:K$53,"=1")/COUNT(K$39:K$53)</f>
        <v>#DIV/0!</v>
      </c>
      <c r="D29" s="79" t="e">
        <f>COUNTIF(K$54:K$58,"=1")/COUNT(K$54:K$58)</f>
        <v>#DIV/0!</v>
      </c>
      <c r="E29" s="79" t="e">
        <f>COUNTIF(K$59:K$62,"=1")/COUNT(K$59:K$62)</f>
        <v>#DIV/0!</v>
      </c>
      <c r="F29" s="79" t="e">
        <f>COUNTIF(K$63:K$77,"=1")/COUNT(K$63:K$77)</f>
        <v>#DIV/0!</v>
      </c>
      <c r="G29" s="79" t="e">
        <f>COUNTIF(K$78:K$87,"=1")/COUNT(K$78:K$87)</f>
        <v>#DIV/0!</v>
      </c>
      <c r="H29" s="79" t="e">
        <f>COUNTIF(K$39:K$87,"=1")/COUNT(K$39:K$87)</f>
        <v>#DIV/0!</v>
      </c>
      <c r="P29" s="9"/>
      <c r="Q29" s="9"/>
      <c r="R29" s="9"/>
      <c r="S29" s="9"/>
      <c r="T29" s="9"/>
      <c r="U29" s="9"/>
      <c r="V29" s="9"/>
      <c r="W29" s="9"/>
    </row>
    <row r="30" spans="1:60">
      <c r="A30">
        <v>2025</v>
      </c>
      <c r="B30" t="s">
        <v>361</v>
      </c>
      <c r="C30" s="79" t="e">
        <f>COUNTIF(L$39:L$53,"=2")/COUNT(L$39:L$53)</f>
        <v>#DIV/0!</v>
      </c>
      <c r="D30" s="79" t="e">
        <f>COUNTIF(L$54:L$58,"=2")/COUNT(L$54:L$58)</f>
        <v>#DIV/0!</v>
      </c>
      <c r="E30" s="79" t="e">
        <f>COUNTIF(L$59:L$62,"=2")/COUNT(L$59:L$62)</f>
        <v>#DIV/0!</v>
      </c>
      <c r="F30" s="79" t="e">
        <f>COUNTIF(L$63:L$77,"=2")/COUNT(L$63:L$77)</f>
        <v>#DIV/0!</v>
      </c>
      <c r="G30" s="79" t="e">
        <f>COUNTIF(L$78:L$87,"=2")/COUNT(L$78:L$87)</f>
        <v>#DIV/0!</v>
      </c>
      <c r="H30" s="79" t="e">
        <f>COUNTIF(L$39:L$87,"=2")/COUNT(L$39:L$87)</f>
        <v>#DIV/0!</v>
      </c>
      <c r="P30" s="9"/>
      <c r="Q30" s="9"/>
      <c r="R30" s="9"/>
      <c r="S30" s="9"/>
      <c r="T30" s="9"/>
      <c r="U30" s="9"/>
      <c r="V30" s="9"/>
      <c r="W30" s="9"/>
    </row>
    <row r="31" spans="1:60">
      <c r="A31">
        <v>2025</v>
      </c>
      <c r="B31" t="s">
        <v>362</v>
      </c>
      <c r="C31" s="79" t="e">
        <f>COUNTIF(L$39:L$53,"=1")/COUNT(L$39:L$53)</f>
        <v>#DIV/0!</v>
      </c>
      <c r="D31" s="79" t="e">
        <f>COUNTIF(L$54:L$58,"=1")/COUNT(L$54:L$58)</f>
        <v>#DIV/0!</v>
      </c>
      <c r="E31" s="79" t="e">
        <f>COUNTIF(L$59:L$62,"=1")/COUNT(L$59:L$62)</f>
        <v>#DIV/0!</v>
      </c>
      <c r="F31" s="79" t="e">
        <f>COUNTIF(L$63:L$77,"=1")/COUNT(L$63:L$77)</f>
        <v>#DIV/0!</v>
      </c>
      <c r="G31" s="79" t="e">
        <f>COUNTIF(L$78:L$87,"=1")/COUNT(L$78:L$87)</f>
        <v>#DIV/0!</v>
      </c>
      <c r="H31" s="79" t="e">
        <f>COUNTIF(L$39:L$87,"=1")/COUNT(L$39:L$87)</f>
        <v>#DIV/0!</v>
      </c>
      <c r="P31" s="9"/>
      <c r="Q31" s="9"/>
      <c r="R31" s="9"/>
      <c r="S31" s="9"/>
      <c r="T31" s="9"/>
      <c r="U31" s="9"/>
      <c r="V31" s="9"/>
      <c r="W31" s="9"/>
    </row>
    <row r="32" spans="1:60">
      <c r="C32" s="79"/>
      <c r="D32" s="79"/>
      <c r="E32" s="79"/>
      <c r="F32" s="79"/>
      <c r="G32" s="79"/>
      <c r="H32" s="79"/>
    </row>
    <row r="33" spans="1:60">
      <c r="C33" s="79"/>
      <c r="D33" s="79"/>
      <c r="E33" s="79"/>
      <c r="F33" s="79"/>
      <c r="G33" s="79"/>
      <c r="H33" s="79"/>
    </row>
    <row r="34" spans="1:60">
      <c r="C34" s="79"/>
      <c r="D34" s="79"/>
      <c r="E34" s="79"/>
      <c r="F34" s="79"/>
      <c r="G34" s="79"/>
      <c r="H34" s="79"/>
    </row>
    <row r="35" spans="1:60">
      <c r="C35" s="79"/>
      <c r="D35" s="79"/>
      <c r="E35" s="79"/>
      <c r="F35" s="79"/>
      <c r="G35" s="79"/>
      <c r="H35" s="79"/>
      <c r="BG35" s="57"/>
      <c r="BH35" s="57"/>
    </row>
    <row r="36" spans="1:60">
      <c r="C36" s="79"/>
      <c r="D36" s="79"/>
      <c r="E36" s="79"/>
      <c r="F36" s="79"/>
      <c r="G36" s="79"/>
      <c r="H36" s="79"/>
    </row>
    <row r="37" spans="1:60" ht="18">
      <c r="A37" s="355" t="s">
        <v>195</v>
      </c>
      <c r="B37" s="355"/>
      <c r="C37" s="202"/>
      <c r="D37" s="203"/>
      <c r="E37" s="202"/>
      <c r="F37" s="203"/>
      <c r="G37" s="202"/>
      <c r="H37" s="203"/>
      <c r="I37" s="202"/>
      <c r="J37" s="203"/>
      <c r="K37" s="202"/>
      <c r="L37" s="203"/>
    </row>
    <row r="38" spans="1:60" ht="18">
      <c r="A38" s="81" t="s">
        <v>199</v>
      </c>
      <c r="B38" s="80" t="s">
        <v>210</v>
      </c>
      <c r="C38" s="201">
        <v>2016</v>
      </c>
      <c r="D38" s="201">
        <v>2017</v>
      </c>
      <c r="E38" s="201">
        <v>2018</v>
      </c>
      <c r="F38" s="201">
        <v>2019</v>
      </c>
      <c r="G38" s="201">
        <v>2020</v>
      </c>
      <c r="H38" s="201">
        <v>2021</v>
      </c>
      <c r="I38" s="201">
        <v>2022</v>
      </c>
      <c r="J38" s="201">
        <v>2023</v>
      </c>
      <c r="K38" s="201">
        <v>2024</v>
      </c>
      <c r="L38" s="201">
        <v>2025</v>
      </c>
    </row>
    <row r="39" spans="1:60">
      <c r="A39" s="68" t="s">
        <v>189</v>
      </c>
      <c r="B39" t="s">
        <v>153</v>
      </c>
      <c r="C39" s="82" t="s">
        <v>207</v>
      </c>
      <c r="D39" s="82">
        <v>1</v>
      </c>
      <c r="E39" s="82"/>
      <c r="F39" s="82"/>
      <c r="G39" s="82"/>
      <c r="H39" s="82"/>
      <c r="I39" s="82"/>
      <c r="J39" s="8"/>
      <c r="K39" s="82"/>
      <c r="L39" s="8"/>
    </row>
    <row r="40" spans="1:60">
      <c r="A40" s="69" t="s">
        <v>141</v>
      </c>
      <c r="B40" t="s">
        <v>153</v>
      </c>
      <c r="C40" s="82">
        <v>1</v>
      </c>
      <c r="D40" s="82" t="s">
        <v>208</v>
      </c>
      <c r="E40" s="82"/>
      <c r="F40" s="82"/>
      <c r="G40" s="82"/>
      <c r="H40" s="82"/>
      <c r="I40" s="82"/>
      <c r="J40" s="8"/>
      <c r="K40" s="82"/>
      <c r="L40" s="8"/>
    </row>
    <row r="41" spans="1:60">
      <c r="A41" s="69" t="s">
        <v>143</v>
      </c>
      <c r="B41" t="s">
        <v>153</v>
      </c>
      <c r="C41" s="82">
        <v>1</v>
      </c>
      <c r="D41" s="82">
        <v>0</v>
      </c>
      <c r="E41" s="82"/>
      <c r="F41" s="82"/>
      <c r="G41" s="82"/>
      <c r="H41" s="82"/>
      <c r="I41" s="82"/>
      <c r="J41" s="8"/>
      <c r="K41" s="82"/>
      <c r="L41" s="8"/>
    </row>
    <row r="42" spans="1:60">
      <c r="A42" s="69" t="s">
        <v>152</v>
      </c>
      <c r="B42" t="s">
        <v>153</v>
      </c>
      <c r="C42" s="82" t="s">
        <v>207</v>
      </c>
      <c r="D42" s="82">
        <v>1</v>
      </c>
      <c r="E42" s="82"/>
      <c r="F42" s="82"/>
      <c r="G42" s="82"/>
      <c r="H42" s="82"/>
      <c r="I42" s="82"/>
      <c r="J42" s="8"/>
      <c r="K42" s="82"/>
      <c r="L42" s="8"/>
    </row>
    <row r="43" spans="1:60">
      <c r="A43" s="69" t="s">
        <v>146</v>
      </c>
      <c r="B43" t="s">
        <v>153</v>
      </c>
      <c r="C43" s="82" t="s">
        <v>207</v>
      </c>
      <c r="D43" s="82">
        <v>1</v>
      </c>
      <c r="E43" s="82"/>
      <c r="F43" s="82"/>
      <c r="G43" s="82"/>
      <c r="H43" s="82"/>
      <c r="I43" s="82"/>
      <c r="J43" s="8"/>
      <c r="K43" s="82"/>
      <c r="L43" s="8"/>
    </row>
    <row r="44" spans="1:60">
      <c r="A44" s="69" t="s">
        <v>142</v>
      </c>
      <c r="B44" t="s">
        <v>153</v>
      </c>
      <c r="C44" s="82" t="s">
        <v>207</v>
      </c>
      <c r="D44" s="82">
        <v>0</v>
      </c>
      <c r="E44" s="82"/>
      <c r="F44" s="82"/>
      <c r="G44" s="82"/>
      <c r="H44" s="82"/>
      <c r="I44" s="82"/>
      <c r="J44" s="8"/>
      <c r="K44" s="82"/>
      <c r="L44" s="8"/>
    </row>
    <row r="45" spans="1:60">
      <c r="A45" s="69" t="s">
        <v>148</v>
      </c>
      <c r="B45" t="s">
        <v>153</v>
      </c>
      <c r="C45" s="82">
        <v>0</v>
      </c>
      <c r="D45" s="82">
        <v>1</v>
      </c>
      <c r="E45" s="82"/>
      <c r="F45" s="82"/>
      <c r="G45" s="82"/>
      <c r="H45" s="82"/>
      <c r="I45" s="82"/>
      <c r="J45" s="8"/>
      <c r="K45" s="82"/>
      <c r="L45" s="8"/>
    </row>
    <row r="46" spans="1:60">
      <c r="A46" s="69" t="s">
        <v>149</v>
      </c>
      <c r="B46" t="s">
        <v>153</v>
      </c>
      <c r="C46" s="82">
        <v>0</v>
      </c>
      <c r="D46" s="82">
        <v>1</v>
      </c>
      <c r="E46" s="82"/>
      <c r="F46" s="82"/>
      <c r="G46" s="82"/>
      <c r="H46" s="82"/>
      <c r="I46" s="82"/>
      <c r="J46" s="8"/>
      <c r="K46" s="82"/>
      <c r="L46" s="8"/>
    </row>
    <row r="47" spans="1:60">
      <c r="A47" s="69" t="s">
        <v>147</v>
      </c>
      <c r="B47" t="s">
        <v>153</v>
      </c>
      <c r="C47" s="82">
        <v>0</v>
      </c>
      <c r="D47" s="82">
        <v>2</v>
      </c>
      <c r="E47" s="82"/>
      <c r="F47" s="82"/>
      <c r="G47" s="82"/>
      <c r="H47" s="82"/>
      <c r="I47" s="82"/>
      <c r="J47" s="8"/>
      <c r="K47" s="82"/>
      <c r="L47" s="8"/>
    </row>
    <row r="48" spans="1:60">
      <c r="A48" s="68" t="s">
        <v>190</v>
      </c>
      <c r="B48" t="s">
        <v>153</v>
      </c>
      <c r="C48" s="82" t="s">
        <v>207</v>
      </c>
      <c r="D48" s="82">
        <v>2</v>
      </c>
      <c r="E48" s="82"/>
      <c r="F48" s="82"/>
      <c r="G48" s="82"/>
      <c r="H48" s="82"/>
      <c r="I48" s="82"/>
      <c r="J48" s="8"/>
      <c r="K48" s="82"/>
      <c r="L48" s="8"/>
    </row>
    <row r="49" spans="1:12">
      <c r="A49" s="69" t="s">
        <v>145</v>
      </c>
      <c r="B49" t="s">
        <v>153</v>
      </c>
      <c r="C49" s="82">
        <v>0</v>
      </c>
      <c r="D49" s="82">
        <v>1</v>
      </c>
      <c r="E49" s="82"/>
      <c r="F49" s="82"/>
      <c r="G49" s="82"/>
      <c r="H49" s="82"/>
      <c r="I49" s="82"/>
      <c r="J49" s="8"/>
      <c r="K49" s="82"/>
      <c r="L49" s="8"/>
    </row>
    <row r="50" spans="1:12">
      <c r="A50" s="68" t="s">
        <v>191</v>
      </c>
      <c r="B50" t="s">
        <v>153</v>
      </c>
      <c r="C50" s="82" t="s">
        <v>207</v>
      </c>
      <c r="D50" s="82">
        <v>1</v>
      </c>
      <c r="E50" s="82"/>
      <c r="F50" s="82"/>
      <c r="G50" s="82"/>
      <c r="H50" s="82"/>
      <c r="I50" s="82"/>
      <c r="J50" s="8"/>
      <c r="K50" s="82"/>
      <c r="L50" s="8"/>
    </row>
    <row r="51" spans="1:12">
      <c r="A51" s="69" t="s">
        <v>150</v>
      </c>
      <c r="B51" t="s">
        <v>153</v>
      </c>
      <c r="C51" s="82">
        <v>1</v>
      </c>
      <c r="D51" s="82">
        <v>2</v>
      </c>
      <c r="E51" s="82"/>
      <c r="F51" s="82"/>
      <c r="G51" s="82"/>
      <c r="H51" s="82"/>
      <c r="I51" s="82"/>
      <c r="J51" s="8"/>
      <c r="K51" s="82"/>
      <c r="L51" s="8"/>
    </row>
    <row r="52" spans="1:12">
      <c r="A52" s="69" t="s">
        <v>151</v>
      </c>
      <c r="B52" t="s">
        <v>153</v>
      </c>
      <c r="C52" s="82">
        <v>1</v>
      </c>
      <c r="D52" s="82">
        <v>2</v>
      </c>
      <c r="E52" s="82"/>
      <c r="F52" s="82"/>
      <c r="G52" s="82"/>
      <c r="H52" s="82"/>
      <c r="I52" s="82"/>
      <c r="J52" s="8"/>
      <c r="K52" s="82"/>
      <c r="L52" s="8"/>
    </row>
    <row r="53" spans="1:12">
      <c r="A53" s="69" t="s">
        <v>144</v>
      </c>
      <c r="B53" t="s">
        <v>153</v>
      </c>
      <c r="C53" s="82" t="s">
        <v>207</v>
      </c>
      <c r="D53" s="82">
        <v>1</v>
      </c>
      <c r="E53" s="82"/>
      <c r="F53" s="82"/>
      <c r="G53" s="82"/>
      <c r="H53" s="82"/>
      <c r="I53" s="82"/>
      <c r="J53" s="8"/>
      <c r="K53" s="82"/>
      <c r="L53" s="8"/>
    </row>
    <row r="54" spans="1:12">
      <c r="A54" s="69" t="s">
        <v>154</v>
      </c>
      <c r="B54" s="71" t="s">
        <v>158</v>
      </c>
      <c r="C54" s="82" t="s">
        <v>207</v>
      </c>
      <c r="D54" s="82" t="s">
        <v>208</v>
      </c>
      <c r="E54" s="82"/>
      <c r="F54" s="82"/>
      <c r="G54" s="82"/>
      <c r="H54" s="82"/>
      <c r="I54" s="82"/>
      <c r="J54" s="8"/>
      <c r="K54" s="82"/>
      <c r="L54" s="8"/>
    </row>
    <row r="55" spans="1:12">
      <c r="A55" s="69" t="s">
        <v>155</v>
      </c>
      <c r="B55" s="71" t="s">
        <v>158</v>
      </c>
      <c r="C55" s="82" t="s">
        <v>207</v>
      </c>
      <c r="D55" s="82">
        <v>1</v>
      </c>
      <c r="E55" s="82"/>
      <c r="F55" s="82"/>
      <c r="G55" s="82"/>
      <c r="H55" s="82"/>
      <c r="I55" s="82"/>
      <c r="J55" s="8"/>
      <c r="K55" s="82"/>
      <c r="L55" s="8"/>
    </row>
    <row r="56" spans="1:12">
      <c r="A56" s="69" t="s">
        <v>156</v>
      </c>
      <c r="B56" s="71" t="s">
        <v>158</v>
      </c>
      <c r="C56" s="82">
        <v>1</v>
      </c>
      <c r="D56" s="82" t="s">
        <v>207</v>
      </c>
      <c r="E56" s="82"/>
      <c r="F56" s="82"/>
      <c r="G56" s="82"/>
      <c r="H56" s="82"/>
      <c r="I56" s="82"/>
      <c r="J56" s="8"/>
      <c r="K56" s="82"/>
      <c r="L56" s="8"/>
    </row>
    <row r="57" spans="1:12">
      <c r="A57" s="69" t="s">
        <v>157</v>
      </c>
      <c r="B57" s="71" t="s">
        <v>158</v>
      </c>
      <c r="C57" s="82" t="s">
        <v>207</v>
      </c>
      <c r="D57" s="82">
        <v>1</v>
      </c>
      <c r="E57" s="82"/>
      <c r="F57" s="82"/>
      <c r="G57" s="82"/>
      <c r="H57" s="82"/>
      <c r="I57" s="82"/>
      <c r="J57" s="8"/>
      <c r="K57" s="82"/>
      <c r="L57" s="8"/>
    </row>
    <row r="58" spans="1:12">
      <c r="A58" s="68" t="s">
        <v>192</v>
      </c>
      <c r="B58" s="71" t="s">
        <v>158</v>
      </c>
      <c r="C58" s="82" t="s">
        <v>207</v>
      </c>
      <c r="D58" s="82" t="s">
        <v>207</v>
      </c>
      <c r="E58" s="82"/>
      <c r="F58" s="82"/>
      <c r="G58" s="82"/>
      <c r="H58" s="82"/>
      <c r="I58" s="82"/>
      <c r="J58" s="8"/>
      <c r="K58" s="82"/>
      <c r="L58" s="8"/>
    </row>
    <row r="59" spans="1:12">
      <c r="A59" s="69" t="s">
        <v>159</v>
      </c>
      <c r="B59" s="71" t="s">
        <v>162</v>
      </c>
      <c r="C59" s="82" t="s">
        <v>207</v>
      </c>
      <c r="D59" s="82">
        <v>1</v>
      </c>
      <c r="E59" s="82"/>
      <c r="F59" s="82"/>
      <c r="G59" s="82"/>
      <c r="H59" s="82"/>
      <c r="I59" s="82"/>
      <c r="J59" s="8"/>
      <c r="K59" s="82"/>
      <c r="L59" s="8"/>
    </row>
    <row r="60" spans="1:12">
      <c r="A60" s="69" t="s">
        <v>160</v>
      </c>
      <c r="B60" s="71" t="s">
        <v>162</v>
      </c>
      <c r="C60" s="82" t="s">
        <v>207</v>
      </c>
      <c r="D60" s="82">
        <v>1</v>
      </c>
      <c r="E60" s="82"/>
      <c r="F60" s="82"/>
      <c r="G60" s="82"/>
      <c r="H60" s="82"/>
      <c r="I60" s="82"/>
      <c r="J60" s="8"/>
      <c r="K60" s="82"/>
      <c r="L60" s="8"/>
    </row>
    <row r="61" spans="1:12">
      <c r="A61" s="68" t="s">
        <v>193</v>
      </c>
      <c r="B61" s="71" t="s">
        <v>162</v>
      </c>
      <c r="C61" s="82">
        <v>1</v>
      </c>
      <c r="D61" s="82">
        <v>2</v>
      </c>
      <c r="E61" s="82"/>
      <c r="F61" s="82"/>
      <c r="G61" s="82"/>
      <c r="H61" s="82"/>
      <c r="I61" s="82"/>
      <c r="J61" s="8"/>
      <c r="K61" s="82"/>
      <c r="L61" s="8"/>
    </row>
    <row r="62" spans="1:12">
      <c r="A62" s="69" t="s">
        <v>161</v>
      </c>
      <c r="B62" s="71" t="s">
        <v>162</v>
      </c>
      <c r="C62" s="82" t="s">
        <v>207</v>
      </c>
      <c r="D62" s="82">
        <v>1</v>
      </c>
      <c r="E62" s="82"/>
      <c r="F62" s="82"/>
      <c r="G62" s="82"/>
      <c r="H62" s="82"/>
      <c r="I62" s="82"/>
      <c r="J62" s="8"/>
      <c r="K62" s="82"/>
      <c r="L62" s="8"/>
    </row>
    <row r="63" spans="1:12">
      <c r="A63" s="69" t="s">
        <v>163</v>
      </c>
      <c r="B63" s="71" t="s">
        <v>178</v>
      </c>
      <c r="C63" s="82" t="s">
        <v>207</v>
      </c>
      <c r="D63" s="82">
        <v>0</v>
      </c>
      <c r="E63" s="82"/>
      <c r="F63" s="82"/>
      <c r="G63" s="82"/>
      <c r="H63" s="82"/>
      <c r="I63" s="82"/>
      <c r="J63" s="8"/>
      <c r="K63" s="82"/>
      <c r="L63" s="8"/>
    </row>
    <row r="64" spans="1:12">
      <c r="A64" s="69" t="s">
        <v>164</v>
      </c>
      <c r="B64" s="71" t="s">
        <v>178</v>
      </c>
      <c r="C64" s="82" t="s">
        <v>207</v>
      </c>
      <c r="D64" s="82">
        <v>1</v>
      </c>
      <c r="E64" s="82"/>
      <c r="F64" s="82"/>
      <c r="G64" s="82"/>
      <c r="H64" s="82"/>
      <c r="I64" s="82"/>
      <c r="J64" s="8"/>
      <c r="K64" s="82"/>
      <c r="L64" s="8"/>
    </row>
    <row r="65" spans="1:12">
      <c r="A65" s="69" t="s">
        <v>165</v>
      </c>
      <c r="B65" s="71" t="s">
        <v>178</v>
      </c>
      <c r="C65" s="82" t="s">
        <v>207</v>
      </c>
      <c r="D65" s="82">
        <v>1</v>
      </c>
      <c r="E65" s="82"/>
      <c r="F65" s="82"/>
      <c r="G65" s="82"/>
      <c r="H65" s="82"/>
      <c r="I65" s="82"/>
      <c r="J65" s="8"/>
      <c r="K65" s="82"/>
      <c r="L65" s="8"/>
    </row>
    <row r="66" spans="1:12">
      <c r="A66" s="69" t="s">
        <v>166</v>
      </c>
      <c r="B66" s="71" t="s">
        <v>178</v>
      </c>
      <c r="C66" s="82" t="s">
        <v>207</v>
      </c>
      <c r="D66" s="82">
        <v>0</v>
      </c>
      <c r="E66" s="82"/>
      <c r="F66" s="82"/>
      <c r="G66" s="82"/>
      <c r="H66" s="82"/>
      <c r="I66" s="82"/>
      <c r="J66" s="8"/>
      <c r="K66" s="82"/>
      <c r="L66" s="8"/>
    </row>
    <row r="67" spans="1:12">
      <c r="A67" s="69" t="s">
        <v>167</v>
      </c>
      <c r="B67" s="71" t="s">
        <v>178</v>
      </c>
      <c r="C67" s="82" t="s">
        <v>207</v>
      </c>
      <c r="D67" s="82">
        <v>1</v>
      </c>
      <c r="E67" s="82"/>
      <c r="F67" s="82"/>
      <c r="G67" s="82"/>
      <c r="H67" s="82"/>
      <c r="I67" s="82"/>
      <c r="J67" s="8"/>
      <c r="K67" s="82"/>
      <c r="L67" s="8"/>
    </row>
    <row r="68" spans="1:12">
      <c r="A68" s="69" t="s">
        <v>168</v>
      </c>
      <c r="B68" s="71" t="s">
        <v>178</v>
      </c>
      <c r="C68" s="82" t="s">
        <v>207</v>
      </c>
      <c r="D68" s="82">
        <v>1</v>
      </c>
      <c r="E68" s="82"/>
      <c r="F68" s="82"/>
      <c r="G68" s="82"/>
      <c r="H68" s="82"/>
      <c r="I68" s="82"/>
      <c r="J68" s="8"/>
      <c r="K68" s="82"/>
      <c r="L68" s="8"/>
    </row>
    <row r="69" spans="1:12">
      <c r="A69" s="69" t="s">
        <v>169</v>
      </c>
      <c r="B69" s="71" t="s">
        <v>178</v>
      </c>
      <c r="C69" s="82" t="s">
        <v>207</v>
      </c>
      <c r="D69" s="82">
        <v>0</v>
      </c>
      <c r="E69" s="82"/>
      <c r="F69" s="82"/>
      <c r="G69" s="82"/>
      <c r="H69" s="82"/>
      <c r="I69" s="82"/>
      <c r="J69" s="8"/>
      <c r="K69" s="82"/>
      <c r="L69" s="8"/>
    </row>
    <row r="70" spans="1:12">
      <c r="A70" s="69" t="s">
        <v>170</v>
      </c>
      <c r="B70" s="71" t="s">
        <v>178</v>
      </c>
      <c r="C70" s="82" t="s">
        <v>207</v>
      </c>
      <c r="D70" s="82">
        <v>1</v>
      </c>
      <c r="E70" s="82"/>
      <c r="F70" s="82"/>
      <c r="G70" s="82"/>
      <c r="H70" s="82"/>
      <c r="I70" s="82"/>
      <c r="J70" s="8"/>
      <c r="K70" s="82"/>
      <c r="L70" s="8"/>
    </row>
    <row r="71" spans="1:12">
      <c r="A71" s="69" t="s">
        <v>171</v>
      </c>
      <c r="B71" s="71" t="s">
        <v>178</v>
      </c>
      <c r="C71" s="82" t="s">
        <v>207</v>
      </c>
      <c r="D71" s="82">
        <v>1</v>
      </c>
      <c r="E71" s="82"/>
      <c r="F71" s="82"/>
      <c r="G71" s="82"/>
      <c r="H71" s="82"/>
      <c r="I71" s="82"/>
      <c r="J71" s="8"/>
      <c r="K71" s="82"/>
      <c r="L71" s="8"/>
    </row>
    <row r="72" spans="1:12">
      <c r="A72" s="69" t="s">
        <v>172</v>
      </c>
      <c r="B72" s="71" t="s">
        <v>178</v>
      </c>
      <c r="C72" s="82">
        <v>1</v>
      </c>
      <c r="D72" s="82">
        <v>2</v>
      </c>
      <c r="E72" s="82"/>
      <c r="F72" s="82"/>
      <c r="G72" s="82"/>
      <c r="H72" s="82"/>
      <c r="I72" s="82"/>
      <c r="J72" s="8"/>
      <c r="K72" s="82"/>
      <c r="L72" s="8"/>
    </row>
    <row r="73" spans="1:12">
      <c r="A73" s="69" t="s">
        <v>173</v>
      </c>
      <c r="B73" s="71" t="s">
        <v>178</v>
      </c>
      <c r="C73" s="82">
        <v>1</v>
      </c>
      <c r="D73" s="82">
        <v>2</v>
      </c>
      <c r="E73" s="82"/>
      <c r="F73" s="82"/>
      <c r="G73" s="82"/>
      <c r="H73" s="82"/>
      <c r="I73" s="82"/>
      <c r="J73" s="8"/>
      <c r="K73" s="82"/>
      <c r="L73" s="8"/>
    </row>
    <row r="74" spans="1:12">
      <c r="A74" s="69" t="s">
        <v>174</v>
      </c>
      <c r="B74" s="71" t="s">
        <v>178</v>
      </c>
      <c r="C74" s="82" t="s">
        <v>207</v>
      </c>
      <c r="D74" s="82">
        <v>1</v>
      </c>
      <c r="E74" s="82"/>
      <c r="F74" s="82"/>
      <c r="G74" s="82"/>
      <c r="H74" s="82"/>
      <c r="I74" s="82"/>
      <c r="J74" s="8"/>
      <c r="K74" s="82"/>
      <c r="L74" s="8"/>
    </row>
    <row r="75" spans="1:12">
      <c r="A75" s="69" t="s">
        <v>175</v>
      </c>
      <c r="B75" s="71" t="s">
        <v>178</v>
      </c>
      <c r="C75" s="82">
        <v>2</v>
      </c>
      <c r="D75" s="82">
        <v>1</v>
      </c>
      <c r="E75" s="82"/>
      <c r="F75" s="82"/>
      <c r="G75" s="82"/>
      <c r="H75" s="82"/>
      <c r="I75" s="82"/>
      <c r="J75" s="8"/>
      <c r="K75" s="82"/>
      <c r="L75" s="8"/>
    </row>
    <row r="76" spans="1:12">
      <c r="A76" s="69" t="s">
        <v>176</v>
      </c>
      <c r="B76" s="71" t="s">
        <v>178</v>
      </c>
      <c r="C76" s="82">
        <v>2</v>
      </c>
      <c r="D76" s="82">
        <v>1</v>
      </c>
      <c r="E76" s="82"/>
      <c r="F76" s="82"/>
      <c r="G76" s="82"/>
      <c r="H76" s="82"/>
      <c r="I76" s="82"/>
      <c r="J76" s="8"/>
      <c r="K76" s="82"/>
      <c r="L76" s="8"/>
    </row>
    <row r="77" spans="1:12">
      <c r="A77" s="69" t="s">
        <v>177</v>
      </c>
      <c r="B77" s="71" t="s">
        <v>178</v>
      </c>
      <c r="C77" s="82">
        <v>1</v>
      </c>
      <c r="D77" s="82">
        <v>2</v>
      </c>
      <c r="E77" s="82"/>
      <c r="F77" s="82"/>
      <c r="G77" s="82"/>
      <c r="H77" s="82"/>
      <c r="I77" s="82"/>
      <c r="J77" s="8"/>
      <c r="K77" s="82"/>
      <c r="L77" s="8"/>
    </row>
    <row r="78" spans="1:12">
      <c r="A78" s="68" t="s">
        <v>194</v>
      </c>
      <c r="B78" s="71" t="s">
        <v>188</v>
      </c>
      <c r="C78" s="82" t="s">
        <v>207</v>
      </c>
      <c r="D78" s="82">
        <v>1</v>
      </c>
      <c r="E78" s="82"/>
      <c r="F78" s="82"/>
      <c r="G78" s="82"/>
      <c r="H78" s="82"/>
      <c r="I78" s="82"/>
      <c r="J78" s="8"/>
      <c r="K78" s="82"/>
      <c r="L78" s="8"/>
    </row>
    <row r="79" spans="1:12">
      <c r="A79" s="69" t="s">
        <v>184</v>
      </c>
      <c r="B79" s="71" t="s">
        <v>188</v>
      </c>
      <c r="C79" s="82">
        <v>1</v>
      </c>
      <c r="D79" s="82">
        <v>0</v>
      </c>
      <c r="E79" s="82"/>
      <c r="F79" s="82"/>
      <c r="G79" s="82"/>
      <c r="H79" s="82"/>
      <c r="I79" s="82"/>
      <c r="J79" s="8"/>
      <c r="K79" s="82"/>
      <c r="L79" s="8"/>
    </row>
    <row r="80" spans="1:12">
      <c r="A80" s="69" t="s">
        <v>182</v>
      </c>
      <c r="B80" s="71" t="s">
        <v>188</v>
      </c>
      <c r="C80" s="82" t="s">
        <v>207</v>
      </c>
      <c r="D80" s="82">
        <v>0</v>
      </c>
      <c r="E80" s="82"/>
      <c r="F80" s="82"/>
      <c r="G80" s="82"/>
      <c r="H80" s="82"/>
      <c r="I80" s="82"/>
      <c r="J80" s="8"/>
      <c r="K80" s="82"/>
      <c r="L80" s="8"/>
    </row>
    <row r="81" spans="1:12">
      <c r="A81" s="69" t="s">
        <v>181</v>
      </c>
      <c r="B81" s="71" t="s">
        <v>188</v>
      </c>
      <c r="C81" s="82">
        <v>1</v>
      </c>
      <c r="D81" s="82">
        <v>2</v>
      </c>
      <c r="E81" s="82"/>
      <c r="F81" s="82"/>
      <c r="G81" s="82"/>
      <c r="H81" s="82"/>
      <c r="I81" s="82"/>
      <c r="J81" s="8"/>
      <c r="K81" s="82"/>
      <c r="L81" s="8"/>
    </row>
    <row r="82" spans="1:12">
      <c r="A82" s="69" t="s">
        <v>179</v>
      </c>
      <c r="B82" s="71" t="s">
        <v>188</v>
      </c>
      <c r="C82" s="82">
        <v>0</v>
      </c>
      <c r="D82" s="82">
        <v>1</v>
      </c>
      <c r="E82" s="82"/>
      <c r="F82" s="82"/>
      <c r="G82" s="82"/>
      <c r="H82" s="82"/>
      <c r="I82" s="82"/>
      <c r="J82" s="8"/>
      <c r="K82" s="82"/>
      <c r="L82" s="8"/>
    </row>
    <row r="83" spans="1:12">
      <c r="A83" s="69" t="s">
        <v>185</v>
      </c>
      <c r="B83" s="71" t="s">
        <v>188</v>
      </c>
      <c r="C83" s="82" t="s">
        <v>207</v>
      </c>
      <c r="D83" s="82">
        <v>1</v>
      </c>
      <c r="E83" s="82"/>
      <c r="F83" s="82"/>
      <c r="G83" s="82"/>
      <c r="H83" s="82"/>
      <c r="I83" s="82"/>
      <c r="J83" s="8"/>
      <c r="K83" s="82"/>
      <c r="L83" s="8"/>
    </row>
    <row r="84" spans="1:12">
      <c r="A84" s="70" t="s">
        <v>187</v>
      </c>
      <c r="B84" s="71" t="s">
        <v>188</v>
      </c>
      <c r="C84" s="82">
        <v>0</v>
      </c>
      <c r="D84" s="82">
        <v>1</v>
      </c>
      <c r="E84" s="82"/>
      <c r="F84" s="82"/>
      <c r="G84" s="82"/>
      <c r="H84" s="82"/>
      <c r="I84" s="82"/>
      <c r="J84" s="8"/>
      <c r="K84" s="82"/>
      <c r="L84" s="8"/>
    </row>
    <row r="85" spans="1:12">
      <c r="A85" s="69" t="s">
        <v>186</v>
      </c>
      <c r="B85" s="71" t="s">
        <v>188</v>
      </c>
      <c r="C85" s="82" t="s">
        <v>207</v>
      </c>
      <c r="D85" s="82">
        <v>0</v>
      </c>
      <c r="E85" s="82"/>
      <c r="F85" s="82"/>
      <c r="G85" s="82"/>
      <c r="H85" s="82"/>
      <c r="I85" s="82"/>
      <c r="J85" s="8"/>
      <c r="K85" s="82"/>
      <c r="L85" s="8"/>
    </row>
    <row r="86" spans="1:12">
      <c r="A86" s="69" t="s">
        <v>183</v>
      </c>
      <c r="B86" s="71" t="s">
        <v>188</v>
      </c>
      <c r="C86" s="82" t="s">
        <v>207</v>
      </c>
      <c r="D86" s="82">
        <v>2</v>
      </c>
      <c r="E86" s="82"/>
      <c r="F86" s="82"/>
      <c r="G86" s="82"/>
      <c r="H86" s="82"/>
      <c r="I86" s="82"/>
      <c r="J86" s="8"/>
      <c r="K86" s="82"/>
      <c r="L86" s="8"/>
    </row>
    <row r="87" spans="1:12">
      <c r="A87" s="69" t="s">
        <v>180</v>
      </c>
      <c r="B87" s="71" t="s">
        <v>188</v>
      </c>
      <c r="C87" s="82">
        <v>0</v>
      </c>
      <c r="D87" s="82" t="s">
        <v>207</v>
      </c>
      <c r="E87" s="82"/>
      <c r="F87" s="82"/>
      <c r="G87" s="82"/>
      <c r="H87" s="82"/>
      <c r="I87" s="82"/>
      <c r="J87" s="8"/>
      <c r="K87" s="82"/>
      <c r="L87" s="8"/>
    </row>
    <row r="88" spans="1:12">
      <c r="C88" s="82"/>
      <c r="D88" s="82"/>
      <c r="E88" s="82"/>
      <c r="F88" s="82"/>
      <c r="G88" s="82"/>
      <c r="H88" s="82"/>
      <c r="I88" s="8"/>
      <c r="J88" s="8"/>
      <c r="K88" s="8"/>
      <c r="L88" s="8"/>
    </row>
    <row r="89" spans="1:12">
      <c r="C89" s="82"/>
      <c r="D89" s="82"/>
      <c r="E89" s="82"/>
      <c r="F89" s="82"/>
      <c r="G89" s="82"/>
      <c r="H89" s="82"/>
      <c r="I89" s="8"/>
      <c r="J89" s="8"/>
      <c r="K89" s="8"/>
      <c r="L89" s="8"/>
    </row>
    <row r="90" spans="1:12">
      <c r="C90" s="82"/>
      <c r="D90" s="82"/>
      <c r="E90" s="82"/>
      <c r="F90" s="82"/>
      <c r="G90" s="82"/>
      <c r="H90" s="82"/>
      <c r="I90" s="8"/>
      <c r="J90" s="8"/>
      <c r="K90" s="8"/>
      <c r="L90" s="8"/>
    </row>
    <row r="91" spans="1:12">
      <c r="C91" s="82"/>
      <c r="D91" s="82"/>
      <c r="E91" s="82"/>
      <c r="F91" s="82"/>
      <c r="G91" s="82"/>
      <c r="H91" s="82"/>
      <c r="I91" s="8"/>
      <c r="J91" s="8"/>
      <c r="K91" s="8"/>
      <c r="L91" s="8"/>
    </row>
    <row r="92" spans="1:12">
      <c r="B92" s="114" t="s">
        <v>324</v>
      </c>
      <c r="C92" s="82"/>
      <c r="D92" s="82"/>
      <c r="E92" s="82"/>
      <c r="F92" s="82"/>
      <c r="G92" s="82"/>
      <c r="H92" s="82"/>
      <c r="I92" s="8"/>
      <c r="J92" s="8"/>
      <c r="K92" s="8"/>
      <c r="L92" s="8"/>
    </row>
    <row r="93" spans="1:12">
      <c r="C93" s="82"/>
      <c r="D93" s="82"/>
      <c r="E93" s="82"/>
      <c r="F93" s="82"/>
      <c r="G93" s="82"/>
      <c r="H93" s="82"/>
      <c r="I93" s="8"/>
      <c r="J93" s="8"/>
      <c r="K93" s="8"/>
      <c r="L93" s="8"/>
    </row>
    <row r="94" spans="1:12">
      <c r="C94" s="82"/>
      <c r="D94" s="82"/>
      <c r="E94" s="82"/>
      <c r="F94" s="82"/>
      <c r="G94" s="82"/>
      <c r="H94" s="8"/>
      <c r="I94" s="8"/>
      <c r="J94" s="8"/>
      <c r="K94" s="8"/>
      <c r="L94" s="8"/>
    </row>
    <row r="95" spans="1:12">
      <c r="C95" s="82"/>
      <c r="D95" s="82"/>
      <c r="E95" s="82"/>
      <c r="F95" s="82"/>
      <c r="G95" s="82"/>
      <c r="H95" s="8"/>
      <c r="I95" s="8"/>
      <c r="J95" s="8"/>
      <c r="K95" s="8"/>
      <c r="L95" s="8"/>
    </row>
    <row r="96" spans="1:12">
      <c r="C96" s="82"/>
      <c r="D96" s="82"/>
      <c r="E96" s="82"/>
      <c r="F96" s="82"/>
      <c r="G96" s="82"/>
      <c r="H96" s="8"/>
      <c r="I96" s="8"/>
      <c r="J96" s="8"/>
      <c r="K96" s="8"/>
      <c r="L96" s="8"/>
    </row>
    <row r="97" spans="3:12">
      <c r="C97" s="82"/>
      <c r="D97" s="82"/>
      <c r="E97" s="82"/>
      <c r="F97" s="82"/>
      <c r="G97" s="82"/>
      <c r="H97" s="8"/>
      <c r="I97" s="8"/>
      <c r="J97" s="8"/>
      <c r="K97" s="8"/>
      <c r="L97" s="8"/>
    </row>
    <row r="98" spans="3:12">
      <c r="C98" s="82"/>
      <c r="D98" s="82"/>
      <c r="E98" s="82"/>
      <c r="F98" s="82"/>
      <c r="G98" s="82"/>
      <c r="H98" s="8"/>
      <c r="I98" s="8"/>
      <c r="J98" s="8"/>
      <c r="K98" s="8"/>
      <c r="L98" s="8"/>
    </row>
    <row r="99" spans="3:12">
      <c r="C99" s="82"/>
      <c r="D99" s="82"/>
      <c r="E99" s="82"/>
      <c r="F99" s="82"/>
      <c r="G99" s="82"/>
      <c r="H99" s="8"/>
      <c r="I99" s="8"/>
      <c r="J99" s="8"/>
      <c r="K99" s="8"/>
      <c r="L99" s="8"/>
    </row>
    <row r="100" spans="3:12">
      <c r="C100" s="82"/>
      <c r="D100" s="82"/>
      <c r="E100" s="82"/>
      <c r="F100" s="82"/>
      <c r="G100" s="82"/>
      <c r="H100" s="8"/>
      <c r="I100" s="8"/>
      <c r="J100" s="8"/>
      <c r="K100" s="8"/>
      <c r="L100" s="8"/>
    </row>
    <row r="101" spans="3:12">
      <c r="C101" s="82"/>
      <c r="D101" s="82"/>
      <c r="E101" s="82"/>
      <c r="F101" s="82"/>
      <c r="G101" s="82"/>
      <c r="H101" s="8"/>
      <c r="I101" s="8"/>
      <c r="J101" s="8"/>
      <c r="K101" s="8"/>
      <c r="L101" s="8"/>
    </row>
    <row r="102" spans="3:12">
      <c r="C102" s="82"/>
      <c r="D102" s="82"/>
      <c r="E102" s="82"/>
      <c r="F102" s="82"/>
      <c r="G102" s="82"/>
      <c r="H102" s="8"/>
      <c r="I102" s="8"/>
      <c r="J102" s="8"/>
      <c r="K102" s="8"/>
      <c r="L102" s="8"/>
    </row>
    <row r="103" spans="3:12">
      <c r="C103" s="82"/>
      <c r="D103" s="82"/>
      <c r="E103" s="82"/>
      <c r="F103" s="82"/>
      <c r="G103" s="82"/>
      <c r="H103" s="8"/>
      <c r="I103" s="8"/>
      <c r="J103" s="8"/>
      <c r="K103" s="8"/>
      <c r="L103" s="8"/>
    </row>
    <row r="104" spans="3:12">
      <c r="C104" s="82"/>
      <c r="D104" s="82"/>
      <c r="E104" s="82"/>
      <c r="F104" s="82"/>
      <c r="G104" s="82"/>
      <c r="H104" s="8"/>
      <c r="I104" s="8"/>
      <c r="J104" s="8"/>
      <c r="K104" s="8"/>
      <c r="L104" s="8"/>
    </row>
    <row r="105" spans="3:12">
      <c r="C105" s="82"/>
      <c r="D105" s="82"/>
      <c r="E105" s="82"/>
      <c r="F105" s="82"/>
      <c r="G105" s="82"/>
      <c r="H105" s="8"/>
      <c r="I105" s="8"/>
      <c r="J105" s="8"/>
      <c r="K105" s="8"/>
      <c r="L105" s="8"/>
    </row>
    <row r="106" spans="3:12">
      <c r="C106" s="82"/>
      <c r="D106" s="82"/>
      <c r="E106" s="82"/>
      <c r="F106" s="82"/>
      <c r="G106" s="82"/>
      <c r="H106" s="8"/>
      <c r="I106" s="8"/>
      <c r="J106" s="8"/>
      <c r="K106" s="8"/>
      <c r="L106" s="8"/>
    </row>
    <row r="107" spans="3:12">
      <c r="C107" s="82"/>
      <c r="D107" s="82"/>
      <c r="E107" s="82"/>
      <c r="F107" s="82"/>
      <c r="G107" s="82"/>
      <c r="H107" s="8"/>
      <c r="I107" s="8"/>
      <c r="J107" s="8"/>
      <c r="K107" s="8"/>
      <c r="L107" s="8"/>
    </row>
    <row r="108" spans="3:12">
      <c r="C108" s="82"/>
      <c r="D108" s="82"/>
      <c r="E108" s="82"/>
      <c r="F108" s="82"/>
      <c r="G108" s="82"/>
      <c r="H108" s="8"/>
      <c r="I108" s="8"/>
      <c r="J108" s="8"/>
      <c r="K108" s="8"/>
      <c r="L108" s="8"/>
    </row>
    <row r="109" spans="3:12">
      <c r="C109" s="82"/>
      <c r="D109" s="82"/>
      <c r="E109" s="82"/>
      <c r="F109" s="82"/>
      <c r="G109" s="82"/>
      <c r="H109" s="8"/>
      <c r="I109" s="8"/>
      <c r="J109" s="8"/>
      <c r="K109" s="8"/>
      <c r="L109" s="8"/>
    </row>
    <row r="110" spans="3:12">
      <c r="C110" s="82"/>
      <c r="D110" s="82"/>
      <c r="E110" s="82"/>
      <c r="F110" s="82"/>
      <c r="G110" s="82"/>
      <c r="H110" s="8"/>
      <c r="I110" s="8"/>
      <c r="J110" s="8"/>
      <c r="K110" s="8"/>
      <c r="L110" s="8"/>
    </row>
    <row r="111" spans="3:12">
      <c r="C111" s="82"/>
      <c r="D111" s="82"/>
      <c r="E111" s="82"/>
      <c r="F111" s="82"/>
      <c r="G111" s="82"/>
      <c r="H111" s="8"/>
      <c r="I111" s="8"/>
      <c r="J111" s="8"/>
      <c r="K111" s="8"/>
      <c r="L111" s="8"/>
    </row>
    <row r="112" spans="3:12">
      <c r="C112" s="82"/>
      <c r="D112" s="82"/>
      <c r="E112" s="82"/>
      <c r="F112" s="82"/>
      <c r="G112" s="82"/>
      <c r="H112" s="8"/>
      <c r="I112" s="8"/>
      <c r="J112" s="8"/>
      <c r="K112" s="8"/>
      <c r="L112" s="8"/>
    </row>
    <row r="113" spans="3:12">
      <c r="C113" s="82"/>
      <c r="D113" s="82"/>
      <c r="E113" s="82"/>
      <c r="F113" s="82"/>
      <c r="G113" s="82"/>
      <c r="H113" s="8"/>
      <c r="I113" s="8"/>
      <c r="J113" s="8"/>
      <c r="K113" s="8"/>
      <c r="L113" s="8"/>
    </row>
    <row r="114" spans="3:12">
      <c r="C114" s="82"/>
      <c r="D114" s="82"/>
      <c r="E114" s="82"/>
      <c r="F114" s="82"/>
      <c r="G114" s="82"/>
      <c r="H114" s="8"/>
      <c r="I114" s="8"/>
      <c r="J114" s="8"/>
      <c r="K114" s="8"/>
      <c r="L114" s="8"/>
    </row>
    <row r="115" spans="3:12">
      <c r="C115" s="82"/>
      <c r="D115" s="82"/>
      <c r="E115" s="82"/>
      <c r="F115" s="82"/>
      <c r="G115" s="82"/>
      <c r="H115" s="8"/>
      <c r="I115" s="8"/>
      <c r="J115" s="8"/>
      <c r="K115" s="8"/>
      <c r="L115" s="8"/>
    </row>
    <row r="116" spans="3:12">
      <c r="C116" s="82"/>
      <c r="D116" s="82"/>
      <c r="E116" s="82"/>
      <c r="F116" s="82"/>
      <c r="G116" s="82"/>
      <c r="H116" s="8"/>
      <c r="I116" s="8"/>
      <c r="J116" s="8"/>
      <c r="K116" s="8"/>
      <c r="L116" s="8"/>
    </row>
    <row r="117" spans="3:12">
      <c r="C117" s="82"/>
      <c r="D117" s="82"/>
      <c r="E117" s="82"/>
      <c r="F117" s="82"/>
      <c r="G117" s="82"/>
      <c r="H117" s="8"/>
      <c r="I117" s="8"/>
      <c r="J117" s="8"/>
      <c r="K117" s="8"/>
      <c r="L117" s="8"/>
    </row>
    <row r="118" spans="3:12">
      <c r="C118" s="82"/>
      <c r="D118" s="82"/>
      <c r="E118" s="82"/>
      <c r="F118" s="82"/>
      <c r="G118" s="82"/>
      <c r="H118" s="8"/>
      <c r="I118" s="8"/>
      <c r="J118" s="8"/>
      <c r="K118" s="8"/>
      <c r="L118" s="8"/>
    </row>
    <row r="119" spans="3:12">
      <c r="C119" s="82"/>
      <c r="D119" s="82"/>
      <c r="E119" s="82"/>
      <c r="F119" s="82"/>
      <c r="G119" s="82"/>
      <c r="H119" s="8"/>
      <c r="I119" s="8"/>
      <c r="J119" s="8"/>
      <c r="K119" s="8"/>
      <c r="L119" s="8"/>
    </row>
    <row r="120" spans="3:12">
      <c r="C120" s="82"/>
      <c r="D120" s="82"/>
      <c r="E120" s="82"/>
      <c r="F120" s="82"/>
      <c r="G120" s="82"/>
      <c r="H120" s="8"/>
      <c r="I120" s="8"/>
      <c r="J120" s="8"/>
      <c r="K120" s="8"/>
      <c r="L120" s="8"/>
    </row>
    <row r="121" spans="3:12">
      <c r="C121" s="82"/>
      <c r="D121" s="82"/>
      <c r="E121" s="82"/>
      <c r="F121" s="82"/>
      <c r="G121" s="82"/>
      <c r="H121" s="8"/>
      <c r="I121" s="8"/>
      <c r="J121" s="8"/>
      <c r="K121" s="8"/>
      <c r="L121" s="8"/>
    </row>
    <row r="122" spans="3:12">
      <c r="C122" s="82"/>
      <c r="D122" s="82"/>
      <c r="E122" s="82"/>
      <c r="F122" s="82"/>
      <c r="G122" s="82"/>
      <c r="H122" s="8"/>
      <c r="I122" s="8"/>
      <c r="J122" s="8"/>
      <c r="K122" s="8"/>
      <c r="L122" s="8"/>
    </row>
    <row r="123" spans="3:12">
      <c r="C123" s="82"/>
      <c r="D123" s="82"/>
      <c r="E123" s="82"/>
      <c r="F123" s="82"/>
      <c r="G123" s="82"/>
      <c r="H123" s="8"/>
      <c r="I123" s="8"/>
      <c r="J123" s="8"/>
      <c r="K123" s="8"/>
      <c r="L123" s="8"/>
    </row>
    <row r="124" spans="3:12">
      <c r="C124" s="82"/>
      <c r="D124" s="82"/>
      <c r="E124" s="82"/>
      <c r="F124" s="82"/>
      <c r="G124" s="82"/>
      <c r="H124" s="8"/>
      <c r="I124" s="8"/>
      <c r="J124" s="8"/>
      <c r="K124" s="8"/>
      <c r="L124" s="8"/>
    </row>
    <row r="125" spans="3:12">
      <c r="C125" s="82"/>
      <c r="D125" s="82"/>
      <c r="E125" s="82"/>
      <c r="F125" s="82"/>
      <c r="G125" s="82"/>
      <c r="H125" s="8"/>
      <c r="I125" s="8"/>
      <c r="J125" s="8"/>
      <c r="K125" s="8"/>
      <c r="L125" s="8"/>
    </row>
    <row r="126" spans="3:12">
      <c r="C126" s="82"/>
      <c r="D126" s="82"/>
      <c r="E126" s="82"/>
      <c r="F126" s="82"/>
      <c r="G126" s="82"/>
      <c r="H126" s="8"/>
      <c r="I126" s="8"/>
      <c r="J126" s="8"/>
      <c r="K126" s="8"/>
      <c r="L126" s="8"/>
    </row>
    <row r="127" spans="3:12">
      <c r="C127" s="82"/>
      <c r="D127" s="82"/>
      <c r="E127" s="82"/>
      <c r="F127" s="82"/>
      <c r="G127" s="82"/>
      <c r="H127" s="8"/>
      <c r="I127" s="8"/>
      <c r="J127" s="8"/>
      <c r="K127" s="8"/>
      <c r="L127" s="8"/>
    </row>
    <row r="128" spans="3:12">
      <c r="C128" s="82"/>
      <c r="D128" s="82"/>
      <c r="E128" s="82"/>
      <c r="F128" s="82"/>
      <c r="G128" s="82"/>
      <c r="H128" s="8"/>
      <c r="I128" s="8"/>
      <c r="J128" s="8"/>
      <c r="K128" s="8"/>
      <c r="L128" s="8"/>
    </row>
    <row r="129" spans="3:12">
      <c r="C129" s="82"/>
      <c r="D129" s="82"/>
      <c r="E129" s="82"/>
      <c r="F129" s="82"/>
      <c r="G129" s="82"/>
      <c r="H129" s="8"/>
      <c r="I129" s="8"/>
      <c r="J129" s="8"/>
      <c r="K129" s="8"/>
      <c r="L129" s="8"/>
    </row>
    <row r="130" spans="3:12">
      <c r="C130" s="82"/>
      <c r="D130" s="82"/>
      <c r="E130" s="82"/>
      <c r="F130" s="82"/>
      <c r="G130" s="82"/>
      <c r="H130" s="8"/>
      <c r="I130" s="8"/>
      <c r="J130" s="8"/>
      <c r="K130" s="8"/>
      <c r="L130" s="8"/>
    </row>
    <row r="131" spans="3:12">
      <c r="C131" s="82"/>
      <c r="D131" s="82"/>
      <c r="E131" s="82"/>
      <c r="F131" s="82"/>
      <c r="G131" s="82"/>
      <c r="H131" s="8"/>
      <c r="I131" s="8"/>
      <c r="J131" s="8"/>
      <c r="K131" s="8"/>
      <c r="L131" s="8"/>
    </row>
    <row r="132" spans="3:12">
      <c r="C132" s="82"/>
      <c r="D132" s="82"/>
      <c r="E132" s="82"/>
      <c r="F132" s="82"/>
      <c r="G132" s="82"/>
      <c r="H132" s="8"/>
      <c r="I132" s="8"/>
      <c r="J132" s="8"/>
      <c r="K132" s="8"/>
      <c r="L132" s="8"/>
    </row>
    <row r="133" spans="3:12">
      <c r="C133" s="82"/>
      <c r="D133" s="82"/>
      <c r="E133" s="82"/>
      <c r="F133" s="82"/>
      <c r="G133" s="82"/>
      <c r="H133" s="8"/>
      <c r="I133" s="8"/>
      <c r="J133" s="8"/>
      <c r="K133" s="8"/>
      <c r="L133" s="8"/>
    </row>
    <row r="134" spans="3:12">
      <c r="C134" s="82"/>
      <c r="D134" s="82"/>
      <c r="E134" s="82"/>
      <c r="F134" s="82"/>
      <c r="G134" s="82"/>
      <c r="H134" s="8"/>
      <c r="I134" s="8"/>
      <c r="J134" s="8"/>
      <c r="K134" s="8"/>
      <c r="L134" s="8"/>
    </row>
    <row r="135" spans="3:12">
      <c r="C135" s="8"/>
      <c r="D135" s="8"/>
      <c r="E135" s="8"/>
      <c r="F135" s="8"/>
      <c r="G135" s="8"/>
      <c r="H135" s="8"/>
      <c r="I135" s="8"/>
      <c r="J135" s="8"/>
      <c r="K135" s="8"/>
      <c r="L135" s="8"/>
    </row>
    <row r="136" spans="3:12">
      <c r="C136" s="8"/>
      <c r="D136" s="8"/>
      <c r="E136" s="8"/>
      <c r="F136" s="8"/>
      <c r="G136" s="8"/>
      <c r="H136" s="8"/>
      <c r="I136" s="8"/>
      <c r="J136" s="8"/>
      <c r="K136" s="8"/>
      <c r="L136" s="8"/>
    </row>
    <row r="137" spans="3:12">
      <c r="C137" s="8"/>
      <c r="D137" s="8"/>
      <c r="E137" s="8"/>
      <c r="F137" s="8"/>
      <c r="G137" s="8"/>
      <c r="H137" s="8"/>
      <c r="I137" s="8"/>
      <c r="J137" s="8"/>
      <c r="K137" s="8"/>
      <c r="L137" s="8"/>
    </row>
    <row r="138" spans="3:12">
      <c r="C138" s="8"/>
      <c r="D138" s="8"/>
      <c r="E138" s="8"/>
      <c r="F138" s="8"/>
      <c r="G138" s="8"/>
      <c r="H138" s="8"/>
      <c r="I138" s="8"/>
      <c r="J138" s="8"/>
      <c r="K138" s="8"/>
      <c r="L138" s="8"/>
    </row>
    <row r="139" spans="3:12">
      <c r="C139" s="8"/>
      <c r="D139" s="8"/>
      <c r="E139" s="8"/>
      <c r="F139" s="8"/>
      <c r="G139" s="8"/>
      <c r="H139" s="8"/>
      <c r="I139" s="8"/>
      <c r="J139" s="8"/>
      <c r="K139" s="8"/>
      <c r="L139" s="8"/>
    </row>
    <row r="140" spans="3:12">
      <c r="C140" s="8"/>
      <c r="D140" s="8"/>
      <c r="E140" s="8"/>
      <c r="F140" s="8"/>
      <c r="G140" s="8"/>
      <c r="H140" s="8"/>
      <c r="I140" s="8"/>
      <c r="J140" s="8"/>
      <c r="K140" s="8"/>
      <c r="L140" s="8"/>
    </row>
    <row r="141" spans="3:12">
      <c r="C141" s="8"/>
      <c r="D141" s="8"/>
      <c r="E141" s="8"/>
      <c r="F141" s="8"/>
      <c r="G141" s="8"/>
      <c r="H141" s="8"/>
      <c r="I141" s="8"/>
      <c r="J141" s="8"/>
      <c r="K141" s="8"/>
      <c r="L141" s="8"/>
    </row>
    <row r="142" spans="3:12">
      <c r="C142" s="8"/>
      <c r="D142" s="8"/>
      <c r="E142" s="8"/>
      <c r="F142" s="8"/>
      <c r="G142" s="8"/>
      <c r="H142" s="8"/>
      <c r="I142" s="8"/>
      <c r="J142" s="8"/>
      <c r="K142" s="8"/>
      <c r="L142" s="8"/>
    </row>
    <row r="143" spans="3:12">
      <c r="C143" s="8"/>
      <c r="D143" s="8"/>
      <c r="E143" s="8"/>
      <c r="F143" s="8"/>
      <c r="G143" s="8"/>
      <c r="H143" s="8"/>
      <c r="I143" s="8"/>
      <c r="J143" s="8"/>
      <c r="K143" s="8"/>
      <c r="L143" s="8"/>
    </row>
    <row r="144" spans="3:12">
      <c r="C144" s="8"/>
      <c r="D144" s="8"/>
      <c r="E144" s="8"/>
      <c r="F144" s="8"/>
      <c r="G144" s="8"/>
      <c r="H144" s="8"/>
      <c r="I144" s="8"/>
      <c r="J144" s="8"/>
      <c r="K144" s="8"/>
      <c r="L144" s="8"/>
    </row>
    <row r="145" spans="1:12">
      <c r="A145" s="69"/>
      <c r="C145" s="8"/>
      <c r="D145" s="8"/>
      <c r="E145" s="8"/>
      <c r="F145" s="8"/>
      <c r="G145" s="8"/>
      <c r="H145" s="8"/>
      <c r="I145" s="8"/>
      <c r="J145" s="8"/>
      <c r="K145" s="8"/>
      <c r="L145" s="8"/>
    </row>
    <row r="146" spans="1:12">
      <c r="A146" s="68"/>
      <c r="B146" s="71"/>
    </row>
  </sheetData>
  <autoFilter ref="A38:L87">
    <sortState ref="A39:L87">
      <sortCondition ref="B38:B87"/>
    </sortState>
  </autoFilter>
  <mergeCells count="16">
    <mergeCell ref="B9:H9"/>
    <mergeCell ref="A37:B37"/>
    <mergeCell ref="G2:H2"/>
    <mergeCell ref="A3:H3"/>
    <mergeCell ref="B5:H5"/>
    <mergeCell ref="B6:H6"/>
    <mergeCell ref="B7:H7"/>
    <mergeCell ref="B8:H8"/>
    <mergeCell ref="S5:T5"/>
    <mergeCell ref="P6:Q6"/>
    <mergeCell ref="S6:T6"/>
    <mergeCell ref="J3:K3"/>
    <mergeCell ref="M3:N3"/>
    <mergeCell ref="J4:K4"/>
    <mergeCell ref="M4:N4"/>
    <mergeCell ref="P5:Q5"/>
  </mergeCells>
  <conditionalFormatting sqref="C14:H36">
    <cfRule type="expression" dxfId="115" priority="1">
      <formula>ISERROR(C14)</formula>
    </cfRule>
  </conditionalFormatting>
  <hyperlinks>
    <hyperlink ref="G2" location="'Information och Innehåll'!A1" display="Tillbaka till Information och Innehåll"/>
    <hyperlink ref="J6" location="V1.1.1!A1" display="V1.1.1"/>
    <hyperlink ref="J7" location="V1.1.2!A1" display="V1.1.2"/>
    <hyperlink ref="J8" location="V1.1.3!A1" display="V1.1.3"/>
    <hyperlink ref="J9" location="V2.1.1!A1" display="V2.1.1"/>
    <hyperlink ref="J10" location="V2.1.2!A1" display="V2.1.2"/>
    <hyperlink ref="J12" location="V3.1.2!A1" display="V3.1.2"/>
    <hyperlink ref="J11" location="V3.1.1!A1" display="V3.1.1"/>
    <hyperlink ref="J13" location="V3.1.3!A1" display="V3.1.3"/>
    <hyperlink ref="J15" location="V4.1.1!A1" display="V4.1.1"/>
    <hyperlink ref="J16" location="V4.2.1!A1" display="V4.2.1"/>
    <hyperlink ref="J17" location="V4.2.2!A1" display="V4.2.2"/>
    <hyperlink ref="J18" location="V4.2.3!A1" display="V4.2.3"/>
    <hyperlink ref="J19" location="V4.2.4!A1" display="V4.2.4"/>
    <hyperlink ref="J20" location="V5.1.1!A1" display="V5.1.1"/>
    <hyperlink ref="J21" location="V5.1.2!A1" display="V5.1.2"/>
    <hyperlink ref="K6" location="B1.1.1!A1" display="B1.1.1"/>
    <hyperlink ref="K7" location="B1.1.2!A1" display="B1.1.2"/>
    <hyperlink ref="K8" location="B1.2.1!A1" display="B1.2.1"/>
    <hyperlink ref="K9" location="B1.2.2!A1" display="B1.2.2"/>
    <hyperlink ref="K10" location="B1.2.3!A1" display="B1.2.3"/>
    <hyperlink ref="K11" location="B2.1.1!A1" display="B2.1.1"/>
    <hyperlink ref="K13" location="B2.2.1!A1" display="B2.2.1"/>
    <hyperlink ref="K14" location="B2.2.2!A1" display="B2.2.2"/>
    <hyperlink ref="K15" location="B2.2.3!A1" display="B2.2.3"/>
    <hyperlink ref="K16" location="B2.2.4!A1" display="B2.2.4"/>
    <hyperlink ref="K17" location="B3.1.1!A1" display="B3.1.1"/>
    <hyperlink ref="K18" location="B3.1.2!A1" display="B3.1.2"/>
    <hyperlink ref="K21" location="B4.1.1!A1" display="B4.1.1"/>
    <hyperlink ref="K22" location="B5.1.1!A1" display="B5.1.1"/>
    <hyperlink ref="K23" location="B5.1.2!A1" display="B5.1.2"/>
    <hyperlink ref="K24" location="B5.1.3!A1" display="B5.1.3"/>
    <hyperlink ref="K19" location="B3.1.3!A1" display="B3.1.3"/>
    <hyperlink ref="K12" location="B2.1.2!A1" display="B2.1.2"/>
    <hyperlink ref="J22" location="V5.1.3!A1" display="V5.1.3"/>
    <hyperlink ref="K20" location="B3.2.1!A1" display="B3.2.1"/>
    <hyperlink ref="J14" location="B3.2.1!A1" display="V3.2.1"/>
    <hyperlink ref="M6" location="'V1.1.1 DATA'!A1" display="V1.1.1"/>
    <hyperlink ref="M7" location="'V1.1.2 DATA'!A1" display="V1.1.2"/>
    <hyperlink ref="M8" location="'V1.1.3 Data'!A1" display="V1.1.3"/>
    <hyperlink ref="M9" location="'V2.1.1 DATA'!A1" display="V2.1.1"/>
    <hyperlink ref="M10" location="'V2.1.2 DATA'!A1" display="V2.1.2"/>
    <hyperlink ref="M12" location="'V3.1.2 DATA'!A1" display="V3.1.2"/>
    <hyperlink ref="M11" location="'V3.1.1 DATA'!A1" display="V3.1.1"/>
    <hyperlink ref="M13" location="'V3.1.3 DATA'!A1" display="V3.1.3"/>
    <hyperlink ref="M14" location="'V3.2.1 DATA'!A1" display="V3.2.1"/>
    <hyperlink ref="M15" location="'V4.1.1 DATA'!A1" display="V4.1.1"/>
    <hyperlink ref="M16" location="'V4.2.1 DATA'!A1" display="V4.2.1"/>
    <hyperlink ref="M18" location="'V4.2.3 DATA'!A1" display="V4.2.3"/>
    <hyperlink ref="M19" location="'V4.2.4 DATA'!A1" display="V4.2.4"/>
    <hyperlink ref="M20" location="'V5.1.1 DATA'!A1" display="V5.1.1"/>
    <hyperlink ref="M21" location="'V5.1.2 DATA'!A1" display="V5.1.2"/>
    <hyperlink ref="N6" location="'B1.1.1 DATA'!A1" display="B1.1.1"/>
    <hyperlink ref="N7" location="'B1.1.2 DATA'!A1" display="B1.1.2"/>
    <hyperlink ref="N8" location="'B1.2.1 DATA'!A1" display="B1.2.1"/>
    <hyperlink ref="N9" location="'B1.2.2 DATA'!A1" display="B1.2.2"/>
    <hyperlink ref="N10" location="'B1.2.3 DATA'!A1" display="B1.2.3"/>
    <hyperlink ref="N11" location="'B2.1.1 DATA'!A1" display="B2.1.1"/>
    <hyperlink ref="N13" location="'B2.2.1 DATA'!A1" display="B2.2.1"/>
    <hyperlink ref="N14" location="'B2.2.2 DATA'!A1" display="B2.2.2"/>
    <hyperlink ref="N15" location="'B2.2.3 DATA'!A1" display="B2.2.3"/>
    <hyperlink ref="N16" location="'B2.2.4 DATA'!A1" display="B2.2.4"/>
    <hyperlink ref="N17" location="'B3.1.1 DATA'!A1" display="B3.1.1"/>
    <hyperlink ref="N18" location="'B3.1.2 DATA'!A1" display="B3.1.2"/>
    <hyperlink ref="N20" location="'B3.2.1 DATA'!A1" display="B3.2.1"/>
    <hyperlink ref="N21" location="'B4.1.1 DATA'!A1" display="B4.1.1"/>
    <hyperlink ref="N22" location="'B5.1.1 DATA'!A1" display="B5.1.1"/>
    <hyperlink ref="N23" location="'B5.1.2 DATA'!A1" display="B5.1.2"/>
    <hyperlink ref="N24" location="'B5.1.3 DATA'!A1" display="B5.1.3"/>
    <hyperlink ref="N12" location="'B2.1.2 DATA'!A1" display="B2.1.2"/>
    <hyperlink ref="M22" location="'V5.1.3 DATA'!A1" display="V5.1.3"/>
    <hyperlink ref="N19" location="'B3.1.3 DATA'!A1" display="B3.1.3"/>
    <hyperlink ref="M17" location="'V4.2.2 DATA'!A1" display="V4.2.2"/>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B5DAC7"/>
  </sheetPr>
  <dimension ref="A2:AC57"/>
  <sheetViews>
    <sheetView showGridLines="0" showRowColHeaders="0" zoomScale="70" zoomScaleNormal="70" workbookViewId="0"/>
  </sheetViews>
  <sheetFormatPr defaultRowHeight="14.25"/>
  <cols>
    <col min="1" max="1" width="2.796875" customWidth="1"/>
    <col min="2" max="4" width="8.796875" customWidth="1"/>
    <col min="5" max="5" width="14.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471</v>
      </c>
      <c r="C3" s="338"/>
      <c r="D3" s="338"/>
      <c r="E3" s="338"/>
      <c r="F3" s="338"/>
      <c r="G3" s="338"/>
      <c r="H3" s="338"/>
      <c r="I3" s="338"/>
      <c r="J3" s="338"/>
      <c r="K3" s="338"/>
      <c r="L3" s="338"/>
      <c r="M3" s="338"/>
      <c r="N3" s="338"/>
      <c r="O3" s="338"/>
      <c r="P3" s="338"/>
      <c r="Q3" s="338"/>
      <c r="R3" s="338"/>
      <c r="S3" s="338"/>
      <c r="T3" s="338"/>
    </row>
    <row r="4" spans="1:20" ht="30.75">
      <c r="B4" s="339" t="s">
        <v>485</v>
      </c>
      <c r="C4" s="339"/>
      <c r="D4" s="339"/>
      <c r="E4" s="339"/>
      <c r="F4" s="339"/>
      <c r="G4" s="339"/>
      <c r="H4" s="339"/>
      <c r="I4" s="339"/>
      <c r="J4" s="339"/>
      <c r="K4" s="339"/>
      <c r="L4" s="339"/>
      <c r="M4" s="339"/>
      <c r="N4" s="339"/>
      <c r="O4" s="339"/>
      <c r="P4" s="339"/>
      <c r="Q4" s="339"/>
      <c r="R4" s="339"/>
      <c r="S4" s="339"/>
      <c r="T4" s="339"/>
    </row>
    <row r="5" spans="1:20" ht="18">
      <c r="B5" s="340" t="s">
        <v>51</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122"/>
      <c r="O10" s="122"/>
      <c r="P10" s="122"/>
      <c r="Q10" s="122"/>
      <c r="R10" s="122"/>
      <c r="S10" s="122"/>
      <c r="T10" s="122"/>
    </row>
    <row r="11" spans="1:20">
      <c r="B11" s="336" t="s">
        <v>40</v>
      </c>
      <c r="C11" s="336"/>
      <c r="D11" s="336"/>
      <c r="E11" s="336"/>
      <c r="F11" s="336"/>
      <c r="G11" s="336"/>
      <c r="H11" s="336"/>
      <c r="I11" s="336"/>
      <c r="J11" s="336"/>
      <c r="K11" s="336"/>
      <c r="L11" s="336"/>
      <c r="N11" s="87" t="s">
        <v>211</v>
      </c>
      <c r="O11" s="87" t="s">
        <v>286</v>
      </c>
      <c r="P11" s="86"/>
      <c r="Q11" s="86"/>
      <c r="R11" s="86"/>
    </row>
    <row r="12" spans="1:20">
      <c r="B12" s="119"/>
      <c r="C12" s="337" t="s">
        <v>548</v>
      </c>
      <c r="D12" s="337"/>
      <c r="E12" s="337"/>
      <c r="F12" s="337"/>
      <c r="G12" s="337"/>
      <c r="H12" s="337"/>
      <c r="I12" s="337"/>
      <c r="J12" s="337"/>
      <c r="K12" s="337"/>
      <c r="L12" s="337"/>
      <c r="N12" s="87" t="s">
        <v>287</v>
      </c>
      <c r="O12" s="86" t="s">
        <v>83</v>
      </c>
      <c r="P12" s="86" t="s">
        <v>350</v>
      </c>
      <c r="Q12" s="86" t="s">
        <v>351</v>
      </c>
      <c r="R12" s="86" t="s">
        <v>91</v>
      </c>
    </row>
    <row r="13" spans="1:20">
      <c r="B13" s="117"/>
      <c r="C13" s="332" t="s">
        <v>549</v>
      </c>
      <c r="D13" s="332"/>
      <c r="E13" s="332"/>
      <c r="F13" s="332"/>
      <c r="G13" s="332"/>
      <c r="H13" s="332"/>
      <c r="I13" s="332"/>
      <c r="J13" s="332"/>
      <c r="K13" s="332"/>
      <c r="L13" s="332"/>
      <c r="N13" s="88">
        <v>2017</v>
      </c>
      <c r="O13" s="86">
        <v>0.5</v>
      </c>
      <c r="P13" s="86">
        <v>4.1666666666666664E-2</v>
      </c>
      <c r="Q13" s="86">
        <v>0.35555555555555557</v>
      </c>
      <c r="R13" s="86">
        <v>6.6666666666666666E-2</v>
      </c>
    </row>
    <row r="14" spans="1:20">
      <c r="B14" s="117"/>
      <c r="C14" s="333" t="s">
        <v>292</v>
      </c>
      <c r="D14" s="333"/>
      <c r="E14" s="333"/>
      <c r="F14" s="333"/>
      <c r="G14" s="333"/>
      <c r="H14" s="333"/>
      <c r="I14" s="333"/>
      <c r="J14" s="333"/>
      <c r="K14" s="333"/>
      <c r="L14" s="333"/>
      <c r="N14" s="88">
        <v>2018</v>
      </c>
      <c r="O14" s="86"/>
      <c r="P14" s="86"/>
      <c r="Q14" s="86"/>
      <c r="R14" s="86"/>
    </row>
    <row r="15" spans="1:20">
      <c r="B15" s="117"/>
      <c r="C15" s="333" t="s">
        <v>550</v>
      </c>
      <c r="D15" s="333"/>
      <c r="E15" s="333"/>
      <c r="F15" s="333"/>
      <c r="G15" s="333"/>
      <c r="H15" s="333"/>
      <c r="I15" s="333"/>
      <c r="J15" s="333"/>
      <c r="K15" s="333"/>
      <c r="L15" s="333"/>
      <c r="N15" s="88">
        <v>2019</v>
      </c>
      <c r="O15" s="86"/>
      <c r="P15" s="86"/>
      <c r="Q15" s="86"/>
      <c r="R15" s="86"/>
    </row>
    <row r="16" spans="1:20">
      <c r="A16" s="3"/>
      <c r="B16" s="117"/>
      <c r="C16" s="118"/>
      <c r="D16" s="118"/>
      <c r="E16" s="118"/>
      <c r="F16" s="118"/>
      <c r="G16" s="118"/>
      <c r="H16" s="118"/>
      <c r="I16" s="118"/>
      <c r="J16" s="118"/>
      <c r="K16" s="118"/>
      <c r="L16" s="117"/>
      <c r="N16" s="88">
        <v>2020</v>
      </c>
      <c r="O16" s="86"/>
      <c r="P16" s="86"/>
      <c r="Q16" s="86"/>
      <c r="R16" s="86"/>
    </row>
    <row r="17" spans="1:26">
      <c r="A17" s="3"/>
      <c r="B17" s="336" t="s">
        <v>41</v>
      </c>
      <c r="C17" s="336"/>
      <c r="D17" s="336"/>
      <c r="E17" s="336"/>
      <c r="F17" s="336"/>
      <c r="G17" s="336"/>
      <c r="H17" s="336"/>
      <c r="I17" s="336"/>
      <c r="J17" s="336"/>
      <c r="K17" s="336"/>
      <c r="L17" s="336"/>
      <c r="N17" s="88">
        <v>2021</v>
      </c>
      <c r="O17" s="86"/>
      <c r="P17" s="86"/>
      <c r="Q17" s="86"/>
      <c r="R17" s="86"/>
    </row>
    <row r="18" spans="1:26">
      <c r="A18" s="3"/>
      <c r="B18" s="119"/>
      <c r="C18" s="333" t="s">
        <v>295</v>
      </c>
      <c r="D18" s="333"/>
      <c r="E18" s="333"/>
      <c r="F18" s="333"/>
      <c r="G18" s="333"/>
      <c r="H18" s="333"/>
      <c r="I18" s="333"/>
      <c r="J18" s="333"/>
      <c r="K18" s="333"/>
      <c r="L18" s="333"/>
      <c r="N18" s="88">
        <v>2022</v>
      </c>
      <c r="O18" s="86"/>
      <c r="P18" s="86"/>
      <c r="Q18" s="86"/>
      <c r="R18" s="86"/>
    </row>
    <row r="19" spans="1:26">
      <c r="A19" s="3"/>
      <c r="B19" s="117"/>
      <c r="C19" s="333" t="s">
        <v>317</v>
      </c>
      <c r="D19" s="333"/>
      <c r="E19" s="333"/>
      <c r="F19" s="333"/>
      <c r="G19" s="333"/>
      <c r="H19" s="333"/>
      <c r="I19" s="333"/>
      <c r="J19" s="333"/>
      <c r="K19" s="333"/>
      <c r="L19" s="333"/>
      <c r="N19" s="88">
        <v>2023</v>
      </c>
      <c r="O19" s="86"/>
      <c r="P19" s="86"/>
      <c r="Q19" s="86"/>
      <c r="R19" s="86"/>
    </row>
    <row r="20" spans="1:26">
      <c r="A20" s="3"/>
      <c r="B20" s="117"/>
      <c r="C20" s="333" t="s">
        <v>369</v>
      </c>
      <c r="D20" s="333"/>
      <c r="E20" s="333"/>
      <c r="F20" s="333"/>
      <c r="G20" s="333"/>
      <c r="H20" s="333"/>
      <c r="I20" s="333"/>
      <c r="J20" s="333"/>
      <c r="K20" s="333"/>
      <c r="L20" s="333"/>
      <c r="N20" s="88">
        <v>2024</v>
      </c>
      <c r="O20" s="86"/>
      <c r="P20" s="86"/>
      <c r="Q20" s="86"/>
      <c r="R20" s="86"/>
    </row>
    <row r="21" spans="1:26">
      <c r="A21" s="3"/>
      <c r="B21" s="117"/>
      <c r="C21" s="58" t="str">
        <f>"--&gt;"</f>
        <v>--&gt;</v>
      </c>
      <c r="D21" s="334" t="s">
        <v>212</v>
      </c>
      <c r="E21" s="334"/>
      <c r="F21" s="334"/>
      <c r="G21" s="334"/>
      <c r="H21" s="334"/>
      <c r="I21" s="334"/>
      <c r="J21" s="334"/>
      <c r="K21" s="334"/>
      <c r="L21" s="334"/>
      <c r="N21" s="88">
        <v>2025</v>
      </c>
      <c r="O21" s="86"/>
      <c r="P21" s="86"/>
      <c r="Q21" s="86"/>
      <c r="R21" s="86"/>
    </row>
    <row r="22" spans="1:26">
      <c r="A22" s="3"/>
      <c r="B22" s="117"/>
      <c r="C22" s="117"/>
      <c r="D22" s="334"/>
      <c r="E22" s="334"/>
      <c r="F22" s="334"/>
      <c r="G22" s="334"/>
      <c r="H22" s="334"/>
      <c r="I22" s="334"/>
      <c r="J22" s="334"/>
      <c r="K22" s="334"/>
      <c r="L22" s="334"/>
    </row>
    <row r="23" spans="1:26">
      <c r="A23" s="3"/>
      <c r="B23" s="117"/>
      <c r="C23" s="333" t="s">
        <v>356</v>
      </c>
      <c r="D23" s="333"/>
      <c r="E23" s="333"/>
      <c r="F23" s="333"/>
      <c r="G23" s="333"/>
      <c r="H23" s="333"/>
      <c r="I23" s="333"/>
      <c r="J23" s="333"/>
      <c r="K23" s="333"/>
      <c r="L23" s="333"/>
    </row>
    <row r="24" spans="1:26">
      <c r="A24" s="3"/>
      <c r="B24" s="117"/>
      <c r="C24" s="333"/>
      <c r="D24" s="333"/>
      <c r="E24" s="333"/>
      <c r="F24" s="333"/>
      <c r="G24" s="333"/>
      <c r="H24" s="333"/>
      <c r="I24" s="333"/>
      <c r="J24" s="333"/>
      <c r="K24" s="333"/>
      <c r="L24" s="333"/>
      <c r="Q24" s="2"/>
      <c r="S24" s="11"/>
      <c r="T24" s="11"/>
    </row>
    <row r="25" spans="1:26">
      <c r="A25" s="3"/>
      <c r="B25" s="117"/>
      <c r="C25" s="333"/>
      <c r="D25" s="333"/>
      <c r="E25" s="333"/>
      <c r="F25" s="333"/>
      <c r="G25" s="333"/>
      <c r="H25" s="333"/>
      <c r="I25" s="333"/>
      <c r="J25" s="333"/>
      <c r="K25" s="333"/>
      <c r="L25" s="333"/>
      <c r="Q25" s="2"/>
      <c r="S25" s="11"/>
      <c r="T25" s="11"/>
    </row>
    <row r="26" spans="1:26" ht="14.45" customHeight="1">
      <c r="A26" s="3"/>
      <c r="B26" s="117"/>
      <c r="C26" s="335" t="s">
        <v>322</v>
      </c>
      <c r="D26" s="335"/>
      <c r="E26" s="335"/>
      <c r="F26" s="335"/>
      <c r="G26" s="335"/>
      <c r="H26" s="335"/>
      <c r="I26" s="335"/>
      <c r="J26" s="335"/>
      <c r="K26" s="335"/>
      <c r="L26" s="335"/>
      <c r="Q26" s="2"/>
      <c r="S26" s="11"/>
      <c r="T26" s="11"/>
    </row>
    <row r="27" spans="1:26">
      <c r="B27" s="118"/>
      <c r="C27" s="335"/>
      <c r="D27" s="335"/>
      <c r="E27" s="335"/>
      <c r="F27" s="335"/>
      <c r="G27" s="335"/>
      <c r="H27" s="335"/>
      <c r="I27" s="335"/>
      <c r="J27" s="335"/>
      <c r="K27" s="335"/>
      <c r="L27" s="335"/>
      <c r="Q27" s="2"/>
      <c r="S27" s="11"/>
      <c r="T27" s="11"/>
    </row>
    <row r="28" spans="1:26">
      <c r="B28" s="118"/>
      <c r="C28" s="335"/>
      <c r="D28" s="335"/>
      <c r="E28" s="335"/>
      <c r="F28" s="335"/>
      <c r="G28" s="335"/>
      <c r="H28" s="335"/>
      <c r="I28" s="335"/>
      <c r="J28" s="335"/>
      <c r="K28" s="335"/>
      <c r="L28" s="335"/>
      <c r="Q28" s="2"/>
      <c r="S28" s="11"/>
      <c r="T28" s="11"/>
    </row>
    <row r="29" spans="1:26">
      <c r="B29" s="83"/>
      <c r="C29" s="351"/>
      <c r="D29" s="351"/>
      <c r="E29" s="351"/>
      <c r="F29" s="351"/>
      <c r="G29" s="351"/>
      <c r="H29" s="351"/>
      <c r="I29" s="351"/>
      <c r="J29" s="351"/>
      <c r="K29" s="351"/>
      <c r="L29" s="351"/>
      <c r="S29" s="11"/>
      <c r="T29" s="11"/>
    </row>
    <row r="30" spans="1:26">
      <c r="B30" s="122"/>
      <c r="C30" s="351"/>
      <c r="D30" s="351"/>
      <c r="E30" s="351"/>
      <c r="F30" s="351"/>
      <c r="G30" s="351"/>
      <c r="H30" s="351"/>
      <c r="I30" s="351"/>
      <c r="J30" s="351"/>
      <c r="K30" s="351"/>
      <c r="L30" s="351"/>
      <c r="M30" s="9"/>
      <c r="N30" s="122"/>
      <c r="O30" s="34"/>
      <c r="P30" s="35"/>
      <c r="Q30" s="35"/>
      <c r="R30" s="35"/>
      <c r="S30" s="35"/>
      <c r="T30" s="122"/>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6">
      <c r="A33" s="3"/>
      <c r="B33" s="119"/>
      <c r="C33" s="119"/>
      <c r="D33" s="119"/>
      <c r="E33" s="119"/>
      <c r="F33" s="119"/>
      <c r="G33" s="119"/>
      <c r="H33" s="119"/>
      <c r="I33" s="119"/>
      <c r="J33" s="119"/>
      <c r="K33" s="119"/>
      <c r="L33" s="119"/>
      <c r="M33" s="119"/>
      <c r="N33" s="119"/>
      <c r="O33" s="119"/>
      <c r="P33" s="119"/>
      <c r="Q33" s="119"/>
      <c r="R33" s="119"/>
      <c r="S33" s="119"/>
      <c r="T33" s="119"/>
      <c r="V33" s="319" t="s">
        <v>65</v>
      </c>
      <c r="W33" s="320"/>
      <c r="X33" s="11"/>
      <c r="Y33" s="319" t="s">
        <v>66</v>
      </c>
      <c r="Z33" s="320"/>
    </row>
    <row r="34" spans="1:26">
      <c r="B34" s="119"/>
      <c r="C34" s="119"/>
      <c r="D34" s="119"/>
      <c r="E34" s="119"/>
      <c r="F34" s="119"/>
      <c r="G34" s="119"/>
      <c r="H34" s="119"/>
      <c r="I34" s="119"/>
      <c r="J34" s="119"/>
      <c r="K34" s="119"/>
      <c r="L34" s="119"/>
      <c r="M34" s="119"/>
      <c r="N34" s="119"/>
      <c r="O34" s="119"/>
      <c r="P34" s="119"/>
      <c r="Q34" s="119"/>
      <c r="R34" s="119"/>
      <c r="S34" s="119"/>
      <c r="T34" s="119"/>
      <c r="V34" s="56" t="s">
        <v>61</v>
      </c>
      <c r="W34" s="56" t="s">
        <v>62</v>
      </c>
      <c r="X34" s="11"/>
      <c r="Y34" s="56" t="s">
        <v>61</v>
      </c>
      <c r="Z34" s="56" t="s">
        <v>62</v>
      </c>
    </row>
    <row r="35" spans="1:26">
      <c r="B35" s="119"/>
      <c r="C35" s="119"/>
      <c r="D35" s="119"/>
      <c r="E35" s="119"/>
      <c r="F35" s="119"/>
      <c r="G35" s="119"/>
      <c r="H35" s="119"/>
      <c r="I35" s="119"/>
      <c r="J35" s="119"/>
      <c r="K35" s="119"/>
      <c r="L35" s="119"/>
      <c r="M35" s="119"/>
      <c r="N35" s="119"/>
      <c r="O35" s="119"/>
      <c r="P35" s="119"/>
      <c r="Q35" s="119"/>
      <c r="R35" s="119"/>
      <c r="S35" s="119"/>
      <c r="T35" s="119"/>
      <c r="V35" s="244" t="s">
        <v>392</v>
      </c>
      <c r="W35" s="244" t="s">
        <v>448</v>
      </c>
      <c r="X35" s="11"/>
      <c r="Y35" s="244" t="s">
        <v>392</v>
      </c>
      <c r="Z35" s="244" t="s">
        <v>448</v>
      </c>
    </row>
    <row r="36" spans="1:26">
      <c r="B36" s="119"/>
      <c r="C36" s="119"/>
      <c r="D36" s="119"/>
      <c r="E36" s="119"/>
      <c r="F36" s="119"/>
      <c r="G36" s="119"/>
      <c r="H36" s="119"/>
      <c r="I36" s="119"/>
      <c r="J36" s="119"/>
      <c r="K36" s="119"/>
      <c r="L36" s="119"/>
      <c r="M36" s="119"/>
      <c r="N36" s="119"/>
      <c r="O36" s="119"/>
      <c r="P36" s="119"/>
      <c r="Q36" s="119"/>
      <c r="R36" s="119"/>
      <c r="S36" s="119"/>
      <c r="T36" s="119"/>
      <c r="V36" s="244" t="s">
        <v>393</v>
      </c>
      <c r="W36" s="244" t="s">
        <v>449</v>
      </c>
      <c r="X36" s="11"/>
      <c r="Y36" s="244" t="s">
        <v>393</v>
      </c>
      <c r="Z36" s="244" t="s">
        <v>449</v>
      </c>
    </row>
    <row r="37" spans="1:26">
      <c r="B37" s="119"/>
      <c r="C37" s="119"/>
      <c r="D37" s="119"/>
      <c r="E37" s="119"/>
      <c r="F37" s="119"/>
      <c r="G37" s="119"/>
      <c r="H37" s="119"/>
      <c r="I37" s="119"/>
      <c r="J37" s="119"/>
      <c r="K37" s="119"/>
      <c r="L37" s="119"/>
      <c r="M37" s="119"/>
      <c r="N37" s="119"/>
      <c r="O37" s="119"/>
      <c r="P37" s="119"/>
      <c r="Q37" s="119"/>
      <c r="R37" s="119"/>
      <c r="S37" s="119"/>
      <c r="T37" s="119"/>
      <c r="V37" s="244" t="s">
        <v>394</v>
      </c>
      <c r="W37" s="244" t="s">
        <v>450</v>
      </c>
      <c r="X37" s="11"/>
      <c r="Y37" s="244" t="s">
        <v>394</v>
      </c>
      <c r="Z37" s="244" t="s">
        <v>450</v>
      </c>
    </row>
    <row r="38" spans="1:26">
      <c r="B38" s="119"/>
      <c r="C38" s="119"/>
      <c r="D38" s="119"/>
      <c r="E38" s="119"/>
      <c r="F38" s="119"/>
      <c r="G38" s="119"/>
      <c r="H38" s="119"/>
      <c r="I38" s="119"/>
      <c r="J38" s="119"/>
      <c r="K38" s="119"/>
      <c r="L38" s="119"/>
      <c r="M38" s="119"/>
      <c r="N38" s="119"/>
      <c r="O38" s="119"/>
      <c r="P38" s="119"/>
      <c r="Q38" s="119"/>
      <c r="R38" s="119"/>
      <c r="S38" s="119"/>
      <c r="T38" s="119"/>
      <c r="V38" s="244" t="s">
        <v>434</v>
      </c>
      <c r="W38" s="244" t="s">
        <v>451</v>
      </c>
      <c r="X38" s="11"/>
      <c r="Y38" s="244" t="s">
        <v>434</v>
      </c>
      <c r="Z38" s="244" t="s">
        <v>451</v>
      </c>
    </row>
    <row r="39" spans="1:26">
      <c r="B39" s="119"/>
      <c r="C39" s="119"/>
      <c r="D39" s="119"/>
      <c r="E39" s="119"/>
      <c r="F39" s="119"/>
      <c r="G39" s="119"/>
      <c r="H39" s="119"/>
      <c r="I39" s="119"/>
      <c r="J39" s="119"/>
      <c r="K39" s="119"/>
      <c r="L39" s="119"/>
      <c r="M39" s="119"/>
      <c r="N39" s="119"/>
      <c r="O39" s="119"/>
      <c r="P39" s="119"/>
      <c r="Q39" s="119"/>
      <c r="R39" s="119"/>
      <c r="S39" s="119"/>
      <c r="T39" s="119"/>
      <c r="V39" s="244" t="s">
        <v>435</v>
      </c>
      <c r="W39" s="244" t="s">
        <v>452</v>
      </c>
      <c r="Y39" s="244" t="s">
        <v>435</v>
      </c>
      <c r="Z39" s="244" t="s">
        <v>452</v>
      </c>
    </row>
    <row r="40" spans="1:26">
      <c r="B40" s="119"/>
      <c r="C40" s="119"/>
      <c r="D40" s="119"/>
      <c r="E40" s="119"/>
      <c r="F40" s="119"/>
      <c r="G40" s="119"/>
      <c r="H40" s="119"/>
      <c r="I40" s="119"/>
      <c r="J40" s="119"/>
      <c r="K40" s="119"/>
      <c r="L40" s="119"/>
      <c r="M40" s="119"/>
      <c r="N40" s="119"/>
      <c r="O40" s="119"/>
      <c r="P40" s="119"/>
      <c r="Q40" s="119"/>
      <c r="R40" s="119"/>
      <c r="S40" s="119"/>
      <c r="T40" s="119"/>
      <c r="V40" s="244" t="s">
        <v>436</v>
      </c>
      <c r="W40" s="244" t="s">
        <v>453</v>
      </c>
      <c r="Y40" s="244" t="s">
        <v>436</v>
      </c>
      <c r="Z40" s="244" t="s">
        <v>453</v>
      </c>
    </row>
    <row r="41" spans="1:26">
      <c r="B41" s="119"/>
      <c r="C41" s="119"/>
      <c r="D41" s="119"/>
      <c r="E41" s="119"/>
      <c r="F41" s="119"/>
      <c r="G41" s="119"/>
      <c r="H41" s="119"/>
      <c r="I41" s="119"/>
      <c r="J41" s="119"/>
      <c r="K41" s="119"/>
      <c r="L41" s="119"/>
      <c r="M41" s="119"/>
      <c r="N41" s="119"/>
      <c r="O41" s="119"/>
      <c r="P41" s="119"/>
      <c r="Q41" s="119"/>
      <c r="R41" s="119"/>
      <c r="S41" s="119"/>
      <c r="T41" s="119"/>
      <c r="V41" s="244" t="s">
        <v>437</v>
      </c>
      <c r="W41" s="245" t="s">
        <v>454</v>
      </c>
      <c r="Y41" s="244" t="s">
        <v>437</v>
      </c>
      <c r="Z41" s="245" t="s">
        <v>454</v>
      </c>
    </row>
    <row r="42" spans="1:26">
      <c r="B42" s="119"/>
      <c r="C42" s="119"/>
      <c r="D42" s="119"/>
      <c r="E42" s="119"/>
      <c r="F42" s="119"/>
      <c r="G42" s="119"/>
      <c r="H42" s="119"/>
      <c r="I42" s="119"/>
      <c r="J42" s="119"/>
      <c r="K42" s="119"/>
      <c r="L42" s="119"/>
      <c r="M42" s="119"/>
      <c r="N42" s="119"/>
      <c r="O42" s="119"/>
      <c r="P42" s="119"/>
      <c r="Q42" s="119"/>
      <c r="R42" s="119"/>
      <c r="S42" s="119"/>
      <c r="T42" s="119"/>
      <c r="V42" s="244" t="s">
        <v>438</v>
      </c>
      <c r="W42" s="244" t="s">
        <v>455</v>
      </c>
      <c r="Y42" s="244" t="s">
        <v>438</v>
      </c>
      <c r="Z42" s="244" t="s">
        <v>455</v>
      </c>
    </row>
    <row r="43" spans="1:26">
      <c r="B43" s="119"/>
      <c r="C43" s="119"/>
      <c r="D43" s="119"/>
      <c r="E43" s="119"/>
      <c r="F43" s="119"/>
      <c r="G43" s="119"/>
      <c r="H43" s="119"/>
      <c r="I43" s="119"/>
      <c r="J43" s="119"/>
      <c r="K43" s="119"/>
      <c r="L43" s="119"/>
      <c r="M43" s="119"/>
      <c r="N43" s="119"/>
      <c r="O43" s="119"/>
      <c r="P43" s="119"/>
      <c r="Q43" s="119"/>
      <c r="R43" s="119"/>
      <c r="S43" s="119"/>
      <c r="T43" s="119"/>
      <c r="V43" s="245" t="s">
        <v>439</v>
      </c>
      <c r="W43" s="244" t="s">
        <v>456</v>
      </c>
      <c r="Y43" s="244" t="s">
        <v>439</v>
      </c>
      <c r="Z43" s="244" t="s">
        <v>456</v>
      </c>
    </row>
    <row r="44" spans="1:26">
      <c r="B44" s="119"/>
      <c r="C44" s="119"/>
      <c r="D44" s="119"/>
      <c r="E44" s="119"/>
      <c r="F44" s="119"/>
      <c r="G44" s="119"/>
      <c r="H44" s="119"/>
      <c r="I44" s="119"/>
      <c r="J44" s="119"/>
      <c r="K44" s="119"/>
      <c r="L44" s="119"/>
      <c r="M44" s="119"/>
      <c r="N44" s="119"/>
      <c r="O44" s="119"/>
      <c r="P44" s="119"/>
      <c r="Q44" s="119"/>
      <c r="R44" s="119"/>
      <c r="S44" s="119"/>
      <c r="T44" s="119"/>
      <c r="V44" s="244" t="s">
        <v>440</v>
      </c>
      <c r="W44" s="244" t="s">
        <v>457</v>
      </c>
      <c r="Y44" s="244" t="s">
        <v>440</v>
      </c>
      <c r="Z44" s="244" t="s">
        <v>457</v>
      </c>
    </row>
    <row r="45" spans="1:26">
      <c r="B45" s="119"/>
      <c r="C45" s="119"/>
      <c r="D45" s="119"/>
      <c r="E45" s="119"/>
      <c r="F45" s="119"/>
      <c r="G45" s="119"/>
      <c r="H45" s="119"/>
      <c r="I45" s="119"/>
      <c r="J45" s="119"/>
      <c r="K45" s="119"/>
      <c r="L45" s="119"/>
      <c r="M45" s="119"/>
      <c r="N45" s="119"/>
      <c r="O45" s="119"/>
      <c r="P45" s="119"/>
      <c r="Q45" s="119"/>
      <c r="R45" s="119"/>
      <c r="S45" s="119"/>
      <c r="T45" s="119"/>
      <c r="V45" s="244" t="s">
        <v>441</v>
      </c>
      <c r="W45" s="244" t="s">
        <v>458</v>
      </c>
      <c r="Y45" s="244" t="s">
        <v>441</v>
      </c>
      <c r="Z45" s="244" t="s">
        <v>458</v>
      </c>
    </row>
    <row r="46" spans="1:26">
      <c r="B46" s="119"/>
      <c r="C46" s="119"/>
      <c r="D46" s="119"/>
      <c r="E46" s="119"/>
      <c r="F46" s="119"/>
      <c r="G46" s="119"/>
      <c r="H46" s="119"/>
      <c r="I46" s="119"/>
      <c r="J46" s="119"/>
      <c r="K46" s="119"/>
      <c r="L46" s="119"/>
      <c r="M46" s="119"/>
      <c r="N46" s="119"/>
      <c r="O46" s="119"/>
      <c r="P46" s="119"/>
      <c r="Q46" s="119"/>
      <c r="R46" s="119"/>
      <c r="S46" s="119"/>
      <c r="T46" s="119"/>
      <c r="V46" s="244" t="s">
        <v>442</v>
      </c>
      <c r="W46" s="244" t="s">
        <v>459</v>
      </c>
      <c r="Y46" s="244" t="s">
        <v>442</v>
      </c>
      <c r="Z46" s="244" t="s">
        <v>459</v>
      </c>
    </row>
    <row r="47" spans="1:26">
      <c r="B47" s="119"/>
      <c r="C47" s="119"/>
      <c r="D47" s="119"/>
      <c r="E47" s="119"/>
      <c r="F47" s="119"/>
      <c r="G47" s="119"/>
      <c r="H47" s="119"/>
      <c r="I47" s="119"/>
      <c r="J47" s="119"/>
      <c r="K47" s="119"/>
      <c r="L47" s="119"/>
      <c r="M47" s="119"/>
      <c r="N47" s="119"/>
      <c r="O47" s="119"/>
      <c r="P47" s="119"/>
      <c r="Q47" s="119"/>
      <c r="R47" s="119"/>
      <c r="S47" s="119"/>
      <c r="T47" s="119"/>
      <c r="V47" s="244" t="s">
        <v>443</v>
      </c>
      <c r="W47" s="244" t="s">
        <v>460</v>
      </c>
      <c r="Y47" s="244" t="s">
        <v>443</v>
      </c>
      <c r="Z47" s="244" t="s">
        <v>460</v>
      </c>
    </row>
    <row r="48" spans="1:26">
      <c r="B48" s="119"/>
      <c r="C48" s="119"/>
      <c r="D48" s="119"/>
      <c r="E48" s="119"/>
      <c r="F48" s="119"/>
      <c r="G48" s="119"/>
      <c r="H48" s="119"/>
      <c r="I48" s="119"/>
      <c r="J48" s="119"/>
      <c r="K48" s="119"/>
      <c r="L48" s="119"/>
      <c r="M48" s="119"/>
      <c r="N48" s="119"/>
      <c r="O48" s="119"/>
      <c r="P48" s="119"/>
      <c r="Q48" s="119"/>
      <c r="R48" s="119"/>
      <c r="S48" s="119"/>
      <c r="T48" s="119"/>
      <c r="V48" s="244" t="s">
        <v>444</v>
      </c>
      <c r="W48" s="245" t="s">
        <v>461</v>
      </c>
      <c r="Y48" s="244" t="s">
        <v>444</v>
      </c>
      <c r="Z48" s="245" t="s">
        <v>461</v>
      </c>
    </row>
    <row r="49" spans="2:29">
      <c r="B49" s="119"/>
      <c r="C49" s="119"/>
      <c r="D49" s="119"/>
      <c r="E49" s="119"/>
      <c r="F49" s="119"/>
      <c r="G49" s="119"/>
      <c r="H49" s="119"/>
      <c r="I49" s="119"/>
      <c r="J49" s="119"/>
      <c r="K49" s="119"/>
      <c r="L49" s="119"/>
      <c r="M49" s="119"/>
      <c r="N49" s="119"/>
      <c r="O49" s="119"/>
      <c r="P49" s="119"/>
      <c r="Q49" s="119"/>
      <c r="R49" s="119"/>
      <c r="S49" s="119"/>
      <c r="T49" s="119"/>
      <c r="V49" s="244" t="s">
        <v>445</v>
      </c>
      <c r="W49" s="244" t="s">
        <v>462</v>
      </c>
      <c r="Y49" s="244" t="s">
        <v>445</v>
      </c>
      <c r="Z49" s="244" t="s">
        <v>462</v>
      </c>
    </row>
    <row r="50" spans="2:29">
      <c r="B50" s="119"/>
      <c r="C50" s="119"/>
      <c r="D50" s="119"/>
      <c r="E50" s="119"/>
      <c r="F50" s="119"/>
      <c r="G50" s="119"/>
      <c r="H50" s="119"/>
      <c r="I50" s="119"/>
      <c r="J50" s="119"/>
      <c r="K50" s="119"/>
      <c r="L50" s="119"/>
      <c r="M50" s="119"/>
      <c r="N50" s="119"/>
      <c r="O50" s="119"/>
      <c r="P50" s="119"/>
      <c r="Q50" s="119"/>
      <c r="R50" s="119"/>
      <c r="S50" s="119"/>
      <c r="T50" s="119"/>
      <c r="U50" s="9"/>
      <c r="V50" s="246" t="s">
        <v>446</v>
      </c>
      <c r="W50" s="244" t="s">
        <v>463</v>
      </c>
      <c r="X50" s="9"/>
      <c r="Y50" s="246" t="s">
        <v>446</v>
      </c>
      <c r="Z50" s="244" t="s">
        <v>463</v>
      </c>
      <c r="AA50" s="9"/>
      <c r="AB50" s="9"/>
      <c r="AC50" s="9"/>
    </row>
    <row r="51" spans="2:29">
      <c r="B51" s="119"/>
      <c r="C51" s="119"/>
      <c r="D51" s="119"/>
      <c r="E51" s="119"/>
      <c r="F51" s="119"/>
      <c r="G51" s="119"/>
      <c r="H51" s="119"/>
      <c r="I51" s="119"/>
      <c r="J51" s="119"/>
      <c r="K51" s="119"/>
      <c r="L51" s="119"/>
      <c r="M51" s="119"/>
      <c r="N51" s="119"/>
      <c r="O51" s="119"/>
      <c r="P51" s="119"/>
      <c r="Q51" s="119"/>
      <c r="R51" s="119"/>
      <c r="S51" s="119"/>
      <c r="T51" s="119"/>
      <c r="U51" s="9"/>
      <c r="V51" s="247" t="s">
        <v>447</v>
      </c>
      <c r="W51" s="244" t="s">
        <v>464</v>
      </c>
      <c r="X51" s="9"/>
      <c r="Y51" s="247" t="s">
        <v>447</v>
      </c>
      <c r="Z51" s="244" t="s">
        <v>464</v>
      </c>
      <c r="AA51" s="9"/>
      <c r="AB51" s="9"/>
      <c r="AC51" s="9"/>
    </row>
    <row r="52" spans="2:29">
      <c r="B52" s="119"/>
      <c r="C52" s="119"/>
      <c r="D52" s="119"/>
      <c r="E52" s="119"/>
      <c r="F52" s="119"/>
      <c r="G52" s="119"/>
      <c r="H52" s="119"/>
      <c r="I52" s="119"/>
      <c r="J52" s="119"/>
      <c r="K52" s="119"/>
      <c r="L52" s="119"/>
      <c r="M52" s="119"/>
      <c r="N52" s="119"/>
      <c r="O52" s="119"/>
      <c r="P52" s="119"/>
      <c r="Q52" s="119"/>
      <c r="R52" s="119"/>
      <c r="S52" s="119"/>
      <c r="T52" s="119"/>
      <c r="U52" s="9"/>
      <c r="V52" s="295"/>
      <c r="W52" s="244" t="s">
        <v>465</v>
      </c>
      <c r="X52" s="9"/>
      <c r="Y52" s="284"/>
      <c r="Z52" s="244" t="s">
        <v>465</v>
      </c>
      <c r="AA52" s="9"/>
      <c r="AB52" s="9"/>
      <c r="AC52" s="9"/>
    </row>
    <row r="53" spans="2:29">
      <c r="B53" s="119"/>
      <c r="C53" s="119"/>
      <c r="D53" s="119"/>
      <c r="E53" s="119"/>
      <c r="F53" s="119"/>
      <c r="G53" s="119"/>
      <c r="H53" s="119"/>
      <c r="I53" s="119"/>
      <c r="J53" s="119"/>
      <c r="K53" s="119"/>
      <c r="L53" s="119"/>
      <c r="M53" s="119"/>
      <c r="N53" s="119"/>
      <c r="O53" s="119"/>
      <c r="P53" s="119"/>
      <c r="Q53" s="119"/>
      <c r="R53" s="119"/>
      <c r="S53" s="119"/>
      <c r="T53" s="119"/>
      <c r="U53" s="9"/>
      <c r="V53" s="204"/>
      <c r="W53" s="248" t="s">
        <v>466</v>
      </c>
      <c r="X53" s="9"/>
      <c r="Y53" s="257"/>
      <c r="Z53" s="258" t="s">
        <v>466</v>
      </c>
      <c r="AA53" s="9"/>
      <c r="AB53" s="9"/>
      <c r="AC53" s="9"/>
    </row>
    <row r="54" spans="2:29">
      <c r="B54" s="119"/>
      <c r="C54" s="119"/>
      <c r="D54" s="119"/>
      <c r="E54" s="119"/>
      <c r="F54" s="119"/>
      <c r="G54" s="119"/>
      <c r="H54" s="119"/>
      <c r="I54" s="119"/>
      <c r="J54" s="119"/>
      <c r="K54" s="119"/>
      <c r="L54" s="119"/>
      <c r="M54" s="119"/>
      <c r="N54" s="119"/>
      <c r="O54" s="119"/>
      <c r="P54" s="119"/>
      <c r="Q54" s="119"/>
      <c r="R54" s="119"/>
      <c r="S54" s="119"/>
      <c r="T54" s="119"/>
      <c r="U54" s="9"/>
      <c r="V54" s="256"/>
      <c r="W54" s="254"/>
      <c r="X54" s="9"/>
      <c r="Y54" s="256"/>
      <c r="Z54" s="254"/>
      <c r="AA54" s="9"/>
      <c r="AB54" s="9"/>
      <c r="AC54" s="9"/>
    </row>
    <row r="55" spans="2:29">
      <c r="B55" s="119"/>
      <c r="C55" s="119"/>
      <c r="D55" s="119"/>
      <c r="E55" s="119"/>
      <c r="F55" s="119"/>
      <c r="G55" s="119"/>
      <c r="H55" s="119"/>
      <c r="I55" s="119"/>
      <c r="J55" s="119"/>
      <c r="K55" s="119"/>
      <c r="L55" s="119"/>
      <c r="M55" s="119"/>
      <c r="N55" s="119"/>
      <c r="O55" s="119"/>
      <c r="P55" s="119"/>
      <c r="Q55" s="119"/>
      <c r="R55" s="119"/>
      <c r="S55" s="119"/>
      <c r="T55" s="119"/>
      <c r="U55" s="9"/>
      <c r="V55" s="242"/>
      <c r="W55" s="254"/>
      <c r="X55" s="9"/>
      <c r="Y55" s="242"/>
      <c r="Z55" s="254"/>
      <c r="AA55" s="9"/>
      <c r="AB55" s="9"/>
      <c r="AC55" s="9"/>
    </row>
    <row r="56" spans="2:29">
      <c r="U56" s="9"/>
      <c r="V56" s="9"/>
      <c r="W56" s="9"/>
      <c r="X56" s="9"/>
      <c r="Y56" s="9"/>
      <c r="Z56" s="9"/>
      <c r="AA56" s="9"/>
      <c r="AB56" s="9"/>
      <c r="AC56" s="9"/>
    </row>
    <row r="57" spans="2:29">
      <c r="U57" s="9"/>
      <c r="V57" s="9"/>
      <c r="W57" s="9"/>
      <c r="X57" s="9"/>
      <c r="Y57" s="9"/>
      <c r="Z57" s="9"/>
      <c r="AA57" s="9"/>
      <c r="AB57" s="9"/>
      <c r="AC57" s="9"/>
    </row>
  </sheetData>
  <mergeCells count="24">
    <mergeCell ref="B3:T3"/>
    <mergeCell ref="B4:T4"/>
    <mergeCell ref="B5:T5"/>
    <mergeCell ref="R7:T7"/>
    <mergeCell ref="B9:L9"/>
    <mergeCell ref="N9:T9"/>
    <mergeCell ref="C26:L28"/>
    <mergeCell ref="B11:L11"/>
    <mergeCell ref="C12:L12"/>
    <mergeCell ref="C13:L13"/>
    <mergeCell ref="C14:L14"/>
    <mergeCell ref="C15:L15"/>
    <mergeCell ref="B17:L17"/>
    <mergeCell ref="C18:L18"/>
    <mergeCell ref="C19:L19"/>
    <mergeCell ref="C20:L20"/>
    <mergeCell ref="D21:L22"/>
    <mergeCell ref="C23:L25"/>
    <mergeCell ref="C29:L30"/>
    <mergeCell ref="B32:T32"/>
    <mergeCell ref="V32:W32"/>
    <mergeCell ref="Y32:Z32"/>
    <mergeCell ref="V33:W33"/>
    <mergeCell ref="Y33:Z33"/>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B49073"/>
  </sheetPr>
  <dimension ref="A1:BH178"/>
  <sheetViews>
    <sheetView showGridLines="0" showRowColHeaders="0" zoomScale="70" zoomScaleNormal="70" workbookViewId="0"/>
  </sheetViews>
  <sheetFormatPr defaultRowHeight="14.25"/>
  <cols>
    <col min="1" max="1" width="15.796875" customWidth="1"/>
    <col min="2" max="8" width="26.796875" customWidth="1"/>
    <col min="9" max="64" width="12.796875" customWidth="1"/>
  </cols>
  <sheetData>
    <row r="1" spans="1:59" ht="15.75">
      <c r="A1" s="16" t="s">
        <v>344</v>
      </c>
      <c r="B1" s="121"/>
      <c r="C1" s="121"/>
      <c r="D1" s="121"/>
      <c r="E1" s="121"/>
      <c r="F1" s="121"/>
      <c r="G1" s="121"/>
    </row>
    <row r="2" spans="1:59" ht="15.75">
      <c r="A2" s="26" t="s">
        <v>34</v>
      </c>
      <c r="C2" s="27">
        <v>42977</v>
      </c>
      <c r="G2" s="342" t="s">
        <v>44</v>
      </c>
      <c r="H2" s="342"/>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row>
    <row r="3" spans="1:59" ht="23.65" thickBot="1">
      <c r="A3" s="354" t="s">
        <v>7</v>
      </c>
      <c r="B3" s="354"/>
      <c r="C3" s="354"/>
      <c r="D3" s="354"/>
      <c r="E3" s="354"/>
      <c r="F3" s="354"/>
      <c r="G3" s="354"/>
      <c r="H3" s="354"/>
      <c r="J3" s="321" t="s">
        <v>46</v>
      </c>
      <c r="K3" s="321"/>
      <c r="L3" s="11"/>
      <c r="M3" s="318" t="s">
        <v>46</v>
      </c>
      <c r="N3" s="31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row>
    <row r="4" spans="1:59">
      <c r="A4" s="119"/>
      <c r="B4" s="119"/>
      <c r="C4" s="119"/>
      <c r="D4" s="119"/>
      <c r="E4" s="119"/>
      <c r="F4" s="119"/>
      <c r="G4" s="119"/>
      <c r="H4" s="119"/>
      <c r="J4" s="319" t="s">
        <v>65</v>
      </c>
      <c r="K4" s="320"/>
      <c r="L4" s="11"/>
      <c r="M4" s="319" t="s">
        <v>66</v>
      </c>
      <c r="N4" s="320"/>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row>
    <row r="5" spans="1:59">
      <c r="A5" s="119"/>
      <c r="B5" s="352" t="s">
        <v>374</v>
      </c>
      <c r="C5" s="352"/>
      <c r="D5" s="352"/>
      <c r="E5" s="352"/>
      <c r="F5" s="352"/>
      <c r="G5" s="352"/>
      <c r="H5" s="352"/>
      <c r="J5" s="56" t="s">
        <v>61</v>
      </c>
      <c r="K5" s="56" t="s">
        <v>62</v>
      </c>
      <c r="L5" s="11"/>
      <c r="M5" s="56" t="s">
        <v>61</v>
      </c>
      <c r="N5" s="56" t="s">
        <v>62</v>
      </c>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row>
    <row r="6" spans="1:59">
      <c r="A6" s="119"/>
      <c r="B6" s="352" t="s">
        <v>326</v>
      </c>
      <c r="C6" s="352"/>
      <c r="D6" s="352"/>
      <c r="E6" s="352"/>
      <c r="F6" s="352"/>
      <c r="G6" s="352"/>
      <c r="H6" s="352"/>
      <c r="J6" s="244" t="s">
        <v>392</v>
      </c>
      <c r="K6" s="244" t="s">
        <v>448</v>
      </c>
      <c r="L6" s="11"/>
      <c r="M6" s="244" t="s">
        <v>392</v>
      </c>
      <c r="N6" s="244" t="s">
        <v>448</v>
      </c>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row>
    <row r="7" spans="1:59">
      <c r="A7" s="119"/>
      <c r="B7" s="352" t="s">
        <v>329</v>
      </c>
      <c r="C7" s="352"/>
      <c r="D7" s="352"/>
      <c r="E7" s="352"/>
      <c r="F7" s="352"/>
      <c r="G7" s="352"/>
      <c r="H7" s="352"/>
      <c r="J7" s="244" t="s">
        <v>393</v>
      </c>
      <c r="K7" s="244" t="s">
        <v>449</v>
      </c>
      <c r="L7" s="11"/>
      <c r="M7" s="244" t="s">
        <v>393</v>
      </c>
      <c r="N7" s="244" t="s">
        <v>449</v>
      </c>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row>
    <row r="8" spans="1:59">
      <c r="A8" s="119"/>
      <c r="B8" s="353" t="s">
        <v>325</v>
      </c>
      <c r="C8" s="353"/>
      <c r="D8" s="353"/>
      <c r="E8" s="353"/>
      <c r="F8" s="353"/>
      <c r="G8" s="353"/>
      <c r="H8" s="353"/>
      <c r="J8" s="244" t="s">
        <v>394</v>
      </c>
      <c r="K8" s="244" t="s">
        <v>450</v>
      </c>
      <c r="L8" s="11"/>
      <c r="M8" s="244" t="s">
        <v>394</v>
      </c>
      <c r="N8" s="244" t="s">
        <v>450</v>
      </c>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row>
    <row r="9" spans="1:59">
      <c r="A9" s="119"/>
      <c r="B9" s="353" t="s">
        <v>551</v>
      </c>
      <c r="C9" s="353"/>
      <c r="D9" s="353"/>
      <c r="E9" s="353"/>
      <c r="F9" s="353"/>
      <c r="G9" s="353"/>
      <c r="H9" s="353"/>
      <c r="J9" s="244" t="s">
        <v>434</v>
      </c>
      <c r="K9" s="244" t="s">
        <v>451</v>
      </c>
      <c r="L9" s="11"/>
      <c r="M9" s="244" t="s">
        <v>434</v>
      </c>
      <c r="N9" s="244" t="s">
        <v>451</v>
      </c>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row>
    <row r="10" spans="1:59">
      <c r="A10" s="119"/>
      <c r="B10" s="123" t="s">
        <v>552</v>
      </c>
      <c r="C10" s="123"/>
      <c r="D10" s="123"/>
      <c r="E10" s="123"/>
      <c r="F10" s="123"/>
      <c r="G10" s="123"/>
      <c r="H10" s="123"/>
      <c r="J10" s="244" t="s">
        <v>435</v>
      </c>
      <c r="K10" s="244" t="s">
        <v>452</v>
      </c>
      <c r="M10" s="244" t="s">
        <v>435</v>
      </c>
      <c r="N10" s="244" t="s">
        <v>452</v>
      </c>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row>
    <row r="11" spans="1:59">
      <c r="A11" s="119"/>
      <c r="B11" s="119"/>
      <c r="C11" s="119"/>
      <c r="D11" s="119"/>
      <c r="E11" s="119"/>
      <c r="F11" s="119"/>
      <c r="G11" s="119"/>
      <c r="H11" s="119"/>
      <c r="J11" s="244" t="s">
        <v>436</v>
      </c>
      <c r="K11" s="244" t="s">
        <v>453</v>
      </c>
      <c r="M11" s="244" t="s">
        <v>436</v>
      </c>
      <c r="N11" s="244" t="s">
        <v>453</v>
      </c>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row>
    <row r="12" spans="1:59" ht="15.75">
      <c r="A12" s="26"/>
      <c r="C12" s="27"/>
      <c r="J12" s="244" t="s">
        <v>437</v>
      </c>
      <c r="K12" s="245" t="s">
        <v>454</v>
      </c>
      <c r="M12" s="244" t="s">
        <v>437</v>
      </c>
      <c r="N12" s="245" t="s">
        <v>454</v>
      </c>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row>
    <row r="13" spans="1:59">
      <c r="A13" s="133" t="s">
        <v>2</v>
      </c>
      <c r="B13" s="133" t="s">
        <v>203</v>
      </c>
      <c r="C13" s="133" t="s">
        <v>153</v>
      </c>
      <c r="D13" s="133" t="s">
        <v>158</v>
      </c>
      <c r="E13" s="133" t="s">
        <v>162</v>
      </c>
      <c r="F13" s="133" t="s">
        <v>178</v>
      </c>
      <c r="G13" s="133" t="s">
        <v>188</v>
      </c>
      <c r="H13" s="133" t="s">
        <v>209</v>
      </c>
      <c r="I13" s="152"/>
      <c r="J13" s="244" t="s">
        <v>438</v>
      </c>
      <c r="K13" s="244" t="s">
        <v>455</v>
      </c>
      <c r="M13" s="244" t="s">
        <v>438</v>
      </c>
      <c r="N13" s="244" t="s">
        <v>455</v>
      </c>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8"/>
      <c r="BG13" s="8"/>
    </row>
    <row r="14" spans="1:59">
      <c r="A14" s="2">
        <v>2017</v>
      </c>
      <c r="B14" t="s">
        <v>350</v>
      </c>
      <c r="C14" s="79">
        <f>COUNTIF(C$62:C$76,"=1")/COUNT(C$62:C$76)</f>
        <v>6.6666666666666666E-2</v>
      </c>
      <c r="D14" s="79">
        <f>COUNTIF(C$77:C$81,"=1")/COUNT(C$77:C$81)</f>
        <v>0</v>
      </c>
      <c r="E14" s="79">
        <f>COUNTIF(C$82:C$85,"=1")/COUNT(C$82:C$85)</f>
        <v>0</v>
      </c>
      <c r="F14" s="79">
        <f>COUNTIF(C$86:C$100,"=1")/COUNT(C$86:C$100)</f>
        <v>6.6666666666666666E-2</v>
      </c>
      <c r="G14" s="79">
        <f>COUNTIF(C$101:C$110,"=1")/COUNT(C$101:C$110)</f>
        <v>0</v>
      </c>
      <c r="H14" s="79">
        <f>COUNTIF(C$62:C$110,"=1")/COUNT(C$62:C$110)</f>
        <v>4.1666666666666664E-2</v>
      </c>
      <c r="I14" s="82"/>
      <c r="J14" s="245" t="s">
        <v>439</v>
      </c>
      <c r="K14" s="244" t="s">
        <v>456</v>
      </c>
      <c r="M14" s="244" t="s">
        <v>439</v>
      </c>
      <c r="N14" s="244" t="s">
        <v>456</v>
      </c>
      <c r="R14" s="82"/>
      <c r="S14" s="153"/>
      <c r="T14" s="153"/>
      <c r="U14" s="82"/>
      <c r="V14" s="82"/>
      <c r="W14" s="82"/>
      <c r="X14" s="82"/>
      <c r="Y14" s="82"/>
      <c r="Z14" s="82"/>
      <c r="AA14" s="82"/>
      <c r="AB14" s="82"/>
      <c r="AC14" s="153"/>
      <c r="AD14" s="82"/>
      <c r="AE14" s="153"/>
      <c r="AF14" s="82"/>
      <c r="AG14" s="153"/>
      <c r="AH14" s="82"/>
      <c r="AI14" s="82"/>
      <c r="AJ14" s="82"/>
      <c r="AK14" s="82"/>
      <c r="AL14" s="82"/>
      <c r="AM14" s="82"/>
      <c r="AN14" s="82"/>
      <c r="AO14" s="82"/>
      <c r="AP14" s="82"/>
      <c r="AQ14" s="82"/>
      <c r="AR14" s="82"/>
      <c r="AS14" s="82"/>
      <c r="AT14" s="82"/>
      <c r="AU14" s="82"/>
      <c r="AV14" s="82"/>
      <c r="AW14" s="82"/>
      <c r="AX14" s="82"/>
      <c r="AY14" s="82"/>
      <c r="AZ14" s="153"/>
      <c r="BA14" s="82"/>
      <c r="BB14" s="82"/>
      <c r="BC14" s="82"/>
      <c r="BD14" s="82"/>
      <c r="BE14" s="153"/>
      <c r="BF14" s="8"/>
      <c r="BG14" s="8"/>
    </row>
    <row r="15" spans="1:59">
      <c r="A15">
        <v>2017</v>
      </c>
      <c r="B15" t="s">
        <v>351</v>
      </c>
      <c r="C15" s="79">
        <f>COUNTIF(D$62:D$76,"=1")/COUNT(D$62:D$76)</f>
        <v>0.2</v>
      </c>
      <c r="D15" s="79">
        <f>COUNTIF(D$77:D$81,"=1")/COUNT(D$77:D$81)</f>
        <v>0</v>
      </c>
      <c r="E15" s="79">
        <f>COUNTIF(D$82:D$85,"=1")/COUNT(D$82:D$85)</f>
        <v>0.5</v>
      </c>
      <c r="F15" s="79">
        <f>COUNTIF(D$86:D$100,"=1")/COUNT(D$86:D$100)</f>
        <v>0.5714285714285714</v>
      </c>
      <c r="G15" s="79">
        <f>COUNTIF(D$101:D$110,"=1")/COUNT(D$101:D$110)</f>
        <v>0.33333333333333331</v>
      </c>
      <c r="H15" s="79">
        <f>COUNTIF(D$62:D$110,"=1")/COUNT(D$62:D$110)</f>
        <v>0.35555555555555557</v>
      </c>
      <c r="I15" s="82"/>
      <c r="J15" s="244" t="s">
        <v>440</v>
      </c>
      <c r="K15" s="244" t="s">
        <v>457</v>
      </c>
      <c r="M15" s="244" t="s">
        <v>440</v>
      </c>
      <c r="N15" s="244" t="s">
        <v>457</v>
      </c>
      <c r="R15" s="82"/>
      <c r="S15" s="153"/>
      <c r="T15" s="153"/>
      <c r="U15" s="82"/>
      <c r="V15" s="82"/>
      <c r="W15" s="82"/>
      <c r="X15" s="82"/>
      <c r="Y15" s="82"/>
      <c r="Z15" s="82"/>
      <c r="AA15" s="82"/>
      <c r="AB15" s="82"/>
      <c r="AC15" s="153"/>
      <c r="AD15" s="82"/>
      <c r="AE15" s="153"/>
      <c r="AF15" s="82"/>
      <c r="AG15" s="153"/>
      <c r="AH15" s="82"/>
      <c r="AI15" s="82"/>
      <c r="AJ15" s="82"/>
      <c r="AK15" s="82"/>
      <c r="AL15" s="82"/>
      <c r="AM15" s="82"/>
      <c r="AN15" s="82"/>
      <c r="AO15" s="82"/>
      <c r="AP15" s="82"/>
      <c r="AQ15" s="82"/>
      <c r="AR15" s="82"/>
      <c r="AS15" s="82"/>
      <c r="AT15" s="82"/>
      <c r="AU15" s="82"/>
      <c r="AV15" s="82"/>
      <c r="AW15" s="82"/>
      <c r="AX15" s="82"/>
      <c r="AY15" s="82"/>
      <c r="AZ15" s="153"/>
      <c r="BA15" s="82"/>
      <c r="BB15" s="82"/>
      <c r="BC15" s="82"/>
      <c r="BD15" s="82"/>
      <c r="BE15" s="153"/>
      <c r="BF15" s="8"/>
      <c r="BG15" s="8"/>
    </row>
    <row r="16" spans="1:59">
      <c r="A16" s="2">
        <v>2017</v>
      </c>
      <c r="B16" t="s">
        <v>83</v>
      </c>
      <c r="C16" s="79">
        <f>COUNTIF(E$62:E$76,"=1")/COUNT(E$62:E$76)</f>
        <v>0.53333333333333333</v>
      </c>
      <c r="D16" s="79">
        <f>COUNTIF(E$77:E$81,"=1")/COUNT(E$77:E$81)</f>
        <v>0</v>
      </c>
      <c r="E16" s="79">
        <f>COUNTIF(E$82:E$85,"=1")/COUNT(E$82:E$85)</f>
        <v>0.75</v>
      </c>
      <c r="F16" s="79">
        <f>COUNTIF(E$86:E$100,"=1")/COUNT(E$86:E$100)</f>
        <v>0.66666666666666663</v>
      </c>
      <c r="G16" s="79">
        <f>COUNTIF(E$101:E$110,"=1")/COUNT(E$101:E$110)</f>
        <v>0.22222222222222221</v>
      </c>
      <c r="H16" s="79">
        <f>COUNTIF(E$62:E$110,"=1")/COUNT(E$62:E$110)</f>
        <v>0.5</v>
      </c>
      <c r="I16" s="82"/>
      <c r="J16" s="244" t="s">
        <v>441</v>
      </c>
      <c r="K16" s="244" t="s">
        <v>458</v>
      </c>
      <c r="M16" s="244" t="s">
        <v>441</v>
      </c>
      <c r="N16" s="244" t="s">
        <v>458</v>
      </c>
      <c r="R16" s="82"/>
      <c r="S16" s="153"/>
      <c r="T16" s="153"/>
      <c r="U16" s="82"/>
      <c r="V16" s="82"/>
      <c r="W16" s="82"/>
      <c r="X16" s="82"/>
      <c r="Y16" s="82"/>
      <c r="Z16" s="82"/>
      <c r="AA16" s="82"/>
      <c r="AB16" s="82"/>
      <c r="AC16" s="153"/>
      <c r="AD16" s="82"/>
      <c r="AE16" s="153"/>
      <c r="AF16" s="82"/>
      <c r="AG16" s="153"/>
      <c r="AH16" s="82"/>
      <c r="AI16" s="82"/>
      <c r="AJ16" s="82"/>
      <c r="AK16" s="82"/>
      <c r="AL16" s="82"/>
      <c r="AM16" s="82"/>
      <c r="AN16" s="82"/>
      <c r="AO16" s="82"/>
      <c r="AP16" s="82"/>
      <c r="AQ16" s="82"/>
      <c r="AR16" s="82"/>
      <c r="AS16" s="82"/>
      <c r="AT16" s="82"/>
      <c r="AU16" s="82"/>
      <c r="AV16" s="82"/>
      <c r="AW16" s="82"/>
      <c r="AX16" s="82"/>
      <c r="AY16" s="82"/>
      <c r="AZ16" s="153"/>
      <c r="BA16" s="82"/>
      <c r="BB16" s="82"/>
      <c r="BC16" s="82"/>
      <c r="BD16" s="82"/>
      <c r="BE16" s="153"/>
      <c r="BF16" s="8"/>
      <c r="BG16" s="8"/>
    </row>
    <row r="17" spans="1:59">
      <c r="A17" s="2">
        <v>2017</v>
      </c>
      <c r="B17" t="s">
        <v>91</v>
      </c>
      <c r="C17" s="79">
        <f>COUNTIF(F$62:F$76,"=1")/COUNT(F$62:F$76)</f>
        <v>6.6666666666666666E-2</v>
      </c>
      <c r="D17" s="79">
        <f>COUNTIF(F$77:F$81,"=1")/COUNT(F$77:F$81)</f>
        <v>0</v>
      </c>
      <c r="E17" s="79">
        <f>COUNTIF(F$82:F$85,"=1")/COUNT(F$82:F$85)</f>
        <v>0</v>
      </c>
      <c r="F17" s="79">
        <f>COUNTIF(F$86:F$100,"=1")/COUNT(F$86:F$100)</f>
        <v>7.1428571428571425E-2</v>
      </c>
      <c r="G17" s="79">
        <f>COUNTIF(F$101:F$110,"=1")/COUNT(F$101:F$110)</f>
        <v>0.1111111111111111</v>
      </c>
      <c r="H17" s="79">
        <f>COUNTIF(F$62:F$110,"=1")/COUNT(F$62:F$110)</f>
        <v>6.6666666666666666E-2</v>
      </c>
      <c r="I17" s="82"/>
      <c r="J17" s="244" t="s">
        <v>442</v>
      </c>
      <c r="K17" s="244" t="s">
        <v>459</v>
      </c>
      <c r="M17" s="244" t="s">
        <v>442</v>
      </c>
      <c r="N17" s="244" t="s">
        <v>459</v>
      </c>
      <c r="R17" s="82"/>
      <c r="S17" s="82"/>
      <c r="T17" s="153"/>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153"/>
      <c r="BC17" s="82"/>
      <c r="BD17" s="82"/>
      <c r="BE17" s="153"/>
      <c r="BF17" s="8"/>
      <c r="BG17" s="8"/>
    </row>
    <row r="18" spans="1:59">
      <c r="A18" s="2">
        <v>2018</v>
      </c>
      <c r="B18" t="s">
        <v>350</v>
      </c>
      <c r="C18" s="79" t="e">
        <f>COUNTIF(G$62:G$76,"=1")/COUNT(G$62:G$76)</f>
        <v>#DIV/0!</v>
      </c>
      <c r="D18" s="79" t="e">
        <f>COUNTIF(G$77:G$81,"=1")/COUNT(G$77:G$81)</f>
        <v>#DIV/0!</v>
      </c>
      <c r="E18" s="79" t="e">
        <f>COUNTIF(G$82:G$85,"=1")/COUNT(G$82:G$85)</f>
        <v>#DIV/0!</v>
      </c>
      <c r="F18" s="79" t="e">
        <f>COUNTIF(G$86:G$100,"=1")/COUNT(G$86:G$100)</f>
        <v>#DIV/0!</v>
      </c>
      <c r="G18" s="79" t="e">
        <f>COUNTIF(G$101:G$110,"=1")/COUNT(G$101:G$110)</f>
        <v>#DIV/0!</v>
      </c>
      <c r="H18" s="79" t="e">
        <f>COUNTIF(G$62:G$110,"=1")/COUNT(G$62:G$110)</f>
        <v>#DIV/0!</v>
      </c>
      <c r="I18" s="82"/>
      <c r="J18" s="244" t="s">
        <v>443</v>
      </c>
      <c r="K18" s="244" t="s">
        <v>460</v>
      </c>
      <c r="M18" s="244" t="s">
        <v>443</v>
      </c>
      <c r="N18" s="244" t="s">
        <v>460</v>
      </c>
      <c r="R18" s="82"/>
      <c r="S18" s="82"/>
      <c r="T18" s="153"/>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153"/>
      <c r="BC18" s="82"/>
      <c r="BD18" s="82"/>
      <c r="BE18" s="153"/>
      <c r="BF18" s="8"/>
      <c r="BG18" s="8"/>
    </row>
    <row r="19" spans="1:59">
      <c r="A19" s="2">
        <v>2018</v>
      </c>
      <c r="B19" t="s">
        <v>351</v>
      </c>
      <c r="C19" s="79" t="e">
        <f>COUNTIF(H$62:H$76,"=1")/COUNT(H$62:H$76)</f>
        <v>#DIV/0!</v>
      </c>
      <c r="D19" s="79" t="e">
        <f>COUNTIF(H$77:H$81,"=1")/COUNT(H$77:H$81)</f>
        <v>#DIV/0!</v>
      </c>
      <c r="E19" s="79" t="e">
        <f>COUNTIF(H$82:H$85,"=1")/COUNT(H$82:H$85)</f>
        <v>#DIV/0!</v>
      </c>
      <c r="F19" s="79" t="e">
        <f>COUNTIF(H$86:H$100,"=1")/COUNT(H$86:H$100)</f>
        <v>#DIV/0!</v>
      </c>
      <c r="G19" s="79" t="e">
        <f>COUNTIF(H$101:H$110,"=1")/COUNT(H$101:H$110)</f>
        <v>#DIV/0!</v>
      </c>
      <c r="H19" s="79" t="e">
        <f>COUNTIF(H$62:H$110,"=1")/COUNT(H$62:H$110)</f>
        <v>#DIV/0!</v>
      </c>
      <c r="I19" s="82"/>
      <c r="J19" s="244" t="s">
        <v>444</v>
      </c>
      <c r="K19" s="245" t="s">
        <v>461</v>
      </c>
      <c r="M19" s="244" t="s">
        <v>444</v>
      </c>
      <c r="N19" s="245" t="s">
        <v>461</v>
      </c>
      <c r="R19" s="82"/>
      <c r="S19" s="82"/>
      <c r="T19" s="153"/>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153"/>
      <c r="BB19" s="153"/>
      <c r="BC19" s="82"/>
      <c r="BD19" s="82"/>
      <c r="BE19" s="153"/>
      <c r="BF19" s="8"/>
      <c r="BG19" s="8"/>
    </row>
    <row r="20" spans="1:59">
      <c r="A20" s="2">
        <v>2018</v>
      </c>
      <c r="B20" t="s">
        <v>83</v>
      </c>
      <c r="C20" s="79" t="e">
        <f>COUNTIF(I$62:I$76,"=1")/COUNT(I$62:I$76)</f>
        <v>#DIV/0!</v>
      </c>
      <c r="D20" s="79" t="e">
        <f>COUNTIF(I$77:I$81,"=1")/COUNT(I$77:I$81)</f>
        <v>#DIV/0!</v>
      </c>
      <c r="E20" s="79" t="e">
        <f>COUNTIF(I$82:I$85,"=1")/COUNT(I$82:I$85)</f>
        <v>#DIV/0!</v>
      </c>
      <c r="F20" s="79" t="e">
        <f>COUNTIF(I$86:I$100,"=1")/COUNT(I$86:I$100)</f>
        <v>#DIV/0!</v>
      </c>
      <c r="G20" s="79" t="e">
        <f>COUNTIF(I$101:I$110,"=1")/COUNT(I$101:I$110)</f>
        <v>#DIV/0!</v>
      </c>
      <c r="H20" s="79" t="e">
        <f>COUNTIF(I$62:I$110,"=1")/COUNT(I$62:I$110)</f>
        <v>#DIV/0!</v>
      </c>
      <c r="I20" s="8"/>
      <c r="J20" s="244" t="s">
        <v>445</v>
      </c>
      <c r="K20" s="244" t="s">
        <v>462</v>
      </c>
      <c r="L20" s="9"/>
      <c r="M20" s="244" t="s">
        <v>445</v>
      </c>
      <c r="N20" s="244" t="s">
        <v>462</v>
      </c>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row>
    <row r="21" spans="1:59">
      <c r="A21" s="2">
        <v>2018</v>
      </c>
      <c r="B21" t="s">
        <v>91</v>
      </c>
      <c r="C21" s="79" t="e">
        <f>COUNTIF(J$62:J$76,"=1")/COUNT(J$62:J$76)</f>
        <v>#DIV/0!</v>
      </c>
      <c r="D21" s="79" t="e">
        <f>COUNTIF(J$77:J$81,"=1")/COUNT(J$77:J$81)</f>
        <v>#DIV/0!</v>
      </c>
      <c r="E21" s="79" t="e">
        <f>COUNTIF(J$82:J$85,"=1")/COUNT(J$82:J$85)</f>
        <v>#DIV/0!</v>
      </c>
      <c r="F21" s="79" t="e">
        <f>COUNTIF(J$86:J$100,"=1")/COUNT(J$86:J$100)</f>
        <v>#DIV/0!</v>
      </c>
      <c r="G21" s="79" t="e">
        <f>COUNTIF(J$101:J$110,"=1")/COUNT(J$101:J$110)</f>
        <v>#DIV/0!</v>
      </c>
      <c r="H21" s="79" t="e">
        <f>COUNTIF(J$62:J$110,"=1")/COUNT(J$62:J$110)</f>
        <v>#DIV/0!</v>
      </c>
      <c r="I21" s="8"/>
      <c r="J21" s="246" t="s">
        <v>446</v>
      </c>
      <c r="K21" s="244" t="s">
        <v>463</v>
      </c>
      <c r="L21" s="9"/>
      <c r="M21" s="246" t="s">
        <v>446</v>
      </c>
      <c r="N21" s="244" t="s">
        <v>463</v>
      </c>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row>
    <row r="22" spans="1:59">
      <c r="A22" s="2">
        <v>2019</v>
      </c>
      <c r="B22" t="s">
        <v>350</v>
      </c>
      <c r="C22" s="79" t="e">
        <f>COUNTIF(K$62:K$76,"=1")/COUNT(K$62:K$76)</f>
        <v>#DIV/0!</v>
      </c>
      <c r="D22" s="79" t="e">
        <f>COUNTIF(K$77:K$81,"=1")/COUNT(K$77:K$81)</f>
        <v>#DIV/0!</v>
      </c>
      <c r="E22" s="79" t="e">
        <f>COUNTIF(K$82:K$85,"=1")/COUNT(K$82:K$85)</f>
        <v>#DIV/0!</v>
      </c>
      <c r="F22" s="79" t="e">
        <f>COUNTIF(K$86:K$100,"=1")/COUNT(K$86:K$100)</f>
        <v>#DIV/0!</v>
      </c>
      <c r="G22" s="79" t="e">
        <f>COUNTIF(K$101:K$110,"=1")/COUNT(K$101:K$110)</f>
        <v>#DIV/0!</v>
      </c>
      <c r="H22" s="79" t="e">
        <f>COUNTIF(K$62:K$110,"=1")/COUNT(K$62:K$110)</f>
        <v>#DIV/0!</v>
      </c>
      <c r="I22" s="8"/>
      <c r="J22" s="247" t="s">
        <v>447</v>
      </c>
      <c r="K22" s="244" t="s">
        <v>464</v>
      </c>
      <c r="L22" s="9"/>
      <c r="M22" s="247" t="s">
        <v>447</v>
      </c>
      <c r="N22" s="244" t="s">
        <v>464</v>
      </c>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row>
    <row r="23" spans="1:59">
      <c r="A23" s="2">
        <v>2019</v>
      </c>
      <c r="B23" t="s">
        <v>351</v>
      </c>
      <c r="C23" s="79" t="e">
        <f>COUNTIF(L$62:L$76,"=1")/COUNT(L$62:L$76)</f>
        <v>#DIV/0!</v>
      </c>
      <c r="D23" s="79" t="e">
        <f>COUNTIF(L$77:L$81,"=1")/COUNT(L$77:L$81)</f>
        <v>#DIV/0!</v>
      </c>
      <c r="E23" s="79" t="e">
        <f>COUNTIF(L$82:L$85,"=1")/COUNT(L$82:L$85)</f>
        <v>#DIV/0!</v>
      </c>
      <c r="F23" s="79" t="e">
        <f>COUNTIF(L$86:L$100,"=1")/COUNT(L$86:L$100)</f>
        <v>#DIV/0!</v>
      </c>
      <c r="G23" s="79" t="e">
        <f>COUNTIF(L$101:L$110,"=1")/COUNT(L$101:L$110)</f>
        <v>#DIV/0!</v>
      </c>
      <c r="H23" s="79" t="e">
        <f>COUNTIF(L$62:L$110,"=1")/COUNT(L$62:L$110)</f>
        <v>#DIV/0!</v>
      </c>
      <c r="J23" s="295"/>
      <c r="K23" s="244" t="s">
        <v>465</v>
      </c>
      <c r="L23" s="9"/>
      <c r="M23" s="284"/>
      <c r="N23" s="244" t="s">
        <v>465</v>
      </c>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row>
    <row r="24" spans="1:59">
      <c r="A24" s="2">
        <v>2019</v>
      </c>
      <c r="B24" t="s">
        <v>83</v>
      </c>
      <c r="C24" s="79" t="e">
        <f>COUNTIF(M$62:M$76,"=1")/COUNT(M$62:M$76)</f>
        <v>#DIV/0!</v>
      </c>
      <c r="D24" s="79" t="e">
        <f>COUNTIF(M$77:M$81,"=1")/COUNT(M$77:M$81)</f>
        <v>#DIV/0!</v>
      </c>
      <c r="E24" s="79" t="e">
        <f>COUNTIF(M$82:M$85,"=1")/COUNT(M$82:M$85)</f>
        <v>#DIV/0!</v>
      </c>
      <c r="F24" s="79" t="e">
        <f>COUNTIF(M$86:M$100,"=1")/COUNT(M$86:M$100)</f>
        <v>#DIV/0!</v>
      </c>
      <c r="G24" s="79" t="e">
        <f>COUNTIF(M$101:M$110,"=1")/COUNT(M$101:M$110)</f>
        <v>#DIV/0!</v>
      </c>
      <c r="H24" s="79" t="e">
        <f>COUNTIF(M$62:M$110,"=1")/COUNT(M$62:M$110)</f>
        <v>#DIV/0!</v>
      </c>
      <c r="J24" s="204"/>
      <c r="K24" s="248" t="s">
        <v>466</v>
      </c>
      <c r="L24" s="9"/>
      <c r="M24" s="257"/>
      <c r="N24" s="258" t="s">
        <v>466</v>
      </c>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row>
    <row r="25" spans="1:59">
      <c r="A25" s="2">
        <v>2019</v>
      </c>
      <c r="B25" t="s">
        <v>91</v>
      </c>
      <c r="C25" s="79" t="e">
        <f>COUNTIF(N$62:N$76,"=1")/COUNT(N$62:N$76)</f>
        <v>#DIV/0!</v>
      </c>
      <c r="D25" s="79" t="e">
        <f>COUNTIF(N$77:N$81,"=1")/COUNT(N$77:N$81)</f>
        <v>#DIV/0!</v>
      </c>
      <c r="E25" s="79" t="e">
        <f>COUNTIF(N$82:N$85,"=1")/COUNT(N$82:N$85)</f>
        <v>#DIV/0!</v>
      </c>
      <c r="F25" s="79" t="e">
        <f>COUNTIF(N$86:N$100,"=1")/COUNT(N$86:N$100)</f>
        <v>#DIV/0!</v>
      </c>
      <c r="G25" s="79" t="e">
        <f>COUNTIF(N$101:N$110,"=1")/COUNT(N$101:N$110)</f>
        <v>#DIV/0!</v>
      </c>
      <c r="H25" s="79" t="e">
        <f>COUNTIF(N$62:N$110,"=1")/COUNT(N$62:N$110)</f>
        <v>#DIV/0!</v>
      </c>
      <c r="J25" s="256"/>
      <c r="K25" s="254"/>
      <c r="L25" s="9"/>
      <c r="M25" s="256"/>
      <c r="N25" s="254"/>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row>
    <row r="26" spans="1:59">
      <c r="A26">
        <v>2020</v>
      </c>
      <c r="B26" t="s">
        <v>350</v>
      </c>
      <c r="C26" s="79" t="e">
        <f>COUNTIF(O$62:O$76,"=1")/COUNT(O$62:O$76)</f>
        <v>#DIV/0!</v>
      </c>
      <c r="D26" s="79" t="e">
        <f>COUNTIF(O$77:O$81,"=1")/COUNT(O$77:O$81)</f>
        <v>#DIV/0!</v>
      </c>
      <c r="E26" s="79" t="e">
        <f>COUNTIF(O$82:O$85,"=1")/COUNT(O$82:O$85)</f>
        <v>#DIV/0!</v>
      </c>
      <c r="F26" s="79" t="e">
        <f>COUNTIF(O$86:O$100,"=1")/COUNT(O$86:O$100)</f>
        <v>#DIV/0!</v>
      </c>
      <c r="G26" s="79" t="e">
        <f>COUNTIF(O$101:O$110,"=1")/COUNT(O$101:O$110)</f>
        <v>#DIV/0!</v>
      </c>
      <c r="H26" s="79" t="e">
        <f>COUNTIF(O$62:O$110,"=1")/COUNT(O$62:O$110)</f>
        <v>#DIV/0!</v>
      </c>
      <c r="J26" s="242"/>
      <c r="K26" s="254"/>
      <c r="L26" s="9"/>
      <c r="M26" s="242"/>
      <c r="N26" s="254"/>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row>
    <row r="27" spans="1:59">
      <c r="A27">
        <v>2020</v>
      </c>
      <c r="B27" t="s">
        <v>351</v>
      </c>
      <c r="C27" s="79" t="e">
        <f>COUNTIF(P$62:P$76,"=1")/COUNT(P$62:P$76)</f>
        <v>#DIV/0!</v>
      </c>
      <c r="D27" s="79" t="e">
        <f>COUNTIF(P$77:P$81,"=1")/COUNT(P$77:P$81)</f>
        <v>#DIV/0!</v>
      </c>
      <c r="E27" s="79" t="e">
        <f>COUNTIF(P$82:P$85,"=1")/COUNT(P$82:P$85)</f>
        <v>#DIV/0!</v>
      </c>
      <c r="F27" s="79" t="e">
        <f>COUNTIF(P$86:P$100,"=1")/COUNT(P$86:P$100)</f>
        <v>#DIV/0!</v>
      </c>
      <c r="G27" s="79" t="e">
        <f>COUNTIF(P$101:P$110,"=1")/COUNT(P$101:P$110)</f>
        <v>#DIV/0!</v>
      </c>
      <c r="H27" s="79" t="e">
        <f>COUNTIF(P$62:P$110,"=1")/COUNT(P$62:P$110)</f>
        <v>#DIV/0!</v>
      </c>
      <c r="J27" s="9"/>
      <c r="K27" s="9"/>
      <c r="L27" s="9"/>
      <c r="M27" s="9"/>
      <c r="N27" s="9"/>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row>
    <row r="28" spans="1:59">
      <c r="A28">
        <v>2020</v>
      </c>
      <c r="B28" t="s">
        <v>83</v>
      </c>
      <c r="C28" s="79" t="e">
        <f>COUNTIF(Q$62:Q$76,"=1")/COUNT(Q$62:Q$76)</f>
        <v>#DIV/0!</v>
      </c>
      <c r="D28" s="79" t="e">
        <f>COUNTIF(Q$77:Q$81,"=1")/COUNT(Q$77:Q$81)</f>
        <v>#DIV/0!</v>
      </c>
      <c r="E28" s="79" t="e">
        <f>COUNTIF(Q$82:Q$85,"=1")/COUNT(Q$82:Q$85)</f>
        <v>#DIV/0!</v>
      </c>
      <c r="F28" s="79" t="e">
        <f>COUNTIF(Q$86:Q$100,"=1")/COUNT(Q$86:Q$100)</f>
        <v>#DIV/0!</v>
      </c>
      <c r="G28" s="79" t="e">
        <f>COUNTIF(Q$101:Q$110,"=1")/COUNT(Q$101:Q$110)</f>
        <v>#DIV/0!</v>
      </c>
      <c r="H28" s="79" t="e">
        <f>COUNTIF(Q$62:Q$110,"=1")/COUNT(Q$62:Q$110)</f>
        <v>#DIV/0!</v>
      </c>
      <c r="J28" s="9"/>
      <c r="K28" s="9"/>
      <c r="L28" s="9"/>
      <c r="M28" s="9"/>
      <c r="N28" s="9"/>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row>
    <row r="29" spans="1:59">
      <c r="A29">
        <v>2020</v>
      </c>
      <c r="B29" t="s">
        <v>91</v>
      </c>
      <c r="C29" s="79" t="e">
        <f>COUNTIF(R$62:R$76,"=1")/COUNT(R$62:R$76)</f>
        <v>#DIV/0!</v>
      </c>
      <c r="D29" s="79" t="e">
        <f>COUNTIF(R$77:R$81,"=1")/COUNT(R$77:R$81)</f>
        <v>#DIV/0!</v>
      </c>
      <c r="E29" s="79" t="e">
        <f>COUNTIF(R$82:R$85,"=1")/COUNT(R$82:R$85)</f>
        <v>#DIV/0!</v>
      </c>
      <c r="F29" s="79" t="e">
        <f>COUNTIF(R$86:R$100,"=1")/COUNT(R$86:R$100)</f>
        <v>#DIV/0!</v>
      </c>
      <c r="G29" s="79" t="e">
        <f>COUNTIF(R$101:R$110,"=1")/COUNT(R$101:R$110)</f>
        <v>#DIV/0!</v>
      </c>
      <c r="H29" s="79" t="e">
        <f>COUNTIF(R$62:R$110,"=1")/COUNT(R$62:R$110)</f>
        <v>#DIV/0!</v>
      </c>
    </row>
    <row r="30" spans="1:59">
      <c r="A30">
        <v>2021</v>
      </c>
      <c r="B30" t="s">
        <v>350</v>
      </c>
      <c r="C30" s="79" t="e">
        <f>COUNTIF(S$62:S$76,"=1")/COUNT(S$62:S$76)</f>
        <v>#DIV/0!</v>
      </c>
      <c r="D30" s="79" t="e">
        <f>COUNTIF(S$77:S$81,"=1")/COUNT(S$77:S$81)</f>
        <v>#DIV/0!</v>
      </c>
      <c r="E30" s="79" t="e">
        <f>COUNTIF(S$82:S$85,"=1")/COUNT(S$82:S$85)</f>
        <v>#DIV/0!</v>
      </c>
      <c r="F30" s="79" t="e">
        <f>COUNTIF(S$86:S$100,"=1")/COUNT(S$86:S$100)</f>
        <v>#DIV/0!</v>
      </c>
      <c r="G30" s="79" t="e">
        <f>COUNTIF(S$101:S$110,"=1")/COUNT(S$101:S$110)</f>
        <v>#DIV/0!</v>
      </c>
      <c r="H30" s="79" t="e">
        <f>COUNTIF(S$62:S$110,"=1")/COUNT(S$62:S$110)</f>
        <v>#DIV/0!</v>
      </c>
    </row>
    <row r="31" spans="1:59">
      <c r="A31">
        <v>2021</v>
      </c>
      <c r="B31" t="s">
        <v>351</v>
      </c>
      <c r="C31" s="79" t="e">
        <f>COUNTIF(T$62:T$76,"=1")/COUNT(T$62:T$76)</f>
        <v>#DIV/0!</v>
      </c>
      <c r="D31" s="79" t="e">
        <f>COUNTIF(T$77:T$81,"=1")/COUNT(T$77:T$81)</f>
        <v>#DIV/0!</v>
      </c>
      <c r="E31" s="79" t="e">
        <f>COUNTIF(T$82:T$85,"=1")/COUNT(T$82:T$85)</f>
        <v>#DIV/0!</v>
      </c>
      <c r="F31" s="79" t="e">
        <f>COUNTIF(T$86:T$100,"=1")/COUNT(T$86:T$100)</f>
        <v>#DIV/0!</v>
      </c>
      <c r="G31" s="79" t="e">
        <f>COUNTIF(T$101:T$110,"=1")/COUNT(T$101:T$110)</f>
        <v>#DIV/0!</v>
      </c>
      <c r="H31" s="79" t="e">
        <f>COUNTIF(T$62:T$110,"=1")/COUNT(T$62:T$110)</f>
        <v>#DIV/0!</v>
      </c>
    </row>
    <row r="32" spans="1:59">
      <c r="A32">
        <v>2021</v>
      </c>
      <c r="B32" t="s">
        <v>83</v>
      </c>
      <c r="C32" s="79" t="e">
        <f>COUNTIF(U$62:U$76,"=1")/COUNT(U$62:U$76)</f>
        <v>#DIV/0!</v>
      </c>
      <c r="D32" s="79" t="e">
        <f>COUNTIF(U$77:U$81,"=1")/COUNT(U$77:U$81)</f>
        <v>#DIV/0!</v>
      </c>
      <c r="E32" s="79" t="e">
        <f>COUNTIF(U$82:U$85,"=1")/COUNT(U$82:U$85)</f>
        <v>#DIV/0!</v>
      </c>
      <c r="F32" s="79" t="e">
        <f>COUNTIF(U$86:U$100,"=1")/COUNT(U$86:U$100)</f>
        <v>#DIV/0!</v>
      </c>
      <c r="G32" s="79" t="e">
        <f>COUNTIF(U$101:U$110,"=1")/COUNT(U$101:U$110)</f>
        <v>#DIV/0!</v>
      </c>
      <c r="H32" s="79" t="e">
        <f>COUNTIF(U$62:U$110,"=1")/COUNT(U$62:U$110)</f>
        <v>#DIV/0!</v>
      </c>
    </row>
    <row r="33" spans="1:60">
      <c r="A33">
        <v>2021</v>
      </c>
      <c r="B33" t="s">
        <v>91</v>
      </c>
      <c r="C33" s="79" t="e">
        <f>COUNTIF(V$62:V$76,"=1")/COUNT(V$62:V$76)</f>
        <v>#DIV/0!</v>
      </c>
      <c r="D33" s="79" t="e">
        <f>COUNTIF(V$77:V$81,"=1")/COUNT(V$77:V$81)</f>
        <v>#DIV/0!</v>
      </c>
      <c r="E33" s="79" t="e">
        <f>COUNTIF(V$82:V$85,"=1")/COUNT(V$82:V$85)</f>
        <v>#DIV/0!</v>
      </c>
      <c r="F33" s="79" t="e">
        <f>COUNTIF(V$86:V$100,"=1")/COUNT(V$86:V$100)</f>
        <v>#DIV/0!</v>
      </c>
      <c r="G33" s="79" t="e">
        <f>COUNTIF(V$101:V$110,"=1")/COUNT(V$101:V$110)</f>
        <v>#DIV/0!</v>
      </c>
      <c r="H33" s="79" t="e">
        <f>COUNTIF(V$62:V$110,"=1")/COUNT(V$62:V$110)</f>
        <v>#DIV/0!</v>
      </c>
    </row>
    <row r="34" spans="1:60">
      <c r="A34">
        <v>2022</v>
      </c>
      <c r="B34" t="s">
        <v>350</v>
      </c>
      <c r="C34" s="79" t="e">
        <f>COUNTIF(W$62:W$76,"=1")/COUNT(W$62:W$76)</f>
        <v>#DIV/0!</v>
      </c>
      <c r="D34" s="79" t="e">
        <f>COUNTIF(W$77:W$81,"=1")/COUNT(W$77:W$81)</f>
        <v>#DIV/0!</v>
      </c>
      <c r="E34" s="79" t="e">
        <f>COUNTIF(W$82:W$85,"=1")/COUNT(W$82:W$85)</f>
        <v>#DIV/0!</v>
      </c>
      <c r="F34" s="79" t="e">
        <f>COUNTIF(W$86:W$100,"=1")/COUNT(W$86:W$100)</f>
        <v>#DIV/0!</v>
      </c>
      <c r="G34" s="79" t="e">
        <f>COUNTIF(W$101:W$110,"=1")/COUNT(W$101:W$110)</f>
        <v>#DIV/0!</v>
      </c>
      <c r="H34" s="79" t="e">
        <f>COUNTIF(W$62:W$110,"=1")/COUNT(W$62:W$110)</f>
        <v>#DIV/0!</v>
      </c>
    </row>
    <row r="35" spans="1:60">
      <c r="A35">
        <v>2022</v>
      </c>
      <c r="B35" t="s">
        <v>351</v>
      </c>
      <c r="C35" s="79" t="e">
        <f>COUNTIF(X$62:X$76,"=1")/COUNT(X$62:X$76)</f>
        <v>#DIV/0!</v>
      </c>
      <c r="D35" s="79" t="e">
        <f>COUNTIF(X$77:X$81,"=1")/COUNT(X$77:X$81)</f>
        <v>#DIV/0!</v>
      </c>
      <c r="E35" s="79" t="e">
        <f>COUNTIF(X$82:X$85,"=1")/COUNT(X$82:X$85)</f>
        <v>#DIV/0!</v>
      </c>
      <c r="F35" s="79" t="e">
        <f>COUNTIF(X$86:X$100,"=1")/COUNT(X$86:X$100)</f>
        <v>#DIV/0!</v>
      </c>
      <c r="G35" s="79" t="e">
        <f>COUNTIF(X$101:X$110,"=1")/COUNT(X$101:X$110)</f>
        <v>#DIV/0!</v>
      </c>
      <c r="H35" s="79" t="e">
        <f>COUNTIF(X$62:X$110,"=1")/COUNT(X$62:X$110)</f>
        <v>#DIV/0!</v>
      </c>
      <c r="BG35" s="57"/>
      <c r="BH35" s="57"/>
    </row>
    <row r="36" spans="1:60">
      <c r="A36">
        <v>2022</v>
      </c>
      <c r="B36" t="s">
        <v>83</v>
      </c>
      <c r="C36" s="79" t="e">
        <f>COUNTIF(Y$62:Y$76,"=1")/COUNT(Y$62:Y$76)</f>
        <v>#DIV/0!</v>
      </c>
      <c r="D36" s="79" t="e">
        <f>COUNTIF(Y$77:Y$81,"=1")/COUNT(Y$77:Y$81)</f>
        <v>#DIV/0!</v>
      </c>
      <c r="E36" s="79" t="e">
        <f>COUNTIF(Y$82:Y$85,"=1")/COUNT(Y$82:Y$85)</f>
        <v>#DIV/0!</v>
      </c>
      <c r="F36" s="79" t="e">
        <f>COUNTIF(Y$86:Y$100,"=1")/COUNT(Y$86:Y$100)</f>
        <v>#DIV/0!</v>
      </c>
      <c r="G36" s="79" t="e">
        <f>COUNTIF(Y$101:Y$110,"=1")/COUNT(Y$101:Y$110)</f>
        <v>#DIV/0!</v>
      </c>
      <c r="H36" s="79" t="e">
        <f>COUNTIF(Y$62:Y$110,"=1")/COUNT(Y$62:Y$110)</f>
        <v>#DIV/0!</v>
      </c>
    </row>
    <row r="37" spans="1:60">
      <c r="A37">
        <v>2022</v>
      </c>
      <c r="B37" t="s">
        <v>91</v>
      </c>
      <c r="C37" s="79" t="e">
        <f>COUNTIF(Z$62:Z$76,"=1")/COUNT(Z$62:Z$76)</f>
        <v>#DIV/0!</v>
      </c>
      <c r="D37" s="79" t="e">
        <f>COUNTIF(Z$77:Z$81,"=1")/COUNT(Z$77:Z$81)</f>
        <v>#DIV/0!</v>
      </c>
      <c r="E37" s="79" t="e">
        <f>COUNTIF(Z$82:Z$85,"=1")/COUNT(Z$82:Z$85)</f>
        <v>#DIV/0!</v>
      </c>
      <c r="F37" s="79" t="e">
        <f>COUNTIF(Z$86:Z$100,"=1")/COUNT(Z$86:Z$100)</f>
        <v>#DIV/0!</v>
      </c>
      <c r="G37" s="79" t="e">
        <f>COUNTIF(Z$101:Z$110,"=1")/COUNT(Z$101:Z$110)</f>
        <v>#DIV/0!</v>
      </c>
      <c r="H37" s="79" t="e">
        <f>COUNTIF(Z$62:Z$110,"=1")/COUNT(Z$62:Z$110)</f>
        <v>#DIV/0!</v>
      </c>
    </row>
    <row r="38" spans="1:60">
      <c r="A38">
        <v>2023</v>
      </c>
      <c r="B38" t="s">
        <v>350</v>
      </c>
      <c r="C38" s="79" t="e">
        <f>COUNTIF(AA$62:AA$76,"=1")/COUNT(AA$62:AA$76)</f>
        <v>#DIV/0!</v>
      </c>
      <c r="D38" s="79" t="e">
        <f>COUNTIF(AA$77:AA$81,"=1")/COUNT(AA$77:AA$81)</f>
        <v>#DIV/0!</v>
      </c>
      <c r="E38" s="79" t="e">
        <f>COUNTIF(AA$82:AA$85,"=1")/COUNT(AA$82:AA$85)</f>
        <v>#DIV/0!</v>
      </c>
      <c r="F38" s="79" t="e">
        <f>COUNTIF(AA$86:AA$100,"=1")/COUNT(AA$86:AA$100)</f>
        <v>#DIV/0!</v>
      </c>
      <c r="G38" s="79" t="e">
        <f>COUNTIF(AA$101:AA$110,"=1")/COUNT(AA$101:AA$110)</f>
        <v>#DIV/0!</v>
      </c>
      <c r="H38" s="79" t="e">
        <f>COUNTIF(AA$62:AA$110,"=1")/COUNT(AA$62:AA$110)</f>
        <v>#DIV/0!</v>
      </c>
    </row>
    <row r="39" spans="1:60">
      <c r="A39">
        <v>2023</v>
      </c>
      <c r="B39" t="s">
        <v>351</v>
      </c>
      <c r="C39" s="79" t="e">
        <f>COUNTIF(AB$62:AB$76,"=1")/COUNT(AB$62:AB$76)</f>
        <v>#DIV/0!</v>
      </c>
      <c r="D39" s="79" t="e">
        <f>COUNTIF(AB$77:AB$81,"=1")/COUNT(AB$77:AB$81)</f>
        <v>#DIV/0!</v>
      </c>
      <c r="E39" s="79" t="e">
        <f>COUNTIF(AB$82:AB$85,"=1")/COUNT(AB$82:AB$85)</f>
        <v>#DIV/0!</v>
      </c>
      <c r="F39" s="79" t="e">
        <f>COUNTIF(AB$86:AB$100,"=1")/COUNT(AB$86:AB$100)</f>
        <v>#DIV/0!</v>
      </c>
      <c r="G39" s="79" t="e">
        <f>COUNTIF(AB$101:AB$110,"=1")/COUNT(AB$101:AB$110)</f>
        <v>#DIV/0!</v>
      </c>
      <c r="H39" s="79" t="e">
        <f>COUNTIF(AB$62:AB$110,"=1")/COUNT(AB$62:AB$110)</f>
        <v>#DIV/0!</v>
      </c>
    </row>
    <row r="40" spans="1:60">
      <c r="A40">
        <v>2023</v>
      </c>
      <c r="B40" t="s">
        <v>83</v>
      </c>
      <c r="C40" s="79" t="e">
        <f>COUNTIF(AC$62:AC$76,"=1")/COUNT(AC$62:AC$76)</f>
        <v>#DIV/0!</v>
      </c>
      <c r="D40" s="79" t="e">
        <f>COUNTIF(AC$77:AC$81,"=1")/COUNT(AC$77:AC$81)</f>
        <v>#DIV/0!</v>
      </c>
      <c r="E40" s="79" t="e">
        <f>COUNTIF(AC$82:AC$85,"=1")/COUNT(AC$82:AC$85)</f>
        <v>#DIV/0!</v>
      </c>
      <c r="F40" s="79" t="e">
        <f>COUNTIF(AC$86:AC$100,"=1")/COUNT(AC$86:AC$100)</f>
        <v>#DIV/0!</v>
      </c>
      <c r="G40" s="79" t="e">
        <f>COUNTIF(AC$101:AC$110,"=1")/COUNT(AC$101:AC$110)</f>
        <v>#DIV/0!</v>
      </c>
      <c r="H40" s="79" t="e">
        <f>COUNTIF(AC$62:AC$110,"=1")/COUNT(AC$62:AC$110)</f>
        <v>#DIV/0!</v>
      </c>
    </row>
    <row r="41" spans="1:60">
      <c r="A41">
        <v>2023</v>
      </c>
      <c r="B41" t="s">
        <v>91</v>
      </c>
      <c r="C41" s="79" t="e">
        <f>COUNTIF(AD$62:AD$76,"=1")/COUNT(AD$62:AD$76)</f>
        <v>#DIV/0!</v>
      </c>
      <c r="D41" s="79" t="e">
        <f>COUNTIF(AD$77:AD$81,"=1")/COUNT(AD$77:AD$81)</f>
        <v>#DIV/0!</v>
      </c>
      <c r="E41" s="79" t="e">
        <f>COUNTIF(AD$82:AD$85,"=1")/COUNT(AD$82:AD$85)</f>
        <v>#DIV/0!</v>
      </c>
      <c r="F41" s="79" t="e">
        <f>COUNTIF(AD$86:AD$100,"=1")/COUNT(AD$86:AD$100)</f>
        <v>#DIV/0!</v>
      </c>
      <c r="G41" s="79" t="e">
        <f>COUNTIF(AD$101:AD$110,"=1")/COUNT(AD$101:AD$110)</f>
        <v>#DIV/0!</v>
      </c>
      <c r="H41" s="79" t="e">
        <f>COUNTIF(AD$62:AD$110,"=1")/COUNT(AD$62:AD$110)</f>
        <v>#DIV/0!</v>
      </c>
    </row>
    <row r="42" spans="1:60">
      <c r="A42">
        <v>2024</v>
      </c>
      <c r="B42" t="s">
        <v>350</v>
      </c>
      <c r="C42" s="79" t="e">
        <f>COUNTIF(AE$62:AE$76,"=1")/COUNT(AE$62:AE$76)</f>
        <v>#DIV/0!</v>
      </c>
      <c r="D42" s="79" t="e">
        <f>COUNTIF(AE$77:AE$81,"=1")/COUNT(AE$77:AE$81)</f>
        <v>#DIV/0!</v>
      </c>
      <c r="E42" s="79" t="e">
        <f>COUNTIF(AE$82:AE$85,"=1")/COUNT(AE$82:AE$85)</f>
        <v>#DIV/0!</v>
      </c>
      <c r="F42" s="79" t="e">
        <f>COUNTIF(AE$86:AE$100,"=1")/COUNT(AE$86:AE$100)</f>
        <v>#DIV/0!</v>
      </c>
      <c r="G42" s="79" t="e">
        <f>COUNTIF(AE$101:AE$110,"=1")/COUNT(AE$101:AE$110)</f>
        <v>#DIV/0!</v>
      </c>
      <c r="H42" s="79" t="e">
        <f>COUNTIF(AE$62:AE$110,"=1")/COUNT(AE$62:AE$110)</f>
        <v>#DIV/0!</v>
      </c>
    </row>
    <row r="43" spans="1:60">
      <c r="A43">
        <v>2024</v>
      </c>
      <c r="B43" t="s">
        <v>351</v>
      </c>
      <c r="C43" s="79" t="e">
        <f>COUNTIF(AF$62:AF$76,"=1")/COUNT(AF$62:AF$76)</f>
        <v>#DIV/0!</v>
      </c>
      <c r="D43" s="79" t="e">
        <f>COUNTIF(AF$77:AF$81,"=1")/COUNT(AF$77:AF$81)</f>
        <v>#DIV/0!</v>
      </c>
      <c r="E43" s="79" t="e">
        <f>COUNTIF(AF$82:AF$85,"=1")/COUNT(AF$82:AF$85)</f>
        <v>#DIV/0!</v>
      </c>
      <c r="F43" s="79" t="e">
        <f>COUNTIF(AF$86:AF$100,"=1")/COUNT(AF$86:AF$100)</f>
        <v>#DIV/0!</v>
      </c>
      <c r="G43" s="79" t="e">
        <f>COUNTIF(AF$101:AF$110,"=1")/COUNT(AF$101:AF$110)</f>
        <v>#DIV/0!</v>
      </c>
      <c r="H43" s="79" t="e">
        <f>COUNTIF(AF$62:AF$110,"=1")/COUNT(AF$62:AF$110)</f>
        <v>#DIV/0!</v>
      </c>
    </row>
    <row r="44" spans="1:60">
      <c r="A44">
        <v>2024</v>
      </c>
      <c r="B44" t="s">
        <v>83</v>
      </c>
      <c r="C44" s="79" t="e">
        <f>COUNTIF(AG$62:AG$76,"=1")/COUNT(AG$62:AG$76)</f>
        <v>#DIV/0!</v>
      </c>
      <c r="D44" s="79" t="e">
        <f>COUNTIF(AG$77:AG$81,"=1")/COUNT(AG$77:AG$81)</f>
        <v>#DIV/0!</v>
      </c>
      <c r="E44" s="79" t="e">
        <f>COUNTIF(AG$82:AG$85,"=1")/COUNT(AG$82:AG$85)</f>
        <v>#DIV/0!</v>
      </c>
      <c r="F44" s="79" t="e">
        <f>COUNTIF(AG$86:AG$100,"=1")/COUNT(AG$86:AG$100)</f>
        <v>#DIV/0!</v>
      </c>
      <c r="G44" s="79" t="e">
        <f>COUNTIF(AG$101:AG$110,"=1")/COUNT(AG$101:AG$110)</f>
        <v>#DIV/0!</v>
      </c>
      <c r="H44" s="79" t="e">
        <f>COUNTIF(AG$62:AG$110,"=1")/COUNT(AG$62:AG$110)</f>
        <v>#DIV/0!</v>
      </c>
    </row>
    <row r="45" spans="1:60">
      <c r="A45">
        <v>2024</v>
      </c>
      <c r="B45" t="s">
        <v>91</v>
      </c>
      <c r="C45" s="79" t="e">
        <f>COUNTIF(AH$62:AH$76,"=1")/COUNT(AH$62:AH$76)</f>
        <v>#DIV/0!</v>
      </c>
      <c r="D45" s="79" t="e">
        <f>COUNTIF(AH$77:AH$81,"=1")/COUNT(AH$77:AH$81)</f>
        <v>#DIV/0!</v>
      </c>
      <c r="E45" s="79" t="e">
        <f>COUNTIF(AH$82:AH$85,"=1")/COUNT(AH$82:AH$85)</f>
        <v>#DIV/0!</v>
      </c>
      <c r="F45" s="79" t="e">
        <f>COUNTIF(AH$86:AH$100,"=1")/COUNT(AH$86:AH$100)</f>
        <v>#DIV/0!</v>
      </c>
      <c r="G45" s="79" t="e">
        <f>COUNTIF(AH$101:AH$110,"=1")/COUNT(AH$101:AH$110)</f>
        <v>#DIV/0!</v>
      </c>
      <c r="H45" s="79" t="e">
        <f>COUNTIF(AH$62:AH$110,"=1")/COUNT(AH$62:AH$110)</f>
        <v>#DIV/0!</v>
      </c>
    </row>
    <row r="46" spans="1:60">
      <c r="A46">
        <v>2025</v>
      </c>
      <c r="B46" t="s">
        <v>350</v>
      </c>
      <c r="C46" s="79" t="e">
        <f>COUNTIF(AI$62:AI$76,"=1")/COUNT(AI$62:AI$76)</f>
        <v>#DIV/0!</v>
      </c>
      <c r="D46" s="79" t="e">
        <f>COUNTIF(AI$77:AI$81,"=1")/COUNT(AI$77:AI$81)</f>
        <v>#DIV/0!</v>
      </c>
      <c r="E46" s="79" t="e">
        <f>COUNTIF(AI$82:AI$85,"=1")/COUNT(AI$82:AI$85)</f>
        <v>#DIV/0!</v>
      </c>
      <c r="F46" s="79" t="e">
        <f>COUNTIF(AI$86:AI$100,"=1")/COUNT(AI$86:AI$100)</f>
        <v>#DIV/0!</v>
      </c>
      <c r="G46" s="79" t="e">
        <f>COUNTIF(AI$101:AI$110,"=1")/COUNT(AI$101:AI$110)</f>
        <v>#DIV/0!</v>
      </c>
      <c r="H46" s="79" t="e">
        <f>COUNTIF(AI$62:AI$110,"=1")/COUNT(AI$62:AI$110)</f>
        <v>#DIV/0!</v>
      </c>
    </row>
    <row r="47" spans="1:60">
      <c r="A47">
        <v>2025</v>
      </c>
      <c r="B47" t="s">
        <v>351</v>
      </c>
      <c r="C47" s="79" t="e">
        <f>COUNTIF(AJ$62:AJ$76,"=1")/COUNT(AJ$62:AJ$76)</f>
        <v>#DIV/0!</v>
      </c>
      <c r="D47" s="79" t="e">
        <f>COUNTIF(AJ$77:AJ$81,"=1")/COUNT(AJ$77:AJ$81)</f>
        <v>#DIV/0!</v>
      </c>
      <c r="E47" s="79" t="e">
        <f>COUNTIF(AJ$82:AJ$85,"=1")/COUNT(AJ$82:AJ$85)</f>
        <v>#DIV/0!</v>
      </c>
      <c r="F47" s="79" t="e">
        <f>COUNTIF(AJ$86:AJ$100,"=1")/COUNT(AJ$86:AJ$100)</f>
        <v>#DIV/0!</v>
      </c>
      <c r="G47" s="79" t="e">
        <f>COUNTIF(AJ$101:AJ$110,"=1")/COUNT(AJ$101:AJ$110)</f>
        <v>#DIV/0!</v>
      </c>
      <c r="H47" s="79" t="e">
        <f>COUNTIF(AJ$62:AJ$110,"=1")/COUNT(AJ$62:AJ$110)</f>
        <v>#DIV/0!</v>
      </c>
    </row>
    <row r="48" spans="1:60">
      <c r="A48">
        <v>2025</v>
      </c>
      <c r="B48" t="s">
        <v>83</v>
      </c>
      <c r="C48" s="79" t="e">
        <f>COUNTIF(AK$62:AK$76,"=1")/COUNT(AK$62:AK$76)</f>
        <v>#DIV/0!</v>
      </c>
      <c r="D48" s="79" t="e">
        <f>COUNTIF(AK$77:AK$81,"=1")/COUNT(AK$77:AK$81)</f>
        <v>#DIV/0!</v>
      </c>
      <c r="E48" s="79" t="e">
        <f>COUNTIF(AK$82:AK$85,"=1")/COUNT(AK$82:AK$85)</f>
        <v>#DIV/0!</v>
      </c>
      <c r="F48" s="79" t="e">
        <f>COUNTIF(AK$86:AK$100,"=1")/COUNT(AK$86:AK$100)</f>
        <v>#DIV/0!</v>
      </c>
      <c r="G48" s="79" t="e">
        <f>COUNTIF(AK$101:AK$110,"=1")/COUNT(AK$101:AK$110)</f>
        <v>#DIV/0!</v>
      </c>
      <c r="H48" s="79" t="e">
        <f>COUNTIF(AK$62:AK$110,"=1")/COUNT(AK$62:AK$110)</f>
        <v>#DIV/0!</v>
      </c>
    </row>
    <row r="49" spans="1:38">
      <c r="A49">
        <v>2025</v>
      </c>
      <c r="B49" t="s">
        <v>91</v>
      </c>
      <c r="C49" s="79" t="e">
        <f>COUNTIF(AL$62:AL$76,"=1")/COUNT(AL$62:AL$76)</f>
        <v>#DIV/0!</v>
      </c>
      <c r="D49" s="79" t="e">
        <f>COUNTIF(AL$77:AL$81,"=1")/COUNT(AL$77:AL$81)</f>
        <v>#DIV/0!</v>
      </c>
      <c r="E49" s="79" t="e">
        <f>COUNTIF(AL$82:AL$85,"=1")/COUNT(AL$82:AL$85)</f>
        <v>#DIV/0!</v>
      </c>
      <c r="F49" s="79" t="e">
        <f>COUNTIF(AL$86:AL$100,"=1")/COUNT(AL$86:AL$100)</f>
        <v>#DIV/0!</v>
      </c>
      <c r="G49" s="79" t="e">
        <f>COUNTIF(AL$101:AL$110,"=1")/COUNT(AL$101:AL$110)</f>
        <v>#DIV/0!</v>
      </c>
      <c r="H49" s="79" t="e">
        <f>COUNTIF(AL$62:AL$110,"=1")/COUNT(AL$62:AL$110)</f>
        <v>#DIV/0!</v>
      </c>
    </row>
    <row r="50" spans="1:38">
      <c r="C50" s="79"/>
      <c r="D50" s="79"/>
      <c r="E50" s="79"/>
      <c r="F50" s="79"/>
      <c r="G50" s="79"/>
      <c r="H50" s="79"/>
    </row>
    <row r="51" spans="1:38">
      <c r="C51" s="79"/>
      <c r="D51" s="79"/>
      <c r="E51" s="79"/>
      <c r="F51" s="79"/>
      <c r="G51" s="79"/>
      <c r="H51" s="79"/>
    </row>
    <row r="52" spans="1:38">
      <c r="C52" s="79"/>
      <c r="D52" s="79"/>
      <c r="E52" s="79"/>
      <c r="F52" s="79"/>
      <c r="G52" s="79"/>
      <c r="H52" s="79"/>
    </row>
    <row r="53" spans="1:38">
      <c r="C53" s="79"/>
      <c r="D53" s="79"/>
      <c r="E53" s="79"/>
      <c r="F53" s="79"/>
      <c r="G53" s="79"/>
      <c r="H53" s="79"/>
    </row>
    <row r="54" spans="1:38">
      <c r="C54" s="79"/>
      <c r="D54" s="79"/>
      <c r="E54" s="79"/>
      <c r="F54" s="79"/>
      <c r="G54" s="79"/>
      <c r="H54" s="79"/>
    </row>
    <row r="55" spans="1:38">
      <c r="C55" s="79"/>
      <c r="D55" s="79"/>
      <c r="E55" s="79"/>
      <c r="F55" s="79"/>
      <c r="G55" s="79"/>
      <c r="H55" s="79"/>
    </row>
    <row r="56" spans="1:38">
      <c r="C56" s="79"/>
      <c r="D56" s="79"/>
      <c r="E56" s="79"/>
      <c r="F56" s="79"/>
      <c r="G56" s="79"/>
      <c r="H56" s="79"/>
    </row>
    <row r="57" spans="1:38">
      <c r="C57" s="79"/>
      <c r="D57" s="79"/>
      <c r="E57" s="79"/>
      <c r="F57" s="79"/>
      <c r="G57" s="79"/>
      <c r="H57" s="79"/>
    </row>
    <row r="58" spans="1:38">
      <c r="C58" s="79"/>
      <c r="D58" s="79"/>
      <c r="E58" s="79"/>
      <c r="F58" s="79"/>
      <c r="G58" s="79"/>
      <c r="H58" s="79"/>
    </row>
    <row r="59" spans="1:38">
      <c r="C59" s="79"/>
      <c r="D59" s="79"/>
      <c r="E59" s="79"/>
      <c r="F59" s="79"/>
      <c r="G59" s="79"/>
      <c r="H59" s="79"/>
    </row>
    <row r="60" spans="1:38" ht="18">
      <c r="A60" s="355" t="s">
        <v>195</v>
      </c>
      <c r="B60" s="355"/>
      <c r="C60" s="356">
        <v>2017</v>
      </c>
      <c r="D60" s="357"/>
      <c r="E60" s="357"/>
      <c r="F60" s="358"/>
      <c r="G60" s="356">
        <v>2018</v>
      </c>
      <c r="H60" s="357"/>
      <c r="I60" s="357"/>
      <c r="J60" s="358"/>
      <c r="K60" s="356">
        <v>2019</v>
      </c>
      <c r="L60" s="357"/>
      <c r="M60" s="357"/>
      <c r="N60" s="358"/>
      <c r="O60" s="356">
        <v>2020</v>
      </c>
      <c r="P60" s="357"/>
      <c r="Q60" s="357"/>
      <c r="R60" s="358"/>
      <c r="S60" s="356">
        <v>2021</v>
      </c>
      <c r="T60" s="357"/>
      <c r="U60" s="357"/>
      <c r="V60" s="358"/>
      <c r="W60" s="356">
        <v>2022</v>
      </c>
      <c r="X60" s="357"/>
      <c r="Y60" s="357"/>
      <c r="Z60" s="358"/>
      <c r="AA60" s="356">
        <v>2023</v>
      </c>
      <c r="AB60" s="357"/>
      <c r="AC60" s="357"/>
      <c r="AD60" s="358"/>
      <c r="AE60" s="356">
        <v>2024</v>
      </c>
      <c r="AF60" s="357"/>
      <c r="AG60" s="357"/>
      <c r="AH60" s="358"/>
      <c r="AI60" s="356">
        <v>2025</v>
      </c>
      <c r="AJ60" s="357"/>
      <c r="AK60" s="357"/>
      <c r="AL60" s="358"/>
    </row>
    <row r="61" spans="1:38" ht="18">
      <c r="A61" s="81" t="s">
        <v>199</v>
      </c>
      <c r="B61" s="80" t="s">
        <v>210</v>
      </c>
      <c r="C61" s="178" t="s">
        <v>352</v>
      </c>
      <c r="D61" s="139" t="s">
        <v>353</v>
      </c>
      <c r="E61" s="139" t="s">
        <v>354</v>
      </c>
      <c r="F61" s="179" t="s">
        <v>355</v>
      </c>
      <c r="G61" s="178" t="s">
        <v>352</v>
      </c>
      <c r="H61" s="139" t="s">
        <v>353</v>
      </c>
      <c r="I61" s="139" t="s">
        <v>354</v>
      </c>
      <c r="J61" s="179" t="s">
        <v>355</v>
      </c>
      <c r="K61" s="178" t="s">
        <v>352</v>
      </c>
      <c r="L61" s="139" t="s">
        <v>353</v>
      </c>
      <c r="M61" s="139" t="s">
        <v>354</v>
      </c>
      <c r="N61" s="179" t="s">
        <v>355</v>
      </c>
      <c r="O61" s="178" t="s">
        <v>352</v>
      </c>
      <c r="P61" s="139" t="s">
        <v>353</v>
      </c>
      <c r="Q61" s="139" t="s">
        <v>354</v>
      </c>
      <c r="R61" s="179" t="s">
        <v>355</v>
      </c>
      <c r="S61" s="178" t="s">
        <v>352</v>
      </c>
      <c r="T61" s="139" t="s">
        <v>353</v>
      </c>
      <c r="U61" s="139" t="s">
        <v>354</v>
      </c>
      <c r="V61" s="179" t="s">
        <v>355</v>
      </c>
      <c r="W61" s="178" t="s">
        <v>352</v>
      </c>
      <c r="X61" s="139" t="s">
        <v>353</v>
      </c>
      <c r="Y61" s="139" t="s">
        <v>354</v>
      </c>
      <c r="Z61" s="179" t="s">
        <v>355</v>
      </c>
      <c r="AA61" s="178" t="s">
        <v>352</v>
      </c>
      <c r="AB61" s="139" t="s">
        <v>353</v>
      </c>
      <c r="AC61" s="139" t="s">
        <v>354</v>
      </c>
      <c r="AD61" s="179" t="s">
        <v>355</v>
      </c>
      <c r="AE61" s="178" t="s">
        <v>352</v>
      </c>
      <c r="AF61" s="139" t="s">
        <v>353</v>
      </c>
      <c r="AG61" s="139" t="s">
        <v>354</v>
      </c>
      <c r="AH61" s="179" t="s">
        <v>355</v>
      </c>
      <c r="AI61" s="178" t="s">
        <v>352</v>
      </c>
      <c r="AJ61" s="139" t="s">
        <v>353</v>
      </c>
      <c r="AK61" s="139" t="s">
        <v>354</v>
      </c>
      <c r="AL61" s="179" t="s">
        <v>355</v>
      </c>
    </row>
    <row r="62" spans="1:38">
      <c r="A62" s="68" t="s">
        <v>189</v>
      </c>
      <c r="B62" t="s">
        <v>153</v>
      </c>
      <c r="C62" s="82">
        <v>0</v>
      </c>
      <c r="D62" s="82">
        <v>1</v>
      </c>
      <c r="E62" s="82">
        <v>1</v>
      </c>
      <c r="F62" s="82">
        <v>0</v>
      </c>
      <c r="G62" s="82"/>
      <c r="H62" s="82"/>
      <c r="I62" s="82"/>
      <c r="J62" s="82"/>
      <c r="K62" s="82"/>
      <c r="L62" s="82"/>
      <c r="M62" s="82"/>
      <c r="N62" s="82"/>
      <c r="O62" s="82"/>
      <c r="P62" s="82"/>
      <c r="Q62" s="82"/>
      <c r="R62" s="82"/>
      <c r="S62" s="82"/>
      <c r="T62" s="82"/>
      <c r="U62" s="8"/>
      <c r="V62" s="8"/>
      <c r="W62" s="8"/>
      <c r="X62" s="8"/>
      <c r="Y62" s="8"/>
      <c r="Z62" s="8"/>
      <c r="AA62" s="8"/>
      <c r="AB62" s="8"/>
      <c r="AC62" s="8"/>
    </row>
    <row r="63" spans="1:38">
      <c r="A63" s="69" t="s">
        <v>141</v>
      </c>
      <c r="B63" t="s">
        <v>153</v>
      </c>
      <c r="C63" s="82">
        <v>0</v>
      </c>
      <c r="D63" s="82">
        <v>0</v>
      </c>
      <c r="E63" s="82">
        <v>0</v>
      </c>
      <c r="F63" s="82">
        <v>0</v>
      </c>
      <c r="G63" s="82"/>
      <c r="H63" s="82"/>
      <c r="I63" s="82"/>
      <c r="J63" s="82"/>
      <c r="K63" s="82"/>
      <c r="L63" s="82"/>
      <c r="M63" s="82"/>
      <c r="N63" s="82"/>
      <c r="O63" s="82"/>
      <c r="P63" s="82"/>
      <c r="Q63" s="82"/>
      <c r="R63" s="82"/>
      <c r="S63" s="82"/>
      <c r="T63" s="82"/>
      <c r="U63" s="8"/>
      <c r="V63" s="8"/>
      <c r="W63" s="8"/>
      <c r="X63" s="8"/>
      <c r="Y63" s="8"/>
      <c r="Z63" s="8"/>
      <c r="AA63" s="8"/>
      <c r="AB63" s="8"/>
      <c r="AC63" s="8"/>
    </row>
    <row r="64" spans="1:38">
      <c r="A64" s="69" t="s">
        <v>143</v>
      </c>
      <c r="B64" t="s">
        <v>153</v>
      </c>
      <c r="C64" s="82">
        <v>0</v>
      </c>
      <c r="D64" s="82">
        <v>0</v>
      </c>
      <c r="E64" s="82">
        <v>0</v>
      </c>
      <c r="F64" s="82">
        <v>0</v>
      </c>
      <c r="G64" s="82"/>
      <c r="H64" s="82"/>
      <c r="I64" s="82"/>
      <c r="J64" s="82"/>
      <c r="K64" s="82"/>
      <c r="L64" s="82"/>
      <c r="M64" s="82"/>
      <c r="N64" s="82"/>
      <c r="O64" s="82"/>
      <c r="P64" s="82"/>
      <c r="Q64" s="82"/>
      <c r="R64" s="82"/>
      <c r="S64" s="82"/>
      <c r="T64" s="82"/>
      <c r="U64" s="8"/>
      <c r="V64" s="8"/>
      <c r="W64" s="8"/>
      <c r="X64" s="8"/>
      <c r="Y64" s="8"/>
      <c r="Z64" s="8"/>
      <c r="AA64" s="8"/>
      <c r="AB64" s="8"/>
      <c r="AC64" s="8"/>
    </row>
    <row r="65" spans="1:29">
      <c r="A65" s="69" t="s">
        <v>152</v>
      </c>
      <c r="B65" t="s">
        <v>153</v>
      </c>
      <c r="C65" s="82">
        <v>0</v>
      </c>
      <c r="D65" s="82">
        <v>0</v>
      </c>
      <c r="E65" s="82">
        <v>1</v>
      </c>
      <c r="F65" s="82">
        <v>0</v>
      </c>
      <c r="G65" s="82"/>
      <c r="H65" s="82"/>
      <c r="I65" s="82"/>
      <c r="J65" s="82"/>
      <c r="K65" s="82"/>
      <c r="L65" s="82"/>
      <c r="M65" s="82"/>
      <c r="N65" s="82"/>
      <c r="O65" s="82"/>
      <c r="P65" s="82"/>
      <c r="Q65" s="82"/>
      <c r="R65" s="82"/>
      <c r="S65" s="82"/>
      <c r="T65" s="82"/>
      <c r="U65" s="8"/>
      <c r="V65" s="8"/>
      <c r="W65" s="8"/>
      <c r="X65" s="8"/>
      <c r="Y65" s="8"/>
      <c r="Z65" s="8"/>
      <c r="AA65" s="8"/>
      <c r="AB65" s="8"/>
      <c r="AC65" s="8"/>
    </row>
    <row r="66" spans="1:29">
      <c r="A66" s="69" t="s">
        <v>146</v>
      </c>
      <c r="B66" t="s">
        <v>153</v>
      </c>
      <c r="C66" s="82">
        <v>0</v>
      </c>
      <c r="D66" s="82">
        <v>0</v>
      </c>
      <c r="E66" s="82">
        <v>1</v>
      </c>
      <c r="F66" s="82">
        <v>0</v>
      </c>
      <c r="G66" s="82"/>
      <c r="H66" s="82"/>
      <c r="I66" s="82"/>
      <c r="J66" s="82"/>
      <c r="K66" s="82"/>
      <c r="L66" s="82"/>
      <c r="M66" s="82"/>
      <c r="N66" s="82"/>
      <c r="O66" s="82"/>
      <c r="P66" s="82"/>
      <c r="Q66" s="82"/>
      <c r="R66" s="82"/>
      <c r="S66" s="82"/>
      <c r="T66" s="82"/>
      <c r="U66" s="8"/>
      <c r="V66" s="8"/>
      <c r="W66" s="8"/>
      <c r="X66" s="8"/>
      <c r="Y66" s="8"/>
      <c r="Z66" s="8"/>
      <c r="AA66" s="8"/>
      <c r="AB66" s="8"/>
      <c r="AC66" s="8"/>
    </row>
    <row r="67" spans="1:29">
      <c r="A67" s="69" t="s">
        <v>142</v>
      </c>
      <c r="B67" t="s">
        <v>153</v>
      </c>
      <c r="C67" s="82">
        <v>1</v>
      </c>
      <c r="D67" s="82">
        <v>1</v>
      </c>
      <c r="E67" s="82">
        <v>1</v>
      </c>
      <c r="F67" s="82">
        <v>1</v>
      </c>
      <c r="G67" s="82"/>
      <c r="H67" s="82"/>
      <c r="I67" s="82"/>
      <c r="J67" s="82"/>
      <c r="K67" s="82"/>
      <c r="L67" s="82"/>
      <c r="M67" s="82"/>
      <c r="N67" s="82"/>
      <c r="O67" s="82"/>
      <c r="P67" s="82"/>
      <c r="Q67" s="82"/>
      <c r="R67" s="82"/>
      <c r="S67" s="82"/>
      <c r="T67" s="82"/>
      <c r="U67" s="8"/>
      <c r="V67" s="8"/>
      <c r="W67" s="8"/>
      <c r="X67" s="8"/>
      <c r="Y67" s="8"/>
      <c r="Z67" s="8"/>
      <c r="AA67" s="8"/>
      <c r="AB67" s="8"/>
      <c r="AC67" s="8"/>
    </row>
    <row r="68" spans="1:29">
      <c r="A68" s="69" t="s">
        <v>148</v>
      </c>
      <c r="B68" t="s">
        <v>153</v>
      </c>
      <c r="C68" s="82">
        <v>0</v>
      </c>
      <c r="D68" s="82">
        <v>0</v>
      </c>
      <c r="E68" s="82">
        <v>1</v>
      </c>
      <c r="F68" s="82">
        <v>0</v>
      </c>
      <c r="G68" s="82"/>
      <c r="H68" s="82"/>
      <c r="I68" s="82"/>
      <c r="J68" s="82"/>
      <c r="K68" s="82"/>
      <c r="L68" s="82"/>
      <c r="M68" s="82"/>
      <c r="N68" s="82"/>
      <c r="O68" s="82"/>
      <c r="P68" s="82"/>
      <c r="Q68" s="82"/>
      <c r="R68" s="82"/>
      <c r="S68" s="82"/>
      <c r="T68" s="82"/>
      <c r="U68" s="8"/>
      <c r="V68" s="8"/>
      <c r="W68" s="8"/>
      <c r="X68" s="8"/>
      <c r="Y68" s="8"/>
      <c r="Z68" s="8"/>
      <c r="AA68" s="8"/>
      <c r="AB68" s="8"/>
      <c r="AC68" s="8"/>
    </row>
    <row r="69" spans="1:29">
      <c r="A69" s="69" t="s">
        <v>149</v>
      </c>
      <c r="B69" t="s">
        <v>153</v>
      </c>
      <c r="C69" s="82">
        <v>0</v>
      </c>
      <c r="D69" s="82">
        <v>1</v>
      </c>
      <c r="E69" s="82">
        <v>1</v>
      </c>
      <c r="F69" s="82">
        <v>0</v>
      </c>
      <c r="G69" s="82"/>
      <c r="H69" s="82"/>
      <c r="I69" s="82"/>
      <c r="J69" s="82"/>
      <c r="K69" s="82"/>
      <c r="L69" s="82"/>
      <c r="M69" s="82"/>
      <c r="N69" s="82"/>
      <c r="O69" s="82"/>
      <c r="P69" s="82"/>
      <c r="Q69" s="82"/>
      <c r="R69" s="82"/>
      <c r="S69" s="82"/>
      <c r="T69" s="82"/>
      <c r="U69" s="8"/>
      <c r="V69" s="8"/>
      <c r="W69" s="8"/>
      <c r="X69" s="8"/>
      <c r="Y69" s="8"/>
      <c r="Z69" s="8"/>
      <c r="AA69" s="8"/>
      <c r="AB69" s="8"/>
      <c r="AC69" s="8"/>
    </row>
    <row r="70" spans="1:29">
      <c r="A70" s="69" t="s">
        <v>147</v>
      </c>
      <c r="B70" t="s">
        <v>153</v>
      </c>
      <c r="C70" s="82">
        <v>0</v>
      </c>
      <c r="D70" s="82">
        <v>0</v>
      </c>
      <c r="E70" s="82">
        <v>0</v>
      </c>
      <c r="F70" s="82">
        <v>0</v>
      </c>
      <c r="G70" s="82"/>
      <c r="H70" s="82"/>
      <c r="I70" s="82"/>
      <c r="J70" s="82"/>
      <c r="K70" s="82"/>
      <c r="L70" s="82"/>
      <c r="M70" s="82"/>
      <c r="N70" s="82"/>
      <c r="O70" s="82"/>
      <c r="P70" s="82"/>
      <c r="Q70" s="82"/>
      <c r="R70" s="82"/>
      <c r="S70" s="82"/>
      <c r="T70" s="82"/>
      <c r="U70" s="8"/>
      <c r="V70" s="8"/>
      <c r="W70" s="8"/>
      <c r="X70" s="8"/>
      <c r="Y70" s="8"/>
      <c r="Z70" s="8"/>
      <c r="AA70" s="8"/>
      <c r="AB70" s="8"/>
      <c r="AC70" s="8"/>
    </row>
    <row r="71" spans="1:29">
      <c r="A71" s="68" t="s">
        <v>190</v>
      </c>
      <c r="B71" t="s">
        <v>153</v>
      </c>
      <c r="C71" s="82">
        <v>0</v>
      </c>
      <c r="D71" s="82">
        <v>0</v>
      </c>
      <c r="E71" s="82">
        <v>1</v>
      </c>
      <c r="F71" s="82">
        <v>0</v>
      </c>
      <c r="G71" s="82"/>
      <c r="H71" s="82"/>
      <c r="I71" s="82"/>
      <c r="J71" s="82"/>
      <c r="K71" s="82"/>
      <c r="L71" s="82"/>
      <c r="M71" s="82"/>
      <c r="N71" s="82"/>
      <c r="O71" s="82"/>
      <c r="P71" s="82"/>
      <c r="Q71" s="82"/>
      <c r="R71" s="82"/>
      <c r="S71" s="82"/>
      <c r="T71" s="82"/>
      <c r="U71" s="8"/>
      <c r="V71" s="8"/>
      <c r="W71" s="8"/>
      <c r="X71" s="8"/>
      <c r="Y71" s="8"/>
      <c r="Z71" s="8"/>
      <c r="AA71" s="8"/>
      <c r="AB71" s="8"/>
      <c r="AC71" s="8"/>
    </row>
    <row r="72" spans="1:29">
      <c r="A72" s="69" t="s">
        <v>145</v>
      </c>
      <c r="B72" t="s">
        <v>153</v>
      </c>
      <c r="C72" s="82">
        <v>0</v>
      </c>
      <c r="D72" s="82">
        <v>0</v>
      </c>
      <c r="E72" s="82">
        <v>0</v>
      </c>
      <c r="F72" s="82">
        <v>0</v>
      </c>
      <c r="G72" s="82"/>
      <c r="H72" s="82"/>
      <c r="I72" s="82"/>
      <c r="J72" s="82"/>
      <c r="K72" s="82"/>
      <c r="L72" s="82"/>
      <c r="M72" s="82"/>
      <c r="N72" s="82"/>
      <c r="O72" s="82"/>
      <c r="P72" s="82"/>
      <c r="Q72" s="82"/>
      <c r="R72" s="82"/>
      <c r="S72" s="82"/>
      <c r="T72" s="82"/>
      <c r="U72" s="8"/>
      <c r="V72" s="8"/>
      <c r="W72" s="8"/>
      <c r="X72" s="8"/>
      <c r="Y72" s="8"/>
      <c r="Z72" s="8"/>
      <c r="AA72" s="8"/>
      <c r="AB72" s="8"/>
      <c r="AC72" s="8"/>
    </row>
    <row r="73" spans="1:29">
      <c r="A73" s="68" t="s">
        <v>191</v>
      </c>
      <c r="B73" t="s">
        <v>153</v>
      </c>
      <c r="C73" s="82">
        <v>0</v>
      </c>
      <c r="D73" s="82">
        <v>0</v>
      </c>
      <c r="E73" s="82">
        <v>0</v>
      </c>
      <c r="F73" s="82">
        <v>0</v>
      </c>
      <c r="G73" s="82"/>
      <c r="H73" s="82"/>
      <c r="I73" s="82"/>
      <c r="J73" s="82"/>
      <c r="K73" s="82"/>
      <c r="L73" s="82"/>
      <c r="M73" s="82"/>
      <c r="N73" s="82"/>
      <c r="O73" s="82"/>
      <c r="P73" s="82"/>
      <c r="Q73" s="82"/>
      <c r="R73" s="82"/>
      <c r="S73" s="82"/>
      <c r="T73" s="82"/>
      <c r="U73" s="8"/>
      <c r="V73" s="8"/>
      <c r="W73" s="8"/>
      <c r="X73" s="8"/>
      <c r="Y73" s="8"/>
      <c r="Z73" s="8"/>
      <c r="AA73" s="8"/>
      <c r="AB73" s="8"/>
      <c r="AC73" s="8"/>
    </row>
    <row r="74" spans="1:29">
      <c r="A74" s="69" t="s">
        <v>150</v>
      </c>
      <c r="B74" t="s">
        <v>153</v>
      </c>
      <c r="C74" s="82">
        <v>0</v>
      </c>
      <c r="D74" s="82">
        <v>0</v>
      </c>
      <c r="E74" s="82">
        <v>0</v>
      </c>
      <c r="F74" s="82">
        <v>0</v>
      </c>
      <c r="G74" s="82"/>
      <c r="H74" s="82"/>
      <c r="I74" s="82"/>
      <c r="J74" s="82"/>
      <c r="K74" s="82"/>
      <c r="L74" s="82"/>
      <c r="M74" s="82"/>
      <c r="N74" s="82"/>
      <c r="O74" s="82"/>
      <c r="P74" s="82"/>
      <c r="Q74" s="82"/>
      <c r="R74" s="82"/>
      <c r="S74" s="82"/>
      <c r="T74" s="82"/>
      <c r="U74" s="8"/>
      <c r="V74" s="8"/>
      <c r="W74" s="8"/>
      <c r="X74" s="8"/>
      <c r="Y74" s="8"/>
      <c r="Z74" s="8"/>
      <c r="AA74" s="8"/>
      <c r="AB74" s="8"/>
      <c r="AC74" s="8"/>
    </row>
    <row r="75" spans="1:29">
      <c r="A75" s="69" t="s">
        <v>151</v>
      </c>
      <c r="B75" t="s">
        <v>153</v>
      </c>
      <c r="C75" s="82">
        <v>0</v>
      </c>
      <c r="D75" s="82">
        <v>0</v>
      </c>
      <c r="E75" s="82">
        <v>1</v>
      </c>
      <c r="F75" s="82">
        <v>0</v>
      </c>
      <c r="G75" s="82"/>
      <c r="H75" s="82"/>
      <c r="I75" s="82"/>
      <c r="J75" s="82"/>
      <c r="K75" s="82"/>
      <c r="L75" s="82"/>
      <c r="M75" s="82"/>
      <c r="N75" s="82"/>
      <c r="O75" s="82"/>
      <c r="P75" s="82"/>
      <c r="Q75" s="82"/>
      <c r="R75" s="82"/>
      <c r="S75" s="82"/>
      <c r="T75" s="82"/>
      <c r="U75" s="8"/>
      <c r="V75" s="8"/>
      <c r="W75" s="8"/>
      <c r="X75" s="8"/>
      <c r="Y75" s="8"/>
      <c r="Z75" s="8"/>
      <c r="AA75" s="8"/>
      <c r="AB75" s="8"/>
      <c r="AC75" s="8"/>
    </row>
    <row r="76" spans="1:29">
      <c r="A76" s="69" t="s">
        <v>144</v>
      </c>
      <c r="B76" t="s">
        <v>153</v>
      </c>
      <c r="C76" s="82">
        <v>0</v>
      </c>
      <c r="D76" s="82">
        <v>0</v>
      </c>
      <c r="E76" s="82">
        <v>0</v>
      </c>
      <c r="F76" s="82">
        <v>0</v>
      </c>
      <c r="G76" s="82"/>
      <c r="H76" s="82"/>
      <c r="I76" s="82"/>
      <c r="J76" s="82"/>
      <c r="K76" s="82"/>
      <c r="L76" s="82"/>
      <c r="M76" s="82"/>
      <c r="N76" s="82"/>
      <c r="O76" s="82"/>
      <c r="P76" s="82"/>
      <c r="Q76" s="82"/>
      <c r="R76" s="82"/>
      <c r="S76" s="82"/>
      <c r="T76" s="82"/>
      <c r="U76" s="8"/>
      <c r="V76" s="8"/>
      <c r="W76" s="8"/>
      <c r="X76" s="8"/>
      <c r="Y76" s="8"/>
      <c r="Z76" s="8"/>
      <c r="AA76" s="8"/>
      <c r="AB76" s="8"/>
      <c r="AC76" s="8"/>
    </row>
    <row r="77" spans="1:29">
      <c r="A77" s="69" t="s">
        <v>154</v>
      </c>
      <c r="B77" s="71" t="s">
        <v>158</v>
      </c>
      <c r="C77" s="82" t="s">
        <v>207</v>
      </c>
      <c r="D77" s="82" t="s">
        <v>208</v>
      </c>
      <c r="E77" s="82" t="s">
        <v>207</v>
      </c>
      <c r="F77" s="82" t="s">
        <v>207</v>
      </c>
      <c r="G77" s="82"/>
      <c r="H77" s="82"/>
      <c r="I77" s="82"/>
      <c r="J77" s="82"/>
      <c r="K77" s="82"/>
      <c r="L77" s="82"/>
      <c r="M77" s="82"/>
      <c r="N77" s="82"/>
      <c r="O77" s="82"/>
      <c r="P77" s="82"/>
      <c r="Q77" s="82"/>
      <c r="R77" s="82"/>
      <c r="S77" s="82"/>
      <c r="T77" s="82"/>
      <c r="U77" s="8"/>
      <c r="V77" s="8"/>
      <c r="W77" s="8"/>
      <c r="X77" s="8"/>
      <c r="Y77" s="8"/>
      <c r="Z77" s="8"/>
      <c r="AA77" s="8"/>
      <c r="AB77" s="8"/>
      <c r="AC77" s="8"/>
    </row>
    <row r="78" spans="1:29">
      <c r="A78" s="69" t="s">
        <v>155</v>
      </c>
      <c r="B78" s="71" t="s">
        <v>158</v>
      </c>
      <c r="C78" s="82">
        <v>0</v>
      </c>
      <c r="D78" s="82">
        <v>0</v>
      </c>
      <c r="E78" s="82">
        <v>0</v>
      </c>
      <c r="F78" s="82">
        <v>0</v>
      </c>
      <c r="G78" s="82"/>
      <c r="H78" s="82"/>
      <c r="I78" s="82"/>
      <c r="J78" s="82"/>
      <c r="K78" s="82"/>
      <c r="L78" s="82"/>
      <c r="M78" s="82"/>
      <c r="N78" s="82"/>
      <c r="O78" s="82"/>
      <c r="P78" s="82"/>
      <c r="Q78" s="82"/>
      <c r="R78" s="82"/>
      <c r="S78" s="82"/>
      <c r="T78" s="82"/>
      <c r="U78" s="8"/>
      <c r="V78" s="8"/>
      <c r="W78" s="8"/>
      <c r="X78" s="8"/>
      <c r="Y78" s="8"/>
      <c r="Z78" s="8"/>
      <c r="AA78" s="8"/>
      <c r="AB78" s="8"/>
      <c r="AC78" s="8"/>
    </row>
    <row r="79" spans="1:29">
      <c r="A79" s="69" t="s">
        <v>156</v>
      </c>
      <c r="B79" s="71" t="s">
        <v>158</v>
      </c>
      <c r="C79" s="82">
        <v>0</v>
      </c>
      <c r="D79" s="82">
        <v>0</v>
      </c>
      <c r="E79" s="82">
        <v>0</v>
      </c>
      <c r="F79" s="82">
        <v>0</v>
      </c>
      <c r="G79" s="82"/>
      <c r="H79" s="82"/>
      <c r="I79" s="82"/>
      <c r="J79" s="82"/>
      <c r="K79" s="82"/>
      <c r="L79" s="82"/>
      <c r="M79" s="82"/>
      <c r="N79" s="82"/>
      <c r="O79" s="82"/>
      <c r="P79" s="82"/>
      <c r="Q79" s="82"/>
      <c r="R79" s="82"/>
      <c r="S79" s="82"/>
      <c r="T79" s="82"/>
      <c r="U79" s="8"/>
      <c r="V79" s="8"/>
      <c r="W79" s="8"/>
      <c r="X79" s="8"/>
      <c r="Y79" s="8"/>
      <c r="Z79" s="8"/>
      <c r="AA79" s="8"/>
      <c r="AB79" s="8"/>
      <c r="AC79" s="8"/>
    </row>
    <row r="80" spans="1:29">
      <c r="A80" s="69" t="s">
        <v>157</v>
      </c>
      <c r="B80" s="71" t="s">
        <v>158</v>
      </c>
      <c r="C80" s="82">
        <v>0</v>
      </c>
      <c r="D80" s="82">
        <v>0</v>
      </c>
      <c r="E80" s="82">
        <v>0</v>
      </c>
      <c r="F80" s="82">
        <v>0</v>
      </c>
      <c r="G80" s="82"/>
      <c r="H80" s="82"/>
      <c r="I80" s="82"/>
      <c r="J80" s="82"/>
      <c r="K80" s="82"/>
      <c r="L80" s="82"/>
      <c r="M80" s="82"/>
      <c r="N80" s="82"/>
      <c r="O80" s="82"/>
      <c r="P80" s="82"/>
      <c r="Q80" s="82"/>
      <c r="R80" s="82"/>
      <c r="S80" s="82"/>
      <c r="T80" s="82"/>
      <c r="U80" s="8"/>
      <c r="V80" s="8"/>
      <c r="W80" s="8"/>
      <c r="X80" s="8"/>
      <c r="Y80" s="8"/>
      <c r="Z80" s="8"/>
      <c r="AA80" s="8"/>
      <c r="AB80" s="8"/>
      <c r="AC80" s="8"/>
    </row>
    <row r="81" spans="1:29">
      <c r="A81" s="68" t="s">
        <v>192</v>
      </c>
      <c r="B81" s="71" t="s">
        <v>158</v>
      </c>
      <c r="C81" s="82">
        <v>0</v>
      </c>
      <c r="D81" s="82" t="s">
        <v>207</v>
      </c>
      <c r="E81" s="82" t="s">
        <v>207</v>
      </c>
      <c r="F81" s="82" t="s">
        <v>207</v>
      </c>
      <c r="G81" s="82"/>
      <c r="H81" s="82"/>
      <c r="I81" s="82"/>
      <c r="J81" s="82"/>
      <c r="K81" s="82"/>
      <c r="L81" s="82"/>
      <c r="M81" s="82"/>
      <c r="N81" s="82"/>
      <c r="O81" s="82"/>
      <c r="P81" s="82"/>
      <c r="Q81" s="82"/>
      <c r="R81" s="82"/>
      <c r="S81" s="82"/>
      <c r="T81" s="82"/>
      <c r="U81" s="8"/>
      <c r="V81" s="8"/>
      <c r="W81" s="8"/>
      <c r="X81" s="8"/>
      <c r="Y81" s="8"/>
      <c r="Z81" s="8"/>
      <c r="AA81" s="8"/>
      <c r="AB81" s="8"/>
      <c r="AC81" s="8"/>
    </row>
    <row r="82" spans="1:29">
      <c r="A82" s="69" t="s">
        <v>159</v>
      </c>
      <c r="B82" s="71" t="s">
        <v>162</v>
      </c>
      <c r="C82" s="82">
        <v>0</v>
      </c>
      <c r="D82" s="82">
        <v>0</v>
      </c>
      <c r="E82" s="82">
        <v>1</v>
      </c>
      <c r="F82" s="82">
        <v>0</v>
      </c>
      <c r="G82" s="82"/>
      <c r="H82" s="82"/>
      <c r="I82" s="82"/>
      <c r="J82" s="82"/>
      <c r="K82" s="82"/>
      <c r="L82" s="82"/>
      <c r="M82" s="82"/>
      <c r="N82" s="82"/>
      <c r="O82" s="82"/>
      <c r="P82" s="82"/>
      <c r="Q82" s="82"/>
      <c r="R82" s="82"/>
      <c r="S82" s="82"/>
      <c r="T82" s="82"/>
      <c r="U82" s="8"/>
      <c r="V82" s="8"/>
      <c r="W82" s="8"/>
      <c r="X82" s="8"/>
      <c r="Y82" s="8"/>
      <c r="Z82" s="8"/>
      <c r="AA82" s="8"/>
      <c r="AB82" s="8"/>
      <c r="AC82" s="8"/>
    </row>
    <row r="83" spans="1:29">
      <c r="A83" s="69" t="s">
        <v>160</v>
      </c>
      <c r="B83" s="71" t="s">
        <v>162</v>
      </c>
      <c r="C83" s="82">
        <v>0</v>
      </c>
      <c r="D83" s="82">
        <v>0</v>
      </c>
      <c r="E83" s="82">
        <v>1</v>
      </c>
      <c r="F83" s="82">
        <v>0</v>
      </c>
      <c r="G83" s="82"/>
      <c r="H83" s="82"/>
      <c r="I83" s="82"/>
      <c r="J83" s="82"/>
      <c r="K83" s="82"/>
      <c r="L83" s="82"/>
      <c r="M83" s="82"/>
      <c r="N83" s="82"/>
      <c r="O83" s="82"/>
      <c r="P83" s="82"/>
      <c r="Q83" s="82"/>
      <c r="R83" s="82"/>
      <c r="S83" s="82"/>
      <c r="T83" s="82"/>
      <c r="U83" s="8"/>
      <c r="V83" s="8"/>
      <c r="W83" s="8"/>
      <c r="X83" s="8"/>
      <c r="Y83" s="8"/>
      <c r="Z83" s="8"/>
      <c r="AA83" s="8"/>
      <c r="AB83" s="8"/>
      <c r="AC83" s="8"/>
    </row>
    <row r="84" spans="1:29">
      <c r="A84" s="68" t="s">
        <v>193</v>
      </c>
      <c r="B84" s="71" t="s">
        <v>162</v>
      </c>
      <c r="C84" s="82">
        <v>0</v>
      </c>
      <c r="D84" s="82">
        <v>1</v>
      </c>
      <c r="E84" s="82">
        <v>0</v>
      </c>
      <c r="F84" s="82">
        <v>0</v>
      </c>
      <c r="G84" s="82"/>
      <c r="H84" s="82"/>
      <c r="I84" s="82"/>
      <c r="J84" s="82"/>
      <c r="K84" s="82"/>
      <c r="L84" s="82"/>
      <c r="M84" s="82"/>
      <c r="N84" s="82"/>
      <c r="O84" s="82"/>
      <c r="P84" s="82"/>
      <c r="Q84" s="82"/>
      <c r="R84" s="82"/>
      <c r="S84" s="82"/>
      <c r="T84" s="82"/>
      <c r="U84" s="8"/>
      <c r="V84" s="8"/>
      <c r="W84" s="8"/>
      <c r="X84" s="8"/>
      <c r="Y84" s="8"/>
      <c r="Z84" s="8"/>
      <c r="AA84" s="8"/>
      <c r="AB84" s="8"/>
      <c r="AC84" s="8"/>
    </row>
    <row r="85" spans="1:29">
      <c r="A85" s="69" t="s">
        <v>161</v>
      </c>
      <c r="B85" s="71" t="s">
        <v>162</v>
      </c>
      <c r="C85" s="82">
        <v>0</v>
      </c>
      <c r="D85" s="82">
        <v>1</v>
      </c>
      <c r="E85" s="82">
        <v>1</v>
      </c>
      <c r="F85" s="82">
        <v>0</v>
      </c>
      <c r="G85" s="82"/>
      <c r="H85" s="82"/>
      <c r="I85" s="82"/>
      <c r="J85" s="82"/>
      <c r="K85" s="82"/>
      <c r="L85" s="82"/>
      <c r="M85" s="82"/>
      <c r="N85" s="82"/>
      <c r="O85" s="82"/>
      <c r="P85" s="82"/>
      <c r="Q85" s="82"/>
      <c r="R85" s="82"/>
      <c r="S85" s="82"/>
      <c r="T85" s="82"/>
      <c r="U85" s="8"/>
      <c r="V85" s="8"/>
      <c r="W85" s="8"/>
      <c r="X85" s="8"/>
      <c r="Y85" s="8"/>
      <c r="Z85" s="8"/>
      <c r="AA85" s="8"/>
      <c r="AB85" s="8"/>
      <c r="AC85" s="8"/>
    </row>
    <row r="86" spans="1:29">
      <c r="A86" s="69" t="s">
        <v>163</v>
      </c>
      <c r="B86" s="71" t="s">
        <v>178</v>
      </c>
      <c r="C86" s="82">
        <v>0</v>
      </c>
      <c r="D86" s="82">
        <v>1</v>
      </c>
      <c r="E86" s="82">
        <v>1</v>
      </c>
      <c r="F86" s="82">
        <v>0</v>
      </c>
      <c r="G86" s="82"/>
      <c r="H86" s="82"/>
      <c r="I86" s="82"/>
      <c r="J86" s="82"/>
      <c r="K86" s="82"/>
      <c r="L86" s="82"/>
      <c r="M86" s="82"/>
      <c r="N86" s="82"/>
      <c r="O86" s="82"/>
      <c r="P86" s="82"/>
      <c r="Q86" s="82"/>
      <c r="R86" s="82"/>
      <c r="S86" s="82"/>
      <c r="T86" s="82"/>
      <c r="U86" s="8"/>
      <c r="V86" s="8"/>
      <c r="W86" s="8"/>
      <c r="X86" s="8"/>
      <c r="Y86" s="8"/>
      <c r="Z86" s="8"/>
      <c r="AA86" s="8"/>
      <c r="AB86" s="8"/>
      <c r="AC86" s="8"/>
    </row>
    <row r="87" spans="1:29">
      <c r="A87" s="69" t="s">
        <v>164</v>
      </c>
      <c r="B87" s="71" t="s">
        <v>178</v>
      </c>
      <c r="C87" s="82">
        <v>0</v>
      </c>
      <c r="D87" s="82">
        <v>0</v>
      </c>
      <c r="E87" s="82">
        <v>0</v>
      </c>
      <c r="F87" s="82">
        <v>0</v>
      </c>
      <c r="G87" s="82"/>
      <c r="H87" s="82"/>
      <c r="I87" s="82"/>
      <c r="J87" s="82"/>
      <c r="K87" s="82"/>
      <c r="L87" s="82"/>
      <c r="M87" s="82"/>
      <c r="N87" s="82"/>
      <c r="O87" s="82"/>
      <c r="P87" s="82"/>
      <c r="Q87" s="82"/>
      <c r="R87" s="82"/>
      <c r="S87" s="82"/>
      <c r="T87" s="82"/>
      <c r="U87" s="8"/>
      <c r="V87" s="8"/>
      <c r="W87" s="8"/>
      <c r="X87" s="8"/>
      <c r="Y87" s="8"/>
      <c r="Z87" s="8"/>
      <c r="AA87" s="8"/>
      <c r="AB87" s="8"/>
      <c r="AC87" s="8"/>
    </row>
    <row r="88" spans="1:29">
      <c r="A88" s="69" t="s">
        <v>165</v>
      </c>
      <c r="B88" s="71" t="s">
        <v>178</v>
      </c>
      <c r="C88" s="82">
        <v>0</v>
      </c>
      <c r="D88" s="82">
        <v>1</v>
      </c>
      <c r="E88" s="82">
        <v>1</v>
      </c>
      <c r="F88" s="82">
        <v>0</v>
      </c>
      <c r="G88" s="82"/>
      <c r="H88" s="82"/>
      <c r="I88" s="82"/>
      <c r="J88" s="82"/>
      <c r="K88" s="82"/>
      <c r="L88" s="82"/>
      <c r="M88" s="82"/>
      <c r="N88" s="82"/>
      <c r="O88" s="82"/>
      <c r="P88" s="82"/>
      <c r="Q88" s="82"/>
      <c r="R88" s="82"/>
      <c r="S88" s="82"/>
      <c r="T88" s="82"/>
      <c r="U88" s="8"/>
      <c r="V88" s="8"/>
      <c r="W88" s="8"/>
      <c r="X88" s="8"/>
      <c r="Y88" s="8"/>
      <c r="Z88" s="8"/>
      <c r="AA88" s="8"/>
      <c r="AB88" s="8"/>
      <c r="AC88" s="8"/>
    </row>
    <row r="89" spans="1:29">
      <c r="A89" s="69" t="s">
        <v>166</v>
      </c>
      <c r="B89" s="71" t="s">
        <v>178</v>
      </c>
      <c r="C89" s="82">
        <v>0</v>
      </c>
      <c r="D89" s="82">
        <v>0</v>
      </c>
      <c r="E89" s="82">
        <v>0</v>
      </c>
      <c r="F89" s="82">
        <v>0</v>
      </c>
      <c r="G89" s="82"/>
      <c r="H89" s="82"/>
      <c r="I89" s="82"/>
      <c r="J89" s="82"/>
      <c r="K89" s="82"/>
      <c r="L89" s="82"/>
      <c r="M89" s="82"/>
      <c r="N89" s="82"/>
      <c r="O89" s="82"/>
      <c r="P89" s="82"/>
      <c r="Q89" s="82"/>
      <c r="R89" s="82"/>
      <c r="S89" s="82"/>
      <c r="T89" s="82"/>
      <c r="U89" s="8"/>
      <c r="V89" s="8"/>
      <c r="W89" s="8"/>
      <c r="X89" s="8"/>
      <c r="Y89" s="8"/>
      <c r="Z89" s="8"/>
      <c r="AA89" s="8"/>
      <c r="AB89" s="8"/>
      <c r="AC89" s="8"/>
    </row>
    <row r="90" spans="1:29">
      <c r="A90" s="69" t="s">
        <v>167</v>
      </c>
      <c r="B90" s="71" t="s">
        <v>178</v>
      </c>
      <c r="C90" s="82">
        <v>0</v>
      </c>
      <c r="D90" s="82">
        <v>1</v>
      </c>
      <c r="E90" s="82">
        <v>1</v>
      </c>
      <c r="F90" s="82">
        <v>0</v>
      </c>
      <c r="G90" s="82"/>
      <c r="H90" s="82"/>
      <c r="I90" s="82"/>
      <c r="J90" s="82"/>
      <c r="K90" s="82"/>
      <c r="L90" s="82"/>
      <c r="M90" s="82"/>
      <c r="N90" s="82"/>
      <c r="O90" s="82"/>
      <c r="P90" s="82"/>
      <c r="Q90" s="82"/>
      <c r="R90" s="82"/>
      <c r="S90" s="82"/>
      <c r="T90" s="82"/>
      <c r="U90" s="8"/>
      <c r="V90" s="8"/>
      <c r="W90" s="8"/>
      <c r="X90" s="8"/>
      <c r="Y90" s="8"/>
      <c r="Z90" s="8"/>
      <c r="AA90" s="8"/>
      <c r="AB90" s="8"/>
      <c r="AC90" s="8"/>
    </row>
    <row r="91" spans="1:29">
      <c r="A91" s="69" t="s">
        <v>168</v>
      </c>
      <c r="B91" s="71" t="s">
        <v>178</v>
      </c>
      <c r="C91" s="82">
        <v>0</v>
      </c>
      <c r="D91" s="82">
        <v>0</v>
      </c>
      <c r="E91" s="82">
        <v>1</v>
      </c>
      <c r="F91" s="82">
        <v>0</v>
      </c>
      <c r="G91" s="82"/>
      <c r="H91" s="82"/>
      <c r="I91" s="82"/>
      <c r="J91" s="82"/>
      <c r="K91" s="82"/>
      <c r="L91" s="82"/>
      <c r="M91" s="82"/>
      <c r="N91" s="82"/>
      <c r="O91" s="82"/>
      <c r="P91" s="82"/>
      <c r="Q91" s="82"/>
      <c r="R91" s="82"/>
      <c r="S91" s="82"/>
      <c r="T91" s="82"/>
      <c r="U91" s="8"/>
      <c r="V91" s="8"/>
      <c r="W91" s="8"/>
      <c r="X91" s="8"/>
      <c r="Y91" s="8"/>
      <c r="Z91" s="8"/>
      <c r="AA91" s="8"/>
      <c r="AB91" s="8"/>
      <c r="AC91" s="8"/>
    </row>
    <row r="92" spans="1:29">
      <c r="A92" s="69" t="s">
        <v>169</v>
      </c>
      <c r="B92" s="71" t="s">
        <v>178</v>
      </c>
      <c r="C92" s="82">
        <v>0</v>
      </c>
      <c r="D92" s="82">
        <v>1</v>
      </c>
      <c r="E92" s="82">
        <v>1</v>
      </c>
      <c r="F92" s="82">
        <v>0</v>
      </c>
      <c r="G92" s="82"/>
      <c r="H92" s="82"/>
      <c r="I92" s="82"/>
      <c r="J92" s="82"/>
      <c r="K92" s="82"/>
      <c r="L92" s="82"/>
      <c r="M92" s="82"/>
      <c r="N92" s="82"/>
      <c r="O92" s="82"/>
      <c r="P92" s="82"/>
      <c r="Q92" s="82"/>
      <c r="R92" s="82"/>
      <c r="S92" s="82"/>
      <c r="T92" s="82"/>
      <c r="U92" s="8"/>
      <c r="V92" s="8"/>
      <c r="W92" s="8"/>
      <c r="X92" s="8"/>
      <c r="Y92" s="8"/>
      <c r="Z92" s="8"/>
      <c r="AA92" s="8"/>
      <c r="AB92" s="8"/>
      <c r="AC92" s="8"/>
    </row>
    <row r="93" spans="1:29">
      <c r="A93" s="69" t="s">
        <v>170</v>
      </c>
      <c r="B93" s="71" t="s">
        <v>178</v>
      </c>
      <c r="C93" s="82">
        <v>0</v>
      </c>
      <c r="D93" s="82">
        <v>0</v>
      </c>
      <c r="E93" s="82">
        <v>0</v>
      </c>
      <c r="F93" s="82">
        <v>0</v>
      </c>
      <c r="G93" s="82"/>
      <c r="H93" s="82"/>
      <c r="I93" s="82"/>
      <c r="J93" s="82"/>
      <c r="K93" s="82"/>
      <c r="L93" s="82"/>
      <c r="M93" s="82"/>
      <c r="N93" s="82"/>
      <c r="O93" s="82"/>
      <c r="P93" s="82"/>
      <c r="Q93" s="82"/>
      <c r="R93" s="82"/>
      <c r="S93" s="82"/>
      <c r="T93" s="82"/>
      <c r="U93" s="8"/>
      <c r="V93" s="8"/>
      <c r="W93" s="8"/>
      <c r="X93" s="8"/>
      <c r="Y93" s="8"/>
      <c r="Z93" s="8"/>
      <c r="AA93" s="8"/>
      <c r="AB93" s="8"/>
      <c r="AC93" s="8"/>
    </row>
    <row r="94" spans="1:29">
      <c r="A94" s="69" t="s">
        <v>171</v>
      </c>
      <c r="B94" s="71" t="s">
        <v>178</v>
      </c>
      <c r="C94" s="82">
        <v>0</v>
      </c>
      <c r="D94" s="82">
        <v>1</v>
      </c>
      <c r="E94" s="82">
        <v>0</v>
      </c>
      <c r="F94" s="82">
        <v>0</v>
      </c>
      <c r="G94" s="82"/>
      <c r="H94" s="82"/>
      <c r="I94" s="82"/>
      <c r="J94" s="82"/>
      <c r="K94" s="82"/>
      <c r="L94" s="82"/>
      <c r="M94" s="82"/>
      <c r="N94" s="82"/>
      <c r="O94" s="82"/>
      <c r="P94" s="82"/>
      <c r="Q94" s="82"/>
      <c r="R94" s="82"/>
      <c r="S94" s="82"/>
      <c r="T94" s="82"/>
      <c r="U94" s="8"/>
      <c r="V94" s="8"/>
      <c r="W94" s="8"/>
      <c r="X94" s="8"/>
      <c r="Y94" s="8"/>
      <c r="Z94" s="8"/>
      <c r="AA94" s="8"/>
      <c r="AB94" s="8"/>
      <c r="AC94" s="8"/>
    </row>
    <row r="95" spans="1:29">
      <c r="A95" s="69" t="s">
        <v>172</v>
      </c>
      <c r="B95" s="71" t="s">
        <v>178</v>
      </c>
      <c r="C95" s="82">
        <v>0</v>
      </c>
      <c r="D95" s="82">
        <v>1</v>
      </c>
      <c r="E95" s="82">
        <v>1</v>
      </c>
      <c r="F95" s="82">
        <v>0</v>
      </c>
      <c r="G95" s="82"/>
      <c r="H95" s="82"/>
      <c r="I95" s="82"/>
      <c r="J95" s="82"/>
      <c r="K95" s="82"/>
      <c r="L95" s="82"/>
      <c r="M95" s="82"/>
      <c r="N95" s="82"/>
      <c r="O95" s="82"/>
      <c r="P95" s="82"/>
      <c r="Q95" s="82"/>
      <c r="R95" s="82"/>
      <c r="S95" s="82"/>
      <c r="T95" s="82"/>
      <c r="U95" s="8"/>
      <c r="V95" s="8"/>
      <c r="W95" s="8"/>
      <c r="X95" s="8"/>
      <c r="Y95" s="8"/>
      <c r="Z95" s="8"/>
      <c r="AA95" s="8"/>
      <c r="AB95" s="8"/>
      <c r="AC95" s="8"/>
    </row>
    <row r="96" spans="1:29">
      <c r="A96" s="69" t="s">
        <v>173</v>
      </c>
      <c r="B96" s="71" t="s">
        <v>178</v>
      </c>
      <c r="C96" s="82">
        <v>0</v>
      </c>
      <c r="D96" s="82">
        <v>1</v>
      </c>
      <c r="E96" s="82">
        <v>1</v>
      </c>
      <c r="F96" s="82">
        <v>0</v>
      </c>
      <c r="G96" s="82"/>
      <c r="H96" s="82"/>
      <c r="I96" s="82"/>
      <c r="J96" s="82"/>
      <c r="K96" s="82"/>
      <c r="L96" s="82"/>
      <c r="M96" s="82"/>
      <c r="N96" s="82"/>
      <c r="O96" s="82"/>
      <c r="P96" s="82"/>
      <c r="Q96" s="82"/>
      <c r="R96" s="82"/>
      <c r="S96" s="82"/>
      <c r="T96" s="82"/>
      <c r="U96" s="8"/>
      <c r="V96" s="8"/>
      <c r="W96" s="8"/>
      <c r="X96" s="8"/>
      <c r="Y96" s="8"/>
      <c r="Z96" s="8"/>
      <c r="AA96" s="8"/>
      <c r="AB96" s="8"/>
      <c r="AC96" s="8"/>
    </row>
    <row r="97" spans="1:29">
      <c r="A97" s="69" t="s">
        <v>174</v>
      </c>
      <c r="B97" s="71" t="s">
        <v>178</v>
      </c>
      <c r="C97" s="82">
        <v>1</v>
      </c>
      <c r="D97" s="82">
        <v>1</v>
      </c>
      <c r="E97" s="82">
        <v>1</v>
      </c>
      <c r="F97" s="82">
        <v>1</v>
      </c>
      <c r="G97" s="82"/>
      <c r="H97" s="82"/>
      <c r="I97" s="82"/>
      <c r="J97" s="82"/>
      <c r="K97" s="82"/>
      <c r="L97" s="82"/>
      <c r="M97" s="82"/>
      <c r="N97" s="82"/>
      <c r="O97" s="82"/>
      <c r="P97" s="82"/>
      <c r="Q97" s="82"/>
      <c r="R97" s="82"/>
      <c r="S97" s="82"/>
      <c r="T97" s="82"/>
      <c r="U97" s="8"/>
      <c r="V97" s="8"/>
      <c r="W97" s="8"/>
      <c r="X97" s="8"/>
      <c r="Y97" s="8"/>
      <c r="Z97" s="8"/>
      <c r="AA97" s="8"/>
      <c r="AB97" s="8"/>
      <c r="AC97" s="8"/>
    </row>
    <row r="98" spans="1:29">
      <c r="A98" s="69" t="s">
        <v>175</v>
      </c>
      <c r="B98" s="71" t="s">
        <v>178</v>
      </c>
      <c r="C98" s="82">
        <v>0</v>
      </c>
      <c r="D98" s="82">
        <v>0</v>
      </c>
      <c r="E98" s="82">
        <v>1</v>
      </c>
      <c r="F98" s="82">
        <v>0</v>
      </c>
      <c r="G98" s="82"/>
      <c r="H98" s="82"/>
      <c r="I98" s="82"/>
      <c r="J98" s="82"/>
      <c r="K98" s="82"/>
      <c r="L98" s="82"/>
      <c r="M98" s="82"/>
      <c r="N98" s="82"/>
      <c r="O98" s="82"/>
      <c r="P98" s="82"/>
      <c r="Q98" s="82"/>
      <c r="R98" s="82"/>
      <c r="S98" s="82"/>
      <c r="T98" s="82"/>
      <c r="U98" s="8"/>
      <c r="V98" s="8"/>
      <c r="W98" s="8"/>
      <c r="X98" s="8"/>
      <c r="Y98" s="8"/>
      <c r="Z98" s="8"/>
      <c r="AA98" s="8"/>
      <c r="AB98" s="8"/>
      <c r="AC98" s="8"/>
    </row>
    <row r="99" spans="1:29">
      <c r="A99" s="69" t="s">
        <v>176</v>
      </c>
      <c r="B99" s="71" t="s">
        <v>178</v>
      </c>
      <c r="C99" s="82">
        <v>0</v>
      </c>
      <c r="D99" s="82">
        <v>0</v>
      </c>
      <c r="E99" s="82">
        <v>1</v>
      </c>
      <c r="F99" s="82">
        <v>0</v>
      </c>
      <c r="G99" s="82"/>
      <c r="H99" s="82"/>
      <c r="I99" s="82"/>
      <c r="J99" s="82"/>
      <c r="K99" s="82"/>
      <c r="L99" s="82"/>
      <c r="M99" s="82"/>
      <c r="N99" s="82"/>
      <c r="O99" s="82"/>
      <c r="P99" s="82"/>
      <c r="Q99" s="82"/>
      <c r="R99" s="82"/>
      <c r="S99" s="82"/>
      <c r="T99" s="82"/>
      <c r="U99" s="8"/>
      <c r="V99" s="8"/>
      <c r="W99" s="8"/>
      <c r="X99" s="8"/>
      <c r="Y99" s="8"/>
      <c r="Z99" s="8"/>
      <c r="AA99" s="8"/>
      <c r="AB99" s="8"/>
      <c r="AC99" s="8"/>
    </row>
    <row r="100" spans="1:29">
      <c r="A100" s="69" t="s">
        <v>177</v>
      </c>
      <c r="B100" s="71" t="s">
        <v>178</v>
      </c>
      <c r="C100" s="82">
        <v>0</v>
      </c>
      <c r="D100" s="82" t="s">
        <v>208</v>
      </c>
      <c r="E100" s="82">
        <v>0</v>
      </c>
      <c r="F100" s="82" t="s">
        <v>208</v>
      </c>
      <c r="G100" s="82"/>
      <c r="H100" s="82"/>
      <c r="I100" s="82"/>
      <c r="J100" s="82"/>
      <c r="K100" s="82"/>
      <c r="L100" s="82"/>
      <c r="M100" s="82"/>
      <c r="N100" s="82"/>
      <c r="O100" s="82"/>
      <c r="P100" s="82"/>
      <c r="Q100" s="82"/>
      <c r="R100" s="82"/>
      <c r="S100" s="82"/>
      <c r="T100" s="82"/>
      <c r="U100" s="8"/>
      <c r="V100" s="8"/>
      <c r="W100" s="8"/>
      <c r="X100" s="8"/>
      <c r="Y100" s="8"/>
      <c r="Z100" s="8"/>
      <c r="AA100" s="8"/>
      <c r="AB100" s="8"/>
      <c r="AC100" s="8"/>
    </row>
    <row r="101" spans="1:29">
      <c r="A101" s="68" t="s">
        <v>194</v>
      </c>
      <c r="B101" s="71" t="s">
        <v>188</v>
      </c>
      <c r="C101" s="82">
        <v>0</v>
      </c>
      <c r="D101" s="82">
        <v>0</v>
      </c>
      <c r="E101" s="82">
        <v>0</v>
      </c>
      <c r="F101" s="82">
        <v>0</v>
      </c>
      <c r="G101" s="82"/>
      <c r="H101" s="82"/>
      <c r="I101" s="82"/>
      <c r="J101" s="82"/>
      <c r="K101" s="82"/>
      <c r="L101" s="82"/>
      <c r="M101" s="82"/>
      <c r="N101" s="82"/>
      <c r="O101" s="82"/>
      <c r="P101" s="82"/>
      <c r="Q101" s="82"/>
      <c r="R101" s="82"/>
      <c r="S101" s="82"/>
      <c r="T101" s="82"/>
      <c r="U101" s="8"/>
      <c r="V101" s="8"/>
      <c r="W101" s="8"/>
      <c r="X101" s="8"/>
      <c r="Y101" s="8"/>
      <c r="Z101" s="8"/>
      <c r="AA101" s="8"/>
      <c r="AB101" s="8"/>
      <c r="AC101" s="8"/>
    </row>
    <row r="102" spans="1:29">
      <c r="A102" s="69" t="s">
        <v>184</v>
      </c>
      <c r="B102" s="71" t="s">
        <v>188</v>
      </c>
      <c r="C102" s="82">
        <v>0</v>
      </c>
      <c r="D102" s="82">
        <v>0</v>
      </c>
      <c r="E102" s="82">
        <v>0</v>
      </c>
      <c r="F102" s="82">
        <v>0</v>
      </c>
      <c r="G102" s="82"/>
      <c r="H102" s="82"/>
      <c r="I102" s="82"/>
      <c r="J102" s="82"/>
      <c r="K102" s="82"/>
      <c r="L102" s="82"/>
      <c r="M102" s="82"/>
      <c r="N102" s="82"/>
      <c r="O102" s="82"/>
      <c r="P102" s="82"/>
      <c r="Q102" s="82"/>
      <c r="R102" s="82"/>
      <c r="S102" s="82"/>
      <c r="T102" s="82"/>
      <c r="U102" s="8"/>
      <c r="V102" s="8"/>
      <c r="W102" s="8"/>
      <c r="X102" s="8"/>
      <c r="Y102" s="8"/>
      <c r="Z102" s="8"/>
      <c r="AA102" s="8"/>
      <c r="AB102" s="8"/>
      <c r="AC102" s="8"/>
    </row>
    <row r="103" spans="1:29">
      <c r="A103" s="69" t="s">
        <v>182</v>
      </c>
      <c r="B103" s="71" t="s">
        <v>188</v>
      </c>
      <c r="C103" s="82">
        <v>0</v>
      </c>
      <c r="D103" s="82">
        <v>0</v>
      </c>
      <c r="E103" s="82">
        <v>0</v>
      </c>
      <c r="F103" s="82">
        <v>1</v>
      </c>
      <c r="G103" s="82"/>
      <c r="H103" s="82"/>
      <c r="I103" s="82"/>
      <c r="J103" s="82"/>
      <c r="K103" s="82"/>
      <c r="L103" s="82"/>
      <c r="M103" s="82"/>
      <c r="N103" s="82"/>
      <c r="O103" s="82"/>
      <c r="P103" s="82"/>
      <c r="Q103" s="82"/>
      <c r="R103" s="82"/>
      <c r="S103" s="82"/>
      <c r="T103" s="82"/>
      <c r="U103" s="8"/>
      <c r="V103" s="8"/>
      <c r="W103" s="8"/>
      <c r="X103" s="8"/>
      <c r="Y103" s="8"/>
      <c r="Z103" s="8"/>
      <c r="AA103" s="8"/>
      <c r="AB103" s="8"/>
      <c r="AC103" s="8"/>
    </row>
    <row r="104" spans="1:29">
      <c r="A104" s="69" t="s">
        <v>181</v>
      </c>
      <c r="B104" s="71" t="s">
        <v>188</v>
      </c>
      <c r="C104" s="82">
        <v>0</v>
      </c>
      <c r="D104" s="82">
        <v>1</v>
      </c>
      <c r="E104" s="82">
        <v>0</v>
      </c>
      <c r="F104" s="82">
        <v>0</v>
      </c>
      <c r="G104" s="82"/>
      <c r="H104" s="82"/>
      <c r="I104" s="82"/>
      <c r="J104" s="82"/>
      <c r="K104" s="82"/>
      <c r="L104" s="82"/>
      <c r="M104" s="82"/>
      <c r="N104" s="82"/>
      <c r="O104" s="82"/>
      <c r="P104" s="82"/>
      <c r="Q104" s="82"/>
      <c r="R104" s="82"/>
      <c r="S104" s="82"/>
      <c r="T104" s="82"/>
      <c r="U104" s="8"/>
      <c r="V104" s="8"/>
      <c r="W104" s="8"/>
      <c r="X104" s="8"/>
      <c r="Y104" s="8"/>
      <c r="Z104" s="8"/>
      <c r="AA104" s="8"/>
      <c r="AB104" s="8"/>
      <c r="AC104" s="8"/>
    </row>
    <row r="105" spans="1:29">
      <c r="A105" s="69" t="s">
        <v>179</v>
      </c>
      <c r="B105" s="71" t="s">
        <v>188</v>
      </c>
      <c r="C105" s="82">
        <v>0</v>
      </c>
      <c r="D105" s="82">
        <v>1</v>
      </c>
      <c r="E105" s="82">
        <v>0</v>
      </c>
      <c r="F105" s="82">
        <v>0</v>
      </c>
      <c r="G105" s="82"/>
      <c r="H105" s="82"/>
      <c r="I105" s="82"/>
      <c r="J105" s="82"/>
      <c r="K105" s="82"/>
      <c r="L105" s="82"/>
      <c r="M105" s="82"/>
      <c r="N105" s="82"/>
      <c r="O105" s="82"/>
      <c r="P105" s="82"/>
      <c r="Q105" s="82"/>
      <c r="R105" s="82"/>
      <c r="S105" s="82"/>
      <c r="T105" s="82"/>
      <c r="U105" s="8"/>
      <c r="V105" s="8"/>
      <c r="W105" s="8"/>
      <c r="X105" s="8"/>
      <c r="Y105" s="8"/>
      <c r="Z105" s="8"/>
      <c r="AA105" s="8"/>
      <c r="AB105" s="8"/>
      <c r="AC105" s="8"/>
    </row>
    <row r="106" spans="1:29">
      <c r="A106" s="69" t="s">
        <v>185</v>
      </c>
      <c r="B106" s="71" t="s">
        <v>188</v>
      </c>
      <c r="C106" s="82">
        <v>0</v>
      </c>
      <c r="D106" s="82">
        <v>1</v>
      </c>
      <c r="E106" s="82">
        <v>1</v>
      </c>
      <c r="F106" s="82">
        <v>0</v>
      </c>
      <c r="G106" s="82"/>
      <c r="H106" s="82"/>
      <c r="I106" s="82"/>
      <c r="J106" s="82"/>
      <c r="K106" s="82"/>
      <c r="L106" s="82"/>
      <c r="M106" s="82"/>
      <c r="N106" s="82"/>
      <c r="O106" s="82"/>
      <c r="P106" s="82"/>
      <c r="Q106" s="82"/>
      <c r="R106" s="82"/>
      <c r="S106" s="82"/>
      <c r="T106" s="82"/>
      <c r="U106" s="8"/>
      <c r="V106" s="8"/>
      <c r="W106" s="8"/>
      <c r="X106" s="8"/>
      <c r="Y106" s="8"/>
      <c r="Z106" s="8"/>
      <c r="AA106" s="8"/>
      <c r="AB106" s="8"/>
      <c r="AC106" s="8"/>
    </row>
    <row r="107" spans="1:29">
      <c r="A107" s="70" t="s">
        <v>187</v>
      </c>
      <c r="B107" s="71" t="s">
        <v>188</v>
      </c>
      <c r="C107" s="82">
        <v>0</v>
      </c>
      <c r="D107" s="82">
        <v>0</v>
      </c>
      <c r="E107" s="82">
        <v>0</v>
      </c>
      <c r="F107" s="82">
        <v>0</v>
      </c>
      <c r="G107" s="82"/>
      <c r="H107" s="82"/>
      <c r="I107" s="82"/>
      <c r="J107" s="82"/>
      <c r="K107" s="82"/>
      <c r="L107" s="82"/>
      <c r="M107" s="82"/>
      <c r="N107" s="82"/>
      <c r="O107" s="82"/>
      <c r="P107" s="82"/>
      <c r="Q107" s="82"/>
      <c r="R107" s="82"/>
      <c r="S107" s="82"/>
      <c r="T107" s="82"/>
      <c r="U107" s="8"/>
      <c r="V107" s="8"/>
      <c r="W107" s="8"/>
      <c r="X107" s="8"/>
      <c r="Y107" s="8"/>
      <c r="Z107" s="8"/>
      <c r="AA107" s="8"/>
      <c r="AB107" s="8"/>
      <c r="AC107" s="8"/>
    </row>
    <row r="108" spans="1:29">
      <c r="A108" s="69" t="s">
        <v>186</v>
      </c>
      <c r="B108" s="71" t="s">
        <v>188</v>
      </c>
      <c r="C108" s="82">
        <v>0</v>
      </c>
      <c r="D108" s="82">
        <v>0</v>
      </c>
      <c r="E108" s="82">
        <v>1</v>
      </c>
      <c r="F108" s="82">
        <v>0</v>
      </c>
      <c r="G108" s="82"/>
      <c r="H108" s="82"/>
      <c r="I108" s="82"/>
      <c r="J108" s="82"/>
      <c r="K108" s="82"/>
      <c r="L108" s="82"/>
      <c r="M108" s="82"/>
      <c r="N108" s="82"/>
      <c r="O108" s="82"/>
      <c r="P108" s="82"/>
      <c r="Q108" s="82"/>
      <c r="R108" s="82"/>
      <c r="S108" s="82"/>
      <c r="T108" s="82"/>
      <c r="U108" s="8"/>
      <c r="V108" s="8"/>
      <c r="W108" s="8"/>
      <c r="X108" s="8"/>
      <c r="Y108" s="8"/>
      <c r="Z108" s="8"/>
      <c r="AA108" s="8"/>
      <c r="AB108" s="8"/>
      <c r="AC108" s="8"/>
    </row>
    <row r="109" spans="1:29">
      <c r="A109" s="69" t="s">
        <v>183</v>
      </c>
      <c r="B109" s="71" t="s">
        <v>188</v>
      </c>
      <c r="C109" s="82">
        <v>0</v>
      </c>
      <c r="D109" s="82">
        <v>0</v>
      </c>
      <c r="E109" s="82">
        <v>0</v>
      </c>
      <c r="F109" s="82">
        <v>0</v>
      </c>
      <c r="G109" s="82"/>
      <c r="H109" s="82"/>
      <c r="I109" s="82"/>
      <c r="J109" s="82"/>
      <c r="K109" s="82"/>
      <c r="L109" s="82"/>
      <c r="M109" s="82"/>
      <c r="N109" s="82"/>
      <c r="O109" s="82"/>
      <c r="P109" s="82"/>
      <c r="Q109" s="82"/>
      <c r="R109" s="82"/>
      <c r="S109" s="82"/>
      <c r="T109" s="82"/>
      <c r="U109" s="8"/>
      <c r="V109" s="8"/>
      <c r="W109" s="8"/>
      <c r="X109" s="8"/>
      <c r="Y109" s="8"/>
      <c r="Z109" s="8"/>
      <c r="AA109" s="8"/>
      <c r="AB109" s="8"/>
      <c r="AC109" s="8"/>
    </row>
    <row r="110" spans="1:29">
      <c r="A110" s="69" t="s">
        <v>180</v>
      </c>
      <c r="B110" s="71" t="s">
        <v>188</v>
      </c>
      <c r="C110" s="82">
        <v>0</v>
      </c>
      <c r="D110" s="82" t="s">
        <v>207</v>
      </c>
      <c r="E110" s="82" t="s">
        <v>207</v>
      </c>
      <c r="F110" s="82" t="s">
        <v>207</v>
      </c>
      <c r="G110" s="82"/>
      <c r="H110" s="82"/>
      <c r="I110" s="82"/>
      <c r="J110" s="82"/>
      <c r="K110" s="82"/>
      <c r="L110" s="82"/>
      <c r="M110" s="82"/>
      <c r="N110" s="82"/>
      <c r="O110" s="82"/>
      <c r="P110" s="82"/>
      <c r="Q110" s="82"/>
      <c r="R110" s="82"/>
      <c r="S110" s="82"/>
      <c r="T110" s="82"/>
      <c r="U110" s="8"/>
      <c r="V110" s="8"/>
      <c r="W110" s="8"/>
      <c r="X110" s="8"/>
      <c r="Y110" s="8"/>
      <c r="Z110" s="8"/>
      <c r="AA110" s="8"/>
      <c r="AB110" s="8"/>
      <c r="AC110" s="8"/>
    </row>
    <row r="111" spans="1:29">
      <c r="C111" s="82"/>
      <c r="D111" s="82"/>
      <c r="E111" s="82"/>
      <c r="F111" s="82"/>
      <c r="G111" s="8"/>
      <c r="H111" s="8"/>
      <c r="I111" s="8"/>
      <c r="J111" s="8"/>
      <c r="K111" s="8"/>
      <c r="L111" s="8"/>
      <c r="M111" s="8"/>
      <c r="N111" s="8"/>
      <c r="O111" s="8"/>
      <c r="P111" s="8"/>
      <c r="Q111" s="8"/>
      <c r="R111" s="8"/>
      <c r="S111" s="8"/>
      <c r="T111" s="8"/>
      <c r="U111" s="8"/>
      <c r="V111" s="8"/>
      <c r="W111" s="8"/>
      <c r="X111" s="8"/>
      <c r="Y111" s="8"/>
      <c r="Z111" s="8"/>
      <c r="AA111" s="8"/>
      <c r="AB111" s="8"/>
      <c r="AC111" s="8"/>
    </row>
    <row r="112" spans="1:29">
      <c r="C112" s="82"/>
      <c r="D112" s="82"/>
      <c r="E112" s="82"/>
      <c r="F112" s="82"/>
      <c r="G112" s="8"/>
      <c r="H112" s="8"/>
      <c r="I112" s="8"/>
      <c r="J112" s="8"/>
      <c r="K112" s="8"/>
      <c r="L112" s="8"/>
      <c r="M112" s="8"/>
      <c r="N112" s="8"/>
      <c r="O112" s="8"/>
      <c r="P112" s="8"/>
      <c r="Q112" s="8"/>
      <c r="R112" s="8"/>
      <c r="S112" s="8"/>
      <c r="T112" s="8"/>
      <c r="U112" s="8"/>
      <c r="V112" s="8"/>
      <c r="W112" s="8"/>
      <c r="X112" s="8"/>
      <c r="Y112" s="8"/>
      <c r="Z112" s="8"/>
      <c r="AA112" s="8"/>
      <c r="AB112" s="8"/>
      <c r="AC112" s="8"/>
    </row>
    <row r="113" spans="3:29">
      <c r="C113" s="82"/>
      <c r="D113" s="82"/>
      <c r="E113" s="82"/>
      <c r="F113" s="82"/>
      <c r="G113" s="8"/>
      <c r="H113" s="8"/>
      <c r="I113" s="8"/>
      <c r="J113" s="8"/>
      <c r="K113" s="8"/>
      <c r="L113" s="8"/>
      <c r="M113" s="8"/>
      <c r="N113" s="8"/>
      <c r="O113" s="8"/>
      <c r="P113" s="8"/>
      <c r="Q113" s="8"/>
      <c r="R113" s="8"/>
      <c r="S113" s="8"/>
      <c r="T113" s="8"/>
      <c r="U113" s="8"/>
      <c r="V113" s="8"/>
      <c r="W113" s="8"/>
      <c r="X113" s="8"/>
      <c r="Y113" s="8"/>
      <c r="Z113" s="8"/>
      <c r="AA113" s="8"/>
      <c r="AB113" s="8"/>
      <c r="AC113" s="8"/>
    </row>
    <row r="114" spans="3:29">
      <c r="C114" s="82"/>
      <c r="D114" s="82"/>
      <c r="E114" s="82"/>
      <c r="F114" s="82"/>
      <c r="G114" s="8"/>
      <c r="H114" s="8"/>
      <c r="I114" s="8"/>
      <c r="J114" s="8"/>
      <c r="K114" s="8"/>
      <c r="L114" s="8"/>
      <c r="M114" s="8"/>
      <c r="N114" s="8"/>
      <c r="O114" s="8"/>
      <c r="P114" s="8"/>
      <c r="Q114" s="8"/>
      <c r="R114" s="8"/>
      <c r="S114" s="8"/>
      <c r="T114" s="8"/>
      <c r="U114" s="8"/>
      <c r="V114" s="8"/>
      <c r="W114" s="8"/>
      <c r="X114" s="8"/>
      <c r="Y114" s="8"/>
      <c r="Z114" s="8"/>
      <c r="AA114" s="8"/>
      <c r="AB114" s="8"/>
      <c r="AC114" s="8"/>
    </row>
    <row r="115" spans="3:29">
      <c r="C115" s="8"/>
      <c r="D115" s="82"/>
      <c r="E115" s="82"/>
      <c r="F115" s="82"/>
      <c r="G115" s="8"/>
      <c r="H115" s="8"/>
      <c r="I115" s="8"/>
      <c r="J115" s="8"/>
      <c r="K115" s="8"/>
      <c r="L115" s="8"/>
      <c r="M115" s="8"/>
      <c r="N115" s="8"/>
      <c r="O115" s="8"/>
      <c r="P115" s="8"/>
      <c r="Q115" s="8"/>
      <c r="R115" s="8"/>
      <c r="S115" s="8"/>
      <c r="T115" s="8"/>
      <c r="U115" s="8"/>
      <c r="V115" s="8"/>
      <c r="W115" s="8"/>
      <c r="X115" s="8"/>
      <c r="Y115" s="8"/>
      <c r="Z115" s="8"/>
      <c r="AA115" s="8"/>
      <c r="AB115" s="8"/>
      <c r="AC115" s="8"/>
    </row>
    <row r="116" spans="3:29">
      <c r="C116" s="8"/>
      <c r="D116" s="82"/>
      <c r="E116" s="82"/>
      <c r="F116" s="82"/>
      <c r="G116" s="8"/>
      <c r="H116" s="8"/>
      <c r="I116" s="8"/>
      <c r="J116" s="8"/>
      <c r="K116" s="8"/>
      <c r="L116" s="8"/>
      <c r="M116" s="8"/>
      <c r="N116" s="8"/>
      <c r="O116" s="8"/>
      <c r="P116" s="8"/>
      <c r="Q116" s="8"/>
      <c r="R116" s="8"/>
      <c r="S116" s="8"/>
      <c r="T116" s="8"/>
      <c r="U116" s="8"/>
      <c r="V116" s="8"/>
      <c r="W116" s="8"/>
      <c r="X116" s="8"/>
      <c r="Y116" s="8"/>
      <c r="Z116" s="8"/>
      <c r="AA116" s="8"/>
      <c r="AB116" s="8"/>
      <c r="AC116" s="8"/>
    </row>
    <row r="117" spans="3:29">
      <c r="C117" s="8"/>
      <c r="D117" s="82"/>
      <c r="E117" s="82"/>
      <c r="F117" s="82"/>
      <c r="G117" s="8"/>
      <c r="H117" s="8"/>
      <c r="I117" s="8"/>
      <c r="J117" s="8"/>
      <c r="K117" s="8"/>
      <c r="L117" s="8"/>
      <c r="M117" s="8"/>
      <c r="N117" s="8"/>
      <c r="O117" s="8"/>
      <c r="P117" s="8"/>
      <c r="Q117" s="8"/>
      <c r="R117" s="8"/>
      <c r="S117" s="8"/>
      <c r="T117" s="8"/>
      <c r="U117" s="8"/>
      <c r="V117" s="8"/>
      <c r="W117" s="8"/>
      <c r="X117" s="8"/>
      <c r="Y117" s="8"/>
      <c r="Z117" s="8"/>
      <c r="AA117" s="8"/>
      <c r="AB117" s="8"/>
      <c r="AC117" s="8"/>
    </row>
    <row r="118" spans="3:29">
      <c r="C118" s="8"/>
      <c r="D118" s="82"/>
      <c r="E118" s="82"/>
      <c r="F118" s="82"/>
      <c r="G118" s="8"/>
      <c r="H118" s="8"/>
      <c r="I118" s="8"/>
      <c r="J118" s="8"/>
      <c r="K118" s="8"/>
      <c r="L118" s="8"/>
      <c r="M118" s="8"/>
      <c r="N118" s="8"/>
      <c r="O118" s="8"/>
      <c r="P118" s="8"/>
      <c r="Q118" s="8"/>
      <c r="R118" s="8"/>
      <c r="S118" s="8"/>
      <c r="T118" s="8"/>
      <c r="U118" s="8"/>
      <c r="V118" s="8"/>
      <c r="W118" s="8"/>
      <c r="X118" s="8"/>
      <c r="Y118" s="8"/>
      <c r="Z118" s="8"/>
      <c r="AA118" s="8"/>
      <c r="AB118" s="8"/>
      <c r="AC118" s="8"/>
    </row>
    <row r="119" spans="3:29">
      <c r="C119" s="8"/>
      <c r="D119" s="82"/>
      <c r="E119" s="82"/>
      <c r="F119" s="82"/>
      <c r="G119" s="8"/>
      <c r="H119" s="8"/>
      <c r="I119" s="8"/>
      <c r="J119" s="8"/>
      <c r="K119" s="8"/>
      <c r="L119" s="8"/>
      <c r="M119" s="8"/>
      <c r="N119" s="8"/>
      <c r="O119" s="8"/>
      <c r="P119" s="8"/>
      <c r="Q119" s="8"/>
      <c r="R119" s="8"/>
      <c r="S119" s="8"/>
      <c r="T119" s="8"/>
      <c r="U119" s="8"/>
      <c r="V119" s="8"/>
      <c r="W119" s="8"/>
      <c r="X119" s="8"/>
      <c r="Y119" s="8"/>
      <c r="Z119" s="8"/>
      <c r="AA119" s="8"/>
      <c r="AB119" s="8"/>
      <c r="AC119" s="8"/>
    </row>
    <row r="120" spans="3:29">
      <c r="C120" s="8"/>
      <c r="D120" s="82"/>
      <c r="E120" s="82"/>
      <c r="F120" s="82"/>
      <c r="G120" s="8"/>
      <c r="H120" s="8"/>
      <c r="I120" s="8"/>
      <c r="J120" s="8"/>
      <c r="K120" s="8"/>
      <c r="L120" s="8"/>
      <c r="M120" s="8"/>
      <c r="N120" s="8"/>
      <c r="O120" s="8"/>
      <c r="P120" s="8"/>
      <c r="Q120" s="8"/>
      <c r="R120" s="8"/>
      <c r="S120" s="8"/>
      <c r="T120" s="8"/>
      <c r="U120" s="8"/>
      <c r="V120" s="8"/>
      <c r="W120" s="8"/>
      <c r="X120" s="8"/>
      <c r="Y120" s="8"/>
      <c r="Z120" s="8"/>
      <c r="AA120" s="8"/>
      <c r="AB120" s="8"/>
      <c r="AC120" s="8"/>
    </row>
    <row r="121" spans="3:29">
      <c r="C121" s="8"/>
      <c r="D121" s="82"/>
      <c r="E121" s="82"/>
      <c r="F121" s="82"/>
      <c r="G121" s="8"/>
      <c r="H121" s="8"/>
      <c r="I121" s="8"/>
      <c r="J121" s="8"/>
      <c r="K121" s="8"/>
      <c r="L121" s="8"/>
      <c r="M121" s="8"/>
      <c r="N121" s="8"/>
      <c r="O121" s="8"/>
      <c r="P121" s="8"/>
      <c r="Q121" s="8"/>
      <c r="R121" s="8"/>
      <c r="S121" s="8"/>
      <c r="T121" s="8"/>
      <c r="U121" s="8"/>
      <c r="V121" s="8"/>
      <c r="W121" s="8"/>
      <c r="X121" s="8"/>
      <c r="Y121" s="8"/>
      <c r="Z121" s="8"/>
      <c r="AA121" s="8"/>
      <c r="AB121" s="8"/>
      <c r="AC121" s="8"/>
    </row>
    <row r="122" spans="3:29">
      <c r="C122" s="8"/>
      <c r="D122" s="82"/>
      <c r="E122" s="82"/>
      <c r="F122" s="82"/>
      <c r="G122" s="8"/>
      <c r="H122" s="8"/>
      <c r="I122" s="8"/>
      <c r="J122" s="8"/>
      <c r="K122" s="8"/>
      <c r="L122" s="8"/>
      <c r="M122" s="8"/>
      <c r="N122" s="8"/>
      <c r="O122" s="8"/>
      <c r="P122" s="8"/>
      <c r="Q122" s="8"/>
      <c r="R122" s="8"/>
      <c r="S122" s="8"/>
      <c r="T122" s="8"/>
      <c r="U122" s="8"/>
      <c r="V122" s="8"/>
      <c r="W122" s="8"/>
      <c r="X122" s="8"/>
      <c r="Y122" s="8"/>
      <c r="Z122" s="8"/>
      <c r="AA122" s="8"/>
      <c r="AB122" s="8"/>
      <c r="AC122" s="8"/>
    </row>
    <row r="123" spans="3:29">
      <c r="C123" s="8"/>
      <c r="D123" s="82"/>
      <c r="E123" s="82"/>
      <c r="F123" s="82"/>
      <c r="G123" s="8"/>
      <c r="H123" s="8"/>
      <c r="I123" s="8"/>
      <c r="J123" s="8"/>
      <c r="K123" s="8"/>
      <c r="L123" s="8"/>
      <c r="M123" s="8"/>
      <c r="N123" s="8"/>
      <c r="O123" s="8"/>
      <c r="P123" s="8"/>
      <c r="Q123" s="8"/>
      <c r="R123" s="8"/>
      <c r="S123" s="8"/>
      <c r="T123" s="8"/>
      <c r="U123" s="8"/>
      <c r="V123" s="8"/>
      <c r="W123" s="8"/>
      <c r="X123" s="8"/>
      <c r="Y123" s="8"/>
      <c r="Z123" s="8"/>
      <c r="AA123" s="8"/>
      <c r="AB123" s="8"/>
      <c r="AC123" s="8"/>
    </row>
    <row r="124" spans="3:29">
      <c r="C124" s="8"/>
      <c r="D124" s="82"/>
      <c r="E124" s="82"/>
      <c r="F124" s="82"/>
      <c r="G124" s="8"/>
      <c r="H124" s="8"/>
      <c r="I124" s="8"/>
      <c r="J124" s="8"/>
      <c r="K124" s="8"/>
      <c r="L124" s="8"/>
      <c r="M124" s="8"/>
      <c r="N124" s="8"/>
      <c r="O124" s="8"/>
      <c r="P124" s="8"/>
      <c r="Q124" s="8"/>
      <c r="R124" s="8"/>
      <c r="S124" s="8"/>
      <c r="T124" s="8"/>
      <c r="U124" s="8"/>
      <c r="V124" s="8"/>
      <c r="W124" s="8"/>
      <c r="X124" s="8"/>
      <c r="Y124" s="8"/>
      <c r="Z124" s="8"/>
      <c r="AA124" s="8"/>
      <c r="AB124" s="8"/>
      <c r="AC124" s="8"/>
    </row>
    <row r="125" spans="3:29">
      <c r="C125" s="8"/>
      <c r="D125" s="82"/>
      <c r="E125" s="82"/>
      <c r="F125" s="82"/>
      <c r="G125" s="8"/>
      <c r="H125" s="8"/>
      <c r="I125" s="8"/>
      <c r="J125" s="8"/>
      <c r="K125" s="8"/>
      <c r="L125" s="8"/>
      <c r="M125" s="8"/>
      <c r="N125" s="8"/>
      <c r="O125" s="8"/>
      <c r="P125" s="8"/>
      <c r="Q125" s="8"/>
      <c r="R125" s="8"/>
      <c r="S125" s="8"/>
      <c r="T125" s="8"/>
      <c r="U125" s="8"/>
      <c r="V125" s="8"/>
      <c r="W125" s="8"/>
      <c r="X125" s="8"/>
      <c r="Y125" s="8"/>
      <c r="Z125" s="8"/>
      <c r="AA125" s="8"/>
      <c r="AB125" s="8"/>
      <c r="AC125" s="8"/>
    </row>
    <row r="126" spans="3:29">
      <c r="C126" s="8"/>
      <c r="D126" s="82"/>
      <c r="E126" s="82"/>
      <c r="F126" s="82"/>
      <c r="G126" s="8"/>
      <c r="H126" s="8"/>
      <c r="I126" s="8"/>
      <c r="J126" s="8"/>
      <c r="K126" s="8"/>
      <c r="L126" s="8"/>
      <c r="M126" s="8"/>
      <c r="N126" s="8"/>
      <c r="O126" s="8"/>
      <c r="P126" s="8"/>
      <c r="Q126" s="8"/>
      <c r="R126" s="8"/>
      <c r="S126" s="8"/>
      <c r="T126" s="8"/>
      <c r="U126" s="8"/>
      <c r="V126" s="8"/>
      <c r="W126" s="8"/>
      <c r="X126" s="8"/>
      <c r="Y126" s="8"/>
      <c r="Z126" s="8"/>
      <c r="AA126" s="8"/>
      <c r="AB126" s="8"/>
      <c r="AC126" s="8"/>
    </row>
    <row r="127" spans="3:29">
      <c r="C127" s="8"/>
      <c r="D127" s="82"/>
      <c r="E127" s="82"/>
      <c r="F127" s="82"/>
      <c r="G127" s="8"/>
      <c r="H127" s="8"/>
      <c r="I127" s="8"/>
      <c r="J127" s="8"/>
      <c r="K127" s="8"/>
      <c r="L127" s="8"/>
      <c r="M127" s="8"/>
      <c r="N127" s="8"/>
      <c r="O127" s="8"/>
      <c r="P127" s="8"/>
      <c r="Q127" s="8"/>
      <c r="R127" s="8"/>
      <c r="S127" s="8"/>
      <c r="T127" s="8"/>
      <c r="U127" s="8"/>
      <c r="V127" s="8"/>
      <c r="W127" s="8"/>
      <c r="X127" s="8"/>
      <c r="Y127" s="8"/>
      <c r="Z127" s="8"/>
      <c r="AA127" s="8"/>
      <c r="AB127" s="8"/>
      <c r="AC127" s="8"/>
    </row>
    <row r="128" spans="3:29">
      <c r="C128" s="8"/>
      <c r="D128" s="82"/>
      <c r="E128" s="82"/>
      <c r="F128" s="82"/>
      <c r="G128" s="8"/>
      <c r="H128" s="8"/>
      <c r="I128" s="8"/>
      <c r="J128" s="8"/>
      <c r="K128" s="8"/>
      <c r="L128" s="8"/>
      <c r="M128" s="8"/>
      <c r="N128" s="8"/>
      <c r="O128" s="8"/>
      <c r="P128" s="8"/>
      <c r="Q128" s="8"/>
      <c r="R128" s="8"/>
      <c r="S128" s="8"/>
      <c r="T128" s="8"/>
      <c r="U128" s="8"/>
      <c r="V128" s="8"/>
      <c r="W128" s="8"/>
      <c r="X128" s="8"/>
      <c r="Y128" s="8"/>
      <c r="Z128" s="8"/>
      <c r="AA128" s="8"/>
      <c r="AB128" s="8"/>
      <c r="AC128" s="8"/>
    </row>
    <row r="129" spans="3:29">
      <c r="C129" s="8"/>
      <c r="D129" s="82"/>
      <c r="E129" s="82"/>
      <c r="F129" s="82"/>
      <c r="G129" s="8"/>
      <c r="H129" s="8"/>
      <c r="I129" s="8"/>
      <c r="J129" s="8"/>
      <c r="K129" s="8"/>
      <c r="L129" s="8"/>
      <c r="M129" s="8"/>
      <c r="N129" s="8"/>
      <c r="O129" s="8"/>
      <c r="P129" s="8"/>
      <c r="Q129" s="8"/>
      <c r="R129" s="8"/>
      <c r="S129" s="8"/>
      <c r="T129" s="8"/>
      <c r="U129" s="8"/>
      <c r="V129" s="8"/>
      <c r="W129" s="8"/>
      <c r="X129" s="8"/>
      <c r="Y129" s="8"/>
      <c r="Z129" s="8"/>
      <c r="AA129" s="8"/>
      <c r="AB129" s="8"/>
      <c r="AC129" s="8"/>
    </row>
    <row r="130" spans="3:29">
      <c r="C130" s="8"/>
      <c r="D130" s="82"/>
      <c r="E130" s="82"/>
      <c r="F130" s="82"/>
      <c r="G130" s="8"/>
      <c r="H130" s="8"/>
      <c r="I130" s="8"/>
      <c r="J130" s="8"/>
      <c r="K130" s="8"/>
      <c r="L130" s="8"/>
      <c r="M130" s="8"/>
      <c r="N130" s="8"/>
      <c r="O130" s="8"/>
      <c r="P130" s="8"/>
      <c r="Q130" s="8"/>
      <c r="R130" s="8"/>
      <c r="S130" s="8"/>
      <c r="T130" s="8"/>
      <c r="U130" s="8"/>
      <c r="V130" s="8"/>
      <c r="W130" s="8"/>
      <c r="X130" s="8"/>
      <c r="Y130" s="8"/>
      <c r="Z130" s="8"/>
      <c r="AA130" s="8"/>
      <c r="AB130" s="8"/>
      <c r="AC130" s="8"/>
    </row>
    <row r="131" spans="3:29">
      <c r="C131" s="8"/>
      <c r="D131" s="82"/>
      <c r="E131" s="82"/>
      <c r="F131" s="82"/>
      <c r="G131" s="8"/>
      <c r="H131" s="8"/>
      <c r="I131" s="8"/>
      <c r="J131" s="8"/>
      <c r="K131" s="8"/>
      <c r="L131" s="8"/>
      <c r="M131" s="8"/>
      <c r="N131" s="8"/>
      <c r="O131" s="8"/>
      <c r="P131" s="8"/>
      <c r="Q131" s="8"/>
      <c r="R131" s="8"/>
      <c r="S131" s="8"/>
      <c r="T131" s="8"/>
      <c r="U131" s="8"/>
      <c r="V131" s="8"/>
      <c r="W131" s="8"/>
      <c r="X131" s="8"/>
      <c r="Y131" s="8"/>
      <c r="Z131" s="8"/>
      <c r="AA131" s="8"/>
      <c r="AB131" s="8"/>
      <c r="AC131" s="8"/>
    </row>
    <row r="132" spans="3:29">
      <c r="C132" s="8"/>
      <c r="D132" s="82"/>
      <c r="E132" s="82"/>
      <c r="F132" s="82"/>
      <c r="G132" s="8"/>
      <c r="H132" s="8"/>
      <c r="I132" s="8"/>
      <c r="J132" s="8"/>
      <c r="K132" s="8"/>
      <c r="L132" s="8"/>
      <c r="M132" s="8"/>
      <c r="N132" s="8"/>
      <c r="O132" s="8"/>
      <c r="P132" s="8"/>
      <c r="Q132" s="8"/>
      <c r="R132" s="8"/>
      <c r="S132" s="8"/>
      <c r="T132" s="8"/>
      <c r="U132" s="8"/>
      <c r="V132" s="8"/>
      <c r="W132" s="8"/>
      <c r="X132" s="8"/>
      <c r="Y132" s="8"/>
      <c r="Z132" s="8"/>
      <c r="AA132" s="8"/>
      <c r="AB132" s="8"/>
      <c r="AC132" s="8"/>
    </row>
    <row r="133" spans="3:2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3:29">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3:2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3:29">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3:2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3:29">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3:2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3:29">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3:2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3:29">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3:2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3:29">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3:2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3:29">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3:2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3:29">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3:2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3:29">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3:2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3:29">
      <c r="C152" s="8"/>
    </row>
    <row r="153" spans="3:29">
      <c r="C153" s="8"/>
    </row>
    <row r="154" spans="3:29">
      <c r="C154" s="8"/>
    </row>
    <row r="155" spans="3:29">
      <c r="C155" s="8"/>
    </row>
    <row r="156" spans="3:29">
      <c r="C156" s="8"/>
    </row>
    <row r="157" spans="3:29">
      <c r="C157" s="8"/>
    </row>
    <row r="158" spans="3:29">
      <c r="C158" s="8"/>
    </row>
    <row r="159" spans="3:29">
      <c r="C159" s="8"/>
    </row>
    <row r="160" spans="3:29">
      <c r="C160" s="8"/>
    </row>
    <row r="161" spans="3:3">
      <c r="C161" s="8"/>
    </row>
    <row r="162" spans="3:3">
      <c r="C162" s="8"/>
    </row>
    <row r="163" spans="3:3">
      <c r="C163" s="8"/>
    </row>
    <row r="164" spans="3:3">
      <c r="C164" s="8"/>
    </row>
    <row r="165" spans="3:3">
      <c r="C165" s="8"/>
    </row>
    <row r="166" spans="3:3">
      <c r="C166" s="8"/>
    </row>
    <row r="167" spans="3:3">
      <c r="C167" s="8"/>
    </row>
    <row r="168" spans="3:3">
      <c r="C168" s="8"/>
    </row>
    <row r="169" spans="3:3">
      <c r="C169" s="8"/>
    </row>
    <row r="170" spans="3:3">
      <c r="C170" s="8"/>
    </row>
    <row r="171" spans="3:3">
      <c r="C171" s="8"/>
    </row>
    <row r="172" spans="3:3">
      <c r="C172" s="8"/>
    </row>
    <row r="173" spans="3:3">
      <c r="C173" s="8"/>
    </row>
    <row r="174" spans="3:3">
      <c r="C174" s="8"/>
    </row>
    <row r="175" spans="3:3">
      <c r="C175" s="8"/>
    </row>
    <row r="176" spans="3:3">
      <c r="C176" s="8"/>
    </row>
    <row r="177" spans="3:3">
      <c r="C177" s="8"/>
    </row>
    <row r="178" spans="3:3">
      <c r="C178" s="8"/>
    </row>
  </sheetData>
  <autoFilter ref="A61:AL110">
    <sortState ref="A78:AL126">
      <sortCondition ref="B77:B126"/>
    </sortState>
  </autoFilter>
  <mergeCells count="21">
    <mergeCell ref="B5:H5"/>
    <mergeCell ref="B6:H6"/>
    <mergeCell ref="B7:H7"/>
    <mergeCell ref="B8:H8"/>
    <mergeCell ref="B9:H9"/>
    <mergeCell ref="W60:Z60"/>
    <mergeCell ref="AA60:AD60"/>
    <mergeCell ref="AE60:AH60"/>
    <mergeCell ref="AI60:AL60"/>
    <mergeCell ref="A60:B60"/>
    <mergeCell ref="C60:F60"/>
    <mergeCell ref="G60:J60"/>
    <mergeCell ref="K60:N60"/>
    <mergeCell ref="O60:R60"/>
    <mergeCell ref="S60:V60"/>
    <mergeCell ref="M3:N3"/>
    <mergeCell ref="M4:N4"/>
    <mergeCell ref="J3:K3"/>
    <mergeCell ref="J4:K4"/>
    <mergeCell ref="G2:H2"/>
    <mergeCell ref="A3:H3"/>
  </mergeCells>
  <conditionalFormatting sqref="C14:H43">
    <cfRule type="expression" dxfId="112" priority="2">
      <formula>ISERROR(C14)</formula>
    </cfRule>
  </conditionalFormatting>
  <conditionalFormatting sqref="C44:H59">
    <cfRule type="expression" dxfId="111" priority="1">
      <formula>ISERROR(C44)</formula>
    </cfRule>
  </conditionalFormatting>
  <hyperlinks>
    <hyperlink ref="G2" location="'Information och Innehåll'!A1" display="Tillbaka till Information och Innehåll"/>
    <hyperlink ref="J6" location="V1.1.1!A1" display="V1.1.1"/>
    <hyperlink ref="J7" location="V1.1.2!A1" display="V1.1.2"/>
    <hyperlink ref="J8" location="V1.1.3!A1" display="V1.1.3"/>
    <hyperlink ref="J9" location="V2.1.1!A1" display="V2.1.1"/>
    <hyperlink ref="J10" location="V2.1.2!A1" display="V2.1.2"/>
    <hyperlink ref="J12" location="V3.1.2!A1" display="V3.1.2"/>
    <hyperlink ref="J11" location="V3.1.1!A1" display="V3.1.1"/>
    <hyperlink ref="J13" location="V3.1.3!A1" display="V3.1.3"/>
    <hyperlink ref="J15" location="V4.1.1!A1" display="V4.1.1"/>
    <hyperlink ref="J16" location="V4.2.1!A1" display="V4.2.1"/>
    <hyperlink ref="J17" location="V4.2.2!A1" display="V4.2.2"/>
    <hyperlink ref="J18" location="V4.2.3!A1" display="V4.2.3"/>
    <hyperlink ref="J19" location="V4.2.4!A1" display="V4.2.4"/>
    <hyperlink ref="J20" location="V5.1.1!A1" display="V5.1.1"/>
    <hyperlink ref="J21" location="V5.1.2!A1" display="V5.1.2"/>
    <hyperlink ref="K6" location="B1.1.1!A1" display="B1.1.1"/>
    <hyperlink ref="K7" location="B1.1.2!A1" display="B1.1.2"/>
    <hyperlink ref="K8" location="B1.2.1!A1" display="B1.2.1"/>
    <hyperlink ref="K9" location="B1.2.2!A1" display="B1.2.2"/>
    <hyperlink ref="K10" location="B1.2.3!A1" display="B1.2.3"/>
    <hyperlink ref="K11" location="B2.1.1!A1" display="B2.1.1"/>
    <hyperlink ref="K13" location="B2.2.1!A1" display="B2.2.1"/>
    <hyperlink ref="K14" location="B2.2.2!A1" display="B2.2.2"/>
    <hyperlink ref="K15" location="B2.2.3!A1" display="B2.2.3"/>
    <hyperlink ref="K16" location="B2.2.4!A1" display="B2.2.4"/>
    <hyperlink ref="K17" location="B3.1.1!A1" display="B3.1.1"/>
    <hyperlink ref="K18" location="B3.1.2!A1" display="B3.1.2"/>
    <hyperlink ref="K21" location="B4.1.1!A1" display="B4.1.1"/>
    <hyperlink ref="K22" location="B5.1.1!A1" display="B5.1.1"/>
    <hyperlink ref="K23" location="B5.1.2!A1" display="B5.1.2"/>
    <hyperlink ref="K24" location="B5.1.3!A1" display="B5.1.3"/>
    <hyperlink ref="K19" location="B3.1.3!A1" display="B3.1.3"/>
    <hyperlink ref="K12" location="B2.1.2!A1" display="B2.1.2"/>
    <hyperlink ref="J22" location="V5.1.3!A1" display="V5.1.3"/>
    <hyperlink ref="K20" location="B3.2.1!A1" display="B3.2.1"/>
    <hyperlink ref="J14" location="B3.2.1!A1" display="V3.2.1"/>
    <hyperlink ref="M6" location="'V1.1.1 DATA'!A1" display="V1.1.1"/>
    <hyperlink ref="M7" location="'V1.1.2 DATA'!A1" display="V1.1.2"/>
    <hyperlink ref="M8" location="'V1.1.3 Data'!A1" display="V1.1.3"/>
    <hyperlink ref="M9" location="'V2.1.1 DATA'!A1" display="V2.1.1"/>
    <hyperlink ref="M10" location="'V2.1.2 DATA'!A1" display="V2.1.2"/>
    <hyperlink ref="M12" location="'V3.1.2 DATA'!A1" display="V3.1.2"/>
    <hyperlink ref="M11" location="'V3.1.1 DATA'!A1" display="V3.1.1"/>
    <hyperlink ref="M13" location="'V3.1.3 DATA'!A1" display="V3.1.3"/>
    <hyperlink ref="M14" location="'V3.2.1 DATA'!A1" display="V3.2.1"/>
    <hyperlink ref="M15" location="'V4.1.1 DATA'!A1" display="V4.1.1"/>
    <hyperlink ref="M16" location="'V4.2.1 DATA'!A1" display="V4.2.1"/>
    <hyperlink ref="M18" location="'V4.2.3 DATA'!A1" display="V4.2.3"/>
    <hyperlink ref="M19" location="'V4.2.4 DATA'!A1" display="V4.2.4"/>
    <hyperlink ref="M20" location="'V5.1.1 DATA'!A1" display="V5.1.1"/>
    <hyperlink ref="M21" location="'V5.1.2 DATA'!A1" display="V5.1.2"/>
    <hyperlink ref="N6" location="'B1.1.1 DATA'!A1" display="B1.1.1"/>
    <hyperlink ref="N7" location="'B1.1.2 DATA'!A1" display="B1.1.2"/>
    <hyperlink ref="N8" location="'B1.2.1 DATA'!A1" display="B1.2.1"/>
    <hyperlink ref="N9" location="'B1.2.2 DATA'!A1" display="B1.2.2"/>
    <hyperlink ref="N10" location="'B1.2.3 DATA'!A1" display="B1.2.3"/>
    <hyperlink ref="N11" location="'B2.1.1 DATA'!A1" display="B2.1.1"/>
    <hyperlink ref="N13" location="'B2.2.1 DATA'!A1" display="B2.2.1"/>
    <hyperlink ref="N14" location="'B2.2.2 DATA'!A1" display="B2.2.2"/>
    <hyperlink ref="N15" location="'B2.2.3 DATA'!A1" display="B2.2.3"/>
    <hyperlink ref="N16" location="'B2.2.4 DATA'!A1" display="B2.2.4"/>
    <hyperlink ref="N17" location="'B3.1.1 DATA'!A1" display="B3.1.1"/>
    <hyperlink ref="N18" location="'B3.1.2 DATA'!A1" display="B3.1.2"/>
    <hyperlink ref="N20" location="'B3.2.1 DATA'!A1" display="B3.2.1"/>
    <hyperlink ref="N21" location="'B4.1.1 DATA'!A1" display="B4.1.1"/>
    <hyperlink ref="N22" location="'B5.1.1 DATA'!A1" display="B5.1.1"/>
    <hyperlink ref="N23" location="'B5.1.2 DATA'!A1" display="B5.1.2"/>
    <hyperlink ref="N24" location="'B5.1.3 DATA'!A1" display="B5.1.3"/>
    <hyperlink ref="N12" location="'B2.1.2 DATA'!A1" display="B2.1.2"/>
    <hyperlink ref="M22" location="'V5.1.3 DATA'!A1" display="V5.1.3"/>
    <hyperlink ref="N19" location="'B3.1.3 DATA'!A1" display="B3.1.3"/>
    <hyperlink ref="M17" location="'V4.2.2 DATA'!A1" display="V4.2.2"/>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5DAC7"/>
  </sheetPr>
  <dimension ref="A2:AA57"/>
  <sheetViews>
    <sheetView showGridLines="0" showRowColHeaders="0" zoomScale="70" zoomScaleNormal="70" workbookViewId="0"/>
  </sheetViews>
  <sheetFormatPr defaultRowHeight="14.25"/>
  <cols>
    <col min="1" max="1" width="2.796875" customWidth="1"/>
    <col min="2" max="4" width="8.796875" customWidth="1"/>
    <col min="5" max="5" width="14.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471</v>
      </c>
      <c r="C3" s="338"/>
      <c r="D3" s="338"/>
      <c r="E3" s="338"/>
      <c r="F3" s="338"/>
      <c r="G3" s="338"/>
      <c r="H3" s="338"/>
      <c r="I3" s="338"/>
      <c r="J3" s="338"/>
      <c r="K3" s="338"/>
      <c r="L3" s="338"/>
      <c r="M3" s="338"/>
      <c r="N3" s="338"/>
      <c r="O3" s="338"/>
      <c r="P3" s="338"/>
      <c r="Q3" s="338"/>
      <c r="R3" s="338"/>
      <c r="S3" s="338"/>
      <c r="T3" s="338"/>
    </row>
    <row r="4" spans="1:20" ht="30.75">
      <c r="B4" s="339" t="s">
        <v>486</v>
      </c>
      <c r="C4" s="339"/>
      <c r="D4" s="339"/>
      <c r="E4" s="339"/>
      <c r="F4" s="339"/>
      <c r="G4" s="339"/>
      <c r="H4" s="339"/>
      <c r="I4" s="339"/>
      <c r="J4" s="339"/>
      <c r="K4" s="339"/>
      <c r="L4" s="339"/>
      <c r="M4" s="339"/>
      <c r="N4" s="339"/>
      <c r="O4" s="339"/>
      <c r="P4" s="339"/>
      <c r="Q4" s="339"/>
      <c r="R4" s="339"/>
      <c r="S4" s="339"/>
      <c r="T4" s="339"/>
    </row>
    <row r="5" spans="1:20" ht="18">
      <c r="B5" s="340" t="s">
        <v>51</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122"/>
      <c r="O10" s="122"/>
      <c r="P10" s="122"/>
      <c r="Q10" s="122"/>
      <c r="R10" s="122"/>
      <c r="S10" s="122"/>
      <c r="T10" s="122"/>
    </row>
    <row r="11" spans="1:20">
      <c r="B11" s="336" t="s">
        <v>40</v>
      </c>
      <c r="C11" s="336"/>
      <c r="D11" s="336"/>
      <c r="E11" s="336"/>
      <c r="F11" s="336"/>
      <c r="G11" s="336"/>
      <c r="H11" s="336"/>
      <c r="I11" s="336"/>
      <c r="J11" s="336"/>
      <c r="K11" s="336"/>
      <c r="L11" s="336"/>
      <c r="N11" s="87" t="s">
        <v>211</v>
      </c>
      <c r="O11" s="87" t="s">
        <v>286</v>
      </c>
      <c r="P11" s="86"/>
      <c r="Q11" s="86"/>
      <c r="R11" s="86"/>
    </row>
    <row r="12" spans="1:20">
      <c r="B12" s="119"/>
      <c r="C12" s="337" t="s">
        <v>553</v>
      </c>
      <c r="D12" s="337"/>
      <c r="E12" s="337"/>
      <c r="F12" s="337"/>
      <c r="G12" s="337"/>
      <c r="H12" s="337"/>
      <c r="I12" s="337"/>
      <c r="J12" s="337"/>
      <c r="K12" s="337"/>
      <c r="L12" s="337"/>
      <c r="N12" s="87" t="s">
        <v>287</v>
      </c>
      <c r="O12" s="86" t="s">
        <v>83</v>
      </c>
      <c r="P12" s="86" t="s">
        <v>350</v>
      </c>
      <c r="Q12" s="86" t="s">
        <v>351</v>
      </c>
      <c r="R12" s="86" t="s">
        <v>91</v>
      </c>
    </row>
    <row r="13" spans="1:20">
      <c r="B13" s="117"/>
      <c r="C13" s="332" t="s">
        <v>554</v>
      </c>
      <c r="D13" s="332"/>
      <c r="E13" s="332"/>
      <c r="F13" s="332"/>
      <c r="G13" s="332"/>
      <c r="H13" s="332"/>
      <c r="I13" s="332"/>
      <c r="J13" s="332"/>
      <c r="K13" s="332"/>
      <c r="L13" s="332"/>
      <c r="N13" s="88">
        <v>2017</v>
      </c>
      <c r="O13" s="86">
        <v>0.30434782608695654</v>
      </c>
      <c r="P13" s="86">
        <v>2.0833333333333332E-2</v>
      </c>
      <c r="Q13" s="86">
        <v>0.31111111111111112</v>
      </c>
      <c r="R13" s="86">
        <v>2.2222222222222223E-2</v>
      </c>
    </row>
    <row r="14" spans="1:20">
      <c r="B14" s="117"/>
      <c r="C14" s="333" t="s">
        <v>292</v>
      </c>
      <c r="D14" s="333"/>
      <c r="E14" s="333"/>
      <c r="F14" s="333"/>
      <c r="G14" s="333"/>
      <c r="H14" s="333"/>
      <c r="I14" s="333"/>
      <c r="J14" s="333"/>
      <c r="K14" s="333"/>
      <c r="L14" s="333"/>
      <c r="N14" s="88">
        <v>2018</v>
      </c>
      <c r="O14" s="86"/>
      <c r="P14" s="86"/>
      <c r="Q14" s="86"/>
      <c r="R14" s="86"/>
    </row>
    <row r="15" spans="1:20">
      <c r="B15" s="117"/>
      <c r="C15" s="333" t="s">
        <v>555</v>
      </c>
      <c r="D15" s="333"/>
      <c r="E15" s="333"/>
      <c r="F15" s="333"/>
      <c r="G15" s="333"/>
      <c r="H15" s="333"/>
      <c r="I15" s="333"/>
      <c r="J15" s="333"/>
      <c r="K15" s="333"/>
      <c r="L15" s="333"/>
      <c r="N15" s="88">
        <v>2019</v>
      </c>
      <c r="O15" s="86"/>
      <c r="P15" s="86"/>
      <c r="Q15" s="86"/>
      <c r="R15" s="86"/>
    </row>
    <row r="16" spans="1:20">
      <c r="A16" s="3"/>
      <c r="B16" s="117"/>
      <c r="C16" s="118"/>
      <c r="D16" s="118"/>
      <c r="E16" s="118"/>
      <c r="F16" s="118"/>
      <c r="G16" s="118"/>
      <c r="H16" s="118"/>
      <c r="I16" s="118"/>
      <c r="J16" s="118"/>
      <c r="K16" s="118"/>
      <c r="L16" s="117"/>
      <c r="N16" s="88">
        <v>2020</v>
      </c>
      <c r="O16" s="86"/>
      <c r="P16" s="86"/>
      <c r="Q16" s="86"/>
      <c r="R16" s="86"/>
    </row>
    <row r="17" spans="1:26">
      <c r="A17" s="3"/>
      <c r="B17" s="336" t="s">
        <v>41</v>
      </c>
      <c r="C17" s="336"/>
      <c r="D17" s="336"/>
      <c r="E17" s="336"/>
      <c r="F17" s="336"/>
      <c r="G17" s="336"/>
      <c r="H17" s="336"/>
      <c r="I17" s="336"/>
      <c r="J17" s="336"/>
      <c r="K17" s="336"/>
      <c r="L17" s="336"/>
      <c r="N17" s="88">
        <v>2021</v>
      </c>
      <c r="O17" s="86"/>
      <c r="P17" s="86"/>
      <c r="Q17" s="86"/>
      <c r="R17" s="86"/>
    </row>
    <row r="18" spans="1:26">
      <c r="A18" s="3"/>
      <c r="B18" s="119"/>
      <c r="C18" s="333" t="s">
        <v>295</v>
      </c>
      <c r="D18" s="333"/>
      <c r="E18" s="333"/>
      <c r="F18" s="333"/>
      <c r="G18" s="333"/>
      <c r="H18" s="333"/>
      <c r="I18" s="333"/>
      <c r="J18" s="333"/>
      <c r="K18" s="333"/>
      <c r="L18" s="333"/>
      <c r="N18" s="88">
        <v>2022</v>
      </c>
      <c r="O18" s="86"/>
      <c r="P18" s="86"/>
      <c r="Q18" s="86"/>
      <c r="R18" s="86"/>
    </row>
    <row r="19" spans="1:26">
      <c r="A19" s="3"/>
      <c r="B19" s="117"/>
      <c r="C19" s="333" t="s">
        <v>317</v>
      </c>
      <c r="D19" s="333"/>
      <c r="E19" s="333"/>
      <c r="F19" s="333"/>
      <c r="G19" s="333"/>
      <c r="H19" s="333"/>
      <c r="I19" s="333"/>
      <c r="J19" s="333"/>
      <c r="K19" s="333"/>
      <c r="L19" s="333"/>
      <c r="N19" s="88">
        <v>2023</v>
      </c>
      <c r="O19" s="86"/>
      <c r="P19" s="86"/>
      <c r="Q19" s="86"/>
      <c r="R19" s="86"/>
    </row>
    <row r="20" spans="1:26">
      <c r="A20" s="3"/>
      <c r="B20" s="117"/>
      <c r="C20" s="333" t="s">
        <v>369</v>
      </c>
      <c r="D20" s="333"/>
      <c r="E20" s="333"/>
      <c r="F20" s="333"/>
      <c r="G20" s="333"/>
      <c r="H20" s="333"/>
      <c r="I20" s="333"/>
      <c r="J20" s="333"/>
      <c r="K20" s="333"/>
      <c r="L20" s="333"/>
      <c r="N20" s="88">
        <v>2024</v>
      </c>
      <c r="O20" s="86"/>
      <c r="P20" s="86"/>
      <c r="Q20" s="86"/>
      <c r="R20" s="86"/>
    </row>
    <row r="21" spans="1:26">
      <c r="A21" s="3"/>
      <c r="B21" s="117"/>
      <c r="C21" s="58" t="str">
        <f>"--&gt;"</f>
        <v>--&gt;</v>
      </c>
      <c r="D21" s="334" t="s">
        <v>212</v>
      </c>
      <c r="E21" s="334"/>
      <c r="F21" s="334"/>
      <c r="G21" s="334"/>
      <c r="H21" s="334"/>
      <c r="I21" s="334"/>
      <c r="J21" s="334"/>
      <c r="K21" s="334"/>
      <c r="L21" s="334"/>
      <c r="N21" s="88">
        <v>2025</v>
      </c>
      <c r="O21" s="86"/>
      <c r="P21" s="86"/>
      <c r="Q21" s="86"/>
      <c r="R21" s="86"/>
    </row>
    <row r="22" spans="1:26">
      <c r="A22" s="3"/>
      <c r="B22" s="117"/>
      <c r="C22" s="117"/>
      <c r="D22" s="334"/>
      <c r="E22" s="334"/>
      <c r="F22" s="334"/>
      <c r="G22" s="334"/>
      <c r="H22" s="334"/>
      <c r="I22" s="334"/>
      <c r="J22" s="334"/>
      <c r="K22" s="334"/>
      <c r="L22" s="334"/>
    </row>
    <row r="23" spans="1:26">
      <c r="A23" s="3"/>
      <c r="B23" s="117"/>
      <c r="C23" s="333" t="s">
        <v>356</v>
      </c>
      <c r="D23" s="333"/>
      <c r="E23" s="333"/>
      <c r="F23" s="333"/>
      <c r="G23" s="333"/>
      <c r="H23" s="333"/>
      <c r="I23" s="333"/>
      <c r="J23" s="333"/>
      <c r="K23" s="333"/>
      <c r="L23" s="333"/>
    </row>
    <row r="24" spans="1:26">
      <c r="A24" s="3"/>
      <c r="B24" s="117"/>
      <c r="C24" s="333"/>
      <c r="D24" s="333"/>
      <c r="E24" s="333"/>
      <c r="F24" s="333"/>
      <c r="G24" s="333"/>
      <c r="H24" s="333"/>
      <c r="I24" s="333"/>
      <c r="J24" s="333"/>
      <c r="K24" s="333"/>
      <c r="L24" s="333"/>
      <c r="Q24" s="2"/>
      <c r="S24" s="11"/>
      <c r="T24" s="11"/>
    </row>
    <row r="25" spans="1:26">
      <c r="A25" s="3"/>
      <c r="B25" s="117"/>
      <c r="C25" s="333"/>
      <c r="D25" s="333"/>
      <c r="E25" s="333"/>
      <c r="F25" s="333"/>
      <c r="G25" s="333"/>
      <c r="H25" s="333"/>
      <c r="I25" s="333"/>
      <c r="J25" s="333"/>
      <c r="K25" s="333"/>
      <c r="L25" s="333"/>
      <c r="Q25" s="2"/>
      <c r="S25" s="11"/>
      <c r="T25" s="11"/>
    </row>
    <row r="26" spans="1:26" ht="14.45" customHeight="1">
      <c r="A26" s="3"/>
      <c r="B26" s="117"/>
      <c r="C26" s="335" t="s">
        <v>322</v>
      </c>
      <c r="D26" s="335"/>
      <c r="E26" s="335"/>
      <c r="F26" s="335"/>
      <c r="G26" s="335"/>
      <c r="H26" s="335"/>
      <c r="I26" s="335"/>
      <c r="J26" s="335"/>
      <c r="K26" s="335"/>
      <c r="L26" s="335"/>
      <c r="Q26" s="2"/>
      <c r="S26" s="11"/>
      <c r="T26" s="11"/>
    </row>
    <row r="27" spans="1:26">
      <c r="B27" s="118"/>
      <c r="C27" s="335"/>
      <c r="D27" s="335"/>
      <c r="E27" s="335"/>
      <c r="F27" s="335"/>
      <c r="G27" s="335"/>
      <c r="H27" s="335"/>
      <c r="I27" s="335"/>
      <c r="J27" s="335"/>
      <c r="K27" s="335"/>
      <c r="L27" s="335"/>
      <c r="Q27" s="2"/>
      <c r="S27" s="11"/>
      <c r="T27" s="11"/>
    </row>
    <row r="28" spans="1:26">
      <c r="B28" s="118"/>
      <c r="C28" s="335"/>
      <c r="D28" s="335"/>
      <c r="E28" s="335"/>
      <c r="F28" s="335"/>
      <c r="G28" s="335"/>
      <c r="H28" s="335"/>
      <c r="I28" s="335"/>
      <c r="J28" s="335"/>
      <c r="K28" s="335"/>
      <c r="L28" s="335"/>
      <c r="Q28" s="2"/>
      <c r="S28" s="11"/>
      <c r="T28" s="11"/>
    </row>
    <row r="29" spans="1:26">
      <c r="B29" s="83"/>
      <c r="C29" s="351"/>
      <c r="D29" s="351"/>
      <c r="E29" s="351"/>
      <c r="F29" s="351"/>
      <c r="G29" s="351"/>
      <c r="H29" s="351"/>
      <c r="I29" s="351"/>
      <c r="J29" s="351"/>
      <c r="K29" s="351"/>
      <c r="L29" s="351"/>
      <c r="S29" s="11"/>
      <c r="T29" s="11"/>
    </row>
    <row r="30" spans="1:26">
      <c r="B30" s="122"/>
      <c r="C30" s="351"/>
      <c r="D30" s="351"/>
      <c r="E30" s="351"/>
      <c r="F30" s="351"/>
      <c r="G30" s="351"/>
      <c r="H30" s="351"/>
      <c r="I30" s="351"/>
      <c r="J30" s="351"/>
      <c r="K30" s="351"/>
      <c r="L30" s="351"/>
      <c r="M30" s="9"/>
      <c r="N30" s="122"/>
      <c r="O30" s="34"/>
      <c r="P30" s="35"/>
      <c r="Q30" s="35"/>
      <c r="R30" s="35"/>
      <c r="S30" s="35"/>
      <c r="T30" s="122"/>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6">
      <c r="A33" s="3"/>
      <c r="B33" s="119"/>
      <c r="C33" s="119"/>
      <c r="D33" s="119"/>
      <c r="E33" s="119"/>
      <c r="F33" s="119"/>
      <c r="G33" s="119"/>
      <c r="H33" s="119"/>
      <c r="I33" s="119"/>
      <c r="J33" s="119"/>
      <c r="K33" s="119"/>
      <c r="L33" s="119"/>
      <c r="M33" s="119"/>
      <c r="N33" s="119"/>
      <c r="O33" s="119"/>
      <c r="P33" s="119"/>
      <c r="Q33" s="119"/>
      <c r="R33" s="119"/>
      <c r="S33" s="119"/>
      <c r="T33" s="119"/>
      <c r="V33" s="319" t="s">
        <v>65</v>
      </c>
      <c r="W33" s="320"/>
      <c r="X33" s="11"/>
      <c r="Y33" s="319" t="s">
        <v>66</v>
      </c>
      <c r="Z33" s="320"/>
    </row>
    <row r="34" spans="1:26">
      <c r="B34" s="119"/>
      <c r="C34" s="119"/>
      <c r="D34" s="119"/>
      <c r="E34" s="119"/>
      <c r="F34" s="119"/>
      <c r="G34" s="119"/>
      <c r="H34" s="119"/>
      <c r="I34" s="119"/>
      <c r="J34" s="119"/>
      <c r="K34" s="119"/>
      <c r="L34" s="119"/>
      <c r="M34" s="119"/>
      <c r="N34" s="119"/>
      <c r="O34" s="119"/>
      <c r="P34" s="119"/>
      <c r="Q34" s="119"/>
      <c r="R34" s="119"/>
      <c r="S34" s="119"/>
      <c r="T34" s="119"/>
      <c r="V34" s="56" t="s">
        <v>61</v>
      </c>
      <c r="W34" s="56" t="s">
        <v>62</v>
      </c>
      <c r="X34" s="11"/>
      <c r="Y34" s="56" t="s">
        <v>61</v>
      </c>
      <c r="Z34" s="56" t="s">
        <v>62</v>
      </c>
    </row>
    <row r="35" spans="1:26">
      <c r="B35" s="119"/>
      <c r="C35" s="119"/>
      <c r="D35" s="119"/>
      <c r="E35" s="119"/>
      <c r="F35" s="119"/>
      <c r="G35" s="119"/>
      <c r="H35" s="119"/>
      <c r="I35" s="119"/>
      <c r="J35" s="119"/>
      <c r="K35" s="119"/>
      <c r="L35" s="119"/>
      <c r="M35" s="119"/>
      <c r="N35" s="119"/>
      <c r="O35" s="119"/>
      <c r="P35" s="119"/>
      <c r="Q35" s="119"/>
      <c r="R35" s="119"/>
      <c r="S35" s="119"/>
      <c r="T35" s="119"/>
      <c r="V35" s="244" t="s">
        <v>392</v>
      </c>
      <c r="W35" s="244" t="s">
        <v>448</v>
      </c>
      <c r="X35" s="11"/>
      <c r="Y35" s="244" t="s">
        <v>392</v>
      </c>
      <c r="Z35" s="244" t="s">
        <v>448</v>
      </c>
    </row>
    <row r="36" spans="1:26">
      <c r="B36" s="119"/>
      <c r="C36" s="119"/>
      <c r="D36" s="119"/>
      <c r="E36" s="119"/>
      <c r="F36" s="119"/>
      <c r="G36" s="119"/>
      <c r="H36" s="119"/>
      <c r="I36" s="119"/>
      <c r="J36" s="119"/>
      <c r="K36" s="119"/>
      <c r="L36" s="119"/>
      <c r="M36" s="119"/>
      <c r="N36" s="119"/>
      <c r="O36" s="119"/>
      <c r="P36" s="119"/>
      <c r="Q36" s="119"/>
      <c r="R36" s="119"/>
      <c r="S36" s="119"/>
      <c r="T36" s="119"/>
      <c r="V36" s="244" t="s">
        <v>393</v>
      </c>
      <c r="W36" s="244" t="s">
        <v>449</v>
      </c>
      <c r="X36" s="11"/>
      <c r="Y36" s="244" t="s">
        <v>393</v>
      </c>
      <c r="Z36" s="244" t="s">
        <v>449</v>
      </c>
    </row>
    <row r="37" spans="1:26">
      <c r="B37" s="119"/>
      <c r="C37" s="119"/>
      <c r="D37" s="119"/>
      <c r="E37" s="119"/>
      <c r="F37" s="119"/>
      <c r="G37" s="119"/>
      <c r="H37" s="119"/>
      <c r="I37" s="119"/>
      <c r="J37" s="119"/>
      <c r="K37" s="119"/>
      <c r="L37" s="119"/>
      <c r="M37" s="119"/>
      <c r="N37" s="119"/>
      <c r="O37" s="119"/>
      <c r="P37" s="119"/>
      <c r="Q37" s="119"/>
      <c r="R37" s="119"/>
      <c r="S37" s="119"/>
      <c r="T37" s="119"/>
      <c r="V37" s="244" t="s">
        <v>394</v>
      </c>
      <c r="W37" s="244" t="s">
        <v>450</v>
      </c>
      <c r="X37" s="11"/>
      <c r="Y37" s="244" t="s">
        <v>394</v>
      </c>
      <c r="Z37" s="244" t="s">
        <v>450</v>
      </c>
    </row>
    <row r="38" spans="1:26">
      <c r="B38" s="119"/>
      <c r="C38" s="119"/>
      <c r="D38" s="119"/>
      <c r="E38" s="119"/>
      <c r="F38" s="119"/>
      <c r="G38" s="119"/>
      <c r="H38" s="119"/>
      <c r="I38" s="119"/>
      <c r="J38" s="119"/>
      <c r="K38" s="119"/>
      <c r="L38" s="119"/>
      <c r="M38" s="119"/>
      <c r="N38" s="119"/>
      <c r="O38" s="119"/>
      <c r="P38" s="119"/>
      <c r="Q38" s="119"/>
      <c r="R38" s="119"/>
      <c r="S38" s="119"/>
      <c r="T38" s="119"/>
      <c r="V38" s="244" t="s">
        <v>434</v>
      </c>
      <c r="W38" s="244" t="s">
        <v>451</v>
      </c>
      <c r="X38" s="11"/>
      <c r="Y38" s="244" t="s">
        <v>434</v>
      </c>
      <c r="Z38" s="244" t="s">
        <v>451</v>
      </c>
    </row>
    <row r="39" spans="1:26">
      <c r="B39" s="119"/>
      <c r="C39" s="119"/>
      <c r="D39" s="119"/>
      <c r="E39" s="119"/>
      <c r="F39" s="119"/>
      <c r="G39" s="119"/>
      <c r="H39" s="119"/>
      <c r="I39" s="119"/>
      <c r="J39" s="119"/>
      <c r="K39" s="119"/>
      <c r="L39" s="119"/>
      <c r="M39" s="119"/>
      <c r="N39" s="119"/>
      <c r="O39" s="119"/>
      <c r="P39" s="119"/>
      <c r="Q39" s="119"/>
      <c r="R39" s="119"/>
      <c r="S39" s="119"/>
      <c r="T39" s="119"/>
      <c r="V39" s="244" t="s">
        <v>435</v>
      </c>
      <c r="W39" s="244" t="s">
        <v>452</v>
      </c>
      <c r="Y39" s="244" t="s">
        <v>435</v>
      </c>
      <c r="Z39" s="244" t="s">
        <v>452</v>
      </c>
    </row>
    <row r="40" spans="1:26">
      <c r="B40" s="119"/>
      <c r="C40" s="119"/>
      <c r="D40" s="119"/>
      <c r="E40" s="119"/>
      <c r="F40" s="119"/>
      <c r="G40" s="119"/>
      <c r="H40" s="119"/>
      <c r="I40" s="119"/>
      <c r="J40" s="119"/>
      <c r="K40" s="119"/>
      <c r="L40" s="119"/>
      <c r="M40" s="119"/>
      <c r="N40" s="119"/>
      <c r="O40" s="119"/>
      <c r="P40" s="119"/>
      <c r="Q40" s="119"/>
      <c r="R40" s="119"/>
      <c r="S40" s="119"/>
      <c r="T40" s="119"/>
      <c r="V40" s="244" t="s">
        <v>436</v>
      </c>
      <c r="W40" s="244" t="s">
        <v>453</v>
      </c>
      <c r="Y40" s="244" t="s">
        <v>436</v>
      </c>
      <c r="Z40" s="244" t="s">
        <v>453</v>
      </c>
    </row>
    <row r="41" spans="1:26">
      <c r="B41" s="119"/>
      <c r="C41" s="119"/>
      <c r="D41" s="119"/>
      <c r="E41" s="119"/>
      <c r="F41" s="119"/>
      <c r="G41" s="119"/>
      <c r="H41" s="119"/>
      <c r="I41" s="119"/>
      <c r="J41" s="119"/>
      <c r="K41" s="119"/>
      <c r="L41" s="119"/>
      <c r="M41" s="119"/>
      <c r="N41" s="119"/>
      <c r="O41" s="119"/>
      <c r="P41" s="119"/>
      <c r="Q41" s="119"/>
      <c r="R41" s="119"/>
      <c r="S41" s="119"/>
      <c r="T41" s="119"/>
      <c r="V41" s="244" t="s">
        <v>437</v>
      </c>
      <c r="W41" s="245" t="s">
        <v>454</v>
      </c>
      <c r="Y41" s="244" t="s">
        <v>437</v>
      </c>
      <c r="Z41" s="245" t="s">
        <v>454</v>
      </c>
    </row>
    <row r="42" spans="1:26">
      <c r="B42" s="119"/>
      <c r="C42" s="119"/>
      <c r="D42" s="119"/>
      <c r="E42" s="119"/>
      <c r="F42" s="119"/>
      <c r="G42" s="119"/>
      <c r="H42" s="119"/>
      <c r="I42" s="119"/>
      <c r="J42" s="119"/>
      <c r="K42" s="119"/>
      <c r="L42" s="119"/>
      <c r="M42" s="119"/>
      <c r="N42" s="119"/>
      <c r="O42" s="119"/>
      <c r="P42" s="119"/>
      <c r="Q42" s="119"/>
      <c r="R42" s="119"/>
      <c r="S42" s="119"/>
      <c r="T42" s="119"/>
      <c r="V42" s="244" t="s">
        <v>438</v>
      </c>
      <c r="W42" s="244" t="s">
        <v>455</v>
      </c>
      <c r="Y42" s="244" t="s">
        <v>438</v>
      </c>
      <c r="Z42" s="244" t="s">
        <v>455</v>
      </c>
    </row>
    <row r="43" spans="1:26">
      <c r="B43" s="119"/>
      <c r="C43" s="119"/>
      <c r="D43" s="119"/>
      <c r="E43" s="119"/>
      <c r="F43" s="119"/>
      <c r="G43" s="119"/>
      <c r="H43" s="119"/>
      <c r="I43" s="119"/>
      <c r="J43" s="119"/>
      <c r="K43" s="119"/>
      <c r="L43" s="119"/>
      <c r="M43" s="119"/>
      <c r="N43" s="119"/>
      <c r="O43" s="119"/>
      <c r="P43" s="119"/>
      <c r="Q43" s="119"/>
      <c r="R43" s="119"/>
      <c r="S43" s="119"/>
      <c r="T43" s="119"/>
      <c r="V43" s="245" t="s">
        <v>439</v>
      </c>
      <c r="W43" s="244" t="s">
        <v>456</v>
      </c>
      <c r="Y43" s="244" t="s">
        <v>439</v>
      </c>
      <c r="Z43" s="244" t="s">
        <v>456</v>
      </c>
    </row>
    <row r="44" spans="1:26">
      <c r="B44" s="119"/>
      <c r="C44" s="119"/>
      <c r="D44" s="119"/>
      <c r="E44" s="119"/>
      <c r="F44" s="119"/>
      <c r="G44" s="119"/>
      <c r="H44" s="119"/>
      <c r="I44" s="119"/>
      <c r="J44" s="119"/>
      <c r="K44" s="119"/>
      <c r="L44" s="119"/>
      <c r="M44" s="119"/>
      <c r="N44" s="119"/>
      <c r="O44" s="119"/>
      <c r="P44" s="119"/>
      <c r="Q44" s="119"/>
      <c r="R44" s="119"/>
      <c r="S44" s="119"/>
      <c r="T44" s="119"/>
      <c r="V44" s="244" t="s">
        <v>440</v>
      </c>
      <c r="W44" s="244" t="s">
        <v>457</v>
      </c>
      <c r="Y44" s="244" t="s">
        <v>440</v>
      </c>
      <c r="Z44" s="244" t="s">
        <v>457</v>
      </c>
    </row>
    <row r="45" spans="1:26">
      <c r="B45" s="119"/>
      <c r="C45" s="119"/>
      <c r="D45" s="119"/>
      <c r="E45" s="119"/>
      <c r="F45" s="119"/>
      <c r="G45" s="119"/>
      <c r="H45" s="119"/>
      <c r="I45" s="119"/>
      <c r="J45" s="119"/>
      <c r="K45" s="119"/>
      <c r="L45" s="119"/>
      <c r="M45" s="119"/>
      <c r="N45" s="119"/>
      <c r="O45" s="119"/>
      <c r="P45" s="119"/>
      <c r="Q45" s="119"/>
      <c r="R45" s="119"/>
      <c r="S45" s="119"/>
      <c r="T45" s="119"/>
      <c r="V45" s="244" t="s">
        <v>441</v>
      </c>
      <c r="W45" s="244" t="s">
        <v>458</v>
      </c>
      <c r="Y45" s="244" t="s">
        <v>441</v>
      </c>
      <c r="Z45" s="244" t="s">
        <v>458</v>
      </c>
    </row>
    <row r="46" spans="1:26">
      <c r="B46" s="119"/>
      <c r="C46" s="119"/>
      <c r="D46" s="119"/>
      <c r="E46" s="119"/>
      <c r="F46" s="119"/>
      <c r="G46" s="119"/>
      <c r="H46" s="119"/>
      <c r="I46" s="119"/>
      <c r="J46" s="119"/>
      <c r="K46" s="119"/>
      <c r="L46" s="119"/>
      <c r="M46" s="119"/>
      <c r="N46" s="119"/>
      <c r="O46" s="119"/>
      <c r="P46" s="119"/>
      <c r="Q46" s="119"/>
      <c r="R46" s="119"/>
      <c r="S46" s="119"/>
      <c r="T46" s="119"/>
      <c r="V46" s="244" t="s">
        <v>442</v>
      </c>
      <c r="W46" s="244" t="s">
        <v>459</v>
      </c>
      <c r="Y46" s="244" t="s">
        <v>442</v>
      </c>
      <c r="Z46" s="244" t="s">
        <v>459</v>
      </c>
    </row>
    <row r="47" spans="1:26">
      <c r="B47" s="119"/>
      <c r="C47" s="119"/>
      <c r="D47" s="119"/>
      <c r="E47" s="119"/>
      <c r="F47" s="119"/>
      <c r="G47" s="119"/>
      <c r="H47" s="119"/>
      <c r="I47" s="119"/>
      <c r="J47" s="119"/>
      <c r="K47" s="119"/>
      <c r="L47" s="119"/>
      <c r="M47" s="119"/>
      <c r="N47" s="119"/>
      <c r="O47" s="119"/>
      <c r="P47" s="119"/>
      <c r="Q47" s="119"/>
      <c r="R47" s="119"/>
      <c r="S47" s="119"/>
      <c r="T47" s="119"/>
      <c r="V47" s="244" t="s">
        <v>443</v>
      </c>
      <c r="W47" s="244" t="s">
        <v>460</v>
      </c>
      <c r="Y47" s="244" t="s">
        <v>443</v>
      </c>
      <c r="Z47" s="244" t="s">
        <v>460</v>
      </c>
    </row>
    <row r="48" spans="1:26">
      <c r="B48" s="119"/>
      <c r="C48" s="119"/>
      <c r="D48" s="119"/>
      <c r="E48" s="119"/>
      <c r="F48" s="119"/>
      <c r="G48" s="119"/>
      <c r="H48" s="119"/>
      <c r="I48" s="119"/>
      <c r="J48" s="119"/>
      <c r="K48" s="119"/>
      <c r="L48" s="119"/>
      <c r="M48" s="119"/>
      <c r="N48" s="119"/>
      <c r="O48" s="119"/>
      <c r="P48" s="119"/>
      <c r="Q48" s="119"/>
      <c r="R48" s="119"/>
      <c r="S48" s="119"/>
      <c r="T48" s="119"/>
      <c r="V48" s="244" t="s">
        <v>444</v>
      </c>
      <c r="W48" s="245" t="s">
        <v>461</v>
      </c>
      <c r="Y48" s="244" t="s">
        <v>444</v>
      </c>
      <c r="Z48" s="245" t="s">
        <v>461</v>
      </c>
    </row>
    <row r="49" spans="2:27">
      <c r="B49" s="119"/>
      <c r="C49" s="119"/>
      <c r="D49" s="119"/>
      <c r="E49" s="119"/>
      <c r="F49" s="119"/>
      <c r="G49" s="119"/>
      <c r="H49" s="119"/>
      <c r="I49" s="119"/>
      <c r="J49" s="119"/>
      <c r="K49" s="119"/>
      <c r="L49" s="119"/>
      <c r="M49" s="119"/>
      <c r="N49" s="119"/>
      <c r="O49" s="119"/>
      <c r="P49" s="119"/>
      <c r="Q49" s="119"/>
      <c r="R49" s="119"/>
      <c r="S49" s="119"/>
      <c r="T49" s="119"/>
      <c r="V49" s="244" t="s">
        <v>445</v>
      </c>
      <c r="W49" s="244" t="s">
        <v>462</v>
      </c>
      <c r="X49" s="9"/>
      <c r="Y49" s="244" t="s">
        <v>445</v>
      </c>
      <c r="Z49" s="244" t="s">
        <v>462</v>
      </c>
      <c r="AA49" s="9"/>
    </row>
    <row r="50" spans="2:27">
      <c r="B50" s="119"/>
      <c r="C50" s="119"/>
      <c r="D50" s="119"/>
      <c r="E50" s="119"/>
      <c r="F50" s="119"/>
      <c r="G50" s="119"/>
      <c r="H50" s="119"/>
      <c r="I50" s="119"/>
      <c r="J50" s="119"/>
      <c r="K50" s="119"/>
      <c r="L50" s="119"/>
      <c r="M50" s="119"/>
      <c r="N50" s="119"/>
      <c r="O50" s="119"/>
      <c r="P50" s="119"/>
      <c r="Q50" s="119"/>
      <c r="R50" s="119"/>
      <c r="S50" s="119"/>
      <c r="T50" s="119"/>
      <c r="V50" s="246" t="s">
        <v>446</v>
      </c>
      <c r="W50" s="244" t="s">
        <v>463</v>
      </c>
      <c r="X50" s="9"/>
      <c r="Y50" s="246" t="s">
        <v>446</v>
      </c>
      <c r="Z50" s="244" t="s">
        <v>463</v>
      </c>
      <c r="AA50" s="9"/>
    </row>
    <row r="51" spans="2:27">
      <c r="B51" s="119"/>
      <c r="C51" s="119"/>
      <c r="D51" s="119"/>
      <c r="E51" s="119"/>
      <c r="F51" s="119"/>
      <c r="G51" s="119"/>
      <c r="H51" s="119"/>
      <c r="I51" s="119"/>
      <c r="J51" s="119"/>
      <c r="K51" s="119"/>
      <c r="L51" s="119"/>
      <c r="M51" s="119"/>
      <c r="N51" s="119"/>
      <c r="O51" s="119"/>
      <c r="P51" s="119"/>
      <c r="Q51" s="119"/>
      <c r="R51" s="119"/>
      <c r="S51" s="119"/>
      <c r="T51" s="119"/>
      <c r="V51" s="247" t="s">
        <v>447</v>
      </c>
      <c r="W51" s="244" t="s">
        <v>464</v>
      </c>
      <c r="X51" s="9"/>
      <c r="Y51" s="247" t="s">
        <v>447</v>
      </c>
      <c r="Z51" s="244" t="s">
        <v>464</v>
      </c>
      <c r="AA51" s="9"/>
    </row>
    <row r="52" spans="2:27">
      <c r="B52" s="119"/>
      <c r="C52" s="119"/>
      <c r="D52" s="119"/>
      <c r="E52" s="119"/>
      <c r="F52" s="119"/>
      <c r="G52" s="119"/>
      <c r="H52" s="119"/>
      <c r="I52" s="119"/>
      <c r="J52" s="119"/>
      <c r="K52" s="119"/>
      <c r="L52" s="119"/>
      <c r="M52" s="119"/>
      <c r="N52" s="119"/>
      <c r="O52" s="119"/>
      <c r="P52" s="119"/>
      <c r="Q52" s="119"/>
      <c r="R52" s="119"/>
      <c r="S52" s="119"/>
      <c r="T52" s="119"/>
      <c r="V52" s="295"/>
      <c r="W52" s="244" t="s">
        <v>465</v>
      </c>
      <c r="X52" s="9"/>
      <c r="Y52" s="284"/>
      <c r="Z52" s="244" t="s">
        <v>465</v>
      </c>
      <c r="AA52" s="9"/>
    </row>
    <row r="53" spans="2:27">
      <c r="B53" s="119"/>
      <c r="C53" s="119"/>
      <c r="D53" s="119"/>
      <c r="E53" s="119"/>
      <c r="F53" s="119"/>
      <c r="G53" s="119"/>
      <c r="H53" s="119"/>
      <c r="I53" s="119"/>
      <c r="J53" s="119"/>
      <c r="K53" s="119"/>
      <c r="L53" s="119"/>
      <c r="M53" s="119"/>
      <c r="N53" s="119"/>
      <c r="O53" s="119"/>
      <c r="P53" s="119"/>
      <c r="Q53" s="119"/>
      <c r="R53" s="119"/>
      <c r="S53" s="119"/>
      <c r="T53" s="119"/>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row r="56" spans="2:27">
      <c r="V56" s="9"/>
      <c r="W56" s="9"/>
      <c r="X56" s="9"/>
      <c r="Y56" s="9"/>
      <c r="Z56" s="9"/>
      <c r="AA56" s="9"/>
    </row>
    <row r="57" spans="2:27">
      <c r="V57" s="9"/>
      <c r="W57" s="9"/>
      <c r="X57" s="9"/>
      <c r="Y57" s="9"/>
      <c r="Z57" s="9"/>
      <c r="AA57" s="9"/>
    </row>
  </sheetData>
  <mergeCells count="24">
    <mergeCell ref="B3:T3"/>
    <mergeCell ref="B4:T4"/>
    <mergeCell ref="B5:T5"/>
    <mergeCell ref="R7:T7"/>
    <mergeCell ref="B9:L9"/>
    <mergeCell ref="N9:T9"/>
    <mergeCell ref="C26:L28"/>
    <mergeCell ref="B11:L11"/>
    <mergeCell ref="C12:L12"/>
    <mergeCell ref="C13:L13"/>
    <mergeCell ref="C14:L14"/>
    <mergeCell ref="C15:L15"/>
    <mergeCell ref="B17:L17"/>
    <mergeCell ref="C18:L18"/>
    <mergeCell ref="C19:L19"/>
    <mergeCell ref="C20:L20"/>
    <mergeCell ref="D21:L22"/>
    <mergeCell ref="C23:L25"/>
    <mergeCell ref="C29:L30"/>
    <mergeCell ref="B32:T32"/>
    <mergeCell ref="V32:W32"/>
    <mergeCell ref="Y32:Z32"/>
    <mergeCell ref="V33:W33"/>
    <mergeCell ref="Y33:Z33"/>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9073"/>
  </sheetPr>
  <dimension ref="A1:BH151"/>
  <sheetViews>
    <sheetView showGridLines="0" showRowColHeaders="0" zoomScale="70" zoomScaleNormal="70" workbookViewId="0"/>
  </sheetViews>
  <sheetFormatPr defaultRowHeight="14.25"/>
  <cols>
    <col min="1" max="1" width="15.796875" customWidth="1"/>
    <col min="2" max="8" width="26.796875" customWidth="1"/>
    <col min="9" max="64" width="12.796875" customWidth="1"/>
  </cols>
  <sheetData>
    <row r="1" spans="1:59" ht="15.75">
      <c r="A1" s="16" t="s">
        <v>345</v>
      </c>
      <c r="B1" s="121"/>
      <c r="C1" s="121"/>
      <c r="D1" s="121"/>
      <c r="E1" s="121"/>
      <c r="F1" s="121"/>
      <c r="G1" s="121"/>
    </row>
    <row r="2" spans="1:59" ht="15.75">
      <c r="A2" s="26" t="s">
        <v>34</v>
      </c>
      <c r="C2" s="27">
        <v>42977</v>
      </c>
      <c r="G2" s="342" t="s">
        <v>44</v>
      </c>
      <c r="H2" s="342"/>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row>
    <row r="3" spans="1:59" ht="23.65" thickBot="1">
      <c r="A3" s="354" t="s">
        <v>7</v>
      </c>
      <c r="B3" s="354"/>
      <c r="C3" s="354"/>
      <c r="D3" s="354"/>
      <c r="E3" s="354"/>
      <c r="F3" s="354"/>
      <c r="G3" s="354"/>
      <c r="H3" s="354"/>
      <c r="J3" s="321" t="s">
        <v>46</v>
      </c>
      <c r="K3" s="321"/>
      <c r="L3" s="11"/>
      <c r="M3" s="318" t="s">
        <v>46</v>
      </c>
      <c r="N3" s="31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row>
    <row r="4" spans="1:59">
      <c r="A4" s="119"/>
      <c r="B4" s="119"/>
      <c r="C4" s="119"/>
      <c r="D4" s="119"/>
      <c r="E4" s="119"/>
      <c r="F4" s="119"/>
      <c r="G4" s="119"/>
      <c r="H4" s="119"/>
      <c r="J4" s="319" t="s">
        <v>65</v>
      </c>
      <c r="K4" s="320"/>
      <c r="L4" s="11"/>
      <c r="M4" s="319" t="s">
        <v>66</v>
      </c>
      <c r="N4" s="320"/>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row>
    <row r="5" spans="1:59">
      <c r="A5" s="119"/>
      <c r="B5" s="352" t="s">
        <v>374</v>
      </c>
      <c r="C5" s="352"/>
      <c r="D5" s="352"/>
      <c r="E5" s="352"/>
      <c r="F5" s="352"/>
      <c r="G5" s="352"/>
      <c r="H5" s="352"/>
      <c r="J5" s="56" t="s">
        <v>61</v>
      </c>
      <c r="K5" s="56" t="s">
        <v>62</v>
      </c>
      <c r="L5" s="11"/>
      <c r="M5" s="56" t="s">
        <v>61</v>
      </c>
      <c r="N5" s="56" t="s">
        <v>62</v>
      </c>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row>
    <row r="6" spans="1:59">
      <c r="A6" s="119"/>
      <c r="B6" s="352" t="s">
        <v>326</v>
      </c>
      <c r="C6" s="352"/>
      <c r="D6" s="352"/>
      <c r="E6" s="352"/>
      <c r="F6" s="352"/>
      <c r="G6" s="352"/>
      <c r="H6" s="352"/>
      <c r="J6" s="244" t="s">
        <v>392</v>
      </c>
      <c r="K6" s="244" t="s">
        <v>448</v>
      </c>
      <c r="L6" s="11"/>
      <c r="M6" s="244" t="s">
        <v>392</v>
      </c>
      <c r="N6" s="244" t="s">
        <v>448</v>
      </c>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row>
    <row r="7" spans="1:59">
      <c r="A7" s="119"/>
      <c r="B7" s="352" t="s">
        <v>329</v>
      </c>
      <c r="C7" s="352"/>
      <c r="D7" s="352"/>
      <c r="E7" s="352"/>
      <c r="F7" s="352"/>
      <c r="G7" s="352"/>
      <c r="H7" s="352"/>
      <c r="J7" s="244" t="s">
        <v>393</v>
      </c>
      <c r="K7" s="244" t="s">
        <v>449</v>
      </c>
      <c r="L7" s="11"/>
      <c r="M7" s="244" t="s">
        <v>393</v>
      </c>
      <c r="N7" s="244" t="s">
        <v>449</v>
      </c>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row>
    <row r="8" spans="1:59">
      <c r="A8" s="119"/>
      <c r="B8" s="353" t="s">
        <v>325</v>
      </c>
      <c r="C8" s="353"/>
      <c r="D8" s="353"/>
      <c r="E8" s="353"/>
      <c r="F8" s="353"/>
      <c r="G8" s="353"/>
      <c r="H8" s="353"/>
      <c r="J8" s="244" t="s">
        <v>394</v>
      </c>
      <c r="K8" s="244" t="s">
        <v>450</v>
      </c>
      <c r="L8" s="11"/>
      <c r="M8" s="244" t="s">
        <v>394</v>
      </c>
      <c r="N8" s="244" t="s">
        <v>450</v>
      </c>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row>
    <row r="9" spans="1:59">
      <c r="A9" s="119"/>
      <c r="B9" s="353" t="s">
        <v>556</v>
      </c>
      <c r="C9" s="353"/>
      <c r="D9" s="353"/>
      <c r="E9" s="353"/>
      <c r="F9" s="353"/>
      <c r="G9" s="353"/>
      <c r="H9" s="353"/>
      <c r="J9" s="244" t="s">
        <v>434</v>
      </c>
      <c r="K9" s="244" t="s">
        <v>451</v>
      </c>
      <c r="L9" s="11"/>
      <c r="M9" s="244" t="s">
        <v>434</v>
      </c>
      <c r="N9" s="244" t="s">
        <v>451</v>
      </c>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row>
    <row r="10" spans="1:59">
      <c r="A10" s="119"/>
      <c r="B10" s="123" t="s">
        <v>557</v>
      </c>
      <c r="C10" s="123"/>
      <c r="D10" s="123"/>
      <c r="E10" s="123"/>
      <c r="F10" s="123"/>
      <c r="G10" s="123"/>
      <c r="H10" s="123"/>
      <c r="J10" s="244" t="s">
        <v>435</v>
      </c>
      <c r="K10" s="244" t="s">
        <v>452</v>
      </c>
      <c r="M10" s="244" t="s">
        <v>435</v>
      </c>
      <c r="N10" s="244" t="s">
        <v>452</v>
      </c>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row>
    <row r="11" spans="1:59">
      <c r="A11" s="119"/>
      <c r="B11" s="119"/>
      <c r="C11" s="119"/>
      <c r="D11" s="119"/>
      <c r="E11" s="119"/>
      <c r="F11" s="119"/>
      <c r="G11" s="119"/>
      <c r="H11" s="119"/>
      <c r="J11" s="244" t="s">
        <v>436</v>
      </c>
      <c r="K11" s="244" t="s">
        <v>453</v>
      </c>
      <c r="M11" s="244" t="s">
        <v>436</v>
      </c>
      <c r="N11" s="244" t="s">
        <v>453</v>
      </c>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row>
    <row r="12" spans="1:59" ht="15.75">
      <c r="A12" s="26"/>
      <c r="C12" s="27"/>
      <c r="J12" s="244" t="s">
        <v>437</v>
      </c>
      <c r="K12" s="245" t="s">
        <v>454</v>
      </c>
      <c r="M12" s="244" t="s">
        <v>437</v>
      </c>
      <c r="N12" s="245" t="s">
        <v>454</v>
      </c>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row>
    <row r="13" spans="1:59">
      <c r="A13" s="133" t="s">
        <v>2</v>
      </c>
      <c r="B13" s="133" t="s">
        <v>203</v>
      </c>
      <c r="C13" s="133" t="s">
        <v>153</v>
      </c>
      <c r="D13" s="133" t="s">
        <v>158</v>
      </c>
      <c r="E13" s="133" t="s">
        <v>162</v>
      </c>
      <c r="F13" s="133" t="s">
        <v>178</v>
      </c>
      <c r="G13" s="133" t="s">
        <v>188</v>
      </c>
      <c r="H13" s="133" t="s">
        <v>209</v>
      </c>
      <c r="I13" s="152"/>
      <c r="J13" s="244" t="s">
        <v>438</v>
      </c>
      <c r="K13" s="244" t="s">
        <v>455</v>
      </c>
      <c r="M13" s="244" t="s">
        <v>438</v>
      </c>
      <c r="N13" s="244" t="s">
        <v>455</v>
      </c>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8"/>
      <c r="BG13" s="8"/>
    </row>
    <row r="14" spans="1:59">
      <c r="A14" s="2">
        <v>2017</v>
      </c>
      <c r="B14" t="s">
        <v>350</v>
      </c>
      <c r="C14" s="79">
        <f>COUNTIF(C$62:C$76,"=1")/COUNT(C$62:C$76)</f>
        <v>6.6666666666666666E-2</v>
      </c>
      <c r="D14" s="79">
        <f>COUNTIF(C$77:C$81,"=1")/COUNT(C$77:C$81)</f>
        <v>0</v>
      </c>
      <c r="E14" s="79">
        <f>COUNTIF(C$82:C$85,"=1")/COUNT(C$82:C$85)</f>
        <v>0</v>
      </c>
      <c r="F14" s="79">
        <f>COUNTIF(C$86:C$100,"=1")/COUNT(C$86:C$100)</f>
        <v>0</v>
      </c>
      <c r="G14" s="79">
        <f>COUNTIF(C$101:C$110,"=1")/COUNT(C$101:C$110)</f>
        <v>0</v>
      </c>
      <c r="H14" s="79">
        <f>COUNTIF(C$62:C$110,"=1")/COUNT(C$62:C$110)</f>
        <v>2.0833333333333332E-2</v>
      </c>
      <c r="I14" s="82"/>
      <c r="J14" s="245" t="s">
        <v>439</v>
      </c>
      <c r="K14" s="244" t="s">
        <v>456</v>
      </c>
      <c r="M14" s="244" t="s">
        <v>439</v>
      </c>
      <c r="N14" s="244" t="s">
        <v>456</v>
      </c>
      <c r="R14" s="82"/>
      <c r="S14" s="153"/>
      <c r="T14" s="153"/>
      <c r="U14" s="82"/>
      <c r="V14" s="82"/>
      <c r="W14" s="82"/>
      <c r="X14" s="82"/>
      <c r="Y14" s="82"/>
      <c r="Z14" s="82"/>
      <c r="AA14" s="82"/>
      <c r="AB14" s="82"/>
      <c r="AC14" s="153"/>
      <c r="AD14" s="82"/>
      <c r="AE14" s="153"/>
      <c r="AF14" s="82"/>
      <c r="AG14" s="153"/>
      <c r="AH14" s="82"/>
      <c r="AI14" s="82"/>
      <c r="AJ14" s="82"/>
      <c r="AK14" s="82"/>
      <c r="AL14" s="82"/>
      <c r="AM14" s="82"/>
      <c r="AN14" s="82"/>
      <c r="AO14" s="82"/>
      <c r="AP14" s="82"/>
      <c r="AQ14" s="82"/>
      <c r="AR14" s="82"/>
      <c r="AS14" s="82"/>
      <c r="AT14" s="82"/>
      <c r="AU14" s="82"/>
      <c r="AV14" s="82"/>
      <c r="AW14" s="82"/>
      <c r="AX14" s="82"/>
      <c r="AY14" s="82"/>
      <c r="AZ14" s="153"/>
      <c r="BA14" s="82"/>
      <c r="BB14" s="82"/>
      <c r="BC14" s="82"/>
      <c r="BD14" s="82"/>
      <c r="BE14" s="153"/>
      <c r="BF14" s="8"/>
      <c r="BG14" s="8"/>
    </row>
    <row r="15" spans="1:59">
      <c r="A15">
        <v>2017</v>
      </c>
      <c r="B15" t="s">
        <v>351</v>
      </c>
      <c r="C15" s="79">
        <f>COUNTIF(D$62:D$76,"=1")/COUNT(D$62:D$76)</f>
        <v>0.2</v>
      </c>
      <c r="D15" s="79">
        <f>COUNTIF(D$77:D$81,"=1")/COUNT(D$77:D$81)</f>
        <v>0</v>
      </c>
      <c r="E15" s="79">
        <f>COUNTIF(D$82:D$85,"=1")/COUNT(D$82:D$85)</f>
        <v>0.5</v>
      </c>
      <c r="F15" s="79">
        <f>COUNTIF(D$86:D$100,"=1")/COUNT(D$86:D$100)</f>
        <v>0.5</v>
      </c>
      <c r="G15" s="79">
        <f>COUNTIF(D$101:D$110,"=1")/COUNT(D$101:D$110)</f>
        <v>0.22222222222222221</v>
      </c>
      <c r="H15" s="79">
        <f>COUNTIF(D$62:D$110,"=1")/COUNT(D$62:D$110)</f>
        <v>0.31111111111111112</v>
      </c>
      <c r="I15" s="82"/>
      <c r="J15" s="244" t="s">
        <v>440</v>
      </c>
      <c r="K15" s="244" t="s">
        <v>457</v>
      </c>
      <c r="M15" s="244" t="s">
        <v>440</v>
      </c>
      <c r="N15" s="244" t="s">
        <v>457</v>
      </c>
      <c r="R15" s="82"/>
      <c r="S15" s="153"/>
      <c r="T15" s="153"/>
      <c r="U15" s="82"/>
      <c r="V15" s="82"/>
      <c r="W15" s="82"/>
      <c r="X15" s="82"/>
      <c r="Y15" s="82"/>
      <c r="Z15" s="82"/>
      <c r="AA15" s="82"/>
      <c r="AB15" s="82"/>
      <c r="AC15" s="153"/>
      <c r="AD15" s="82"/>
      <c r="AE15" s="153"/>
      <c r="AF15" s="82"/>
      <c r="AG15" s="153"/>
      <c r="AH15" s="82"/>
      <c r="AI15" s="82"/>
      <c r="AJ15" s="82"/>
      <c r="AK15" s="82"/>
      <c r="AL15" s="82"/>
      <c r="AM15" s="82"/>
      <c r="AN15" s="82"/>
      <c r="AO15" s="82"/>
      <c r="AP15" s="82"/>
      <c r="AQ15" s="82"/>
      <c r="AR15" s="82"/>
      <c r="AS15" s="82"/>
      <c r="AT15" s="82"/>
      <c r="AU15" s="82"/>
      <c r="AV15" s="82"/>
      <c r="AW15" s="82"/>
      <c r="AX15" s="82"/>
      <c r="AY15" s="82"/>
      <c r="AZ15" s="153"/>
      <c r="BA15" s="82"/>
      <c r="BB15" s="82"/>
      <c r="BC15" s="82"/>
      <c r="BD15" s="82"/>
      <c r="BE15" s="153"/>
      <c r="BF15" s="8"/>
      <c r="BG15" s="8"/>
    </row>
    <row r="16" spans="1:59">
      <c r="A16" s="2">
        <v>2017</v>
      </c>
      <c r="B16" t="s">
        <v>83</v>
      </c>
      <c r="C16" s="79">
        <f>COUNTIF(E$62:E$76,"=1")/COUNT(E$62:E$76)</f>
        <v>0.33333333333333331</v>
      </c>
      <c r="D16" s="79">
        <f>COUNTIF(E$77:E$81,"=1")/COUNT(E$77:E$81)</f>
        <v>0</v>
      </c>
      <c r="E16" s="79">
        <f>COUNTIF(E$82:E$85,"=1")/COUNT(E$82:E$85)</f>
        <v>0.5</v>
      </c>
      <c r="F16" s="79">
        <f>COUNTIF(E$86:E$100,"=1")/COUNT(E$86:E$100)</f>
        <v>0.4</v>
      </c>
      <c r="G16" s="79">
        <f>COUNTIF(E$101:E$110,"=1")/COUNT(E$101:E$110)</f>
        <v>0.1111111111111111</v>
      </c>
      <c r="H16" s="79">
        <f>COUNTIF(E$62:E$110,"=1")/COUNT(E$62:E$110)</f>
        <v>0.30434782608695654</v>
      </c>
      <c r="I16" s="82"/>
      <c r="J16" s="244" t="s">
        <v>441</v>
      </c>
      <c r="K16" s="244" t="s">
        <v>458</v>
      </c>
      <c r="M16" s="244" t="s">
        <v>441</v>
      </c>
      <c r="N16" s="244" t="s">
        <v>458</v>
      </c>
      <c r="R16" s="82"/>
      <c r="S16" s="153"/>
      <c r="T16" s="153"/>
      <c r="U16" s="82"/>
      <c r="V16" s="82"/>
      <c r="W16" s="82"/>
      <c r="X16" s="82"/>
      <c r="Y16" s="82"/>
      <c r="Z16" s="82"/>
      <c r="AA16" s="82"/>
      <c r="AB16" s="82"/>
      <c r="AC16" s="153"/>
      <c r="AD16" s="82"/>
      <c r="AE16" s="153"/>
      <c r="AF16" s="82"/>
      <c r="AG16" s="153"/>
      <c r="AH16" s="82"/>
      <c r="AI16" s="82"/>
      <c r="AJ16" s="82"/>
      <c r="AK16" s="82"/>
      <c r="AL16" s="82"/>
      <c r="AM16" s="82"/>
      <c r="AN16" s="82"/>
      <c r="AO16" s="82"/>
      <c r="AP16" s="82"/>
      <c r="AQ16" s="82"/>
      <c r="AR16" s="82"/>
      <c r="AS16" s="82"/>
      <c r="AT16" s="82"/>
      <c r="AU16" s="82"/>
      <c r="AV16" s="82"/>
      <c r="AW16" s="82"/>
      <c r="AX16" s="82"/>
      <c r="AY16" s="82"/>
      <c r="AZ16" s="153"/>
      <c r="BA16" s="82"/>
      <c r="BB16" s="82"/>
      <c r="BC16" s="82"/>
      <c r="BD16" s="82"/>
      <c r="BE16" s="153"/>
      <c r="BF16" s="8"/>
      <c r="BG16" s="8"/>
    </row>
    <row r="17" spans="1:59">
      <c r="A17" s="2">
        <v>2017</v>
      </c>
      <c r="B17" t="s">
        <v>91</v>
      </c>
      <c r="C17" s="79">
        <f>COUNTIF(F$62:F$76,"=1")/COUNT(F$62:F$76)</f>
        <v>6.6666666666666666E-2</v>
      </c>
      <c r="D17" s="79">
        <f>COUNTIF(F$77:F$81,"=1")/COUNT(F$77:F$81)</f>
        <v>0</v>
      </c>
      <c r="E17" s="79">
        <f>COUNTIF(F$82:F$85,"=1")/COUNT(F$82:F$85)</f>
        <v>0</v>
      </c>
      <c r="F17" s="79">
        <f>COUNTIF(F$86:F$100,"=1")/COUNT(F$86:F$100)</f>
        <v>0</v>
      </c>
      <c r="G17" s="79">
        <f>COUNTIF(F$101:F$110,"=1")/COUNT(F$101:F$110)</f>
        <v>0</v>
      </c>
      <c r="H17" s="79">
        <f>COUNTIF(F$62:F$110,"=1")/COUNT(F$62:F$110)</f>
        <v>2.2222222222222223E-2</v>
      </c>
      <c r="I17" s="82"/>
      <c r="J17" s="244" t="s">
        <v>442</v>
      </c>
      <c r="K17" s="244" t="s">
        <v>459</v>
      </c>
      <c r="M17" s="244" t="s">
        <v>442</v>
      </c>
      <c r="N17" s="244" t="s">
        <v>459</v>
      </c>
      <c r="R17" s="82"/>
      <c r="S17" s="82"/>
      <c r="T17" s="153"/>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153"/>
      <c r="BC17" s="82"/>
      <c r="BD17" s="82"/>
      <c r="BE17" s="153"/>
      <c r="BF17" s="8"/>
      <c r="BG17" s="8"/>
    </row>
    <row r="18" spans="1:59">
      <c r="A18" s="2">
        <v>2018</v>
      </c>
      <c r="B18" t="s">
        <v>350</v>
      </c>
      <c r="C18" s="79" t="e">
        <f>COUNTIF(G$62:G$76,"=1")/COUNT(G$62:G$76)</f>
        <v>#DIV/0!</v>
      </c>
      <c r="D18" s="79" t="e">
        <f>COUNTIF(G$77:G$81,"=1")/COUNT(G$77:G$81)</f>
        <v>#DIV/0!</v>
      </c>
      <c r="E18" s="79" t="e">
        <f>COUNTIF(G$82:G$85,"=1")/COUNT(G$82:G$85)</f>
        <v>#DIV/0!</v>
      </c>
      <c r="F18" s="79" t="e">
        <f>COUNTIF(G$86:G$100,"=1")/COUNT(G$86:G$100)</f>
        <v>#DIV/0!</v>
      </c>
      <c r="G18" s="79" t="e">
        <f>COUNTIF(G$101:G$110,"=1")/COUNT(G$101:G$110)</f>
        <v>#DIV/0!</v>
      </c>
      <c r="H18" s="79" t="e">
        <f>COUNTIF(G$62:G$110,"=1")/COUNT(G$62:G$110)</f>
        <v>#DIV/0!</v>
      </c>
      <c r="I18" s="82"/>
      <c r="J18" s="244" t="s">
        <v>443</v>
      </c>
      <c r="K18" s="244" t="s">
        <v>460</v>
      </c>
      <c r="M18" s="244" t="s">
        <v>443</v>
      </c>
      <c r="N18" s="244" t="s">
        <v>460</v>
      </c>
      <c r="R18" s="82"/>
      <c r="S18" s="82"/>
      <c r="T18" s="153"/>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153"/>
      <c r="BC18" s="82"/>
      <c r="BD18" s="82"/>
      <c r="BE18" s="153"/>
      <c r="BF18" s="8"/>
      <c r="BG18" s="8"/>
    </row>
    <row r="19" spans="1:59">
      <c r="A19" s="2">
        <v>2018</v>
      </c>
      <c r="B19" t="s">
        <v>351</v>
      </c>
      <c r="C19" s="79" t="e">
        <f>COUNTIF(H$62:H$76,"=1")/COUNT(H$62:H$76)</f>
        <v>#DIV/0!</v>
      </c>
      <c r="D19" s="79" t="e">
        <f>COUNTIF(H$77:H$81,"=1")/COUNT(H$77:H$81)</f>
        <v>#DIV/0!</v>
      </c>
      <c r="E19" s="79" t="e">
        <f>COUNTIF(H$82:H$85,"=1")/COUNT(H$82:H$85)</f>
        <v>#DIV/0!</v>
      </c>
      <c r="F19" s="79" t="e">
        <f>COUNTIF(H$86:H$100,"=1")/COUNT(H$86:H$100)</f>
        <v>#DIV/0!</v>
      </c>
      <c r="G19" s="79" t="e">
        <f>COUNTIF(H$101:H$110,"=1")/COUNT(H$101:H$110)</f>
        <v>#DIV/0!</v>
      </c>
      <c r="H19" s="79" t="e">
        <f>COUNTIF(H$62:H$110,"=1")/COUNT(H$62:H$110)</f>
        <v>#DIV/0!</v>
      </c>
      <c r="I19" s="82"/>
      <c r="J19" s="244" t="s">
        <v>444</v>
      </c>
      <c r="K19" s="245" t="s">
        <v>461</v>
      </c>
      <c r="M19" s="244" t="s">
        <v>444</v>
      </c>
      <c r="N19" s="245" t="s">
        <v>461</v>
      </c>
      <c r="O19" s="9"/>
      <c r="R19" s="82"/>
      <c r="S19" s="82"/>
      <c r="T19" s="153"/>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153"/>
      <c r="BB19" s="153"/>
      <c r="BC19" s="82"/>
      <c r="BD19" s="82"/>
      <c r="BE19" s="153"/>
      <c r="BF19" s="8"/>
      <c r="BG19" s="8"/>
    </row>
    <row r="20" spans="1:59">
      <c r="A20" s="2">
        <v>2018</v>
      </c>
      <c r="B20" t="s">
        <v>83</v>
      </c>
      <c r="C20" s="79" t="e">
        <f>COUNTIF(I$62:I$76,"=1")/COUNT(I$62:I$76)</f>
        <v>#DIV/0!</v>
      </c>
      <c r="D20" s="79" t="e">
        <f>COUNTIF(I$77:I$81,"=1")/COUNT(I$77:I$81)</f>
        <v>#DIV/0!</v>
      </c>
      <c r="E20" s="79" t="e">
        <f>COUNTIF(I$82:I$85,"=1")/COUNT(I$82:I$85)</f>
        <v>#DIV/0!</v>
      </c>
      <c r="F20" s="79" t="e">
        <f>COUNTIF(I$86:I$100,"=1")/COUNT(I$86:I$100)</f>
        <v>#DIV/0!</v>
      </c>
      <c r="G20" s="79" t="e">
        <f>COUNTIF(I$101:I$110,"=1")/COUNT(I$101:I$110)</f>
        <v>#DIV/0!</v>
      </c>
      <c r="H20" s="79" t="e">
        <f>COUNTIF(I$62:I$110,"=1")/COUNT(I$62:I$110)</f>
        <v>#DIV/0!</v>
      </c>
      <c r="I20" s="8"/>
      <c r="J20" s="244" t="s">
        <v>445</v>
      </c>
      <c r="K20" s="244" t="s">
        <v>462</v>
      </c>
      <c r="L20" s="9"/>
      <c r="M20" s="244" t="s">
        <v>445</v>
      </c>
      <c r="N20" s="244" t="s">
        <v>462</v>
      </c>
      <c r="O20" s="9"/>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row>
    <row r="21" spans="1:59">
      <c r="A21" s="2">
        <v>2018</v>
      </c>
      <c r="B21" t="s">
        <v>91</v>
      </c>
      <c r="C21" s="79" t="e">
        <f>COUNTIF(J$62:J$76,"=1")/COUNT(J$62:J$76)</f>
        <v>#DIV/0!</v>
      </c>
      <c r="D21" s="79" t="e">
        <f>COUNTIF(J$77:J$81,"=1")/COUNT(J$77:J$81)</f>
        <v>#DIV/0!</v>
      </c>
      <c r="E21" s="79" t="e">
        <f>COUNTIF(J$82:J$85,"=1")/COUNT(J$82:J$85)</f>
        <v>#DIV/0!</v>
      </c>
      <c r="F21" s="79" t="e">
        <f>COUNTIF(J$86:J$100,"=1")/COUNT(J$86:J$100)</f>
        <v>#DIV/0!</v>
      </c>
      <c r="G21" s="79" t="e">
        <f>COUNTIF(J$101:J$110,"=1")/COUNT(J$101:J$110)</f>
        <v>#DIV/0!</v>
      </c>
      <c r="H21" s="79" t="e">
        <f>COUNTIF(J$62:J$110,"=1")/COUNT(J$62:J$110)</f>
        <v>#DIV/0!</v>
      </c>
      <c r="I21" s="8"/>
      <c r="J21" s="246" t="s">
        <v>446</v>
      </c>
      <c r="K21" s="244" t="s">
        <v>463</v>
      </c>
      <c r="L21" s="9"/>
      <c r="M21" s="246" t="s">
        <v>446</v>
      </c>
      <c r="N21" s="244" t="s">
        <v>463</v>
      </c>
      <c r="O21" s="9"/>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row>
    <row r="22" spans="1:59">
      <c r="A22" s="2">
        <v>2019</v>
      </c>
      <c r="B22" t="s">
        <v>350</v>
      </c>
      <c r="C22" s="79" t="e">
        <f>COUNTIF(K$62:K$76,"=1")/COUNT(K$62:K$76)</f>
        <v>#DIV/0!</v>
      </c>
      <c r="D22" s="79" t="e">
        <f>COUNTIF(K$77:K$81,"=1")/COUNT(K$77:K$81)</f>
        <v>#DIV/0!</v>
      </c>
      <c r="E22" s="79" t="e">
        <f>COUNTIF(K$82:K$85,"=1")/COUNT(K$82:K$85)</f>
        <v>#DIV/0!</v>
      </c>
      <c r="F22" s="79" t="e">
        <f>COUNTIF(K$86:K$100,"=1")/COUNT(K$86:K$100)</f>
        <v>#DIV/0!</v>
      </c>
      <c r="G22" s="79" t="e">
        <f>COUNTIF(K$101:K$110,"=1")/COUNT(K$101:K$110)</f>
        <v>#DIV/0!</v>
      </c>
      <c r="H22" s="79" t="e">
        <f>COUNTIF(K$62:K$110,"=1")/COUNT(K$62:K$110)</f>
        <v>#DIV/0!</v>
      </c>
      <c r="I22" s="8"/>
      <c r="J22" s="247" t="s">
        <v>447</v>
      </c>
      <c r="K22" s="244" t="s">
        <v>464</v>
      </c>
      <c r="L22" s="9"/>
      <c r="M22" s="247" t="s">
        <v>447</v>
      </c>
      <c r="N22" s="244" t="s">
        <v>464</v>
      </c>
      <c r="O22" s="9"/>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row>
    <row r="23" spans="1:59">
      <c r="A23" s="2">
        <v>2019</v>
      </c>
      <c r="B23" t="s">
        <v>351</v>
      </c>
      <c r="C23" s="79" t="e">
        <f>COUNTIF(L$62:L$76,"=1")/COUNT(L$62:L$76)</f>
        <v>#DIV/0!</v>
      </c>
      <c r="D23" s="79" t="e">
        <f>COUNTIF(L$77:L$81,"=1")/COUNT(L$77:L$81)</f>
        <v>#DIV/0!</v>
      </c>
      <c r="E23" s="79" t="e">
        <f>COUNTIF(L$82:L$85,"=1")/COUNT(L$82:L$85)</f>
        <v>#DIV/0!</v>
      </c>
      <c r="F23" s="79" t="e">
        <f>COUNTIF(L$86:L$100,"=1")/COUNT(L$86:L$100)</f>
        <v>#DIV/0!</v>
      </c>
      <c r="G23" s="79" t="e">
        <f>COUNTIF(L$101:L$110,"=1")/COUNT(L$101:L$110)</f>
        <v>#DIV/0!</v>
      </c>
      <c r="H23" s="79" t="e">
        <f>COUNTIF(L$62:L$110,"=1")/COUNT(L$62:L$110)</f>
        <v>#DIV/0!</v>
      </c>
      <c r="J23" s="295"/>
      <c r="K23" s="244" t="s">
        <v>465</v>
      </c>
      <c r="L23" s="9"/>
      <c r="M23" s="284"/>
      <c r="N23" s="244" t="s">
        <v>465</v>
      </c>
      <c r="O23" s="9"/>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row>
    <row r="24" spans="1:59">
      <c r="A24" s="2">
        <v>2019</v>
      </c>
      <c r="B24" t="s">
        <v>83</v>
      </c>
      <c r="C24" s="79" t="e">
        <f>COUNTIF(M$62:M$76,"=1")/COUNT(M$62:M$76)</f>
        <v>#DIV/0!</v>
      </c>
      <c r="D24" s="79" t="e">
        <f>COUNTIF(M$77:M$81,"=1")/COUNT(M$77:M$81)</f>
        <v>#DIV/0!</v>
      </c>
      <c r="E24" s="79" t="e">
        <f>COUNTIF(M$82:M$85,"=1")/COUNT(M$82:M$85)</f>
        <v>#DIV/0!</v>
      </c>
      <c r="F24" s="79" t="e">
        <f>COUNTIF(M$86:M$100,"=1")/COUNT(M$86:M$100)</f>
        <v>#DIV/0!</v>
      </c>
      <c r="G24" s="79" t="e">
        <f>COUNTIF(M$101:M$110,"=1")/COUNT(M$101:M$110)</f>
        <v>#DIV/0!</v>
      </c>
      <c r="H24" s="79" t="e">
        <f>COUNTIF(M$62:M$110,"=1")/COUNT(M$62:M$110)</f>
        <v>#DIV/0!</v>
      </c>
      <c r="J24" s="204"/>
      <c r="K24" s="248" t="s">
        <v>466</v>
      </c>
      <c r="L24" s="9"/>
      <c r="M24" s="257"/>
      <c r="N24" s="258" t="s">
        <v>466</v>
      </c>
      <c r="O24" s="9"/>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row>
    <row r="25" spans="1:59">
      <c r="A25" s="2">
        <v>2019</v>
      </c>
      <c r="B25" t="s">
        <v>91</v>
      </c>
      <c r="C25" s="79" t="e">
        <f>COUNTIF(N$62:N$76,"=1")/COUNT(N$62:N$76)</f>
        <v>#DIV/0!</v>
      </c>
      <c r="D25" s="79" t="e">
        <f>COUNTIF(N$77:N$81,"=1")/COUNT(N$77:N$81)</f>
        <v>#DIV/0!</v>
      </c>
      <c r="E25" s="79" t="e">
        <f>COUNTIF(N$82:N$85,"=1")/COUNT(N$82:N$85)</f>
        <v>#DIV/0!</v>
      </c>
      <c r="F25" s="79" t="e">
        <f>COUNTIF(N$86:N$100,"=1")/COUNT(N$86:N$100)</f>
        <v>#DIV/0!</v>
      </c>
      <c r="G25" s="79" t="e">
        <f>COUNTIF(N$101:N$110,"=1")/COUNT(N$101:N$110)</f>
        <v>#DIV/0!</v>
      </c>
      <c r="H25" s="79" t="e">
        <f>COUNTIF(N$62:N$110,"=1")/COUNT(N$62:N$110)</f>
        <v>#DIV/0!</v>
      </c>
      <c r="J25" s="256"/>
      <c r="K25" s="254"/>
      <c r="L25" s="9"/>
      <c r="M25" s="256"/>
      <c r="N25" s="254"/>
      <c r="O25" s="9"/>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row>
    <row r="26" spans="1:59">
      <c r="A26">
        <v>2020</v>
      </c>
      <c r="B26" t="s">
        <v>350</v>
      </c>
      <c r="C26" s="79" t="e">
        <f>COUNTIF(O$62:O$76,"=1")/COUNT(O$62:O$76)</f>
        <v>#DIV/0!</v>
      </c>
      <c r="D26" s="79" t="e">
        <f>COUNTIF(O$77:O$81,"=1")/COUNT(O$77:O$81)</f>
        <v>#DIV/0!</v>
      </c>
      <c r="E26" s="79" t="e">
        <f>COUNTIF(O$82:O$85,"=1")/COUNT(O$82:O$85)</f>
        <v>#DIV/0!</v>
      </c>
      <c r="F26" s="79" t="e">
        <f>COUNTIF(O$86:O$100,"=1")/COUNT(O$86:O$100)</f>
        <v>#DIV/0!</v>
      </c>
      <c r="G26" s="79" t="e">
        <f>COUNTIF(O$101:O$110,"=1")/COUNT(O$101:O$110)</f>
        <v>#DIV/0!</v>
      </c>
      <c r="H26" s="79" t="e">
        <f>COUNTIF(O$62:O$110,"=1")/COUNT(O$62:O$110)</f>
        <v>#DIV/0!</v>
      </c>
      <c r="J26" s="242"/>
      <c r="K26" s="254"/>
      <c r="L26" s="9"/>
      <c r="M26" s="242"/>
      <c r="N26" s="254"/>
      <c r="O26" s="9"/>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row>
    <row r="27" spans="1:59">
      <c r="A27">
        <v>2020</v>
      </c>
      <c r="B27" t="s">
        <v>351</v>
      </c>
      <c r="C27" s="79" t="e">
        <f>COUNTIF(P$62:P$76,"=1")/COUNT(P$62:P$76)</f>
        <v>#DIV/0!</v>
      </c>
      <c r="D27" s="79" t="e">
        <f>COUNTIF(P$77:P$81,"=1")/COUNT(P$77:P$81)</f>
        <v>#DIV/0!</v>
      </c>
      <c r="E27" s="79" t="e">
        <f>COUNTIF(P$82:P$85,"=1")/COUNT(P$82:P$85)</f>
        <v>#DIV/0!</v>
      </c>
      <c r="F27" s="79" t="e">
        <f>COUNTIF(P$86:P$100,"=1")/COUNT(P$86:P$100)</f>
        <v>#DIV/0!</v>
      </c>
      <c r="G27" s="79" t="e">
        <f>COUNTIF(P$101:P$110,"=1")/COUNT(P$101:P$110)</f>
        <v>#DIV/0!</v>
      </c>
      <c r="H27" s="79" t="e">
        <f>COUNTIF(P$62:P$110,"=1")/COUNT(P$62:P$110)</f>
        <v>#DIV/0!</v>
      </c>
      <c r="J27" s="9"/>
      <c r="K27" s="9"/>
      <c r="L27" s="9"/>
      <c r="M27" s="9"/>
      <c r="N27" s="9"/>
      <c r="O27" s="9"/>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row>
    <row r="28" spans="1:59">
      <c r="A28">
        <v>2020</v>
      </c>
      <c r="B28" t="s">
        <v>83</v>
      </c>
      <c r="C28" s="79" t="e">
        <f>COUNTIF(Q$62:Q$76,"=1")/COUNT(Q$62:Q$76)</f>
        <v>#DIV/0!</v>
      </c>
      <c r="D28" s="79" t="e">
        <f>COUNTIF(Q$77:Q$81,"=1")/COUNT(Q$77:Q$81)</f>
        <v>#DIV/0!</v>
      </c>
      <c r="E28" s="79" t="e">
        <f>COUNTIF(Q$82:Q$85,"=1")/COUNT(Q$82:Q$85)</f>
        <v>#DIV/0!</v>
      </c>
      <c r="F28" s="79" t="e">
        <f>COUNTIF(Q$86:Q$100,"=1")/COUNT(Q$86:Q$100)</f>
        <v>#DIV/0!</v>
      </c>
      <c r="G28" s="79" t="e">
        <f>COUNTIF(Q$101:Q$110,"=1")/COUNT(Q$101:Q$110)</f>
        <v>#DIV/0!</v>
      </c>
      <c r="H28" s="79" t="e">
        <f>COUNTIF(Q$62:Q$110,"=1")/COUNT(Q$62:Q$110)</f>
        <v>#DIV/0!</v>
      </c>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row>
    <row r="29" spans="1:59">
      <c r="A29">
        <v>2020</v>
      </c>
      <c r="B29" t="s">
        <v>91</v>
      </c>
      <c r="C29" s="79" t="e">
        <f>COUNTIF(R$62:R$76,"=1")/COUNT(R$62:R$76)</f>
        <v>#DIV/0!</v>
      </c>
      <c r="D29" s="79" t="e">
        <f>COUNTIF(R$77:R$81,"=1")/COUNT(R$77:R$81)</f>
        <v>#DIV/0!</v>
      </c>
      <c r="E29" s="79" t="e">
        <f>COUNTIF(R$82:R$85,"=1")/COUNT(R$82:R$85)</f>
        <v>#DIV/0!</v>
      </c>
      <c r="F29" s="79" t="e">
        <f>COUNTIF(R$86:R$100,"=1")/COUNT(R$86:R$100)</f>
        <v>#DIV/0!</v>
      </c>
      <c r="G29" s="79" t="e">
        <f>COUNTIF(R$101:R$110,"=1")/COUNT(R$101:R$110)</f>
        <v>#DIV/0!</v>
      </c>
      <c r="H29" s="79" t="e">
        <f>COUNTIF(R$62:R$110,"=1")/COUNT(R$62:R$110)</f>
        <v>#DIV/0!</v>
      </c>
    </row>
    <row r="30" spans="1:59">
      <c r="A30">
        <v>2021</v>
      </c>
      <c r="B30" t="s">
        <v>350</v>
      </c>
      <c r="C30" s="79" t="e">
        <f>COUNTIF(S$62:S$76,"=1")/COUNT(S$62:S$76)</f>
        <v>#DIV/0!</v>
      </c>
      <c r="D30" s="79" t="e">
        <f>COUNTIF(S$77:S$81,"=1")/COUNT(S$77:S$81)</f>
        <v>#DIV/0!</v>
      </c>
      <c r="E30" s="79" t="e">
        <f>COUNTIF(S$82:S$85,"=1")/COUNT(S$82:S$85)</f>
        <v>#DIV/0!</v>
      </c>
      <c r="F30" s="79" t="e">
        <f>COUNTIF(S$86:S$100,"=1")/COUNT(S$86:S$100)</f>
        <v>#DIV/0!</v>
      </c>
      <c r="G30" s="79" t="e">
        <f>COUNTIF(S$101:S$110,"=1")/COUNT(S$101:S$110)</f>
        <v>#DIV/0!</v>
      </c>
      <c r="H30" s="79" t="e">
        <f>COUNTIF(S$62:S$110,"=1")/COUNT(S$62:S$110)</f>
        <v>#DIV/0!</v>
      </c>
    </row>
    <row r="31" spans="1:59">
      <c r="A31">
        <v>2021</v>
      </c>
      <c r="B31" t="s">
        <v>351</v>
      </c>
      <c r="C31" s="79" t="e">
        <f>COUNTIF(T$62:T$76,"=1")/COUNT(T$62:T$76)</f>
        <v>#DIV/0!</v>
      </c>
      <c r="D31" s="79" t="e">
        <f>COUNTIF(T$77:T$81,"=1")/COUNT(T$77:T$81)</f>
        <v>#DIV/0!</v>
      </c>
      <c r="E31" s="79" t="e">
        <f>COUNTIF(T$82:T$85,"=1")/COUNT(T$82:T$85)</f>
        <v>#DIV/0!</v>
      </c>
      <c r="F31" s="79" t="e">
        <f>COUNTIF(T$86:T$100,"=1")/COUNT(T$86:T$100)</f>
        <v>#DIV/0!</v>
      </c>
      <c r="G31" s="79" t="e">
        <f>COUNTIF(T$101:T$110,"=1")/COUNT(T$101:T$110)</f>
        <v>#DIV/0!</v>
      </c>
      <c r="H31" s="79" t="e">
        <f>COUNTIF(T$62:T$110,"=1")/COUNT(T$62:T$110)</f>
        <v>#DIV/0!</v>
      </c>
    </row>
    <row r="32" spans="1:59">
      <c r="A32">
        <v>2021</v>
      </c>
      <c r="B32" t="s">
        <v>83</v>
      </c>
      <c r="C32" s="79" t="e">
        <f>COUNTIF(U$62:U$76,"=1")/COUNT(U$62:U$76)</f>
        <v>#DIV/0!</v>
      </c>
      <c r="D32" s="79" t="e">
        <f>COUNTIF(U$77:U$81,"=1")/COUNT(U$77:U$81)</f>
        <v>#DIV/0!</v>
      </c>
      <c r="E32" s="79" t="e">
        <f>COUNTIF(U$82:U$85,"=1")/COUNT(U$82:U$85)</f>
        <v>#DIV/0!</v>
      </c>
      <c r="F32" s="79" t="e">
        <f>COUNTIF(U$86:U$100,"=1")/COUNT(U$86:U$100)</f>
        <v>#DIV/0!</v>
      </c>
      <c r="G32" s="79" t="e">
        <f>COUNTIF(U$101:U$110,"=1")/COUNT(U$101:U$110)</f>
        <v>#DIV/0!</v>
      </c>
      <c r="H32" s="79" t="e">
        <f>COUNTIF(U$62:U$110,"=1")/COUNT(U$62:U$110)</f>
        <v>#DIV/0!</v>
      </c>
    </row>
    <row r="33" spans="1:60">
      <c r="A33">
        <v>2021</v>
      </c>
      <c r="B33" t="s">
        <v>91</v>
      </c>
      <c r="C33" s="79" t="e">
        <f>COUNTIF(V$62:V$76,"=1")/COUNT(V$62:V$76)</f>
        <v>#DIV/0!</v>
      </c>
      <c r="D33" s="79" t="e">
        <f>COUNTIF(V$77:V$81,"=1")/COUNT(V$77:V$81)</f>
        <v>#DIV/0!</v>
      </c>
      <c r="E33" s="79" t="e">
        <f>COUNTIF(V$82:V$85,"=1")/COUNT(V$82:V$85)</f>
        <v>#DIV/0!</v>
      </c>
      <c r="F33" s="79" t="e">
        <f>COUNTIF(V$86:V$100,"=1")/COUNT(V$86:V$100)</f>
        <v>#DIV/0!</v>
      </c>
      <c r="G33" s="79" t="e">
        <f>COUNTIF(V$101:V$110,"=1")/COUNT(V$101:V$110)</f>
        <v>#DIV/0!</v>
      </c>
      <c r="H33" s="79" t="e">
        <f>COUNTIF(V$62:V$110,"=1")/COUNT(V$62:V$110)</f>
        <v>#DIV/0!</v>
      </c>
    </row>
    <row r="34" spans="1:60">
      <c r="A34">
        <v>2022</v>
      </c>
      <c r="B34" t="s">
        <v>350</v>
      </c>
      <c r="C34" s="79" t="e">
        <f>COUNTIF(W$62:W$76,"=1")/COUNT(W$62:W$76)</f>
        <v>#DIV/0!</v>
      </c>
      <c r="D34" s="79" t="e">
        <f>COUNTIF(W$77:W$81,"=1")/COUNT(W$77:W$81)</f>
        <v>#DIV/0!</v>
      </c>
      <c r="E34" s="79" t="e">
        <f>COUNTIF(W$82:W$85,"=1")/COUNT(W$82:W$85)</f>
        <v>#DIV/0!</v>
      </c>
      <c r="F34" s="79" t="e">
        <f>COUNTIF(W$86:W$100,"=1")/COUNT(W$86:W$100)</f>
        <v>#DIV/0!</v>
      </c>
      <c r="G34" s="79" t="e">
        <f>COUNTIF(W$101:W$110,"=1")/COUNT(W$101:W$110)</f>
        <v>#DIV/0!</v>
      </c>
      <c r="H34" s="79" t="e">
        <f>COUNTIF(W$62:W$110,"=1")/COUNT(W$62:W$110)</f>
        <v>#DIV/0!</v>
      </c>
    </row>
    <row r="35" spans="1:60">
      <c r="A35">
        <v>2022</v>
      </c>
      <c r="B35" t="s">
        <v>351</v>
      </c>
      <c r="C35" s="79" t="e">
        <f>COUNTIF(X$62:X$76,"=1")/COUNT(X$62:X$76)</f>
        <v>#DIV/0!</v>
      </c>
      <c r="D35" s="79" t="e">
        <f>COUNTIF(X$77:X$81,"=1")/COUNT(X$77:X$81)</f>
        <v>#DIV/0!</v>
      </c>
      <c r="E35" s="79" t="e">
        <f>COUNTIF(X$82:X$85,"=1")/COUNT(X$82:X$85)</f>
        <v>#DIV/0!</v>
      </c>
      <c r="F35" s="79" t="e">
        <f>COUNTIF(X$86:X$100,"=1")/COUNT(X$86:X$100)</f>
        <v>#DIV/0!</v>
      </c>
      <c r="G35" s="79" t="e">
        <f>COUNTIF(X$101:X$110,"=1")/COUNT(X$101:X$110)</f>
        <v>#DIV/0!</v>
      </c>
      <c r="H35" s="79" t="e">
        <f>COUNTIF(X$62:X$110,"=1")/COUNT(X$62:X$110)</f>
        <v>#DIV/0!</v>
      </c>
      <c r="BG35" s="57"/>
      <c r="BH35" s="57"/>
    </row>
    <row r="36" spans="1:60">
      <c r="A36">
        <v>2022</v>
      </c>
      <c r="B36" t="s">
        <v>83</v>
      </c>
      <c r="C36" s="79" t="e">
        <f>COUNTIF(Y$62:Y$76,"=1")/COUNT(Y$62:Y$76)</f>
        <v>#DIV/0!</v>
      </c>
      <c r="D36" s="79" t="e">
        <f>COUNTIF(Y$77:Y$81,"=1")/COUNT(Y$77:Y$81)</f>
        <v>#DIV/0!</v>
      </c>
      <c r="E36" s="79" t="e">
        <f>COUNTIF(Y$82:Y$85,"=1")/COUNT(Y$82:Y$85)</f>
        <v>#DIV/0!</v>
      </c>
      <c r="F36" s="79" t="e">
        <f>COUNTIF(Y$86:Y$100,"=1")/COUNT(Y$86:Y$100)</f>
        <v>#DIV/0!</v>
      </c>
      <c r="G36" s="79" t="e">
        <f>COUNTIF(Y$101:Y$110,"=1")/COUNT(Y$101:Y$110)</f>
        <v>#DIV/0!</v>
      </c>
      <c r="H36" s="79" t="e">
        <f>COUNTIF(Y$62:Y$110,"=1")/COUNT(Y$62:Y$110)</f>
        <v>#DIV/0!</v>
      </c>
    </row>
    <row r="37" spans="1:60">
      <c r="A37">
        <v>2022</v>
      </c>
      <c r="B37" t="s">
        <v>91</v>
      </c>
      <c r="C37" s="79" t="e">
        <f>COUNTIF(Z$62:Z$76,"=1")/COUNT(Z$62:Z$76)</f>
        <v>#DIV/0!</v>
      </c>
      <c r="D37" s="79" t="e">
        <f>COUNTIF(Z$77:Z$81,"=1")/COUNT(Z$77:Z$81)</f>
        <v>#DIV/0!</v>
      </c>
      <c r="E37" s="79" t="e">
        <f>COUNTIF(Z$82:Z$85,"=1")/COUNT(Z$82:Z$85)</f>
        <v>#DIV/0!</v>
      </c>
      <c r="F37" s="79" t="e">
        <f>COUNTIF(Z$86:Z$100,"=1")/COUNT(Z$86:Z$100)</f>
        <v>#DIV/0!</v>
      </c>
      <c r="G37" s="79" t="e">
        <f>COUNTIF(Z$101:Z$110,"=1")/COUNT(Z$101:Z$110)</f>
        <v>#DIV/0!</v>
      </c>
      <c r="H37" s="79" t="e">
        <f>COUNTIF(Z$62:Z$110,"=1")/COUNT(Z$62:Z$110)</f>
        <v>#DIV/0!</v>
      </c>
    </row>
    <row r="38" spans="1:60">
      <c r="A38">
        <v>2023</v>
      </c>
      <c r="B38" t="s">
        <v>350</v>
      </c>
      <c r="C38" s="79" t="e">
        <f>COUNTIF(AA$62:AA$76,"=1")/COUNT(AA$62:AA$76)</f>
        <v>#DIV/0!</v>
      </c>
      <c r="D38" s="79" t="e">
        <f>COUNTIF(AA$77:AA$81,"=1")/COUNT(AA$77:AA$81)</f>
        <v>#DIV/0!</v>
      </c>
      <c r="E38" s="79" t="e">
        <f>COUNTIF(AA$82:AA$85,"=1")/COUNT(AA$82:AA$85)</f>
        <v>#DIV/0!</v>
      </c>
      <c r="F38" s="79" t="e">
        <f>COUNTIF(AA$86:AA$100,"=1")/COUNT(AA$86:AA$100)</f>
        <v>#DIV/0!</v>
      </c>
      <c r="G38" s="79" t="e">
        <f>COUNTIF(AA$101:AA$110,"=1")/COUNT(AA$101:AA$110)</f>
        <v>#DIV/0!</v>
      </c>
      <c r="H38" s="79" t="e">
        <f>COUNTIF(AA$62:AA$110,"=1")/COUNT(AA$62:AA$110)</f>
        <v>#DIV/0!</v>
      </c>
    </row>
    <row r="39" spans="1:60">
      <c r="A39">
        <v>2023</v>
      </c>
      <c r="B39" t="s">
        <v>351</v>
      </c>
      <c r="C39" s="79" t="e">
        <f>COUNTIF(AB$62:AB$76,"=1")/COUNT(AB$62:AB$76)</f>
        <v>#DIV/0!</v>
      </c>
      <c r="D39" s="79" t="e">
        <f>COUNTIF(AB$77:AB$81,"=1")/COUNT(AB$77:AB$81)</f>
        <v>#DIV/0!</v>
      </c>
      <c r="E39" s="79" t="e">
        <f>COUNTIF(AB$82:AB$85,"=1")/COUNT(AB$82:AB$85)</f>
        <v>#DIV/0!</v>
      </c>
      <c r="F39" s="79" t="e">
        <f>COUNTIF(AB$86:AB$100,"=1")/COUNT(AB$86:AB$100)</f>
        <v>#DIV/0!</v>
      </c>
      <c r="G39" s="79" t="e">
        <f>COUNTIF(AB$101:AB$110,"=1")/COUNT(AB$101:AB$110)</f>
        <v>#DIV/0!</v>
      </c>
      <c r="H39" s="79" t="e">
        <f>COUNTIF(AB$62:AB$110,"=1")/COUNT(AB$62:AB$110)</f>
        <v>#DIV/0!</v>
      </c>
    </row>
    <row r="40" spans="1:60">
      <c r="A40">
        <v>2023</v>
      </c>
      <c r="B40" t="s">
        <v>83</v>
      </c>
      <c r="C40" s="79" t="e">
        <f>COUNTIF(AC$62:AC$76,"=1")/COUNT(AC$62:AC$76)</f>
        <v>#DIV/0!</v>
      </c>
      <c r="D40" s="79" t="e">
        <f>COUNTIF(AC$77:AC$81,"=1")/COUNT(AC$77:AC$81)</f>
        <v>#DIV/0!</v>
      </c>
      <c r="E40" s="79" t="e">
        <f>COUNTIF(AC$82:AC$85,"=1")/COUNT(AC$82:AC$85)</f>
        <v>#DIV/0!</v>
      </c>
      <c r="F40" s="79" t="e">
        <f>COUNTIF(AC$86:AC$100,"=1")/COUNT(AC$86:AC$100)</f>
        <v>#DIV/0!</v>
      </c>
      <c r="G40" s="79" t="e">
        <f>COUNTIF(AC$101:AC$110,"=1")/COUNT(AC$101:AC$110)</f>
        <v>#DIV/0!</v>
      </c>
      <c r="H40" s="79" t="e">
        <f>COUNTIF(AC$62:AC$110,"=1")/COUNT(AC$62:AC$110)</f>
        <v>#DIV/0!</v>
      </c>
    </row>
    <row r="41" spans="1:60">
      <c r="A41">
        <v>2023</v>
      </c>
      <c r="B41" t="s">
        <v>91</v>
      </c>
      <c r="C41" s="79" t="e">
        <f>COUNTIF(AD$62:AD$76,"=1")/COUNT(AD$62:AD$76)</f>
        <v>#DIV/0!</v>
      </c>
      <c r="D41" s="79" t="e">
        <f>COUNTIF(AD$77:AD$81,"=1")/COUNT(AD$77:AD$81)</f>
        <v>#DIV/0!</v>
      </c>
      <c r="E41" s="79" t="e">
        <f>COUNTIF(AD$82:AD$85,"=1")/COUNT(AD$82:AD$85)</f>
        <v>#DIV/0!</v>
      </c>
      <c r="F41" s="79" t="e">
        <f>COUNTIF(AD$86:AD$100,"=1")/COUNT(AD$86:AD$100)</f>
        <v>#DIV/0!</v>
      </c>
      <c r="G41" s="79" t="e">
        <f>COUNTIF(AD$101:AD$110,"=1")/COUNT(AD$101:AD$110)</f>
        <v>#DIV/0!</v>
      </c>
      <c r="H41" s="79" t="e">
        <f>COUNTIF(AD$62:AD$110,"=1")/COUNT(AD$62:AD$110)</f>
        <v>#DIV/0!</v>
      </c>
    </row>
    <row r="42" spans="1:60">
      <c r="A42">
        <v>2024</v>
      </c>
      <c r="B42" t="s">
        <v>350</v>
      </c>
      <c r="C42" s="79" t="e">
        <f>COUNTIF(AE$62:AE$76,"=1")/COUNT(AE$62:AE$76)</f>
        <v>#DIV/0!</v>
      </c>
      <c r="D42" s="79" t="e">
        <f>COUNTIF(AE$77:AE$81,"=1")/COUNT(AE$77:AE$81)</f>
        <v>#DIV/0!</v>
      </c>
      <c r="E42" s="79" t="e">
        <f>COUNTIF(AE$82:AE$85,"=1")/COUNT(AE$82:AE$85)</f>
        <v>#DIV/0!</v>
      </c>
      <c r="F42" s="79" t="e">
        <f>COUNTIF(AE$86:AE$100,"=1")/COUNT(AE$86:AE$100)</f>
        <v>#DIV/0!</v>
      </c>
      <c r="G42" s="79" t="e">
        <f>COUNTIF(AE$101:AE$110,"=1")/COUNT(AE$101:AE$110)</f>
        <v>#DIV/0!</v>
      </c>
      <c r="H42" s="79" t="e">
        <f>COUNTIF(AE$62:AE$110,"=1")/COUNT(AE$62:AE$110)</f>
        <v>#DIV/0!</v>
      </c>
    </row>
    <row r="43" spans="1:60">
      <c r="A43">
        <v>2024</v>
      </c>
      <c r="B43" t="s">
        <v>351</v>
      </c>
      <c r="C43" s="79" t="e">
        <f>COUNTIF(AF$62:AF$76,"=1")/COUNT(AF$62:AF$76)</f>
        <v>#DIV/0!</v>
      </c>
      <c r="D43" s="79" t="e">
        <f>COUNTIF(AF$77:AF$81,"=1")/COUNT(AF$77:AF$81)</f>
        <v>#DIV/0!</v>
      </c>
      <c r="E43" s="79" t="e">
        <f>COUNTIF(AF$82:AF$85,"=1")/COUNT(AF$82:AF$85)</f>
        <v>#DIV/0!</v>
      </c>
      <c r="F43" s="79" t="e">
        <f>COUNTIF(AF$86:AF$100,"=1")/COUNT(AF$86:AF$100)</f>
        <v>#DIV/0!</v>
      </c>
      <c r="G43" s="79" t="e">
        <f>COUNTIF(AF$101:AF$110,"=1")/COUNT(AF$101:AF$110)</f>
        <v>#DIV/0!</v>
      </c>
      <c r="H43" s="79" t="e">
        <f>COUNTIF(AF$62:AF$110,"=1")/COUNT(AF$62:AF$110)</f>
        <v>#DIV/0!</v>
      </c>
    </row>
    <row r="44" spans="1:60">
      <c r="A44">
        <v>2024</v>
      </c>
      <c r="B44" t="s">
        <v>83</v>
      </c>
      <c r="C44" s="79" t="e">
        <f>COUNTIF(AG$62:AG$76,"=1")/COUNT(AG$62:AG$76)</f>
        <v>#DIV/0!</v>
      </c>
      <c r="D44" s="79" t="e">
        <f>COUNTIF(AG$77:AG$81,"=1")/COUNT(AG$77:AG$81)</f>
        <v>#DIV/0!</v>
      </c>
      <c r="E44" s="79" t="e">
        <f>COUNTIF(AG$82:AG$85,"=1")/COUNT(AG$82:AG$85)</f>
        <v>#DIV/0!</v>
      </c>
      <c r="F44" s="79" t="e">
        <f>COUNTIF(AG$86:AG$100,"=1")/COUNT(AG$86:AG$100)</f>
        <v>#DIV/0!</v>
      </c>
      <c r="G44" s="79" t="e">
        <f>COUNTIF(AG$101:AG$110,"=1")/COUNT(AG$101:AG$110)</f>
        <v>#DIV/0!</v>
      </c>
      <c r="H44" s="79" t="e">
        <f>COUNTIF(AG$62:AG$110,"=1")/COUNT(AG$62:AG$110)</f>
        <v>#DIV/0!</v>
      </c>
    </row>
    <row r="45" spans="1:60">
      <c r="A45">
        <v>2024</v>
      </c>
      <c r="B45" t="s">
        <v>91</v>
      </c>
      <c r="C45" s="79" t="e">
        <f>COUNTIF(AH$62:AH$76,"=1")/COUNT(AH$62:AH$76)</f>
        <v>#DIV/0!</v>
      </c>
      <c r="D45" s="79" t="e">
        <f>COUNTIF(AH$77:AH$81,"=1")/COUNT(AH$77:AH$81)</f>
        <v>#DIV/0!</v>
      </c>
      <c r="E45" s="79" t="e">
        <f>COUNTIF(AH$82:AH$85,"=1")/COUNT(AH$82:AH$85)</f>
        <v>#DIV/0!</v>
      </c>
      <c r="F45" s="79" t="e">
        <f>COUNTIF(AH$86:AH$100,"=1")/COUNT(AH$86:AH$100)</f>
        <v>#DIV/0!</v>
      </c>
      <c r="G45" s="79" t="e">
        <f>COUNTIF(AH$101:AH$110,"=1")/COUNT(AH$101:AH$110)</f>
        <v>#DIV/0!</v>
      </c>
      <c r="H45" s="79" t="e">
        <f>COUNTIF(AH$62:AH$110,"=1")/COUNT(AH$62:AH$110)</f>
        <v>#DIV/0!</v>
      </c>
    </row>
    <row r="46" spans="1:60">
      <c r="A46">
        <v>2025</v>
      </c>
      <c r="B46" t="s">
        <v>350</v>
      </c>
      <c r="C46" s="79" t="e">
        <f>COUNTIF(AI$62:AI$76,"=1")/COUNT(AI$62:AI$76)</f>
        <v>#DIV/0!</v>
      </c>
      <c r="D46" s="79" t="e">
        <f>COUNTIF(AI$77:AI$81,"=1")/COUNT(AI$77:AI$81)</f>
        <v>#DIV/0!</v>
      </c>
      <c r="E46" s="79" t="e">
        <f>COUNTIF(AI$82:AI$85,"=1")/COUNT(AI$82:AI$85)</f>
        <v>#DIV/0!</v>
      </c>
      <c r="F46" s="79" t="e">
        <f>COUNTIF(AI$86:AI$100,"=1")/COUNT(AI$86:AI$100)</f>
        <v>#DIV/0!</v>
      </c>
      <c r="G46" s="79" t="e">
        <f>COUNTIF(AI$101:AI$110,"=1")/COUNT(AI$101:AI$110)</f>
        <v>#DIV/0!</v>
      </c>
      <c r="H46" s="79" t="e">
        <f>COUNTIF(AI$62:AI$110,"=1")/COUNT(AI$62:AI$110)</f>
        <v>#DIV/0!</v>
      </c>
    </row>
    <row r="47" spans="1:60">
      <c r="A47">
        <v>2025</v>
      </c>
      <c r="B47" t="s">
        <v>351</v>
      </c>
      <c r="C47" s="79" t="e">
        <f>COUNTIF(AJ$62:AJ$76,"=1")/COUNT(AJ$62:AJ$76)</f>
        <v>#DIV/0!</v>
      </c>
      <c r="D47" s="79" t="e">
        <f>COUNTIF(AJ$77:AJ$81,"=1")/COUNT(AJ$77:AJ$81)</f>
        <v>#DIV/0!</v>
      </c>
      <c r="E47" s="79" t="e">
        <f>COUNTIF(AJ$82:AJ$85,"=1")/COUNT(AJ$82:AJ$85)</f>
        <v>#DIV/0!</v>
      </c>
      <c r="F47" s="79" t="e">
        <f>COUNTIF(AJ$86:AJ$100,"=1")/COUNT(AJ$86:AJ$100)</f>
        <v>#DIV/0!</v>
      </c>
      <c r="G47" s="79" t="e">
        <f>COUNTIF(AJ$101:AJ$110,"=1")/COUNT(AJ$101:AJ$110)</f>
        <v>#DIV/0!</v>
      </c>
      <c r="H47" s="79" t="e">
        <f>COUNTIF(AJ$62:AJ$110,"=1")/COUNT(AJ$62:AJ$110)</f>
        <v>#DIV/0!</v>
      </c>
    </row>
    <row r="48" spans="1:60">
      <c r="A48">
        <v>2025</v>
      </c>
      <c r="B48" t="s">
        <v>83</v>
      </c>
      <c r="C48" s="79" t="e">
        <f>COUNTIF(AK$62:AK$76,"=1")/COUNT(AK$62:AK$76)</f>
        <v>#DIV/0!</v>
      </c>
      <c r="D48" s="79" t="e">
        <f>COUNTIF(AK$77:AK$81,"=1")/COUNT(AK$77:AK$81)</f>
        <v>#DIV/0!</v>
      </c>
      <c r="E48" s="79" t="e">
        <f>COUNTIF(AK$82:AK$85,"=1")/COUNT(AK$82:AK$85)</f>
        <v>#DIV/0!</v>
      </c>
      <c r="F48" s="79" t="e">
        <f>COUNTIF(AK$86:AK$100,"=1")/COUNT(AK$86:AK$100)</f>
        <v>#DIV/0!</v>
      </c>
      <c r="G48" s="79" t="e">
        <f>COUNTIF(AK$101:AK$110,"=1")/COUNT(AK$101:AK$110)</f>
        <v>#DIV/0!</v>
      </c>
      <c r="H48" s="79" t="e">
        <f>COUNTIF(AK$62:AK$110,"=1")/COUNT(AK$62:AK$110)</f>
        <v>#DIV/0!</v>
      </c>
    </row>
    <row r="49" spans="1:38">
      <c r="A49">
        <v>2025</v>
      </c>
      <c r="B49" t="s">
        <v>91</v>
      </c>
      <c r="C49" s="79" t="e">
        <f>COUNTIF(AL$62:AL$76,"=1")/COUNT(AL$62:AL$76)</f>
        <v>#DIV/0!</v>
      </c>
      <c r="D49" s="79" t="e">
        <f>COUNTIF(AL$77:AL$81,"=1")/COUNT(AL$77:AL$81)</f>
        <v>#DIV/0!</v>
      </c>
      <c r="E49" s="79" t="e">
        <f>COUNTIF(AL$82:AL$85,"=1")/COUNT(AL$82:AL$85)</f>
        <v>#DIV/0!</v>
      </c>
      <c r="F49" s="79" t="e">
        <f>COUNTIF(AL$86:AL$100,"=1")/COUNT(AL$86:AL$100)</f>
        <v>#DIV/0!</v>
      </c>
      <c r="G49" s="79" t="e">
        <f>COUNTIF(AL$101:AL$110,"=1")/COUNT(AL$101:AL$110)</f>
        <v>#DIV/0!</v>
      </c>
      <c r="H49" s="79" t="e">
        <f>COUNTIF(AL$62:AL$110,"=1")/COUNT(AL$62:AL$110)</f>
        <v>#DIV/0!</v>
      </c>
    </row>
    <row r="50" spans="1:38">
      <c r="C50" s="79"/>
      <c r="D50" s="79"/>
      <c r="E50" s="79"/>
      <c r="F50" s="79"/>
      <c r="G50" s="79"/>
      <c r="H50" s="79"/>
    </row>
    <row r="51" spans="1:38">
      <c r="C51" s="79"/>
      <c r="D51" s="79"/>
      <c r="E51" s="79"/>
      <c r="F51" s="79"/>
      <c r="G51" s="79"/>
      <c r="H51" s="79"/>
    </row>
    <row r="52" spans="1:38">
      <c r="C52" s="79"/>
      <c r="D52" s="79"/>
      <c r="E52" s="79"/>
      <c r="F52" s="79"/>
      <c r="G52" s="79"/>
      <c r="H52" s="79"/>
    </row>
    <row r="53" spans="1:38">
      <c r="C53" s="79"/>
      <c r="D53" s="79"/>
      <c r="E53" s="79"/>
      <c r="F53" s="79"/>
      <c r="G53" s="79"/>
      <c r="H53" s="79"/>
    </row>
    <row r="54" spans="1:38">
      <c r="C54" s="79"/>
      <c r="D54" s="79"/>
      <c r="E54" s="79"/>
      <c r="F54" s="79"/>
      <c r="G54" s="79"/>
      <c r="H54" s="79"/>
    </row>
    <row r="55" spans="1:38">
      <c r="C55" s="79"/>
      <c r="D55" s="79"/>
      <c r="E55" s="79"/>
      <c r="F55" s="79"/>
      <c r="G55" s="79"/>
      <c r="H55" s="79"/>
    </row>
    <row r="56" spans="1:38">
      <c r="C56" s="79"/>
      <c r="D56" s="79"/>
      <c r="E56" s="79"/>
      <c r="F56" s="79"/>
      <c r="G56" s="79"/>
      <c r="H56" s="79"/>
    </row>
    <row r="57" spans="1:38">
      <c r="C57" s="79"/>
      <c r="D57" s="79"/>
      <c r="E57" s="79"/>
      <c r="F57" s="79"/>
      <c r="G57" s="79"/>
      <c r="H57" s="79"/>
    </row>
    <row r="58" spans="1:38">
      <c r="C58" s="79"/>
      <c r="D58" s="79"/>
      <c r="E58" s="79"/>
      <c r="F58" s="79"/>
      <c r="G58" s="79"/>
      <c r="H58" s="79"/>
    </row>
    <row r="59" spans="1:38">
      <c r="C59" s="79"/>
      <c r="D59" s="79"/>
      <c r="E59" s="79"/>
      <c r="F59" s="79"/>
      <c r="G59" s="79"/>
      <c r="H59" s="79"/>
    </row>
    <row r="60" spans="1:38" ht="18">
      <c r="A60" s="355" t="s">
        <v>195</v>
      </c>
      <c r="B60" s="355"/>
      <c r="C60" s="356">
        <v>2017</v>
      </c>
      <c r="D60" s="357"/>
      <c r="E60" s="357"/>
      <c r="F60" s="358"/>
      <c r="G60" s="356">
        <v>2018</v>
      </c>
      <c r="H60" s="357"/>
      <c r="I60" s="357"/>
      <c r="J60" s="358"/>
      <c r="K60" s="356">
        <v>2019</v>
      </c>
      <c r="L60" s="357"/>
      <c r="M60" s="357"/>
      <c r="N60" s="358"/>
      <c r="O60" s="356">
        <v>2020</v>
      </c>
      <c r="P60" s="357"/>
      <c r="Q60" s="357"/>
      <c r="R60" s="358"/>
      <c r="S60" s="356">
        <v>2021</v>
      </c>
      <c r="T60" s="357"/>
      <c r="U60" s="357"/>
      <c r="V60" s="358"/>
      <c r="W60" s="356">
        <v>2022</v>
      </c>
      <c r="X60" s="357"/>
      <c r="Y60" s="357"/>
      <c r="Z60" s="358"/>
      <c r="AA60" s="356">
        <v>2023</v>
      </c>
      <c r="AB60" s="357"/>
      <c r="AC60" s="357"/>
      <c r="AD60" s="358"/>
      <c r="AE60" s="356">
        <v>2024</v>
      </c>
      <c r="AF60" s="357"/>
      <c r="AG60" s="357"/>
      <c r="AH60" s="358"/>
      <c r="AI60" s="356">
        <v>2025</v>
      </c>
      <c r="AJ60" s="357"/>
      <c r="AK60" s="357"/>
      <c r="AL60" s="358"/>
    </row>
    <row r="61" spans="1:38" ht="18">
      <c r="A61" s="81" t="s">
        <v>199</v>
      </c>
      <c r="B61" s="80" t="s">
        <v>210</v>
      </c>
      <c r="C61" s="178" t="s">
        <v>346</v>
      </c>
      <c r="D61" s="139" t="s">
        <v>347</v>
      </c>
      <c r="E61" s="139" t="s">
        <v>348</v>
      </c>
      <c r="F61" s="179" t="s">
        <v>349</v>
      </c>
      <c r="G61" s="178" t="s">
        <v>346</v>
      </c>
      <c r="H61" s="139" t="s">
        <v>347</v>
      </c>
      <c r="I61" s="139" t="s">
        <v>348</v>
      </c>
      <c r="J61" s="179" t="s">
        <v>349</v>
      </c>
      <c r="K61" s="178" t="s">
        <v>346</v>
      </c>
      <c r="L61" s="139" t="s">
        <v>347</v>
      </c>
      <c r="M61" s="139" t="s">
        <v>348</v>
      </c>
      <c r="N61" s="179" t="s">
        <v>349</v>
      </c>
      <c r="O61" s="178" t="s">
        <v>346</v>
      </c>
      <c r="P61" s="139" t="s">
        <v>347</v>
      </c>
      <c r="Q61" s="139" t="s">
        <v>348</v>
      </c>
      <c r="R61" s="179" t="s">
        <v>349</v>
      </c>
      <c r="S61" s="178" t="s">
        <v>346</v>
      </c>
      <c r="T61" s="139" t="s">
        <v>347</v>
      </c>
      <c r="U61" s="139" t="s">
        <v>348</v>
      </c>
      <c r="V61" s="179" t="s">
        <v>349</v>
      </c>
      <c r="W61" s="178" t="s">
        <v>346</v>
      </c>
      <c r="X61" s="139" t="s">
        <v>347</v>
      </c>
      <c r="Y61" s="139" t="s">
        <v>348</v>
      </c>
      <c r="Z61" s="179" t="s">
        <v>349</v>
      </c>
      <c r="AA61" s="178" t="s">
        <v>346</v>
      </c>
      <c r="AB61" s="139" t="s">
        <v>347</v>
      </c>
      <c r="AC61" s="139" t="s">
        <v>348</v>
      </c>
      <c r="AD61" s="179" t="s">
        <v>349</v>
      </c>
      <c r="AE61" s="178" t="s">
        <v>346</v>
      </c>
      <c r="AF61" s="139" t="s">
        <v>347</v>
      </c>
      <c r="AG61" s="139" t="s">
        <v>348</v>
      </c>
      <c r="AH61" s="179" t="s">
        <v>349</v>
      </c>
      <c r="AI61" s="178" t="s">
        <v>346</v>
      </c>
      <c r="AJ61" s="139" t="s">
        <v>347</v>
      </c>
      <c r="AK61" s="139" t="s">
        <v>348</v>
      </c>
      <c r="AL61" s="179" t="s">
        <v>349</v>
      </c>
    </row>
    <row r="62" spans="1:38">
      <c r="A62" s="68" t="s">
        <v>189</v>
      </c>
      <c r="B62" t="s">
        <v>153</v>
      </c>
      <c r="C62" s="82">
        <v>0</v>
      </c>
      <c r="D62" s="82">
        <v>1</v>
      </c>
      <c r="E62" s="82">
        <v>1</v>
      </c>
      <c r="F62" s="82">
        <v>0</v>
      </c>
      <c r="G62" s="82"/>
      <c r="H62" s="82"/>
      <c r="I62" s="82"/>
      <c r="J62" s="82"/>
      <c r="K62" s="82"/>
      <c r="L62" s="82"/>
      <c r="M62" s="82"/>
      <c r="N62" s="82"/>
      <c r="O62" s="82"/>
      <c r="P62" s="82"/>
      <c r="Q62" s="82"/>
      <c r="R62" s="82"/>
      <c r="S62" s="82"/>
      <c r="T62" s="82"/>
      <c r="U62" s="8"/>
      <c r="V62" s="8"/>
      <c r="W62" s="8"/>
      <c r="X62" s="8"/>
      <c r="Y62" s="8"/>
      <c r="Z62" s="8"/>
      <c r="AA62" s="8"/>
      <c r="AB62" s="8"/>
      <c r="AC62" s="8"/>
    </row>
    <row r="63" spans="1:38">
      <c r="A63" s="69" t="s">
        <v>141</v>
      </c>
      <c r="B63" t="s">
        <v>153</v>
      </c>
      <c r="C63" s="82">
        <v>0</v>
      </c>
      <c r="D63" s="82">
        <v>0</v>
      </c>
      <c r="E63" s="82">
        <v>0</v>
      </c>
      <c r="F63" s="82">
        <v>0</v>
      </c>
      <c r="G63" s="82"/>
      <c r="H63" s="82"/>
      <c r="I63" s="82"/>
      <c r="J63" s="82"/>
      <c r="K63" s="82"/>
      <c r="L63" s="82"/>
      <c r="M63" s="82"/>
      <c r="N63" s="82"/>
      <c r="O63" s="82"/>
      <c r="P63" s="82"/>
      <c r="Q63" s="82"/>
      <c r="R63" s="82"/>
      <c r="S63" s="82"/>
      <c r="T63" s="82"/>
      <c r="U63" s="8"/>
      <c r="V63" s="8"/>
      <c r="W63" s="8"/>
      <c r="X63" s="8"/>
      <c r="Y63" s="8"/>
      <c r="Z63" s="8"/>
      <c r="AA63" s="8"/>
      <c r="AB63" s="8"/>
      <c r="AC63" s="8"/>
    </row>
    <row r="64" spans="1:38">
      <c r="A64" s="69" t="s">
        <v>143</v>
      </c>
      <c r="B64" t="s">
        <v>153</v>
      </c>
      <c r="C64" s="82">
        <v>0</v>
      </c>
      <c r="D64" s="82">
        <v>0</v>
      </c>
      <c r="E64" s="82">
        <v>0</v>
      </c>
      <c r="F64" s="82">
        <v>0</v>
      </c>
      <c r="G64" s="82"/>
      <c r="H64" s="82"/>
      <c r="I64" s="82"/>
      <c r="J64" s="82"/>
      <c r="K64" s="82"/>
      <c r="L64" s="82"/>
      <c r="M64" s="82"/>
      <c r="N64" s="82"/>
      <c r="O64" s="82"/>
      <c r="P64" s="82"/>
      <c r="Q64" s="82"/>
      <c r="R64" s="82"/>
      <c r="S64" s="82"/>
      <c r="T64" s="82"/>
      <c r="U64" s="8"/>
      <c r="V64" s="8"/>
      <c r="W64" s="8"/>
      <c r="X64" s="8"/>
      <c r="Y64" s="8"/>
      <c r="Z64" s="8"/>
      <c r="AA64" s="8"/>
      <c r="AB64" s="8"/>
      <c r="AC64" s="8"/>
    </row>
    <row r="65" spans="1:29">
      <c r="A65" s="69" t="s">
        <v>152</v>
      </c>
      <c r="B65" t="s">
        <v>153</v>
      </c>
      <c r="C65" s="82">
        <v>0</v>
      </c>
      <c r="D65" s="82">
        <v>0</v>
      </c>
      <c r="E65" s="82">
        <v>0</v>
      </c>
      <c r="F65" s="82">
        <v>0</v>
      </c>
      <c r="G65" s="82"/>
      <c r="H65" s="82"/>
      <c r="I65" s="82"/>
      <c r="J65" s="82"/>
      <c r="K65" s="82"/>
      <c r="L65" s="82"/>
      <c r="M65" s="82"/>
      <c r="N65" s="82"/>
      <c r="O65" s="82"/>
      <c r="P65" s="82"/>
      <c r="Q65" s="82"/>
      <c r="R65" s="82"/>
      <c r="S65" s="82"/>
      <c r="T65" s="82"/>
      <c r="U65" s="8"/>
      <c r="V65" s="8"/>
      <c r="W65" s="8"/>
      <c r="X65" s="8"/>
      <c r="Y65" s="8"/>
      <c r="Z65" s="8"/>
      <c r="AA65" s="8"/>
      <c r="AB65" s="8"/>
      <c r="AC65" s="8"/>
    </row>
    <row r="66" spans="1:29">
      <c r="A66" s="69" t="s">
        <v>146</v>
      </c>
      <c r="B66" t="s">
        <v>153</v>
      </c>
      <c r="C66" s="82">
        <v>0</v>
      </c>
      <c r="D66" s="82">
        <v>0</v>
      </c>
      <c r="E66" s="82">
        <v>0</v>
      </c>
      <c r="F66" s="82">
        <v>0</v>
      </c>
      <c r="G66" s="82"/>
      <c r="H66" s="82"/>
      <c r="I66" s="82"/>
      <c r="J66" s="82"/>
      <c r="K66" s="82"/>
      <c r="L66" s="82"/>
      <c r="M66" s="82"/>
      <c r="N66" s="82"/>
      <c r="O66" s="82"/>
      <c r="P66" s="82"/>
      <c r="Q66" s="82"/>
      <c r="R66" s="82"/>
      <c r="S66" s="82"/>
      <c r="T66" s="82"/>
      <c r="U66" s="8"/>
      <c r="V66" s="8"/>
      <c r="W66" s="8"/>
      <c r="X66" s="8"/>
      <c r="Y66" s="8"/>
      <c r="Z66" s="8"/>
      <c r="AA66" s="8"/>
      <c r="AB66" s="8"/>
      <c r="AC66" s="8"/>
    </row>
    <row r="67" spans="1:29">
      <c r="A67" s="69" t="s">
        <v>142</v>
      </c>
      <c r="B67" t="s">
        <v>153</v>
      </c>
      <c r="C67" s="82">
        <v>1</v>
      </c>
      <c r="D67" s="82">
        <v>1</v>
      </c>
      <c r="E67" s="82">
        <v>1</v>
      </c>
      <c r="F67" s="82">
        <v>1</v>
      </c>
      <c r="G67" s="82"/>
      <c r="H67" s="82"/>
      <c r="I67" s="82"/>
      <c r="J67" s="82"/>
      <c r="K67" s="82"/>
      <c r="L67" s="82"/>
      <c r="M67" s="82"/>
      <c r="N67" s="82"/>
      <c r="O67" s="82"/>
      <c r="P67" s="82"/>
      <c r="Q67" s="82"/>
      <c r="R67" s="82"/>
      <c r="S67" s="82"/>
      <c r="T67" s="82"/>
      <c r="U67" s="8"/>
      <c r="V67" s="8"/>
      <c r="W67" s="8"/>
      <c r="X67" s="8"/>
      <c r="Y67" s="8"/>
      <c r="Z67" s="8"/>
      <c r="AA67" s="8"/>
      <c r="AB67" s="8"/>
      <c r="AC67" s="8"/>
    </row>
    <row r="68" spans="1:29">
      <c r="A68" s="69" t="s">
        <v>148</v>
      </c>
      <c r="B68" t="s">
        <v>153</v>
      </c>
      <c r="C68" s="82">
        <v>0</v>
      </c>
      <c r="D68" s="82">
        <v>0</v>
      </c>
      <c r="E68" s="82">
        <v>1</v>
      </c>
      <c r="F68" s="82">
        <v>0</v>
      </c>
      <c r="G68" s="82"/>
      <c r="H68" s="82"/>
      <c r="I68" s="82"/>
      <c r="J68" s="82"/>
      <c r="K68" s="82"/>
      <c r="L68" s="82"/>
      <c r="M68" s="82"/>
      <c r="N68" s="82"/>
      <c r="O68" s="82"/>
      <c r="P68" s="82"/>
      <c r="Q68" s="82"/>
      <c r="R68" s="82"/>
      <c r="S68" s="82"/>
      <c r="T68" s="82"/>
      <c r="U68" s="8"/>
      <c r="V68" s="8"/>
      <c r="W68" s="8"/>
      <c r="X68" s="8"/>
      <c r="Y68" s="8"/>
      <c r="Z68" s="8"/>
      <c r="AA68" s="8"/>
      <c r="AB68" s="8"/>
      <c r="AC68" s="8"/>
    </row>
    <row r="69" spans="1:29">
      <c r="A69" s="69" t="s">
        <v>149</v>
      </c>
      <c r="B69" t="s">
        <v>153</v>
      </c>
      <c r="C69" s="82">
        <v>0</v>
      </c>
      <c r="D69" s="82">
        <v>1</v>
      </c>
      <c r="E69" s="82">
        <v>1</v>
      </c>
      <c r="F69" s="82">
        <v>0</v>
      </c>
      <c r="G69" s="82"/>
      <c r="H69" s="82"/>
      <c r="I69" s="82"/>
      <c r="J69" s="82"/>
      <c r="K69" s="82"/>
      <c r="L69" s="82"/>
      <c r="M69" s="82"/>
      <c r="N69" s="82"/>
      <c r="O69" s="82"/>
      <c r="P69" s="82"/>
      <c r="Q69" s="82"/>
      <c r="R69" s="82"/>
      <c r="S69" s="82"/>
      <c r="T69" s="82"/>
      <c r="U69" s="8"/>
      <c r="V69" s="8"/>
      <c r="W69" s="8"/>
      <c r="X69" s="8"/>
      <c r="Y69" s="8"/>
      <c r="Z69" s="8"/>
      <c r="AA69" s="8"/>
      <c r="AB69" s="8"/>
      <c r="AC69" s="8"/>
    </row>
    <row r="70" spans="1:29">
      <c r="A70" s="69" t="s">
        <v>147</v>
      </c>
      <c r="B70" t="s">
        <v>153</v>
      </c>
      <c r="C70" s="82">
        <v>0</v>
      </c>
      <c r="D70" s="82">
        <v>0</v>
      </c>
      <c r="E70" s="82">
        <v>0</v>
      </c>
      <c r="F70" s="82">
        <v>0</v>
      </c>
      <c r="G70" s="82"/>
      <c r="H70" s="82"/>
      <c r="I70" s="82"/>
      <c r="J70" s="82"/>
      <c r="K70" s="82"/>
      <c r="L70" s="82"/>
      <c r="M70" s="82"/>
      <c r="N70" s="82"/>
      <c r="O70" s="82"/>
      <c r="P70" s="82"/>
      <c r="Q70" s="82"/>
      <c r="R70" s="82"/>
      <c r="S70" s="82"/>
      <c r="T70" s="82"/>
      <c r="U70" s="8"/>
      <c r="V70" s="8"/>
      <c r="W70" s="8"/>
      <c r="X70" s="8"/>
      <c r="Y70" s="8"/>
      <c r="Z70" s="8"/>
      <c r="AA70" s="8"/>
      <c r="AB70" s="8"/>
      <c r="AC70" s="8"/>
    </row>
    <row r="71" spans="1:29">
      <c r="A71" s="68" t="s">
        <v>190</v>
      </c>
      <c r="B71" t="s">
        <v>153</v>
      </c>
      <c r="C71" s="82">
        <v>0</v>
      </c>
      <c r="D71" s="82">
        <v>0</v>
      </c>
      <c r="E71" s="82">
        <v>0</v>
      </c>
      <c r="F71" s="82">
        <v>0</v>
      </c>
      <c r="G71" s="82"/>
      <c r="H71" s="82"/>
      <c r="I71" s="82"/>
      <c r="J71" s="82"/>
      <c r="K71" s="82"/>
      <c r="L71" s="82"/>
      <c r="M71" s="82"/>
      <c r="N71" s="82"/>
      <c r="O71" s="82"/>
      <c r="P71" s="82"/>
      <c r="Q71" s="82"/>
      <c r="R71" s="82"/>
      <c r="S71" s="82"/>
      <c r="T71" s="82"/>
      <c r="U71" s="8"/>
      <c r="V71" s="8"/>
      <c r="W71" s="8"/>
      <c r="X71" s="8"/>
      <c r="Y71" s="8"/>
      <c r="Z71" s="8"/>
      <c r="AA71" s="8"/>
      <c r="AB71" s="8"/>
      <c r="AC71" s="8"/>
    </row>
    <row r="72" spans="1:29">
      <c r="A72" s="69" t="s">
        <v>145</v>
      </c>
      <c r="B72" t="s">
        <v>153</v>
      </c>
      <c r="C72" s="82">
        <v>0</v>
      </c>
      <c r="D72" s="82">
        <v>0</v>
      </c>
      <c r="E72" s="82">
        <v>0</v>
      </c>
      <c r="F72" s="82">
        <v>0</v>
      </c>
      <c r="G72" s="82"/>
      <c r="H72" s="82"/>
      <c r="I72" s="82"/>
      <c r="J72" s="82"/>
      <c r="K72" s="82"/>
      <c r="L72" s="82"/>
      <c r="M72" s="82"/>
      <c r="N72" s="82"/>
      <c r="O72" s="82"/>
      <c r="P72" s="82"/>
      <c r="Q72" s="82"/>
      <c r="R72" s="82"/>
      <c r="S72" s="82"/>
      <c r="T72" s="82"/>
      <c r="U72" s="8"/>
      <c r="V72" s="8"/>
      <c r="W72" s="8"/>
      <c r="X72" s="8"/>
      <c r="Y72" s="8"/>
      <c r="Z72" s="8"/>
      <c r="AA72" s="8"/>
      <c r="AB72" s="8"/>
      <c r="AC72" s="8"/>
    </row>
    <row r="73" spans="1:29">
      <c r="A73" s="68" t="s">
        <v>191</v>
      </c>
      <c r="B73" t="s">
        <v>153</v>
      </c>
      <c r="C73" s="82">
        <v>0</v>
      </c>
      <c r="D73" s="82">
        <v>0</v>
      </c>
      <c r="E73" s="82">
        <v>0</v>
      </c>
      <c r="F73" s="82">
        <v>0</v>
      </c>
      <c r="G73" s="82"/>
      <c r="H73" s="82"/>
      <c r="I73" s="82"/>
      <c r="J73" s="82"/>
      <c r="K73" s="82"/>
      <c r="L73" s="82"/>
      <c r="M73" s="82"/>
      <c r="N73" s="82"/>
      <c r="O73" s="82"/>
      <c r="P73" s="82"/>
      <c r="Q73" s="82"/>
      <c r="R73" s="82"/>
      <c r="S73" s="82"/>
      <c r="T73" s="82"/>
      <c r="U73" s="8"/>
      <c r="V73" s="8"/>
      <c r="W73" s="8"/>
      <c r="X73" s="8"/>
      <c r="Y73" s="8"/>
      <c r="Z73" s="8"/>
      <c r="AA73" s="8"/>
      <c r="AB73" s="8"/>
      <c r="AC73" s="8"/>
    </row>
    <row r="74" spans="1:29">
      <c r="A74" s="69" t="s">
        <v>150</v>
      </c>
      <c r="B74" t="s">
        <v>153</v>
      </c>
      <c r="C74" s="82">
        <v>0</v>
      </c>
      <c r="D74" s="82">
        <v>0</v>
      </c>
      <c r="E74" s="82">
        <v>0</v>
      </c>
      <c r="F74" s="82">
        <v>0</v>
      </c>
      <c r="G74" s="82"/>
      <c r="H74" s="82"/>
      <c r="I74" s="82"/>
      <c r="J74" s="82"/>
      <c r="K74" s="82"/>
      <c r="L74" s="82"/>
      <c r="M74" s="82"/>
      <c r="N74" s="82"/>
      <c r="O74" s="82"/>
      <c r="P74" s="82"/>
      <c r="Q74" s="82"/>
      <c r="R74" s="82"/>
      <c r="S74" s="82"/>
      <c r="T74" s="82"/>
      <c r="U74" s="8"/>
      <c r="V74" s="8"/>
      <c r="W74" s="8"/>
      <c r="X74" s="8"/>
      <c r="Y74" s="8"/>
      <c r="Z74" s="8"/>
      <c r="AA74" s="8"/>
      <c r="AB74" s="8"/>
      <c r="AC74" s="8"/>
    </row>
    <row r="75" spans="1:29">
      <c r="A75" s="69" t="s">
        <v>151</v>
      </c>
      <c r="B75" t="s">
        <v>153</v>
      </c>
      <c r="C75" s="82">
        <v>0</v>
      </c>
      <c r="D75" s="82">
        <v>0</v>
      </c>
      <c r="E75" s="82">
        <v>1</v>
      </c>
      <c r="F75" s="82">
        <v>0</v>
      </c>
      <c r="G75" s="82"/>
      <c r="H75" s="82"/>
      <c r="I75" s="82"/>
      <c r="J75" s="82"/>
      <c r="K75" s="82"/>
      <c r="L75" s="82"/>
      <c r="M75" s="82"/>
      <c r="N75" s="82"/>
      <c r="O75" s="82"/>
      <c r="P75" s="82"/>
      <c r="Q75" s="82"/>
      <c r="R75" s="82"/>
      <c r="S75" s="82"/>
      <c r="T75" s="82"/>
      <c r="U75" s="8"/>
      <c r="V75" s="8"/>
      <c r="W75" s="8"/>
      <c r="X75" s="8"/>
      <c r="Y75" s="8"/>
      <c r="Z75" s="8"/>
      <c r="AA75" s="8"/>
      <c r="AB75" s="8"/>
      <c r="AC75" s="8"/>
    </row>
    <row r="76" spans="1:29">
      <c r="A76" s="69" t="s">
        <v>144</v>
      </c>
      <c r="B76" t="s">
        <v>153</v>
      </c>
      <c r="C76" s="82">
        <v>0</v>
      </c>
      <c r="D76" s="82">
        <v>0</v>
      </c>
      <c r="E76" s="82">
        <v>0</v>
      </c>
      <c r="F76" s="82">
        <v>0</v>
      </c>
      <c r="G76" s="82"/>
      <c r="H76" s="82"/>
      <c r="I76" s="82"/>
      <c r="J76" s="82"/>
      <c r="K76" s="82"/>
      <c r="L76" s="82"/>
      <c r="M76" s="82"/>
      <c r="N76" s="82"/>
      <c r="O76" s="82"/>
      <c r="P76" s="82"/>
      <c r="Q76" s="82"/>
      <c r="R76" s="82"/>
      <c r="S76" s="82"/>
      <c r="T76" s="82"/>
      <c r="U76" s="8"/>
      <c r="V76" s="8"/>
      <c r="W76" s="8"/>
      <c r="X76" s="8"/>
      <c r="Y76" s="8"/>
      <c r="Z76" s="8"/>
      <c r="AA76" s="8"/>
      <c r="AB76" s="8"/>
      <c r="AC76" s="8"/>
    </row>
    <row r="77" spans="1:29">
      <c r="A77" s="69" t="s">
        <v>154</v>
      </c>
      <c r="B77" s="71" t="s">
        <v>158</v>
      </c>
      <c r="C77" s="82" t="s">
        <v>207</v>
      </c>
      <c r="D77" s="82" t="s">
        <v>208</v>
      </c>
      <c r="E77" s="82" t="s">
        <v>207</v>
      </c>
      <c r="F77" s="82" t="s">
        <v>207</v>
      </c>
      <c r="G77" s="82"/>
      <c r="H77" s="82"/>
      <c r="I77" s="82"/>
      <c r="J77" s="82"/>
      <c r="K77" s="82"/>
      <c r="L77" s="82"/>
      <c r="M77" s="82"/>
      <c r="N77" s="82"/>
      <c r="O77" s="82"/>
      <c r="P77" s="82"/>
      <c r="Q77" s="82"/>
      <c r="R77" s="82"/>
      <c r="S77" s="82"/>
      <c r="T77" s="82"/>
      <c r="U77" s="8"/>
      <c r="V77" s="8"/>
      <c r="W77" s="8"/>
      <c r="X77" s="8"/>
      <c r="Y77" s="8"/>
      <c r="Z77" s="8"/>
      <c r="AA77" s="8"/>
      <c r="AB77" s="8"/>
      <c r="AC77" s="8"/>
    </row>
    <row r="78" spans="1:29">
      <c r="A78" s="69" t="s">
        <v>155</v>
      </c>
      <c r="B78" s="71" t="s">
        <v>158</v>
      </c>
      <c r="C78" s="82">
        <v>0</v>
      </c>
      <c r="D78" s="82">
        <v>0</v>
      </c>
      <c r="E78" s="82">
        <v>0</v>
      </c>
      <c r="F78" s="82">
        <v>0</v>
      </c>
      <c r="G78" s="82"/>
      <c r="H78" s="82"/>
      <c r="I78" s="82"/>
      <c r="J78" s="82"/>
      <c r="K78" s="82"/>
      <c r="L78" s="82"/>
      <c r="M78" s="82"/>
      <c r="N78" s="82"/>
      <c r="O78" s="82"/>
      <c r="P78" s="82"/>
      <c r="Q78" s="82"/>
      <c r="R78" s="82"/>
      <c r="S78" s="82"/>
      <c r="T78" s="82"/>
      <c r="U78" s="8"/>
      <c r="V78" s="8"/>
      <c r="W78" s="8"/>
      <c r="X78" s="8"/>
      <c r="Y78" s="8"/>
      <c r="Z78" s="8"/>
      <c r="AA78" s="8"/>
      <c r="AB78" s="8"/>
      <c r="AC78" s="8"/>
    </row>
    <row r="79" spans="1:29">
      <c r="A79" s="69" t="s">
        <v>156</v>
      </c>
      <c r="B79" s="71" t="s">
        <v>158</v>
      </c>
      <c r="C79" s="82">
        <v>0</v>
      </c>
      <c r="D79" s="82">
        <v>0</v>
      </c>
      <c r="E79" s="82">
        <v>0</v>
      </c>
      <c r="F79" s="82">
        <v>0</v>
      </c>
      <c r="G79" s="82"/>
      <c r="H79" s="82"/>
      <c r="I79" s="82"/>
      <c r="J79" s="82"/>
      <c r="K79" s="82"/>
      <c r="L79" s="82"/>
      <c r="M79" s="82"/>
      <c r="N79" s="82"/>
      <c r="O79" s="82"/>
      <c r="P79" s="82"/>
      <c r="Q79" s="82"/>
      <c r="R79" s="82"/>
      <c r="S79" s="82"/>
      <c r="T79" s="82"/>
      <c r="U79" s="8"/>
      <c r="V79" s="8"/>
      <c r="W79" s="8"/>
      <c r="X79" s="8"/>
      <c r="Y79" s="8"/>
      <c r="Z79" s="8"/>
      <c r="AA79" s="8"/>
      <c r="AB79" s="8"/>
      <c r="AC79" s="8"/>
    </row>
    <row r="80" spans="1:29">
      <c r="A80" s="69" t="s">
        <v>157</v>
      </c>
      <c r="B80" s="71" t="s">
        <v>158</v>
      </c>
      <c r="C80" s="82">
        <v>0</v>
      </c>
      <c r="D80" s="82">
        <v>0</v>
      </c>
      <c r="E80" s="82">
        <v>0</v>
      </c>
      <c r="F80" s="82">
        <v>0</v>
      </c>
      <c r="G80" s="82"/>
      <c r="H80" s="82"/>
      <c r="I80" s="82"/>
      <c r="J80" s="82"/>
      <c r="K80" s="82"/>
      <c r="L80" s="82"/>
      <c r="M80" s="82"/>
      <c r="N80" s="82"/>
      <c r="O80" s="82"/>
      <c r="P80" s="82"/>
      <c r="Q80" s="82"/>
      <c r="R80" s="82"/>
      <c r="S80" s="82"/>
      <c r="T80" s="82"/>
      <c r="U80" s="8"/>
      <c r="V80" s="8"/>
      <c r="W80" s="8"/>
      <c r="X80" s="8"/>
      <c r="Y80" s="8"/>
      <c r="Z80" s="8"/>
      <c r="AA80" s="8"/>
      <c r="AB80" s="8"/>
      <c r="AC80" s="8"/>
    </row>
    <row r="81" spans="1:29">
      <c r="A81" s="68" t="s">
        <v>192</v>
      </c>
      <c r="B81" s="71" t="s">
        <v>158</v>
      </c>
      <c r="C81" s="82">
        <v>0</v>
      </c>
      <c r="D81" s="82" t="s">
        <v>207</v>
      </c>
      <c r="E81" s="82" t="s">
        <v>207</v>
      </c>
      <c r="F81" s="82" t="s">
        <v>207</v>
      </c>
      <c r="G81" s="82"/>
      <c r="H81" s="82"/>
      <c r="I81" s="82"/>
      <c r="J81" s="82"/>
      <c r="K81" s="82"/>
      <c r="L81" s="82"/>
      <c r="M81" s="82"/>
      <c r="N81" s="82"/>
      <c r="O81" s="82"/>
      <c r="P81" s="82"/>
      <c r="Q81" s="82"/>
      <c r="R81" s="82"/>
      <c r="S81" s="82"/>
      <c r="T81" s="82"/>
      <c r="U81" s="8"/>
      <c r="V81" s="8"/>
      <c r="W81" s="8"/>
      <c r="X81" s="8"/>
      <c r="Y81" s="8"/>
      <c r="Z81" s="8"/>
      <c r="AA81" s="8"/>
      <c r="AB81" s="8"/>
      <c r="AC81" s="8"/>
    </row>
    <row r="82" spans="1:29">
      <c r="A82" s="69" t="s">
        <v>159</v>
      </c>
      <c r="B82" s="71" t="s">
        <v>162</v>
      </c>
      <c r="C82" s="82">
        <v>0</v>
      </c>
      <c r="D82" s="82">
        <v>0</v>
      </c>
      <c r="E82" s="82">
        <v>1</v>
      </c>
      <c r="F82" s="82">
        <v>0</v>
      </c>
      <c r="G82" s="82"/>
      <c r="H82" s="82"/>
      <c r="I82" s="82"/>
      <c r="J82" s="82"/>
      <c r="K82" s="82"/>
      <c r="L82" s="82"/>
      <c r="M82" s="82"/>
      <c r="N82" s="82"/>
      <c r="O82" s="82"/>
      <c r="P82" s="82"/>
      <c r="Q82" s="82"/>
      <c r="R82" s="82"/>
      <c r="S82" s="82"/>
      <c r="T82" s="82"/>
      <c r="U82" s="8"/>
      <c r="V82" s="8"/>
      <c r="W82" s="8"/>
      <c r="X82" s="8"/>
      <c r="Y82" s="8"/>
      <c r="Z82" s="8"/>
      <c r="AA82" s="8"/>
      <c r="AB82" s="8"/>
      <c r="AC82" s="8"/>
    </row>
    <row r="83" spans="1:29">
      <c r="A83" s="69" t="s">
        <v>160</v>
      </c>
      <c r="B83" s="71" t="s">
        <v>162</v>
      </c>
      <c r="C83" s="82">
        <v>0</v>
      </c>
      <c r="D83" s="82">
        <v>0</v>
      </c>
      <c r="E83" s="82">
        <v>0</v>
      </c>
      <c r="F83" s="82">
        <v>0</v>
      </c>
      <c r="G83" s="82"/>
      <c r="H83" s="82"/>
      <c r="I83" s="82"/>
      <c r="J83" s="82"/>
      <c r="K83" s="82"/>
      <c r="L83" s="82"/>
      <c r="M83" s="82"/>
      <c r="N83" s="82"/>
      <c r="O83" s="82"/>
      <c r="P83" s="82"/>
      <c r="Q83" s="82"/>
      <c r="R83" s="82"/>
      <c r="S83" s="82"/>
      <c r="T83" s="82"/>
      <c r="U83" s="8"/>
      <c r="V83" s="8"/>
      <c r="W83" s="8"/>
      <c r="X83" s="8"/>
      <c r="Y83" s="8"/>
      <c r="Z83" s="8"/>
      <c r="AA83" s="8"/>
      <c r="AB83" s="8"/>
      <c r="AC83" s="8"/>
    </row>
    <row r="84" spans="1:29">
      <c r="A84" s="68" t="s">
        <v>193</v>
      </c>
      <c r="B84" s="71" t="s">
        <v>162</v>
      </c>
      <c r="C84" s="82">
        <v>0</v>
      </c>
      <c r="D84" s="82">
        <v>1</v>
      </c>
      <c r="E84" s="82">
        <v>0</v>
      </c>
      <c r="F84" s="82">
        <v>0</v>
      </c>
      <c r="G84" s="82"/>
      <c r="H84" s="82"/>
      <c r="I84" s="82"/>
      <c r="J84" s="82"/>
      <c r="K84" s="82"/>
      <c r="L84" s="82"/>
      <c r="M84" s="82"/>
      <c r="N84" s="82"/>
      <c r="O84" s="82"/>
      <c r="P84" s="82"/>
      <c r="Q84" s="82"/>
      <c r="R84" s="82"/>
      <c r="S84" s="82"/>
      <c r="T84" s="82"/>
      <c r="U84" s="8"/>
      <c r="V84" s="8"/>
      <c r="W84" s="8"/>
      <c r="X84" s="8"/>
      <c r="Y84" s="8"/>
      <c r="Z84" s="8"/>
      <c r="AA84" s="8"/>
      <c r="AB84" s="8"/>
      <c r="AC84" s="8"/>
    </row>
    <row r="85" spans="1:29">
      <c r="A85" s="69" t="s">
        <v>161</v>
      </c>
      <c r="B85" s="71" t="s">
        <v>162</v>
      </c>
      <c r="C85" s="82">
        <v>0</v>
      </c>
      <c r="D85" s="82">
        <v>1</v>
      </c>
      <c r="E85" s="82">
        <v>1</v>
      </c>
      <c r="F85" s="82">
        <v>0</v>
      </c>
      <c r="G85" s="82"/>
      <c r="H85" s="82"/>
      <c r="I85" s="82"/>
      <c r="J85" s="82"/>
      <c r="K85" s="82"/>
      <c r="L85" s="82"/>
      <c r="M85" s="82"/>
      <c r="N85" s="82"/>
      <c r="O85" s="82"/>
      <c r="P85" s="82"/>
      <c r="Q85" s="82"/>
      <c r="R85" s="82"/>
      <c r="S85" s="82"/>
      <c r="T85" s="82"/>
      <c r="U85" s="8"/>
      <c r="V85" s="8"/>
      <c r="W85" s="8"/>
      <c r="X85" s="8"/>
      <c r="Y85" s="8"/>
      <c r="Z85" s="8"/>
      <c r="AA85" s="8"/>
      <c r="AB85" s="8"/>
      <c r="AC85" s="8"/>
    </row>
    <row r="86" spans="1:29">
      <c r="A86" s="69" t="s">
        <v>163</v>
      </c>
      <c r="B86" s="71" t="s">
        <v>178</v>
      </c>
      <c r="C86" s="82">
        <v>0</v>
      </c>
      <c r="D86" s="82">
        <v>1</v>
      </c>
      <c r="E86" s="82">
        <v>1</v>
      </c>
      <c r="F86" s="82">
        <v>0</v>
      </c>
      <c r="G86" s="82"/>
      <c r="H86" s="82"/>
      <c r="I86" s="82"/>
      <c r="J86" s="82"/>
      <c r="K86" s="82"/>
      <c r="L86" s="82"/>
      <c r="M86" s="82"/>
      <c r="N86" s="82"/>
      <c r="O86" s="82"/>
      <c r="P86" s="82"/>
      <c r="Q86" s="82"/>
      <c r="R86" s="82"/>
      <c r="S86" s="82"/>
      <c r="T86" s="82"/>
      <c r="U86" s="8"/>
      <c r="V86" s="8"/>
      <c r="W86" s="8"/>
      <c r="X86" s="8"/>
      <c r="Y86" s="8"/>
      <c r="Z86" s="8"/>
      <c r="AA86" s="8"/>
      <c r="AB86" s="8"/>
      <c r="AC86" s="8"/>
    </row>
    <row r="87" spans="1:29">
      <c r="A87" s="69" t="s">
        <v>164</v>
      </c>
      <c r="B87" s="71" t="s">
        <v>178</v>
      </c>
      <c r="C87" s="82">
        <v>0</v>
      </c>
      <c r="D87" s="82">
        <v>0</v>
      </c>
      <c r="E87" s="82">
        <v>0</v>
      </c>
      <c r="F87" s="82">
        <v>0</v>
      </c>
      <c r="G87" s="82"/>
      <c r="H87" s="82"/>
      <c r="I87" s="82"/>
      <c r="J87" s="82"/>
      <c r="K87" s="82"/>
      <c r="L87" s="82"/>
      <c r="M87" s="82"/>
      <c r="N87" s="82"/>
      <c r="O87" s="82"/>
      <c r="P87" s="82"/>
      <c r="Q87" s="82"/>
      <c r="R87" s="82"/>
      <c r="S87" s="82"/>
      <c r="T87" s="82"/>
      <c r="U87" s="8"/>
      <c r="V87" s="8"/>
      <c r="W87" s="8"/>
      <c r="X87" s="8"/>
      <c r="Y87" s="8"/>
      <c r="Z87" s="8"/>
      <c r="AA87" s="8"/>
      <c r="AB87" s="8"/>
      <c r="AC87" s="8"/>
    </row>
    <row r="88" spans="1:29">
      <c r="A88" s="69" t="s">
        <v>165</v>
      </c>
      <c r="B88" s="71" t="s">
        <v>178</v>
      </c>
      <c r="C88" s="82">
        <v>0</v>
      </c>
      <c r="D88" s="82">
        <v>1</v>
      </c>
      <c r="E88" s="82">
        <v>1</v>
      </c>
      <c r="F88" s="82">
        <v>0</v>
      </c>
      <c r="G88" s="82"/>
      <c r="H88" s="82"/>
      <c r="I88" s="82"/>
      <c r="J88" s="82"/>
      <c r="K88" s="82"/>
      <c r="L88" s="82"/>
      <c r="M88" s="82"/>
      <c r="N88" s="82"/>
      <c r="O88" s="82"/>
      <c r="P88" s="82"/>
      <c r="Q88" s="82"/>
      <c r="R88" s="82"/>
      <c r="S88" s="82"/>
      <c r="T88" s="82"/>
      <c r="U88" s="8"/>
      <c r="V88" s="8"/>
      <c r="W88" s="8"/>
      <c r="X88" s="8"/>
      <c r="Y88" s="8"/>
      <c r="Z88" s="8"/>
      <c r="AA88" s="8"/>
      <c r="AB88" s="8"/>
      <c r="AC88" s="8"/>
    </row>
    <row r="89" spans="1:29">
      <c r="A89" s="69" t="s">
        <v>166</v>
      </c>
      <c r="B89" s="71" t="s">
        <v>178</v>
      </c>
      <c r="C89" s="82">
        <v>0</v>
      </c>
      <c r="D89" s="82">
        <v>0</v>
      </c>
      <c r="E89" s="82">
        <v>0</v>
      </c>
      <c r="F89" s="82">
        <v>0</v>
      </c>
      <c r="G89" s="82"/>
      <c r="H89" s="82"/>
      <c r="I89" s="82"/>
      <c r="J89" s="82"/>
      <c r="K89" s="82"/>
      <c r="L89" s="82"/>
      <c r="M89" s="82"/>
      <c r="N89" s="82"/>
      <c r="O89" s="82"/>
      <c r="P89" s="82"/>
      <c r="Q89" s="82"/>
      <c r="R89" s="82"/>
      <c r="S89" s="82"/>
      <c r="T89" s="82"/>
      <c r="U89" s="8"/>
      <c r="V89" s="8"/>
      <c r="W89" s="8"/>
      <c r="X89" s="8"/>
      <c r="Y89" s="8"/>
      <c r="Z89" s="8"/>
      <c r="AA89" s="8"/>
      <c r="AB89" s="8"/>
      <c r="AC89" s="8"/>
    </row>
    <row r="90" spans="1:29">
      <c r="A90" s="69" t="s">
        <v>167</v>
      </c>
      <c r="B90" s="71" t="s">
        <v>178</v>
      </c>
      <c r="C90" s="82">
        <v>0</v>
      </c>
      <c r="D90" s="82">
        <v>1</v>
      </c>
      <c r="E90" s="82">
        <v>0</v>
      </c>
      <c r="F90" s="82">
        <v>0</v>
      </c>
      <c r="G90" s="82"/>
      <c r="H90" s="82"/>
      <c r="I90" s="82"/>
      <c r="J90" s="82"/>
      <c r="K90" s="82"/>
      <c r="L90" s="82"/>
      <c r="M90" s="82"/>
      <c r="N90" s="82"/>
      <c r="O90" s="82"/>
      <c r="P90" s="82"/>
      <c r="Q90" s="82"/>
      <c r="R90" s="82"/>
      <c r="S90" s="82"/>
      <c r="T90" s="82"/>
      <c r="U90" s="8"/>
      <c r="V90" s="8"/>
      <c r="W90" s="8"/>
      <c r="X90" s="8"/>
      <c r="Y90" s="8"/>
      <c r="Z90" s="8"/>
      <c r="AA90" s="8"/>
      <c r="AB90" s="8"/>
      <c r="AC90" s="8"/>
    </row>
    <row r="91" spans="1:29">
      <c r="A91" s="69" t="s">
        <v>168</v>
      </c>
      <c r="B91" s="71" t="s">
        <v>178</v>
      </c>
      <c r="C91" s="82">
        <v>0</v>
      </c>
      <c r="D91" s="82">
        <v>0</v>
      </c>
      <c r="E91" s="82">
        <v>1</v>
      </c>
      <c r="F91" s="82">
        <v>0</v>
      </c>
      <c r="G91" s="82"/>
      <c r="H91" s="82"/>
      <c r="I91" s="82"/>
      <c r="J91" s="82"/>
      <c r="K91" s="82"/>
      <c r="L91" s="82"/>
      <c r="M91" s="82"/>
      <c r="N91" s="82"/>
      <c r="O91" s="82"/>
      <c r="P91" s="82"/>
      <c r="Q91" s="82"/>
      <c r="R91" s="82"/>
      <c r="S91" s="82"/>
      <c r="T91" s="82"/>
      <c r="U91" s="8"/>
      <c r="V91" s="8"/>
      <c r="W91" s="8"/>
      <c r="X91" s="8"/>
      <c r="Y91" s="8"/>
      <c r="Z91" s="8"/>
      <c r="AA91" s="8"/>
      <c r="AB91" s="8"/>
      <c r="AC91" s="8"/>
    </row>
    <row r="92" spans="1:29">
      <c r="A92" s="69" t="s">
        <v>169</v>
      </c>
      <c r="B92" s="71" t="s">
        <v>178</v>
      </c>
      <c r="C92" s="82">
        <v>0</v>
      </c>
      <c r="D92" s="82">
        <v>1</v>
      </c>
      <c r="E92" s="82">
        <v>1</v>
      </c>
      <c r="F92" s="82">
        <v>0</v>
      </c>
      <c r="G92" s="82"/>
      <c r="H92" s="82"/>
      <c r="I92" s="82"/>
      <c r="J92" s="82"/>
      <c r="K92" s="82"/>
      <c r="L92" s="82"/>
      <c r="M92" s="82"/>
      <c r="N92" s="82"/>
      <c r="O92" s="82"/>
      <c r="P92" s="82"/>
      <c r="Q92" s="82"/>
      <c r="R92" s="82"/>
      <c r="S92" s="82"/>
      <c r="T92" s="82"/>
      <c r="U92" s="8"/>
      <c r="V92" s="8"/>
      <c r="W92" s="8"/>
      <c r="X92" s="8"/>
      <c r="Y92" s="8"/>
      <c r="Z92" s="8"/>
      <c r="AA92" s="8"/>
      <c r="AB92" s="8"/>
      <c r="AC92" s="8"/>
    </row>
    <row r="93" spans="1:29">
      <c r="A93" s="69" t="s">
        <v>170</v>
      </c>
      <c r="B93" s="71" t="s">
        <v>178</v>
      </c>
      <c r="C93" s="82">
        <v>0</v>
      </c>
      <c r="D93" s="82">
        <v>0</v>
      </c>
      <c r="E93" s="82">
        <v>0</v>
      </c>
      <c r="F93" s="82">
        <v>0</v>
      </c>
      <c r="G93" s="82"/>
      <c r="H93" s="82"/>
      <c r="I93" s="82"/>
      <c r="J93" s="82"/>
      <c r="K93" s="82"/>
      <c r="L93" s="82"/>
      <c r="M93" s="82"/>
      <c r="N93" s="82"/>
      <c r="O93" s="82"/>
      <c r="P93" s="82"/>
      <c r="Q93" s="82"/>
      <c r="R93" s="82"/>
      <c r="S93" s="82"/>
      <c r="T93" s="82"/>
      <c r="U93" s="8"/>
      <c r="V93" s="8"/>
      <c r="W93" s="8"/>
      <c r="X93" s="8"/>
      <c r="Y93" s="8"/>
      <c r="Z93" s="8"/>
      <c r="AA93" s="8"/>
      <c r="AB93" s="8"/>
      <c r="AC93" s="8"/>
    </row>
    <row r="94" spans="1:29">
      <c r="A94" s="69" t="s">
        <v>171</v>
      </c>
      <c r="B94" s="71" t="s">
        <v>178</v>
      </c>
      <c r="C94" s="82">
        <v>0</v>
      </c>
      <c r="D94" s="82">
        <v>1</v>
      </c>
      <c r="E94" s="82">
        <v>0</v>
      </c>
      <c r="F94" s="82">
        <v>0</v>
      </c>
      <c r="G94" s="82"/>
      <c r="H94" s="82"/>
      <c r="I94" s="82"/>
      <c r="J94" s="82"/>
      <c r="K94" s="82"/>
      <c r="L94" s="82"/>
      <c r="M94" s="82"/>
      <c r="N94" s="82"/>
      <c r="O94" s="82"/>
      <c r="P94" s="82"/>
      <c r="Q94" s="82"/>
      <c r="R94" s="82"/>
      <c r="S94" s="82"/>
      <c r="T94" s="82"/>
      <c r="U94" s="8"/>
      <c r="V94" s="8"/>
      <c r="W94" s="8"/>
      <c r="X94" s="8"/>
      <c r="Y94" s="8"/>
      <c r="Z94" s="8"/>
      <c r="AA94" s="8"/>
      <c r="AB94" s="8"/>
      <c r="AC94" s="8"/>
    </row>
    <row r="95" spans="1:29">
      <c r="A95" s="69" t="s">
        <v>172</v>
      </c>
      <c r="B95" s="71" t="s">
        <v>178</v>
      </c>
      <c r="C95" s="82">
        <v>0</v>
      </c>
      <c r="D95" s="82">
        <v>1</v>
      </c>
      <c r="E95" s="82">
        <v>1</v>
      </c>
      <c r="F95" s="82">
        <v>0</v>
      </c>
      <c r="G95" s="82"/>
      <c r="H95" s="82"/>
      <c r="I95" s="82"/>
      <c r="J95" s="82"/>
      <c r="K95" s="82"/>
      <c r="L95" s="82"/>
      <c r="M95" s="82"/>
      <c r="N95" s="82"/>
      <c r="O95" s="82"/>
      <c r="P95" s="82"/>
      <c r="Q95" s="82"/>
      <c r="R95" s="82"/>
      <c r="S95" s="82"/>
      <c r="T95" s="82"/>
      <c r="U95" s="8"/>
      <c r="V95" s="8"/>
      <c r="W95" s="8"/>
      <c r="X95" s="8"/>
      <c r="Y95" s="8"/>
      <c r="Z95" s="8"/>
      <c r="AA95" s="8"/>
      <c r="AB95" s="8"/>
      <c r="AC95" s="8"/>
    </row>
    <row r="96" spans="1:29">
      <c r="A96" s="69" t="s">
        <v>173</v>
      </c>
      <c r="B96" s="71" t="s">
        <v>178</v>
      </c>
      <c r="C96" s="82">
        <v>0</v>
      </c>
      <c r="D96" s="82">
        <v>1</v>
      </c>
      <c r="E96" s="82">
        <v>0</v>
      </c>
      <c r="F96" s="82">
        <v>0</v>
      </c>
      <c r="G96" s="82"/>
      <c r="H96" s="82"/>
      <c r="I96" s="82"/>
      <c r="J96" s="82"/>
      <c r="K96" s="82"/>
      <c r="L96" s="82"/>
      <c r="M96" s="82"/>
      <c r="N96" s="82"/>
      <c r="O96" s="82"/>
      <c r="P96" s="82"/>
      <c r="Q96" s="82"/>
      <c r="R96" s="82"/>
      <c r="S96" s="82"/>
      <c r="T96" s="82"/>
      <c r="U96" s="8"/>
      <c r="V96" s="8"/>
      <c r="W96" s="8"/>
      <c r="X96" s="8"/>
      <c r="Y96" s="8"/>
      <c r="Z96" s="8"/>
      <c r="AA96" s="8"/>
      <c r="AB96" s="8"/>
      <c r="AC96" s="8"/>
    </row>
    <row r="97" spans="1:29">
      <c r="A97" s="69" t="s">
        <v>174</v>
      </c>
      <c r="B97" s="71" t="s">
        <v>178</v>
      </c>
      <c r="C97" s="82">
        <v>0</v>
      </c>
      <c r="D97" s="82">
        <v>0</v>
      </c>
      <c r="E97" s="82">
        <v>0</v>
      </c>
      <c r="F97" s="82">
        <v>0</v>
      </c>
      <c r="G97" s="82"/>
      <c r="H97" s="82"/>
      <c r="I97" s="82"/>
      <c r="J97" s="82"/>
      <c r="K97" s="82"/>
      <c r="L97" s="82"/>
      <c r="M97" s="82"/>
      <c r="N97" s="82"/>
      <c r="O97" s="82"/>
      <c r="P97" s="82"/>
      <c r="Q97" s="82"/>
      <c r="R97" s="82"/>
      <c r="S97" s="82"/>
      <c r="T97" s="82"/>
      <c r="U97" s="8"/>
      <c r="V97" s="8"/>
      <c r="W97" s="8"/>
      <c r="X97" s="8"/>
      <c r="Y97" s="8"/>
      <c r="Z97" s="8"/>
      <c r="AA97" s="8"/>
      <c r="AB97" s="8"/>
      <c r="AC97" s="8"/>
    </row>
    <row r="98" spans="1:29">
      <c r="A98" s="69" t="s">
        <v>175</v>
      </c>
      <c r="B98" s="71" t="s">
        <v>178</v>
      </c>
      <c r="C98" s="82">
        <v>0</v>
      </c>
      <c r="D98" s="82">
        <v>0</v>
      </c>
      <c r="E98" s="82">
        <v>0</v>
      </c>
      <c r="F98" s="82">
        <v>0</v>
      </c>
      <c r="G98" s="82"/>
      <c r="H98" s="82"/>
      <c r="I98" s="82"/>
      <c r="J98" s="82"/>
      <c r="K98" s="82"/>
      <c r="L98" s="82"/>
      <c r="M98" s="82"/>
      <c r="N98" s="82"/>
      <c r="O98" s="82"/>
      <c r="P98" s="82"/>
      <c r="Q98" s="82"/>
      <c r="R98" s="82"/>
      <c r="S98" s="82"/>
      <c r="T98" s="82"/>
      <c r="U98" s="8"/>
      <c r="V98" s="8"/>
      <c r="W98" s="8"/>
      <c r="X98" s="8"/>
      <c r="Y98" s="8"/>
      <c r="Z98" s="8"/>
      <c r="AA98" s="8"/>
      <c r="AB98" s="8"/>
      <c r="AC98" s="8"/>
    </row>
    <row r="99" spans="1:29">
      <c r="A99" s="69" t="s">
        <v>176</v>
      </c>
      <c r="B99" s="71" t="s">
        <v>178</v>
      </c>
      <c r="C99" s="82">
        <v>0</v>
      </c>
      <c r="D99" s="82">
        <v>0</v>
      </c>
      <c r="E99" s="82">
        <v>1</v>
      </c>
      <c r="F99" s="82">
        <v>0</v>
      </c>
      <c r="G99" s="82"/>
      <c r="H99" s="82"/>
      <c r="I99" s="82"/>
      <c r="J99" s="82"/>
      <c r="K99" s="82"/>
      <c r="L99" s="82"/>
      <c r="M99" s="82"/>
      <c r="N99" s="82"/>
      <c r="O99" s="82"/>
      <c r="P99" s="82"/>
      <c r="Q99" s="82"/>
      <c r="R99" s="82"/>
      <c r="S99" s="82"/>
      <c r="T99" s="82"/>
      <c r="U99" s="8"/>
      <c r="V99" s="8"/>
      <c r="W99" s="8"/>
      <c r="X99" s="8"/>
      <c r="Y99" s="8"/>
      <c r="Z99" s="8"/>
      <c r="AA99" s="8"/>
      <c r="AB99" s="8"/>
      <c r="AC99" s="8"/>
    </row>
    <row r="100" spans="1:29">
      <c r="A100" s="69" t="s">
        <v>177</v>
      </c>
      <c r="B100" s="71" t="s">
        <v>178</v>
      </c>
      <c r="C100" s="82">
        <v>0</v>
      </c>
      <c r="D100" s="82" t="s">
        <v>208</v>
      </c>
      <c r="E100" s="82">
        <v>0</v>
      </c>
      <c r="F100" s="82" t="s">
        <v>208</v>
      </c>
      <c r="G100" s="82"/>
      <c r="H100" s="82"/>
      <c r="I100" s="82"/>
      <c r="J100" s="82"/>
      <c r="K100" s="82"/>
      <c r="L100" s="82"/>
      <c r="M100" s="82"/>
      <c r="N100" s="82"/>
      <c r="O100" s="82"/>
      <c r="P100" s="82"/>
      <c r="Q100" s="82"/>
      <c r="R100" s="82"/>
      <c r="S100" s="82"/>
      <c r="T100" s="82"/>
      <c r="U100" s="8"/>
      <c r="V100" s="8"/>
      <c r="W100" s="8"/>
      <c r="X100" s="8"/>
      <c r="Y100" s="8"/>
      <c r="Z100" s="8"/>
      <c r="AA100" s="8"/>
      <c r="AB100" s="8"/>
      <c r="AC100" s="8"/>
    </row>
    <row r="101" spans="1:29">
      <c r="A101" s="68" t="s">
        <v>194</v>
      </c>
      <c r="B101" s="71" t="s">
        <v>188</v>
      </c>
      <c r="C101" s="82">
        <v>0</v>
      </c>
      <c r="D101" s="82">
        <v>0</v>
      </c>
      <c r="E101" s="82">
        <v>0</v>
      </c>
      <c r="F101" s="82">
        <v>0</v>
      </c>
      <c r="G101" s="82"/>
      <c r="H101" s="82"/>
      <c r="I101" s="82"/>
      <c r="J101" s="82"/>
      <c r="K101" s="82"/>
      <c r="L101" s="82"/>
      <c r="M101" s="82"/>
      <c r="N101" s="82"/>
      <c r="O101" s="82"/>
      <c r="P101" s="82"/>
      <c r="Q101" s="82"/>
      <c r="R101" s="82"/>
      <c r="S101" s="82"/>
      <c r="T101" s="82"/>
      <c r="U101" s="8"/>
      <c r="V101" s="8"/>
      <c r="W101" s="8"/>
      <c r="X101" s="8"/>
      <c r="Y101" s="8"/>
      <c r="Z101" s="8"/>
      <c r="AA101" s="8"/>
      <c r="AB101" s="8"/>
      <c r="AC101" s="8"/>
    </row>
    <row r="102" spans="1:29">
      <c r="A102" s="69" t="s">
        <v>184</v>
      </c>
      <c r="B102" s="71" t="s">
        <v>188</v>
      </c>
      <c r="C102" s="82">
        <v>0</v>
      </c>
      <c r="D102" s="82">
        <v>0</v>
      </c>
      <c r="E102" s="82">
        <v>0</v>
      </c>
      <c r="F102" s="82">
        <v>0</v>
      </c>
      <c r="G102" s="82"/>
      <c r="H102" s="82"/>
      <c r="I102" s="82"/>
      <c r="J102" s="82"/>
      <c r="K102" s="82"/>
      <c r="L102" s="82"/>
      <c r="M102" s="82"/>
      <c r="N102" s="82"/>
      <c r="O102" s="82"/>
      <c r="P102" s="82"/>
      <c r="Q102" s="82"/>
      <c r="R102" s="82"/>
      <c r="S102" s="82"/>
      <c r="T102" s="82"/>
      <c r="U102" s="8"/>
      <c r="V102" s="8"/>
      <c r="W102" s="8"/>
      <c r="X102" s="8"/>
      <c r="Y102" s="8"/>
      <c r="Z102" s="8"/>
      <c r="AA102" s="8"/>
      <c r="AB102" s="8"/>
      <c r="AC102" s="8"/>
    </row>
    <row r="103" spans="1:29">
      <c r="A103" s="69" t="s">
        <v>182</v>
      </c>
      <c r="B103" s="71" t="s">
        <v>188</v>
      </c>
      <c r="C103" s="82">
        <v>0</v>
      </c>
      <c r="D103" s="82">
        <v>0</v>
      </c>
      <c r="E103" s="82">
        <v>0</v>
      </c>
      <c r="F103" s="82">
        <v>0</v>
      </c>
      <c r="G103" s="82"/>
      <c r="H103" s="82"/>
      <c r="I103" s="82"/>
      <c r="J103" s="82"/>
      <c r="K103" s="82"/>
      <c r="L103" s="82"/>
      <c r="M103" s="82"/>
      <c r="N103" s="82"/>
      <c r="O103" s="82"/>
      <c r="P103" s="82"/>
      <c r="Q103" s="82"/>
      <c r="R103" s="82"/>
      <c r="S103" s="82"/>
      <c r="T103" s="82"/>
      <c r="U103" s="8"/>
      <c r="V103" s="8"/>
      <c r="W103" s="8"/>
      <c r="X103" s="8"/>
      <c r="Y103" s="8"/>
      <c r="Z103" s="8"/>
      <c r="AA103" s="8"/>
      <c r="AB103" s="8"/>
      <c r="AC103" s="8"/>
    </row>
    <row r="104" spans="1:29">
      <c r="A104" s="69" t="s">
        <v>181</v>
      </c>
      <c r="B104" s="71" t="s">
        <v>188</v>
      </c>
      <c r="C104" s="82">
        <v>0</v>
      </c>
      <c r="D104" s="82">
        <v>1</v>
      </c>
      <c r="E104" s="82">
        <v>1</v>
      </c>
      <c r="F104" s="82">
        <v>0</v>
      </c>
      <c r="G104" s="82"/>
      <c r="H104" s="82"/>
      <c r="I104" s="82"/>
      <c r="J104" s="82"/>
      <c r="K104" s="82"/>
      <c r="L104" s="82"/>
      <c r="M104" s="82"/>
      <c r="N104" s="82"/>
      <c r="O104" s="82"/>
      <c r="P104" s="82"/>
      <c r="Q104" s="82"/>
      <c r="R104" s="82"/>
      <c r="S104" s="82"/>
      <c r="T104" s="82"/>
      <c r="U104" s="8"/>
      <c r="V104" s="8"/>
      <c r="W104" s="8"/>
      <c r="X104" s="8"/>
      <c r="Y104" s="8"/>
      <c r="Z104" s="8"/>
      <c r="AA104" s="8"/>
      <c r="AB104" s="8"/>
      <c r="AC104" s="8"/>
    </row>
    <row r="105" spans="1:29">
      <c r="A105" s="69" t="s">
        <v>179</v>
      </c>
      <c r="B105" s="71" t="s">
        <v>188</v>
      </c>
      <c r="C105" s="82">
        <v>0</v>
      </c>
      <c r="D105" s="82">
        <v>1</v>
      </c>
      <c r="E105" s="82">
        <v>0</v>
      </c>
      <c r="F105" s="82">
        <v>0</v>
      </c>
      <c r="G105" s="82"/>
      <c r="H105" s="82"/>
      <c r="I105" s="82"/>
      <c r="J105" s="82"/>
      <c r="K105" s="82"/>
      <c r="L105" s="82"/>
      <c r="M105" s="82"/>
      <c r="N105" s="82"/>
      <c r="O105" s="82"/>
      <c r="P105" s="82"/>
      <c r="Q105" s="82"/>
      <c r="R105" s="82"/>
      <c r="S105" s="82"/>
      <c r="T105" s="82"/>
      <c r="U105" s="8"/>
      <c r="V105" s="8"/>
      <c r="W105" s="8"/>
      <c r="X105" s="8"/>
      <c r="Y105" s="8"/>
      <c r="Z105" s="8"/>
      <c r="AA105" s="8"/>
      <c r="AB105" s="8"/>
      <c r="AC105" s="8"/>
    </row>
    <row r="106" spans="1:29">
      <c r="A106" s="69" t="s">
        <v>185</v>
      </c>
      <c r="B106" s="71" t="s">
        <v>188</v>
      </c>
      <c r="C106" s="82">
        <v>0</v>
      </c>
      <c r="D106" s="82">
        <v>0</v>
      </c>
      <c r="E106" s="82">
        <v>0</v>
      </c>
      <c r="F106" s="82">
        <v>0</v>
      </c>
      <c r="G106" s="82"/>
      <c r="H106" s="82"/>
      <c r="I106" s="82"/>
      <c r="J106" s="82"/>
      <c r="K106" s="82"/>
      <c r="L106" s="82"/>
      <c r="M106" s="82"/>
      <c r="N106" s="82"/>
      <c r="O106" s="82"/>
      <c r="P106" s="82"/>
      <c r="Q106" s="82"/>
      <c r="R106" s="82"/>
      <c r="S106" s="82"/>
      <c r="T106" s="82"/>
      <c r="U106" s="8"/>
      <c r="V106" s="8"/>
      <c r="W106" s="8"/>
      <c r="X106" s="8"/>
      <c r="Y106" s="8"/>
      <c r="Z106" s="8"/>
      <c r="AA106" s="8"/>
      <c r="AB106" s="8"/>
      <c r="AC106" s="8"/>
    </row>
    <row r="107" spans="1:29">
      <c r="A107" s="70" t="s">
        <v>187</v>
      </c>
      <c r="B107" s="71" t="s">
        <v>188</v>
      </c>
      <c r="C107" s="82">
        <v>0</v>
      </c>
      <c r="D107" s="82">
        <v>0</v>
      </c>
      <c r="E107" s="82">
        <v>0</v>
      </c>
      <c r="F107" s="82">
        <v>0</v>
      </c>
      <c r="G107" s="82"/>
      <c r="H107" s="82"/>
      <c r="I107" s="82"/>
      <c r="J107" s="82"/>
      <c r="K107" s="82"/>
      <c r="L107" s="82"/>
      <c r="M107" s="82"/>
      <c r="N107" s="82"/>
      <c r="O107" s="82"/>
      <c r="P107" s="82"/>
      <c r="Q107" s="82"/>
      <c r="R107" s="82"/>
      <c r="S107" s="82"/>
      <c r="T107" s="82"/>
      <c r="U107" s="8"/>
      <c r="V107" s="8"/>
      <c r="W107" s="8"/>
      <c r="X107" s="8"/>
      <c r="Y107" s="8"/>
      <c r="Z107" s="8"/>
      <c r="AA107" s="8"/>
      <c r="AB107" s="8"/>
      <c r="AC107" s="8"/>
    </row>
    <row r="108" spans="1:29">
      <c r="A108" s="69" t="s">
        <v>186</v>
      </c>
      <c r="B108" s="71" t="s">
        <v>188</v>
      </c>
      <c r="C108" s="82">
        <v>0</v>
      </c>
      <c r="D108" s="82">
        <v>0</v>
      </c>
      <c r="E108" s="82">
        <v>0</v>
      </c>
      <c r="F108" s="82">
        <v>0</v>
      </c>
      <c r="G108" s="82"/>
      <c r="H108" s="82"/>
      <c r="I108" s="82"/>
      <c r="J108" s="82"/>
      <c r="K108" s="82"/>
      <c r="L108" s="82"/>
      <c r="M108" s="82"/>
      <c r="N108" s="82"/>
      <c r="O108" s="82"/>
      <c r="P108" s="82"/>
      <c r="Q108" s="82"/>
      <c r="R108" s="82"/>
      <c r="S108" s="82"/>
      <c r="T108" s="82"/>
      <c r="U108" s="8"/>
      <c r="V108" s="8"/>
      <c r="W108" s="8"/>
      <c r="X108" s="8"/>
      <c r="Y108" s="8"/>
      <c r="Z108" s="8"/>
      <c r="AA108" s="8"/>
      <c r="AB108" s="8"/>
      <c r="AC108" s="8"/>
    </row>
    <row r="109" spans="1:29">
      <c r="A109" s="69" t="s">
        <v>183</v>
      </c>
      <c r="B109" s="71" t="s">
        <v>188</v>
      </c>
      <c r="C109" s="82">
        <v>0</v>
      </c>
      <c r="D109" s="82">
        <v>0</v>
      </c>
      <c r="E109" s="82">
        <v>0</v>
      </c>
      <c r="F109" s="82">
        <v>0</v>
      </c>
      <c r="G109" s="82"/>
      <c r="H109" s="82"/>
      <c r="I109" s="82"/>
      <c r="J109" s="82"/>
      <c r="K109" s="82"/>
      <c r="L109" s="82"/>
      <c r="M109" s="82"/>
      <c r="N109" s="82"/>
      <c r="O109" s="82"/>
      <c r="P109" s="82"/>
      <c r="Q109" s="82"/>
      <c r="R109" s="82"/>
      <c r="S109" s="82"/>
      <c r="T109" s="82"/>
      <c r="U109" s="8"/>
      <c r="V109" s="8"/>
      <c r="W109" s="8"/>
      <c r="X109" s="8"/>
      <c r="Y109" s="8"/>
      <c r="Z109" s="8"/>
      <c r="AA109" s="8"/>
      <c r="AB109" s="8"/>
      <c r="AC109" s="8"/>
    </row>
    <row r="110" spans="1:29">
      <c r="A110" s="69" t="s">
        <v>180</v>
      </c>
      <c r="B110" s="71" t="s">
        <v>188</v>
      </c>
      <c r="C110" s="82">
        <v>0</v>
      </c>
      <c r="D110" s="82" t="s">
        <v>207</v>
      </c>
      <c r="E110" s="82" t="s">
        <v>207</v>
      </c>
      <c r="F110" s="82" t="s">
        <v>207</v>
      </c>
      <c r="G110" s="82"/>
      <c r="H110" s="82"/>
      <c r="I110" s="82"/>
      <c r="J110" s="82"/>
      <c r="K110" s="82"/>
      <c r="L110" s="82"/>
      <c r="M110" s="82"/>
      <c r="N110" s="82"/>
      <c r="O110" s="82"/>
      <c r="P110" s="82"/>
      <c r="Q110" s="82"/>
      <c r="R110" s="82"/>
      <c r="S110" s="82"/>
      <c r="T110" s="82"/>
      <c r="U110" s="8"/>
      <c r="V110" s="8"/>
      <c r="W110" s="8"/>
      <c r="X110" s="8"/>
      <c r="Y110" s="8"/>
      <c r="Z110" s="8"/>
      <c r="AA110" s="8"/>
      <c r="AB110" s="8"/>
      <c r="AC110" s="8"/>
    </row>
    <row r="111" spans="1:2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3:2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3:29">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3:2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3:29">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3:2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3:29">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3:2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3:29">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3:2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3:29">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3:2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3:29">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3:2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3:29">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3:2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3:29">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3:2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3:29">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3:2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3:29">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3:2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3:29">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3:2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3:29">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3:2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3:29">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3:2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3:29">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3:2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3:29">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3:2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3:29">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3:2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3:29">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3:2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3:29">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3:2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3:29">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3:2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sheetData>
  <autoFilter ref="A61:AL110">
    <sortState ref="A78:AL126">
      <sortCondition ref="B77:B126"/>
    </sortState>
  </autoFilter>
  <mergeCells count="21">
    <mergeCell ref="B8:H8"/>
    <mergeCell ref="G2:H2"/>
    <mergeCell ref="A3:H3"/>
    <mergeCell ref="B5:H5"/>
    <mergeCell ref="B6:H6"/>
    <mergeCell ref="B7:H7"/>
    <mergeCell ref="B9:H9"/>
    <mergeCell ref="A60:B60"/>
    <mergeCell ref="C60:F60"/>
    <mergeCell ref="G60:J60"/>
    <mergeCell ref="K60:N60"/>
    <mergeCell ref="S60:V60"/>
    <mergeCell ref="W60:Z60"/>
    <mergeCell ref="AA60:AD60"/>
    <mergeCell ref="AE60:AH60"/>
    <mergeCell ref="AI60:AL60"/>
    <mergeCell ref="M3:N3"/>
    <mergeCell ref="M4:N4"/>
    <mergeCell ref="J3:K3"/>
    <mergeCell ref="J4:K4"/>
    <mergeCell ref="O60:R60"/>
  </mergeCells>
  <conditionalFormatting sqref="C14:H43">
    <cfRule type="expression" dxfId="108" priority="2">
      <formula>ISERROR(C14)</formula>
    </cfRule>
  </conditionalFormatting>
  <conditionalFormatting sqref="C44:H59">
    <cfRule type="expression" dxfId="107" priority="1">
      <formula>ISERROR(C44)</formula>
    </cfRule>
  </conditionalFormatting>
  <hyperlinks>
    <hyperlink ref="G2" location="'Information och Innehåll'!A1" display="Tillbaka till Information och Innehåll"/>
    <hyperlink ref="J6" location="V1.1.1!A1" display="V1.1.1"/>
    <hyperlink ref="J7" location="V1.1.2!A1" display="V1.1.2"/>
    <hyperlink ref="J8" location="V1.1.3!A1" display="V1.1.3"/>
    <hyperlink ref="J9" location="V2.1.1!A1" display="V2.1.1"/>
    <hyperlink ref="J10" location="V2.1.2!A1" display="V2.1.2"/>
    <hyperlink ref="J12" location="V3.1.2!A1" display="V3.1.2"/>
    <hyperlink ref="J11" location="V3.1.1!A1" display="V3.1.1"/>
    <hyperlink ref="J13" location="V3.1.3!A1" display="V3.1.3"/>
    <hyperlink ref="J15" location="V4.1.1!A1" display="V4.1.1"/>
    <hyperlink ref="J16" location="V4.2.1!A1" display="V4.2.1"/>
    <hyperlink ref="J17" location="V4.2.2!A1" display="V4.2.2"/>
    <hyperlink ref="J18" location="V4.2.3!A1" display="V4.2.3"/>
    <hyperlink ref="J19" location="V4.2.4!A1" display="V4.2.4"/>
    <hyperlink ref="J20" location="V5.1.1!A1" display="V5.1.1"/>
    <hyperlink ref="J21" location="V5.1.2!A1" display="V5.1.2"/>
    <hyperlink ref="K6" location="B1.1.1!A1" display="B1.1.1"/>
    <hyperlink ref="K7" location="B1.1.2!A1" display="B1.1.2"/>
    <hyperlink ref="K8" location="B1.2.1!A1" display="B1.2.1"/>
    <hyperlink ref="K9" location="B1.2.2!A1" display="B1.2.2"/>
    <hyperlink ref="K10" location="B1.2.3!A1" display="B1.2.3"/>
    <hyperlink ref="K11" location="B2.1.1!A1" display="B2.1.1"/>
    <hyperlink ref="K13" location="B2.2.1!A1" display="B2.2.1"/>
    <hyperlink ref="K14" location="B2.2.2!A1" display="B2.2.2"/>
    <hyperlink ref="K15" location="B2.2.3!A1" display="B2.2.3"/>
    <hyperlink ref="K16" location="B2.2.4!A1" display="B2.2.4"/>
    <hyperlink ref="K17" location="B3.1.1!A1" display="B3.1.1"/>
    <hyperlink ref="K18" location="B3.1.2!A1" display="B3.1.2"/>
    <hyperlink ref="K21" location="B4.1.1!A1" display="B4.1.1"/>
    <hyperlink ref="K22" location="B5.1.1!A1" display="B5.1.1"/>
    <hyperlink ref="K23" location="B5.1.2!A1" display="B5.1.2"/>
    <hyperlink ref="K24" location="B5.1.3!A1" display="B5.1.3"/>
    <hyperlink ref="K19" location="B3.1.3!A1" display="B3.1.3"/>
    <hyperlink ref="K12" location="B2.1.2!A1" display="B2.1.2"/>
    <hyperlink ref="J22" location="V5.1.3!A1" display="V5.1.3"/>
    <hyperlink ref="K20" location="B3.2.1!A1" display="B3.2.1"/>
    <hyperlink ref="J14" location="B3.2.1!A1" display="V3.2.1"/>
    <hyperlink ref="M6" location="'V1.1.1 DATA'!A1" display="V1.1.1"/>
    <hyperlink ref="M7" location="'V1.1.2 DATA'!A1" display="V1.1.2"/>
    <hyperlink ref="M8" location="'V1.1.3 Data'!A1" display="V1.1.3"/>
    <hyperlink ref="M9" location="'V2.1.1 DATA'!A1" display="V2.1.1"/>
    <hyperlink ref="M10" location="'V2.1.2 DATA'!A1" display="V2.1.2"/>
    <hyperlink ref="M12" location="'V3.1.2 DATA'!A1" display="V3.1.2"/>
    <hyperlink ref="M11" location="'V3.1.1 DATA'!A1" display="V3.1.1"/>
    <hyperlink ref="M13" location="'V3.1.3 DATA'!A1" display="V3.1.3"/>
    <hyperlink ref="M14" location="'V3.2.1 DATA'!A1" display="V3.2.1"/>
    <hyperlink ref="M15" location="'V4.1.1 DATA'!A1" display="V4.1.1"/>
    <hyperlink ref="M16" location="'V4.2.1 DATA'!A1" display="V4.2.1"/>
    <hyperlink ref="M18" location="'V4.2.3 DATA'!A1" display="V4.2.3"/>
    <hyperlink ref="M19" location="'V4.2.4 DATA'!A1" display="V4.2.4"/>
    <hyperlink ref="M20" location="'V5.1.1 DATA'!A1" display="V5.1.1"/>
    <hyperlink ref="M21" location="'V5.1.2 DATA'!A1" display="V5.1.2"/>
    <hyperlink ref="N6" location="'B1.1.1 DATA'!A1" display="B1.1.1"/>
    <hyperlink ref="N7" location="'B1.1.2 DATA'!A1" display="B1.1.2"/>
    <hyperlink ref="N8" location="'B1.2.1 DATA'!A1" display="B1.2.1"/>
    <hyperlink ref="N9" location="'B1.2.2 DATA'!A1" display="B1.2.2"/>
    <hyperlink ref="N10" location="'B1.2.3 DATA'!A1" display="B1.2.3"/>
    <hyperlink ref="N11" location="'B2.1.1 DATA'!A1" display="B2.1.1"/>
    <hyperlink ref="N13" location="'B2.2.1 DATA'!A1" display="B2.2.1"/>
    <hyperlink ref="N14" location="'B2.2.2 DATA'!A1" display="B2.2.2"/>
    <hyperlink ref="N15" location="'B2.2.3 DATA'!A1" display="B2.2.3"/>
    <hyperlink ref="N16" location="'B2.2.4 DATA'!A1" display="B2.2.4"/>
    <hyperlink ref="N17" location="'B3.1.1 DATA'!A1" display="B3.1.1"/>
    <hyperlink ref="N18" location="'B3.1.2 DATA'!A1" display="B3.1.2"/>
    <hyperlink ref="N20" location="'B3.2.1 DATA'!A1" display="B3.2.1"/>
    <hyperlink ref="N21" location="'B4.1.1 DATA'!A1" display="B4.1.1"/>
    <hyperlink ref="N22" location="'B5.1.1 DATA'!A1" display="B5.1.1"/>
    <hyperlink ref="N23" location="'B5.1.2 DATA'!A1" display="B5.1.2"/>
    <hyperlink ref="N24" location="'B5.1.3 DATA'!A1" display="B5.1.3"/>
    <hyperlink ref="N12" location="'B2.1.2 DATA'!A1" display="B2.1.2"/>
    <hyperlink ref="M22" location="'V5.1.3 DATA'!A1" display="V5.1.3"/>
    <hyperlink ref="N19" location="'B3.1.3 DATA'!A1" display="B3.1.3"/>
    <hyperlink ref="M17" location="'V4.2.2 DATA'!A1" display="V4.2.2"/>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18366"/>
  </sheetPr>
  <dimension ref="A2:AA56"/>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487</v>
      </c>
      <c r="C3" s="338"/>
      <c r="D3" s="338"/>
      <c r="E3" s="338"/>
      <c r="F3" s="338"/>
      <c r="G3" s="338"/>
      <c r="H3" s="338"/>
      <c r="I3" s="338"/>
      <c r="J3" s="338"/>
      <c r="K3" s="338"/>
      <c r="L3" s="338"/>
      <c r="M3" s="338"/>
      <c r="N3" s="338"/>
      <c r="O3" s="338"/>
      <c r="P3" s="338"/>
      <c r="Q3" s="338"/>
      <c r="R3" s="338"/>
      <c r="S3" s="338"/>
      <c r="T3" s="338"/>
    </row>
    <row r="4" spans="1:20" ht="30.75">
      <c r="B4" s="366" t="s">
        <v>491</v>
      </c>
      <c r="C4" s="366"/>
      <c r="D4" s="366"/>
      <c r="E4" s="366"/>
      <c r="F4" s="366"/>
      <c r="G4" s="366"/>
      <c r="H4" s="366"/>
      <c r="I4" s="366"/>
      <c r="J4" s="366"/>
      <c r="K4" s="366"/>
      <c r="L4" s="366"/>
      <c r="M4" s="366"/>
      <c r="N4" s="366"/>
      <c r="O4" s="366"/>
      <c r="P4" s="366"/>
      <c r="Q4" s="366"/>
      <c r="R4" s="366"/>
      <c r="S4" s="366"/>
      <c r="T4" s="366"/>
    </row>
    <row r="5" spans="1:20" ht="18">
      <c r="B5" s="340" t="s">
        <v>8</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31"/>
      <c r="O10" s="31"/>
      <c r="P10" s="31"/>
      <c r="Q10" s="31"/>
      <c r="R10" s="31"/>
      <c r="S10" s="31"/>
      <c r="T10" s="31"/>
    </row>
    <row r="11" spans="1:20">
      <c r="B11" s="336" t="s">
        <v>40</v>
      </c>
      <c r="C11" s="336"/>
      <c r="D11" s="336"/>
      <c r="E11" s="336"/>
      <c r="F11" s="336"/>
      <c r="G11" s="336"/>
      <c r="H11" s="336"/>
      <c r="I11" s="336"/>
      <c r="J11" s="336"/>
      <c r="K11" s="336"/>
      <c r="L11" s="336"/>
      <c r="N11" s="111" t="s">
        <v>211</v>
      </c>
      <c r="O11" s="111" t="s">
        <v>286</v>
      </c>
    </row>
    <row r="12" spans="1:20">
      <c r="B12" s="1"/>
      <c r="C12" s="337" t="s">
        <v>558</v>
      </c>
      <c r="D12" s="337"/>
      <c r="E12" s="337"/>
      <c r="F12" s="337"/>
      <c r="G12" s="337"/>
      <c r="H12" s="337"/>
      <c r="I12" s="337"/>
      <c r="J12" s="337"/>
      <c r="K12" s="337"/>
      <c r="L12" s="337"/>
      <c r="N12" s="111" t="s">
        <v>287</v>
      </c>
      <c r="O12" s="111" t="s">
        <v>241</v>
      </c>
    </row>
    <row r="13" spans="1:20">
      <c r="B13" s="32"/>
      <c r="C13" s="332" t="s">
        <v>559</v>
      </c>
      <c r="D13" s="332"/>
      <c r="E13" s="332"/>
      <c r="F13" s="332"/>
      <c r="G13" s="332"/>
      <c r="H13" s="332"/>
      <c r="I13" s="332"/>
      <c r="J13" s="332"/>
      <c r="K13" s="332"/>
      <c r="L13" s="332"/>
      <c r="N13" s="112">
        <v>2016</v>
      </c>
      <c r="O13" s="111">
        <v>0.5</v>
      </c>
    </row>
    <row r="14" spans="1:20">
      <c r="B14" s="32"/>
      <c r="C14" s="333" t="s">
        <v>292</v>
      </c>
      <c r="D14" s="333"/>
      <c r="E14" s="333"/>
      <c r="F14" s="333"/>
      <c r="G14" s="333"/>
      <c r="H14" s="333"/>
      <c r="I14" s="333"/>
      <c r="J14" s="333"/>
      <c r="K14" s="333"/>
      <c r="L14" s="333"/>
      <c r="N14" s="112">
        <v>2017</v>
      </c>
      <c r="O14" s="111">
        <v>0.51111111111111107</v>
      </c>
    </row>
    <row r="15" spans="1:20">
      <c r="B15" s="32"/>
      <c r="C15" s="333" t="s">
        <v>561</v>
      </c>
      <c r="D15" s="333"/>
      <c r="E15" s="333"/>
      <c r="F15" s="333"/>
      <c r="G15" s="333"/>
      <c r="H15" s="333"/>
      <c r="I15" s="333"/>
      <c r="J15" s="333"/>
      <c r="K15" s="333"/>
      <c r="L15" s="333"/>
      <c r="N15" s="112">
        <v>2018</v>
      </c>
      <c r="O15" s="111"/>
    </row>
    <row r="16" spans="1:20">
      <c r="A16" s="3"/>
      <c r="B16" s="32"/>
      <c r="C16" s="47"/>
      <c r="D16" s="47"/>
      <c r="E16" s="47"/>
      <c r="F16" s="47"/>
      <c r="G16" s="47"/>
      <c r="H16" s="47"/>
      <c r="I16" s="47"/>
      <c r="J16" s="47"/>
      <c r="K16" s="47"/>
      <c r="L16" s="32"/>
      <c r="N16" s="112">
        <v>2019</v>
      </c>
      <c r="O16" s="111"/>
    </row>
    <row r="17" spans="1:26">
      <c r="A17" s="3"/>
      <c r="B17" s="336" t="s">
        <v>41</v>
      </c>
      <c r="C17" s="336"/>
      <c r="D17" s="336"/>
      <c r="E17" s="336"/>
      <c r="F17" s="336"/>
      <c r="G17" s="336"/>
      <c r="H17" s="336"/>
      <c r="I17" s="336"/>
      <c r="J17" s="336"/>
      <c r="K17" s="336"/>
      <c r="L17" s="336"/>
      <c r="N17" s="112">
        <v>2020</v>
      </c>
      <c r="O17" s="111"/>
    </row>
    <row r="18" spans="1:26">
      <c r="A18" s="3"/>
      <c r="B18" s="1"/>
      <c r="C18" s="333" t="s">
        <v>295</v>
      </c>
      <c r="D18" s="333"/>
      <c r="E18" s="333"/>
      <c r="F18" s="333"/>
      <c r="G18" s="333"/>
      <c r="H18" s="333"/>
      <c r="I18" s="333"/>
      <c r="J18" s="333"/>
      <c r="K18" s="333"/>
      <c r="L18" s="333"/>
      <c r="N18" s="112">
        <v>2021</v>
      </c>
      <c r="O18" s="111"/>
    </row>
    <row r="19" spans="1:26">
      <c r="A19" s="3"/>
      <c r="B19" s="32"/>
      <c r="C19" s="333" t="s">
        <v>318</v>
      </c>
      <c r="D19" s="333"/>
      <c r="E19" s="333"/>
      <c r="F19" s="333"/>
      <c r="G19" s="333"/>
      <c r="H19" s="333"/>
      <c r="I19" s="333"/>
      <c r="J19" s="333"/>
      <c r="K19" s="333"/>
      <c r="L19" s="333"/>
      <c r="N19" s="112">
        <v>2022</v>
      </c>
      <c r="O19" s="111"/>
    </row>
    <row r="20" spans="1:26">
      <c r="A20" s="3"/>
      <c r="B20" s="32"/>
      <c r="C20" s="333" t="s">
        <v>369</v>
      </c>
      <c r="D20" s="333"/>
      <c r="E20" s="333"/>
      <c r="F20" s="333"/>
      <c r="G20" s="333"/>
      <c r="H20" s="333"/>
      <c r="I20" s="333"/>
      <c r="J20" s="333"/>
      <c r="K20" s="333"/>
      <c r="L20" s="333"/>
      <c r="N20" s="112">
        <v>2023</v>
      </c>
      <c r="O20" s="111"/>
    </row>
    <row r="21" spans="1:26">
      <c r="A21" s="3"/>
      <c r="B21" s="32"/>
      <c r="C21" s="58" t="str">
        <f>"--&gt;"</f>
        <v>--&gt;</v>
      </c>
      <c r="D21" s="334" t="s">
        <v>212</v>
      </c>
      <c r="E21" s="334"/>
      <c r="F21" s="334"/>
      <c r="G21" s="334"/>
      <c r="H21" s="334"/>
      <c r="I21" s="334"/>
      <c r="J21" s="334"/>
      <c r="K21" s="334"/>
      <c r="L21" s="334"/>
      <c r="N21" s="112">
        <v>2024</v>
      </c>
      <c r="O21" s="111"/>
    </row>
    <row r="22" spans="1:26">
      <c r="A22" s="3"/>
      <c r="B22" s="32"/>
      <c r="C22" s="32"/>
      <c r="D22" s="334"/>
      <c r="E22" s="334"/>
      <c r="F22" s="334"/>
      <c r="G22" s="334"/>
      <c r="H22" s="334"/>
      <c r="I22" s="334"/>
      <c r="J22" s="334"/>
      <c r="K22" s="334"/>
      <c r="L22" s="334"/>
      <c r="N22" s="112">
        <v>2025</v>
      </c>
      <c r="O22" s="111"/>
    </row>
    <row r="23" spans="1:26">
      <c r="A23" s="3"/>
      <c r="B23" s="32"/>
      <c r="C23" s="333" t="s">
        <v>356</v>
      </c>
      <c r="D23" s="333"/>
      <c r="E23" s="333"/>
      <c r="F23" s="333"/>
      <c r="G23" s="333"/>
      <c r="H23" s="333"/>
      <c r="I23" s="333"/>
      <c r="J23" s="333"/>
      <c r="K23" s="333"/>
      <c r="L23" s="333"/>
    </row>
    <row r="24" spans="1:26">
      <c r="A24" s="3"/>
      <c r="B24" s="32"/>
      <c r="C24" s="333"/>
      <c r="D24" s="333"/>
      <c r="E24" s="333"/>
      <c r="F24" s="333"/>
      <c r="G24" s="333"/>
      <c r="H24" s="333"/>
      <c r="I24" s="333"/>
      <c r="J24" s="333"/>
      <c r="K24" s="333"/>
      <c r="L24" s="333"/>
      <c r="S24" s="11"/>
      <c r="T24" s="11"/>
    </row>
    <row r="25" spans="1:26">
      <c r="A25" s="3"/>
      <c r="B25" s="32"/>
      <c r="C25" s="333"/>
      <c r="D25" s="333"/>
      <c r="E25" s="333"/>
      <c r="F25" s="333"/>
      <c r="G25" s="333"/>
      <c r="H25" s="333"/>
      <c r="I25" s="333"/>
      <c r="J25" s="333"/>
      <c r="K25" s="333"/>
      <c r="L25" s="333"/>
      <c r="Q25" s="2"/>
      <c r="S25" s="11"/>
      <c r="T25" s="11"/>
    </row>
    <row r="26" spans="1:26">
      <c r="A26" s="3"/>
      <c r="B26" s="32"/>
      <c r="C26" s="363" t="s">
        <v>320</v>
      </c>
      <c r="D26" s="363"/>
      <c r="E26" s="363"/>
      <c r="F26" s="363"/>
      <c r="G26" s="363"/>
      <c r="H26" s="363"/>
      <c r="I26" s="363"/>
      <c r="J26" s="363"/>
      <c r="K26" s="363"/>
      <c r="L26" s="363"/>
      <c r="Q26" s="2"/>
      <c r="S26" s="11"/>
      <c r="T26" s="11"/>
    </row>
    <row r="27" spans="1:26">
      <c r="B27" s="47"/>
      <c r="C27" s="363"/>
      <c r="D27" s="363"/>
      <c r="E27" s="363"/>
      <c r="F27" s="363"/>
      <c r="G27" s="363"/>
      <c r="H27" s="363"/>
      <c r="I27" s="363"/>
      <c r="J27" s="363"/>
      <c r="K27" s="363"/>
      <c r="L27" s="363"/>
      <c r="Q27" s="2"/>
      <c r="S27" s="11"/>
      <c r="T27" s="11"/>
    </row>
    <row r="28" spans="1:26">
      <c r="B28" s="47"/>
      <c r="C28" s="363"/>
      <c r="D28" s="363"/>
      <c r="E28" s="363"/>
      <c r="F28" s="363"/>
      <c r="G28" s="363"/>
      <c r="H28" s="363"/>
      <c r="I28" s="363"/>
      <c r="J28" s="363"/>
      <c r="K28" s="363"/>
      <c r="L28" s="363"/>
      <c r="Q28" s="2"/>
      <c r="S28" s="11"/>
      <c r="T28" s="11"/>
    </row>
    <row r="29" spans="1:26">
      <c r="B29" s="83"/>
      <c r="C29" s="351"/>
      <c r="D29" s="351"/>
      <c r="E29" s="351"/>
      <c r="F29" s="351"/>
      <c r="G29" s="351"/>
      <c r="H29" s="351"/>
      <c r="I29" s="351"/>
      <c r="J29" s="351"/>
      <c r="K29" s="351"/>
      <c r="L29" s="351"/>
      <c r="S29" s="11"/>
      <c r="T29" s="11"/>
    </row>
    <row r="30" spans="1:26">
      <c r="B30" s="31"/>
      <c r="C30" s="351"/>
      <c r="D30" s="351"/>
      <c r="E30" s="351"/>
      <c r="F30" s="351"/>
      <c r="G30" s="351"/>
      <c r="H30" s="351"/>
      <c r="I30" s="351"/>
      <c r="J30" s="351"/>
      <c r="K30" s="351"/>
      <c r="L30" s="351"/>
      <c r="M30" s="9"/>
      <c r="N30" s="31"/>
      <c r="O30" s="34"/>
      <c r="P30" s="35"/>
      <c r="Q30" s="35"/>
      <c r="R30" s="35"/>
      <c r="S30" s="35"/>
      <c r="T30" s="31"/>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6">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6">
      <c r="B34" s="1"/>
      <c r="C34" s="1"/>
      <c r="D34" s="1"/>
      <c r="E34" s="1"/>
      <c r="F34" s="1"/>
      <c r="G34" s="1"/>
      <c r="H34" s="1"/>
      <c r="I34" s="1"/>
      <c r="J34" s="1"/>
      <c r="K34" s="1"/>
      <c r="L34" s="1"/>
      <c r="M34" s="1"/>
      <c r="N34" s="1"/>
      <c r="O34" s="1"/>
      <c r="P34" s="1"/>
      <c r="Q34" s="1"/>
      <c r="R34" s="1"/>
      <c r="S34" s="1"/>
      <c r="T34" s="1"/>
      <c r="V34" s="56" t="s">
        <v>61</v>
      </c>
      <c r="W34" s="56" t="s">
        <v>62</v>
      </c>
      <c r="X34" s="11"/>
      <c r="Y34" s="56" t="s">
        <v>61</v>
      </c>
      <c r="Z34" s="56" t="s">
        <v>62</v>
      </c>
    </row>
    <row r="35" spans="1:26">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6">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6">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6">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6">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6">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6">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6">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6">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6">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6">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6">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row>
    <row r="47" spans="1:26">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row>
    <row r="48" spans="1:26">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row>
    <row r="49" spans="2:27">
      <c r="B49" s="1"/>
      <c r="C49" s="1"/>
      <c r="D49" s="1"/>
      <c r="E49" s="1"/>
      <c r="F49" s="1"/>
      <c r="G49" s="1"/>
      <c r="H49" s="1"/>
      <c r="I49" s="1"/>
      <c r="J49" s="1"/>
      <c r="K49" s="1"/>
      <c r="L49" s="1"/>
      <c r="M49" s="1"/>
      <c r="N49" s="1"/>
      <c r="O49" s="1"/>
      <c r="P49" s="1"/>
      <c r="Q49" s="1"/>
      <c r="R49" s="1"/>
      <c r="S49" s="1"/>
      <c r="T49" s="1"/>
      <c r="V49" s="244" t="s">
        <v>445</v>
      </c>
      <c r="W49" s="244" t="s">
        <v>462</v>
      </c>
      <c r="X49" s="9"/>
      <c r="Y49" s="244" t="s">
        <v>445</v>
      </c>
      <c r="Z49" s="244" t="s">
        <v>462</v>
      </c>
    </row>
    <row r="50" spans="2:27">
      <c r="B50" s="1"/>
      <c r="C50" s="1"/>
      <c r="D50" s="1"/>
      <c r="E50" s="1"/>
      <c r="F50" s="1"/>
      <c r="G50" s="1"/>
      <c r="H50" s="1"/>
      <c r="I50" s="1"/>
      <c r="J50" s="1"/>
      <c r="K50" s="1"/>
      <c r="L50" s="1"/>
      <c r="M50" s="1"/>
      <c r="N50" s="1"/>
      <c r="O50" s="1"/>
      <c r="P50" s="1"/>
      <c r="Q50" s="1"/>
      <c r="R50" s="1"/>
      <c r="S50" s="1"/>
      <c r="T50" s="1"/>
      <c r="V50" s="246" t="s">
        <v>446</v>
      </c>
      <c r="W50" s="244" t="s">
        <v>463</v>
      </c>
      <c r="X50" s="9"/>
      <c r="Y50" s="246" t="s">
        <v>446</v>
      </c>
      <c r="Z50" s="244" t="s">
        <v>463</v>
      </c>
    </row>
    <row r="51" spans="2:27">
      <c r="B51" s="1"/>
      <c r="C51" s="1"/>
      <c r="D51" s="1"/>
      <c r="E51" s="1"/>
      <c r="F51" s="1"/>
      <c r="G51" s="1"/>
      <c r="H51" s="1"/>
      <c r="I51" s="1"/>
      <c r="J51" s="1"/>
      <c r="K51" s="1"/>
      <c r="L51" s="1"/>
      <c r="M51" s="1"/>
      <c r="N51" s="1"/>
      <c r="O51" s="1"/>
      <c r="P51" s="1"/>
      <c r="Q51" s="1"/>
      <c r="R51" s="1"/>
      <c r="S51" s="1"/>
      <c r="T51" s="1"/>
      <c r="V51" s="247" t="s">
        <v>447</v>
      </c>
      <c r="W51" s="244" t="s">
        <v>464</v>
      </c>
      <c r="X51" s="9"/>
      <c r="Y51" s="247" t="s">
        <v>447</v>
      </c>
      <c r="Z51" s="244" t="s">
        <v>464</v>
      </c>
    </row>
    <row r="52" spans="2:27">
      <c r="B52" s="1"/>
      <c r="C52" s="1"/>
      <c r="D52" s="1"/>
      <c r="E52" s="1"/>
      <c r="F52" s="1"/>
      <c r="G52" s="1"/>
      <c r="H52" s="1"/>
      <c r="I52" s="1"/>
      <c r="J52" s="1"/>
      <c r="K52" s="1"/>
      <c r="L52" s="1"/>
      <c r="M52" s="1"/>
      <c r="N52" s="1"/>
      <c r="O52" s="1"/>
      <c r="P52" s="1"/>
      <c r="Q52" s="1"/>
      <c r="R52" s="1"/>
      <c r="S52" s="1"/>
      <c r="T52" s="1"/>
      <c r="V52" s="295"/>
      <c r="W52" s="244" t="s">
        <v>465</v>
      </c>
      <c r="X52" s="9"/>
      <c r="Y52" s="284"/>
      <c r="Z52" s="244" t="s">
        <v>465</v>
      </c>
    </row>
    <row r="53" spans="2:27">
      <c r="B53" s="1"/>
      <c r="C53" s="1"/>
      <c r="D53" s="1"/>
      <c r="E53" s="1"/>
      <c r="F53" s="1"/>
      <c r="G53" s="1"/>
      <c r="H53" s="1"/>
      <c r="I53" s="1"/>
      <c r="J53" s="1"/>
      <c r="K53" s="1"/>
      <c r="L53" s="1"/>
      <c r="M53" s="1"/>
      <c r="N53" s="1"/>
      <c r="O53" s="1"/>
      <c r="P53" s="1"/>
      <c r="Q53" s="1"/>
      <c r="R53" s="1"/>
      <c r="S53" s="1"/>
      <c r="T53" s="1"/>
      <c r="V53" s="204"/>
      <c r="W53" s="248" t="s">
        <v>466</v>
      </c>
      <c r="X53" s="9"/>
      <c r="Y53" s="257"/>
      <c r="Z53" s="258" t="s">
        <v>466</v>
      </c>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row r="56" spans="2:27">
      <c r="V56" s="9"/>
      <c r="W56" s="9"/>
      <c r="X56" s="9"/>
      <c r="Y56" s="9"/>
      <c r="Z56" s="9"/>
      <c r="AA56" s="9"/>
    </row>
  </sheetData>
  <mergeCells count="24">
    <mergeCell ref="B11:L11"/>
    <mergeCell ref="C12:L12"/>
    <mergeCell ref="C13:L13"/>
    <mergeCell ref="C14:L14"/>
    <mergeCell ref="B3:T3"/>
    <mergeCell ref="B4:T4"/>
    <mergeCell ref="B5:T5"/>
    <mergeCell ref="R7:T7"/>
    <mergeCell ref="B9:L9"/>
    <mergeCell ref="N9:T9"/>
    <mergeCell ref="Y32:Z32"/>
    <mergeCell ref="Y33:Z33"/>
    <mergeCell ref="V33:W33"/>
    <mergeCell ref="C15:L15"/>
    <mergeCell ref="B17:L17"/>
    <mergeCell ref="C18:L18"/>
    <mergeCell ref="C19:L19"/>
    <mergeCell ref="C20:L20"/>
    <mergeCell ref="D21:L22"/>
    <mergeCell ref="C23:L25"/>
    <mergeCell ref="C26:L28"/>
    <mergeCell ref="C29:L30"/>
    <mergeCell ref="B32:T32"/>
    <mergeCell ref="V32:W32"/>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B49073"/>
  </sheetPr>
  <dimension ref="A1:Q101"/>
  <sheetViews>
    <sheetView showGridLines="0" showRowColHeaders="0" zoomScale="70" zoomScaleNormal="70" workbookViewId="0"/>
  </sheetViews>
  <sheetFormatPr defaultRowHeight="14.25"/>
  <cols>
    <col min="1" max="1" width="15.796875" customWidth="1"/>
    <col min="2" max="8" width="26.796875" customWidth="1"/>
    <col min="9" max="15" width="12.796875" customWidth="1"/>
  </cols>
  <sheetData>
    <row r="1" spans="1:14" ht="15.75">
      <c r="A1" s="16" t="s">
        <v>240</v>
      </c>
      <c r="B1" s="84"/>
      <c r="C1" s="84"/>
      <c r="D1" s="84"/>
      <c r="E1" s="84"/>
      <c r="F1" s="84"/>
      <c r="G1" s="84"/>
    </row>
    <row r="2" spans="1:14" ht="15.75">
      <c r="A2" s="26" t="s">
        <v>34</v>
      </c>
      <c r="C2" s="27">
        <v>42977</v>
      </c>
      <c r="G2" s="342" t="s">
        <v>44</v>
      </c>
      <c r="H2" s="342"/>
    </row>
    <row r="3" spans="1:14" ht="23.65" thickBot="1">
      <c r="A3" s="354" t="s">
        <v>7</v>
      </c>
      <c r="B3" s="354"/>
      <c r="C3" s="354"/>
      <c r="D3" s="354"/>
      <c r="E3" s="354"/>
      <c r="F3" s="354"/>
      <c r="G3" s="354"/>
      <c r="H3" s="354"/>
      <c r="J3" s="321" t="s">
        <v>46</v>
      </c>
      <c r="K3" s="321"/>
      <c r="L3" s="11"/>
      <c r="M3" s="318" t="s">
        <v>46</v>
      </c>
      <c r="N3" s="318"/>
    </row>
    <row r="4" spans="1:14">
      <c r="A4" s="119"/>
      <c r="B4" s="119"/>
      <c r="C4" s="119"/>
      <c r="D4" s="119"/>
      <c r="E4" s="119"/>
      <c r="F4" s="119"/>
      <c r="G4" s="119"/>
      <c r="H4" s="119"/>
      <c r="J4" s="319" t="s">
        <v>65</v>
      </c>
      <c r="K4" s="320"/>
      <c r="L4" s="11"/>
      <c r="M4" s="319" t="s">
        <v>66</v>
      </c>
      <c r="N4" s="320"/>
    </row>
    <row r="5" spans="1:14">
      <c r="A5" s="119"/>
      <c r="B5" s="352" t="s">
        <v>374</v>
      </c>
      <c r="C5" s="352"/>
      <c r="D5" s="352"/>
      <c r="E5" s="352"/>
      <c r="F5" s="352"/>
      <c r="G5" s="352"/>
      <c r="H5" s="352"/>
      <c r="J5" s="56" t="s">
        <v>61</v>
      </c>
      <c r="K5" s="56" t="s">
        <v>62</v>
      </c>
      <c r="L5" s="11"/>
      <c r="M5" s="56" t="s">
        <v>61</v>
      </c>
      <c r="N5" s="56" t="s">
        <v>62</v>
      </c>
    </row>
    <row r="6" spans="1:14">
      <c r="A6" s="119"/>
      <c r="B6" s="352" t="s">
        <v>326</v>
      </c>
      <c r="C6" s="352"/>
      <c r="D6" s="352"/>
      <c r="E6" s="352"/>
      <c r="F6" s="352"/>
      <c r="G6" s="352"/>
      <c r="H6" s="352"/>
      <c r="J6" s="244" t="s">
        <v>392</v>
      </c>
      <c r="K6" s="244" t="s">
        <v>448</v>
      </c>
      <c r="L6" s="11"/>
      <c r="M6" s="244" t="s">
        <v>392</v>
      </c>
      <c r="N6" s="244" t="s">
        <v>448</v>
      </c>
    </row>
    <row r="7" spans="1:14">
      <c r="A7" s="119"/>
      <c r="B7" s="352" t="s">
        <v>331</v>
      </c>
      <c r="C7" s="352"/>
      <c r="D7" s="352"/>
      <c r="E7" s="352"/>
      <c r="F7" s="352"/>
      <c r="G7" s="352"/>
      <c r="H7" s="352"/>
      <c r="J7" s="244" t="s">
        <v>393</v>
      </c>
      <c r="K7" s="244" t="s">
        <v>449</v>
      </c>
      <c r="L7" s="11"/>
      <c r="M7" s="244" t="s">
        <v>393</v>
      </c>
      <c r="N7" s="244" t="s">
        <v>449</v>
      </c>
    </row>
    <row r="8" spans="1:14">
      <c r="A8" s="119"/>
      <c r="B8" s="353" t="s">
        <v>325</v>
      </c>
      <c r="C8" s="353"/>
      <c r="D8" s="353"/>
      <c r="E8" s="353"/>
      <c r="F8" s="353"/>
      <c r="G8" s="353"/>
      <c r="H8" s="353"/>
      <c r="J8" s="244" t="s">
        <v>394</v>
      </c>
      <c r="K8" s="244" t="s">
        <v>450</v>
      </c>
      <c r="L8" s="11"/>
      <c r="M8" s="244" t="s">
        <v>394</v>
      </c>
      <c r="N8" s="244" t="s">
        <v>450</v>
      </c>
    </row>
    <row r="9" spans="1:14">
      <c r="A9" s="119"/>
      <c r="B9" s="353" t="s">
        <v>560</v>
      </c>
      <c r="C9" s="353"/>
      <c r="D9" s="353"/>
      <c r="E9" s="353"/>
      <c r="F9" s="353"/>
      <c r="G9" s="353"/>
      <c r="H9" s="353"/>
      <c r="J9" s="244" t="s">
        <v>434</v>
      </c>
      <c r="K9" s="244" t="s">
        <v>451</v>
      </c>
      <c r="L9" s="11"/>
      <c r="M9" s="244" t="s">
        <v>434</v>
      </c>
      <c r="N9" s="244" t="s">
        <v>451</v>
      </c>
    </row>
    <row r="10" spans="1:14">
      <c r="A10" s="119"/>
      <c r="B10" s="123" t="s">
        <v>562</v>
      </c>
      <c r="C10" s="123"/>
      <c r="D10" s="123"/>
      <c r="E10" s="123"/>
      <c r="F10" s="123"/>
      <c r="G10" s="123"/>
      <c r="H10" s="123"/>
      <c r="J10" s="244" t="s">
        <v>435</v>
      </c>
      <c r="K10" s="244" t="s">
        <v>452</v>
      </c>
      <c r="M10" s="244" t="s">
        <v>435</v>
      </c>
      <c r="N10" s="244" t="s">
        <v>452</v>
      </c>
    </row>
    <row r="11" spans="1:14">
      <c r="A11" s="119"/>
      <c r="B11" s="119"/>
      <c r="C11" s="119"/>
      <c r="D11" s="119"/>
      <c r="E11" s="119"/>
      <c r="F11" s="119"/>
      <c r="G11" s="119"/>
      <c r="H11" s="119"/>
      <c r="J11" s="244" t="s">
        <v>436</v>
      </c>
      <c r="K11" s="244" t="s">
        <v>453</v>
      </c>
      <c r="M11" s="244" t="s">
        <v>436</v>
      </c>
      <c r="N11" s="244" t="s">
        <v>453</v>
      </c>
    </row>
    <row r="12" spans="1:14" ht="15.75">
      <c r="A12" s="26"/>
      <c r="C12" s="27"/>
      <c r="J12" s="244" t="s">
        <v>437</v>
      </c>
      <c r="K12" s="245" t="s">
        <v>454</v>
      </c>
      <c r="M12" s="244" t="s">
        <v>437</v>
      </c>
      <c r="N12" s="245" t="s">
        <v>454</v>
      </c>
    </row>
    <row r="13" spans="1:14">
      <c r="A13" s="133" t="s">
        <v>2</v>
      </c>
      <c r="B13" s="133" t="s">
        <v>203</v>
      </c>
      <c r="C13" s="133" t="s">
        <v>153</v>
      </c>
      <c r="D13" s="133" t="s">
        <v>158</v>
      </c>
      <c r="E13" s="133" t="s">
        <v>162</v>
      </c>
      <c r="F13" s="133" t="s">
        <v>178</v>
      </c>
      <c r="G13" s="133" t="s">
        <v>188</v>
      </c>
      <c r="H13" s="134" t="s">
        <v>209</v>
      </c>
      <c r="I13" s="79"/>
      <c r="J13" s="244" t="s">
        <v>438</v>
      </c>
      <c r="K13" s="244" t="s">
        <v>455</v>
      </c>
      <c r="M13" s="244" t="s">
        <v>438</v>
      </c>
      <c r="N13" s="244" t="s">
        <v>455</v>
      </c>
    </row>
    <row r="14" spans="1:14">
      <c r="A14" s="2">
        <v>2016</v>
      </c>
      <c r="B14" s="2" t="s">
        <v>241</v>
      </c>
      <c r="C14" s="79">
        <f>COUNTIF(C$39:C$53,"=1")/COUNT(C$39:C$53)</f>
        <v>0.46153846153846156</v>
      </c>
      <c r="D14" s="79">
        <f>COUNTIF(C$54:C$58,"=1")/COUNT(C$54:C$58)</f>
        <v>0.5</v>
      </c>
      <c r="E14" s="79">
        <f>COUNTIF(C$59:C$62,"=1")/COUNT(C$59:C$62)</f>
        <v>0.25</v>
      </c>
      <c r="F14" s="79">
        <f>COUNTIF(C$63:C$77,"=1")/COUNT(C$63:C$77)</f>
        <v>0.66666666666666663</v>
      </c>
      <c r="G14" s="79">
        <f>COUNTIF(C$78:C$87,"=1")/COUNT(C$78:C$87)</f>
        <v>0.44444444444444442</v>
      </c>
      <c r="H14" s="79">
        <f>COUNTIF(C$39:C$87,"=1")/COUNT(C$39:C$87)</f>
        <v>0.5</v>
      </c>
      <c r="I14" s="79"/>
      <c r="J14" s="245" t="s">
        <v>439</v>
      </c>
      <c r="K14" s="244" t="s">
        <v>456</v>
      </c>
      <c r="M14" s="244" t="s">
        <v>439</v>
      </c>
      <c r="N14" s="244" t="s">
        <v>456</v>
      </c>
    </row>
    <row r="15" spans="1:14">
      <c r="A15">
        <v>2017</v>
      </c>
      <c r="B15" s="2" t="s">
        <v>241</v>
      </c>
      <c r="C15" s="79">
        <f>COUNTIF(D$39:D$53,"=1")/COUNT(D$39:D$53)</f>
        <v>0.46666666666666667</v>
      </c>
      <c r="D15" s="79">
        <f>COUNTIF(D$54:D$58,"=1")/COUNT(D$54:D$58)</f>
        <v>0</v>
      </c>
      <c r="E15" s="79">
        <f>COUNTIF(D$59:D$62,"=1")/COUNT(D$59:D$62)</f>
        <v>0.75</v>
      </c>
      <c r="F15" s="79">
        <f>COUNTIF(D$63:D$77,"=1")/COUNT(D$63:D$77)</f>
        <v>0.53333333333333333</v>
      </c>
      <c r="G15" s="79">
        <f>COUNTIF(D$78:D$87,"=1")/COUNT(D$78:D$87)</f>
        <v>0.55555555555555558</v>
      </c>
      <c r="H15" s="79">
        <f>COUNTIF(D$39:D$87,"=1")/COUNT(D$39:D$87)</f>
        <v>0.51111111111111107</v>
      </c>
      <c r="I15" s="79"/>
      <c r="J15" s="244" t="s">
        <v>440</v>
      </c>
      <c r="K15" s="244" t="s">
        <v>457</v>
      </c>
      <c r="M15" s="244" t="s">
        <v>440</v>
      </c>
      <c r="N15" s="244" t="s">
        <v>457</v>
      </c>
    </row>
    <row r="16" spans="1:14">
      <c r="A16" s="2">
        <v>2018</v>
      </c>
      <c r="B16" s="2" t="s">
        <v>241</v>
      </c>
      <c r="C16" s="79" t="e">
        <f>COUNTIF(E$39:E$53,"=1")/COUNT(E$39:E$53)</f>
        <v>#DIV/0!</v>
      </c>
      <c r="D16" s="79" t="e">
        <f>COUNTIF(E$54:E$58,"=1")/COUNT(E$54:E$58)</f>
        <v>#DIV/0!</v>
      </c>
      <c r="E16" s="79" t="e">
        <f>COUNTIF(E$59:E$62,"=1")/COUNT(E$59:E$62)</f>
        <v>#DIV/0!</v>
      </c>
      <c r="F16" s="79" t="e">
        <f>COUNTIF(E$63:E$77,"=1")/COUNT(E$63:E$77)</f>
        <v>#DIV/0!</v>
      </c>
      <c r="G16" s="79" t="e">
        <f>COUNTIF(E$78:E$87,"=1")/COUNT(E$78:E$87)</f>
        <v>#DIV/0!</v>
      </c>
      <c r="H16" s="79" t="e">
        <f>COUNTIF(E$39:E$87,"=1")/COUNT(E$39:E$87)</f>
        <v>#DIV/0!</v>
      </c>
      <c r="I16" s="79"/>
      <c r="J16" s="244" t="s">
        <v>441</v>
      </c>
      <c r="K16" s="244" t="s">
        <v>458</v>
      </c>
      <c r="M16" s="244" t="s">
        <v>441</v>
      </c>
      <c r="N16" s="244" t="s">
        <v>458</v>
      </c>
    </row>
    <row r="17" spans="1:14">
      <c r="A17">
        <v>2019</v>
      </c>
      <c r="B17" s="2" t="s">
        <v>241</v>
      </c>
      <c r="C17" s="79" t="e">
        <f>COUNTIF(F$39:F$53,"=1")/COUNT(F$39:F$53)</f>
        <v>#DIV/0!</v>
      </c>
      <c r="D17" s="79" t="e">
        <f>COUNTIF(F$54:F$58,"=1")/COUNT(F$54:F$58)</f>
        <v>#DIV/0!</v>
      </c>
      <c r="E17" s="79" t="e">
        <f>COUNTIF(F$59:F$62,"=1")/COUNT(F$59:F$62)</f>
        <v>#DIV/0!</v>
      </c>
      <c r="F17" s="79" t="e">
        <f>COUNTIF(F$63:F$77,"=1")/COUNT(F$63:F$77)</f>
        <v>#DIV/0!</v>
      </c>
      <c r="G17" s="79" t="e">
        <f>COUNTIF(F$78:F$87,"=1")/COUNT(F$78:F$87)</f>
        <v>#DIV/0!</v>
      </c>
      <c r="H17" s="79" t="e">
        <f>COUNTIF(F$39:F$87,"=1")/COUNT(F$39:F$87)</f>
        <v>#DIV/0!</v>
      </c>
      <c r="I17" s="79"/>
      <c r="J17" s="244" t="s">
        <v>442</v>
      </c>
      <c r="K17" s="244" t="s">
        <v>459</v>
      </c>
      <c r="M17" s="244" t="s">
        <v>442</v>
      </c>
      <c r="N17" s="244" t="s">
        <v>459</v>
      </c>
    </row>
    <row r="18" spans="1:14">
      <c r="A18" s="2">
        <v>2020</v>
      </c>
      <c r="B18" s="2" t="s">
        <v>241</v>
      </c>
      <c r="C18" s="79" t="e">
        <f>COUNTIF(G$39:G$53,"=1")/COUNT(G$39:G$53)</f>
        <v>#DIV/0!</v>
      </c>
      <c r="D18" s="79" t="e">
        <f>COUNTIF(G$54:G$58,"=1")/COUNT(G$54:G$58)</f>
        <v>#DIV/0!</v>
      </c>
      <c r="E18" s="79" t="e">
        <f>COUNTIF(G$59:G$62,"=1")/COUNT(G$59:G$62)</f>
        <v>#DIV/0!</v>
      </c>
      <c r="F18" s="79" t="e">
        <f>COUNTIF(G$63:G$77,"=1")/COUNT(G$63:G$77)</f>
        <v>#DIV/0!</v>
      </c>
      <c r="G18" s="79" t="e">
        <f>COUNTIF(G$78:G$87,"=1")/COUNT(G$78:G$87)</f>
        <v>#DIV/0!</v>
      </c>
      <c r="H18" s="79" t="e">
        <f>COUNTIF(G$39:G$87,"=1")/COUNT(G$39:G$87)</f>
        <v>#DIV/0!</v>
      </c>
      <c r="I18" s="79"/>
      <c r="J18" s="244" t="s">
        <v>443</v>
      </c>
      <c r="K18" s="244" t="s">
        <v>460</v>
      </c>
      <c r="M18" s="244" t="s">
        <v>443</v>
      </c>
      <c r="N18" s="244" t="s">
        <v>460</v>
      </c>
    </row>
    <row r="19" spans="1:14">
      <c r="A19">
        <v>2021</v>
      </c>
      <c r="B19" s="2" t="s">
        <v>241</v>
      </c>
      <c r="C19" s="79" t="e">
        <f>COUNTIF(H$39:H$53,"=1")/COUNT(H$39:H$53)</f>
        <v>#DIV/0!</v>
      </c>
      <c r="D19" s="79" t="e">
        <f>COUNTIF(H$54:H$58,"=1")/COUNT(H$54:H$58)</f>
        <v>#DIV/0!</v>
      </c>
      <c r="E19" s="79" t="e">
        <f>COUNTIF(H$59:H$62,"=1")/COUNT(H$59:H$62)</f>
        <v>#DIV/0!</v>
      </c>
      <c r="F19" s="79" t="e">
        <f>COUNTIF(H$63:H$77,"=1")/COUNT(H$63:H$77)</f>
        <v>#DIV/0!</v>
      </c>
      <c r="G19" s="79" t="e">
        <f>COUNTIF(H$78:H$87,"=1")/COUNT(H$78:H$87)</f>
        <v>#DIV/0!</v>
      </c>
      <c r="H19" s="79" t="e">
        <f>COUNTIF(H$39:H$87,"=1")/COUNT(H$39:H$87)</f>
        <v>#DIV/0!</v>
      </c>
      <c r="I19" s="79"/>
      <c r="J19" s="244" t="s">
        <v>444</v>
      </c>
      <c r="K19" s="245" t="s">
        <v>461</v>
      </c>
      <c r="M19" s="244" t="s">
        <v>444</v>
      </c>
      <c r="N19" s="245" t="s">
        <v>461</v>
      </c>
    </row>
    <row r="20" spans="1:14">
      <c r="A20" s="2">
        <v>2022</v>
      </c>
      <c r="B20" s="2" t="s">
        <v>241</v>
      </c>
      <c r="C20" s="79" t="e">
        <f>COUNTIF(I$39:I$53,"=1")/COUNT(I$39:I$53)</f>
        <v>#DIV/0!</v>
      </c>
      <c r="D20" s="79" t="e">
        <f>COUNTIF(I$54:I$58,"=1")/COUNT(I$54:I$58)</f>
        <v>#DIV/0!</v>
      </c>
      <c r="E20" s="79" t="e">
        <f>COUNTIF(I$59:I$62,"=1")/COUNT(I$59:I$62)</f>
        <v>#DIV/0!</v>
      </c>
      <c r="F20" s="79" t="e">
        <f>COUNTIF(I$63:I$77,"=1")/COUNT(I$63:I$77)</f>
        <v>#DIV/0!</v>
      </c>
      <c r="G20" s="79" t="e">
        <f>COUNTIF(I$78:I$87,"=1")/COUNT(I$78:I$87)</f>
        <v>#DIV/0!</v>
      </c>
      <c r="H20" s="79" t="e">
        <f>COUNTIF(I$39:I$87,"=1")/COUNT(I$39:I$87)</f>
        <v>#DIV/0!</v>
      </c>
      <c r="I20" s="79"/>
      <c r="J20" s="244" t="s">
        <v>445</v>
      </c>
      <c r="K20" s="244" t="s">
        <v>462</v>
      </c>
      <c r="L20" s="9"/>
      <c r="M20" s="244" t="s">
        <v>445</v>
      </c>
      <c r="N20" s="244" t="s">
        <v>462</v>
      </c>
    </row>
    <row r="21" spans="1:14">
      <c r="A21">
        <v>2023</v>
      </c>
      <c r="B21" s="2" t="s">
        <v>241</v>
      </c>
      <c r="C21" s="79" t="e">
        <f>COUNTIF(J$39:J$53,"=1")/COUNT(J$39:J$53)</f>
        <v>#DIV/0!</v>
      </c>
      <c r="D21" s="79" t="e">
        <f>COUNTIF(J$54:J$58,"=1")/COUNT(J$54:J$58)</f>
        <v>#DIV/0!</v>
      </c>
      <c r="E21" s="79" t="e">
        <f>COUNTIF(J$59:J$62,"=1")/COUNT(J$59:J$62)</f>
        <v>#DIV/0!</v>
      </c>
      <c r="F21" s="79" t="e">
        <f>COUNTIF(J$63:J$77,"=1")/COUNT(J$63:J$77)</f>
        <v>#DIV/0!</v>
      </c>
      <c r="G21" s="79" t="e">
        <f>COUNTIF(J$78:J$87,"=1")/COUNT(J$78:J$87)</f>
        <v>#DIV/0!</v>
      </c>
      <c r="H21" s="79" t="e">
        <f>COUNTIF(J$39:J$87,"=1")/COUNT(J$39:J$87)</f>
        <v>#DIV/0!</v>
      </c>
      <c r="I21" s="79"/>
      <c r="J21" s="246" t="s">
        <v>446</v>
      </c>
      <c r="K21" s="244" t="s">
        <v>463</v>
      </c>
      <c r="L21" s="9"/>
      <c r="M21" s="246" t="s">
        <v>446</v>
      </c>
      <c r="N21" s="244" t="s">
        <v>463</v>
      </c>
    </row>
    <row r="22" spans="1:14">
      <c r="A22" s="2">
        <v>2024</v>
      </c>
      <c r="B22" s="2" t="s">
        <v>241</v>
      </c>
      <c r="C22" s="79" t="e">
        <f>COUNTIF(K$39:K$53,"=1")/COUNT(K$39:K$53)</f>
        <v>#DIV/0!</v>
      </c>
      <c r="D22" s="79" t="e">
        <f>COUNTIF(K$54:K$58,"=1")/COUNT(K$54:K$58)</f>
        <v>#DIV/0!</v>
      </c>
      <c r="E22" s="79" t="e">
        <f>COUNTIF(K$59:K$62,"=1")/COUNT(K$59:K$62)</f>
        <v>#DIV/0!</v>
      </c>
      <c r="F22" s="79" t="e">
        <f>COUNTIF(K$63:K$77,"=1")/COUNT(K$63:K$77)</f>
        <v>#DIV/0!</v>
      </c>
      <c r="G22" s="79" t="e">
        <f>COUNTIF(K$78:K$87,"=1")/COUNT(K$78:K$87)</f>
        <v>#DIV/0!</v>
      </c>
      <c r="H22" s="79" t="e">
        <f>COUNTIF(K$39:K$87,"=1")/COUNT(K$39:K$87)</f>
        <v>#DIV/0!</v>
      </c>
      <c r="I22" s="79"/>
      <c r="J22" s="247" t="s">
        <v>447</v>
      </c>
      <c r="K22" s="244" t="s">
        <v>464</v>
      </c>
      <c r="L22" s="9"/>
      <c r="M22" s="247" t="s">
        <v>447</v>
      </c>
      <c r="N22" s="244" t="s">
        <v>464</v>
      </c>
    </row>
    <row r="23" spans="1:14">
      <c r="A23">
        <v>2025</v>
      </c>
      <c r="B23" s="2" t="s">
        <v>241</v>
      </c>
      <c r="C23" s="79" t="e">
        <f>COUNTIF(L$39:L$53,"=1")/COUNT(L$39:L$53)</f>
        <v>#DIV/0!</v>
      </c>
      <c r="D23" s="79" t="e">
        <f>COUNTIF(L$54:L$58,"=1")/COUNT(L$54:L$58)</f>
        <v>#DIV/0!</v>
      </c>
      <c r="E23" s="79" t="e">
        <f>COUNTIF(L$59:L$62,"=1")/COUNT(L$59:L$62)</f>
        <v>#DIV/0!</v>
      </c>
      <c r="F23" s="79" t="e">
        <f>COUNTIF(L$63:L$77,"=1")/COUNT(L$63:L$77)</f>
        <v>#DIV/0!</v>
      </c>
      <c r="G23" s="79" t="e">
        <f>COUNTIF(L$78:L$87,"=1")/COUNT(L$78:L$87)</f>
        <v>#DIV/0!</v>
      </c>
      <c r="H23" s="79" t="e">
        <f>COUNTIF(L$39:L$87,"=1")/COUNT(L$39:L$87)</f>
        <v>#DIV/0!</v>
      </c>
      <c r="I23" s="79"/>
      <c r="J23" s="295"/>
      <c r="K23" s="244" t="s">
        <v>465</v>
      </c>
      <c r="L23" s="9"/>
      <c r="M23" s="284"/>
      <c r="N23" s="244" t="s">
        <v>465</v>
      </c>
    </row>
    <row r="24" spans="1:14">
      <c r="D24" s="79"/>
      <c r="E24" s="79"/>
      <c r="F24" s="79"/>
      <c r="G24" s="79"/>
      <c r="H24" s="79"/>
      <c r="I24" s="79"/>
      <c r="J24" s="204"/>
      <c r="K24" s="248" t="s">
        <v>466</v>
      </c>
      <c r="L24" s="9"/>
      <c r="M24" s="257"/>
      <c r="N24" s="258" t="s">
        <v>466</v>
      </c>
    </row>
    <row r="25" spans="1:14">
      <c r="D25" s="79"/>
      <c r="E25" s="79"/>
      <c r="F25" s="79"/>
      <c r="G25" s="79"/>
      <c r="H25" s="79"/>
      <c r="I25" s="79"/>
      <c r="J25" s="256"/>
      <c r="K25" s="254"/>
      <c r="L25" s="9"/>
      <c r="M25" s="256"/>
      <c r="N25" s="254"/>
    </row>
    <row r="26" spans="1:14">
      <c r="D26" s="79"/>
      <c r="E26" s="79"/>
      <c r="F26" s="79"/>
      <c r="G26" s="79"/>
      <c r="H26" s="79"/>
      <c r="I26" s="79"/>
      <c r="J26" s="242"/>
      <c r="K26" s="254"/>
      <c r="L26" s="9"/>
      <c r="M26" s="242"/>
      <c r="N26" s="254"/>
    </row>
    <row r="27" spans="1:14">
      <c r="D27" s="79"/>
      <c r="E27" s="79"/>
      <c r="F27" s="79"/>
      <c r="G27" s="79"/>
      <c r="H27" s="79"/>
      <c r="I27" s="79"/>
    </row>
    <row r="28" spans="1:14">
      <c r="D28" s="79"/>
      <c r="E28" s="79"/>
      <c r="F28" s="79"/>
      <c r="G28" s="79"/>
      <c r="H28" s="79"/>
      <c r="I28" s="79"/>
    </row>
    <row r="29" spans="1:14">
      <c r="D29" s="79"/>
      <c r="E29" s="79"/>
      <c r="F29" s="79"/>
      <c r="G29" s="79"/>
      <c r="H29" s="79"/>
      <c r="I29" s="79"/>
    </row>
    <row r="30" spans="1:14">
      <c r="D30" s="79"/>
      <c r="E30" s="79"/>
      <c r="F30" s="79"/>
      <c r="G30" s="79"/>
      <c r="H30" s="79"/>
      <c r="I30" s="79"/>
    </row>
    <row r="31" spans="1:14">
      <c r="D31" s="79"/>
      <c r="E31" s="79"/>
      <c r="F31" s="79"/>
      <c r="G31" s="79"/>
      <c r="H31" s="79"/>
      <c r="I31" s="79"/>
    </row>
    <row r="32" spans="1:14">
      <c r="D32" s="79"/>
      <c r="E32" s="79"/>
      <c r="F32" s="79"/>
      <c r="G32" s="79"/>
      <c r="H32" s="79"/>
      <c r="I32" s="79"/>
    </row>
    <row r="33" spans="1:17">
      <c r="D33" s="79"/>
      <c r="E33" s="79"/>
      <c r="F33" s="79"/>
      <c r="G33" s="79"/>
      <c r="H33" s="79"/>
      <c r="I33" s="79"/>
    </row>
    <row r="34" spans="1:17">
      <c r="D34" s="79"/>
      <c r="E34" s="79"/>
      <c r="F34" s="79"/>
      <c r="G34" s="79"/>
      <c r="H34" s="79"/>
      <c r="I34" s="79"/>
    </row>
    <row r="35" spans="1:17">
      <c r="C35" s="79"/>
      <c r="D35" s="79"/>
      <c r="E35" s="79"/>
      <c r="F35" s="79"/>
      <c r="G35" s="79"/>
      <c r="H35" s="79"/>
    </row>
    <row r="37" spans="1:17" ht="18">
      <c r="A37" s="355" t="s">
        <v>195</v>
      </c>
      <c r="B37" s="355"/>
      <c r="C37" s="59"/>
      <c r="D37" s="59"/>
      <c r="E37" s="59"/>
      <c r="F37" s="59"/>
      <c r="G37" s="59"/>
      <c r="H37" s="59"/>
      <c r="I37" s="59"/>
      <c r="J37" s="59"/>
      <c r="K37" s="59"/>
      <c r="L37" s="59"/>
    </row>
    <row r="38" spans="1:17" ht="18">
      <c r="A38" s="81" t="s">
        <v>199</v>
      </c>
      <c r="B38" s="80" t="s">
        <v>210</v>
      </c>
      <c r="C38" s="226">
        <v>2016</v>
      </c>
      <c r="D38" s="226">
        <v>2017</v>
      </c>
      <c r="E38" s="226">
        <v>2018</v>
      </c>
      <c r="F38" s="226">
        <v>2019</v>
      </c>
      <c r="G38" s="226">
        <v>2020</v>
      </c>
      <c r="H38" s="226">
        <v>2021</v>
      </c>
      <c r="I38" s="226">
        <v>2022</v>
      </c>
      <c r="J38" s="226">
        <v>2023</v>
      </c>
      <c r="K38" s="226">
        <v>2024</v>
      </c>
      <c r="L38" s="226">
        <v>2025</v>
      </c>
    </row>
    <row r="39" spans="1:17">
      <c r="A39" s="68" t="s">
        <v>189</v>
      </c>
      <c r="B39" t="s">
        <v>153</v>
      </c>
      <c r="C39" s="82">
        <v>1</v>
      </c>
      <c r="D39" s="82">
        <v>1</v>
      </c>
      <c r="E39" s="82"/>
      <c r="F39" s="82"/>
      <c r="G39" s="82"/>
      <c r="H39" s="82"/>
      <c r="I39" s="82"/>
      <c r="J39" s="82"/>
      <c r="K39" s="82"/>
      <c r="L39" s="82"/>
      <c r="M39" s="8"/>
      <c r="N39" s="8"/>
      <c r="O39" s="8"/>
      <c r="P39" s="8"/>
      <c r="Q39" s="8"/>
    </row>
    <row r="40" spans="1:17">
      <c r="A40" s="69" t="s">
        <v>141</v>
      </c>
      <c r="B40" t="s">
        <v>153</v>
      </c>
      <c r="C40" s="82">
        <v>0</v>
      </c>
      <c r="D40" s="82">
        <v>0</v>
      </c>
      <c r="E40" s="82"/>
      <c r="F40" s="82"/>
      <c r="G40" s="82"/>
      <c r="H40" s="82"/>
      <c r="I40" s="82"/>
      <c r="J40" s="82"/>
      <c r="K40" s="82"/>
      <c r="L40" s="82"/>
      <c r="M40" s="82"/>
      <c r="N40" s="82"/>
      <c r="O40" s="8"/>
      <c r="P40" s="8"/>
      <c r="Q40" s="8"/>
    </row>
    <row r="41" spans="1:17">
      <c r="A41" s="69" t="s">
        <v>143</v>
      </c>
      <c r="B41" t="s">
        <v>153</v>
      </c>
      <c r="C41" s="82">
        <v>0</v>
      </c>
      <c r="D41" s="82">
        <v>0</v>
      </c>
      <c r="E41" s="82"/>
      <c r="F41" s="82"/>
      <c r="G41" s="82"/>
      <c r="H41" s="82"/>
      <c r="I41" s="82"/>
      <c r="J41" s="82"/>
      <c r="K41" s="82"/>
      <c r="L41" s="82"/>
      <c r="M41" s="82"/>
      <c r="N41" s="82"/>
      <c r="O41" s="8"/>
      <c r="P41" s="8"/>
      <c r="Q41" s="8"/>
    </row>
    <row r="42" spans="1:17">
      <c r="A42" s="69" t="s">
        <v>152</v>
      </c>
      <c r="B42" t="s">
        <v>153</v>
      </c>
      <c r="C42" s="82" t="s">
        <v>207</v>
      </c>
      <c r="D42" s="82">
        <v>1</v>
      </c>
      <c r="E42" s="82"/>
      <c r="F42" s="82"/>
      <c r="G42" s="82"/>
      <c r="H42" s="82"/>
      <c r="I42" s="82"/>
      <c r="J42" s="82"/>
      <c r="K42" s="82"/>
      <c r="L42" s="82"/>
      <c r="M42" s="82"/>
      <c r="N42" s="82"/>
      <c r="O42" s="8"/>
      <c r="P42" s="8"/>
      <c r="Q42" s="8"/>
    </row>
    <row r="43" spans="1:17">
      <c r="A43" s="69" t="s">
        <v>146</v>
      </c>
      <c r="B43" t="s">
        <v>153</v>
      </c>
      <c r="C43" s="82">
        <v>1</v>
      </c>
      <c r="D43" s="82">
        <v>0</v>
      </c>
      <c r="E43" s="82"/>
      <c r="F43" s="82"/>
      <c r="G43" s="82"/>
      <c r="H43" s="82"/>
      <c r="I43" s="82"/>
      <c r="J43" s="82"/>
      <c r="K43" s="82"/>
      <c r="L43" s="82"/>
      <c r="M43" s="82"/>
      <c r="N43" s="82"/>
      <c r="O43" s="8"/>
      <c r="P43" s="8"/>
      <c r="Q43" s="8"/>
    </row>
    <row r="44" spans="1:17">
      <c r="A44" s="69" t="s">
        <v>142</v>
      </c>
      <c r="B44" t="s">
        <v>153</v>
      </c>
      <c r="C44" s="82" t="s">
        <v>207</v>
      </c>
      <c r="D44" s="82">
        <v>0</v>
      </c>
      <c r="E44" s="82"/>
      <c r="F44" s="82"/>
      <c r="G44" s="82"/>
      <c r="H44" s="82"/>
      <c r="I44" s="82"/>
      <c r="J44" s="82"/>
      <c r="K44" s="82"/>
      <c r="L44" s="82"/>
      <c r="M44" s="82"/>
      <c r="N44" s="82"/>
      <c r="O44" s="8"/>
      <c r="P44" s="8"/>
      <c r="Q44" s="8"/>
    </row>
    <row r="45" spans="1:17">
      <c r="A45" s="69" t="s">
        <v>148</v>
      </c>
      <c r="B45" t="s">
        <v>153</v>
      </c>
      <c r="C45" s="82">
        <v>0</v>
      </c>
      <c r="D45" s="82">
        <v>1</v>
      </c>
      <c r="E45" s="82"/>
      <c r="F45" s="82"/>
      <c r="G45" s="82"/>
      <c r="H45" s="82"/>
      <c r="I45" s="82"/>
      <c r="J45" s="82"/>
      <c r="K45" s="82"/>
      <c r="L45" s="82"/>
      <c r="M45" s="82"/>
      <c r="N45" s="82"/>
      <c r="O45" s="8"/>
      <c r="P45" s="8"/>
      <c r="Q45" s="8"/>
    </row>
    <row r="46" spans="1:17">
      <c r="A46" s="69" t="s">
        <v>149</v>
      </c>
      <c r="B46" t="s">
        <v>153</v>
      </c>
      <c r="C46" s="82">
        <v>0</v>
      </c>
      <c r="D46" s="82">
        <v>0</v>
      </c>
      <c r="E46" s="82"/>
      <c r="F46" s="82"/>
      <c r="G46" s="82"/>
      <c r="H46" s="82"/>
      <c r="I46" s="82"/>
      <c r="J46" s="82"/>
      <c r="K46" s="82"/>
      <c r="L46" s="82"/>
      <c r="M46" s="82"/>
      <c r="N46" s="82"/>
      <c r="O46" s="8"/>
      <c r="P46" s="8"/>
      <c r="Q46" s="8"/>
    </row>
    <row r="47" spans="1:17">
      <c r="A47" s="69" t="s">
        <v>147</v>
      </c>
      <c r="B47" t="s">
        <v>153</v>
      </c>
      <c r="C47" s="82">
        <v>1</v>
      </c>
      <c r="D47" s="82">
        <v>1</v>
      </c>
      <c r="E47" s="82"/>
      <c r="F47" s="82"/>
      <c r="G47" s="82"/>
      <c r="H47" s="82"/>
      <c r="I47" s="82"/>
      <c r="J47" s="82"/>
      <c r="K47" s="82"/>
      <c r="L47" s="82"/>
      <c r="M47" s="82"/>
      <c r="N47" s="82"/>
      <c r="O47" s="8"/>
      <c r="P47" s="8"/>
      <c r="Q47" s="8"/>
    </row>
    <row r="48" spans="1:17">
      <c r="A48" s="68" t="s">
        <v>190</v>
      </c>
      <c r="B48" t="s">
        <v>153</v>
      </c>
      <c r="C48" s="82">
        <v>0</v>
      </c>
      <c r="D48" s="82">
        <v>0</v>
      </c>
      <c r="E48" s="82"/>
      <c r="F48" s="82"/>
      <c r="G48" s="82"/>
      <c r="H48" s="82"/>
      <c r="I48" s="82"/>
      <c r="J48" s="82"/>
      <c r="K48" s="82"/>
      <c r="L48" s="82"/>
      <c r="M48" s="82"/>
      <c r="N48" s="82"/>
      <c r="O48" s="82"/>
      <c r="P48" s="82"/>
      <c r="Q48" s="8"/>
    </row>
    <row r="49" spans="1:17">
      <c r="A49" s="69" t="s">
        <v>145</v>
      </c>
      <c r="B49" t="s">
        <v>153</v>
      </c>
      <c r="C49" s="82">
        <v>0</v>
      </c>
      <c r="D49" s="82">
        <v>0</v>
      </c>
      <c r="E49" s="82"/>
      <c r="F49" s="82"/>
      <c r="G49" s="82"/>
      <c r="H49" s="82"/>
      <c r="I49" s="82"/>
      <c r="J49" s="82"/>
      <c r="K49" s="82"/>
      <c r="L49" s="82"/>
      <c r="M49" s="82"/>
      <c r="N49" s="82"/>
      <c r="O49" s="82"/>
      <c r="P49" s="82"/>
      <c r="Q49" s="8"/>
    </row>
    <row r="50" spans="1:17">
      <c r="A50" s="68" t="s">
        <v>191</v>
      </c>
      <c r="B50" t="s">
        <v>153</v>
      </c>
      <c r="C50" s="82">
        <v>1</v>
      </c>
      <c r="D50" s="82">
        <v>1</v>
      </c>
      <c r="E50" s="82"/>
      <c r="F50" s="82"/>
      <c r="G50" s="82"/>
      <c r="H50" s="82"/>
      <c r="I50" s="82"/>
      <c r="J50" s="82"/>
      <c r="K50" s="82"/>
      <c r="L50" s="82"/>
      <c r="M50" s="82"/>
      <c r="N50" s="82"/>
      <c r="O50" s="82"/>
      <c r="P50" s="82"/>
      <c r="Q50" s="8"/>
    </row>
    <row r="51" spans="1:17">
      <c r="A51" s="69" t="s">
        <v>150</v>
      </c>
      <c r="B51" t="s">
        <v>153</v>
      </c>
      <c r="C51" s="82">
        <v>0</v>
      </c>
      <c r="D51" s="82">
        <v>0</v>
      </c>
      <c r="E51" s="82"/>
      <c r="F51" s="82"/>
      <c r="G51" s="82"/>
      <c r="H51" s="82"/>
      <c r="I51" s="82"/>
      <c r="J51" s="82"/>
      <c r="K51" s="82"/>
      <c r="L51" s="82"/>
      <c r="M51" s="82"/>
      <c r="N51" s="82"/>
      <c r="O51" s="82"/>
      <c r="P51" s="82"/>
      <c r="Q51" s="8"/>
    </row>
    <row r="52" spans="1:17">
      <c r="A52" s="69" t="s">
        <v>151</v>
      </c>
      <c r="B52" t="s">
        <v>153</v>
      </c>
      <c r="C52" s="82">
        <v>1</v>
      </c>
      <c r="D52" s="82">
        <v>1</v>
      </c>
      <c r="E52" s="82"/>
      <c r="F52" s="82"/>
      <c r="G52" s="82"/>
      <c r="H52" s="82"/>
      <c r="I52" s="82"/>
      <c r="J52" s="82"/>
      <c r="K52" s="82"/>
      <c r="L52" s="82"/>
      <c r="M52" s="82"/>
      <c r="N52" s="82"/>
      <c r="O52" s="82"/>
      <c r="P52" s="82"/>
      <c r="Q52" s="8"/>
    </row>
    <row r="53" spans="1:17">
      <c r="A53" s="69" t="s">
        <v>144</v>
      </c>
      <c r="B53" t="s">
        <v>153</v>
      </c>
      <c r="C53" s="82">
        <v>1</v>
      </c>
      <c r="D53" s="82">
        <v>1</v>
      </c>
      <c r="E53" s="82"/>
      <c r="F53" s="82"/>
      <c r="G53" s="82"/>
      <c r="H53" s="82"/>
      <c r="I53" s="82"/>
      <c r="J53" s="82"/>
      <c r="K53" s="82"/>
      <c r="L53" s="82"/>
      <c r="M53" s="82"/>
      <c r="N53" s="82"/>
      <c r="O53" s="82"/>
      <c r="P53" s="82"/>
      <c r="Q53" s="8"/>
    </row>
    <row r="54" spans="1:17">
      <c r="A54" s="69" t="s">
        <v>154</v>
      </c>
      <c r="B54" s="71" t="s">
        <v>158</v>
      </c>
      <c r="C54" s="82"/>
      <c r="D54" s="82" t="s">
        <v>207</v>
      </c>
      <c r="E54" s="82"/>
      <c r="F54" s="82"/>
      <c r="G54" s="82"/>
      <c r="H54" s="82"/>
      <c r="I54" s="82"/>
      <c r="J54" s="82"/>
      <c r="K54" s="82"/>
      <c r="L54" s="82"/>
      <c r="M54" s="82"/>
      <c r="N54" s="82"/>
      <c r="O54" s="82"/>
      <c r="P54" s="82"/>
      <c r="Q54" s="8"/>
    </row>
    <row r="55" spans="1:17">
      <c r="A55" s="69" t="s">
        <v>155</v>
      </c>
      <c r="B55" s="71" t="s">
        <v>158</v>
      </c>
      <c r="C55" s="82" t="s">
        <v>207</v>
      </c>
      <c r="D55" s="82">
        <v>0</v>
      </c>
      <c r="E55" s="82"/>
      <c r="F55" s="82"/>
      <c r="G55" s="82"/>
      <c r="H55" s="82"/>
      <c r="I55" s="82"/>
      <c r="J55" s="82"/>
      <c r="K55" s="82"/>
      <c r="L55" s="82"/>
      <c r="M55" s="82"/>
      <c r="N55" s="82"/>
      <c r="O55" s="82"/>
      <c r="P55" s="82"/>
      <c r="Q55" s="8"/>
    </row>
    <row r="56" spans="1:17">
      <c r="A56" s="69" t="s">
        <v>156</v>
      </c>
      <c r="B56" s="71" t="s">
        <v>158</v>
      </c>
      <c r="C56" s="82">
        <v>1</v>
      </c>
      <c r="D56" s="82" t="s">
        <v>207</v>
      </c>
      <c r="E56" s="82"/>
      <c r="F56" s="82"/>
      <c r="G56" s="82"/>
      <c r="H56" s="82"/>
      <c r="I56" s="82"/>
      <c r="J56" s="82"/>
      <c r="K56" s="82"/>
      <c r="L56" s="82"/>
      <c r="M56" s="82"/>
      <c r="N56" s="82"/>
      <c r="O56" s="82"/>
      <c r="P56" s="82"/>
      <c r="Q56" s="8"/>
    </row>
    <row r="57" spans="1:17">
      <c r="A57" s="69" t="s">
        <v>157</v>
      </c>
      <c r="B57" s="71" t="s">
        <v>158</v>
      </c>
      <c r="C57" s="82">
        <v>0</v>
      </c>
      <c r="D57" s="82">
        <v>0</v>
      </c>
      <c r="E57" s="82"/>
      <c r="F57" s="82"/>
      <c r="G57" s="82"/>
      <c r="H57" s="82"/>
      <c r="I57" s="82"/>
      <c r="J57" s="82"/>
      <c r="K57" s="82"/>
      <c r="L57" s="82"/>
      <c r="M57" s="82"/>
      <c r="N57" s="82"/>
      <c r="O57" s="82"/>
      <c r="P57" s="82"/>
      <c r="Q57" s="8"/>
    </row>
    <row r="58" spans="1:17">
      <c r="A58" s="68" t="s">
        <v>192</v>
      </c>
      <c r="B58" s="71" t="s">
        <v>158</v>
      </c>
      <c r="C58" s="82" t="s">
        <v>207</v>
      </c>
      <c r="D58" s="82" t="s">
        <v>207</v>
      </c>
      <c r="E58" s="82"/>
      <c r="F58" s="82"/>
      <c r="G58" s="82"/>
      <c r="H58" s="82"/>
      <c r="I58" s="82"/>
      <c r="J58" s="82"/>
      <c r="K58" s="82"/>
      <c r="L58" s="82"/>
      <c r="M58" s="82"/>
      <c r="N58" s="82"/>
      <c r="O58" s="82"/>
      <c r="P58" s="82"/>
      <c r="Q58" s="8"/>
    </row>
    <row r="59" spans="1:17">
      <c r="A59" s="69" t="s">
        <v>159</v>
      </c>
      <c r="B59" s="71" t="s">
        <v>162</v>
      </c>
      <c r="C59" s="82">
        <v>1</v>
      </c>
      <c r="D59" s="82">
        <v>1</v>
      </c>
      <c r="E59" s="82"/>
      <c r="F59" s="82"/>
      <c r="G59" s="82"/>
      <c r="H59" s="82"/>
      <c r="I59" s="82"/>
      <c r="J59" s="82"/>
      <c r="K59" s="82"/>
      <c r="L59" s="82"/>
      <c r="M59" s="82"/>
      <c r="N59" s="82"/>
      <c r="O59" s="82"/>
      <c r="P59" s="82"/>
      <c r="Q59" s="8"/>
    </row>
    <row r="60" spans="1:17">
      <c r="A60" s="69" t="s">
        <v>160</v>
      </c>
      <c r="B60" s="71" t="s">
        <v>162</v>
      </c>
      <c r="C60" s="82">
        <v>0</v>
      </c>
      <c r="D60" s="82">
        <v>1</v>
      </c>
      <c r="E60" s="82"/>
      <c r="F60" s="82"/>
      <c r="G60" s="82"/>
      <c r="H60" s="82"/>
      <c r="I60" s="82"/>
      <c r="J60" s="82"/>
      <c r="K60" s="82"/>
      <c r="L60" s="82"/>
      <c r="M60" s="82"/>
      <c r="N60" s="82"/>
      <c r="O60" s="82"/>
      <c r="P60" s="82"/>
      <c r="Q60" s="8"/>
    </row>
    <row r="61" spans="1:17">
      <c r="A61" s="68" t="s">
        <v>193</v>
      </c>
      <c r="B61" s="71" t="s">
        <v>162</v>
      </c>
      <c r="C61" s="82">
        <v>0</v>
      </c>
      <c r="D61" s="82">
        <v>1</v>
      </c>
      <c r="E61" s="82"/>
      <c r="F61" s="82"/>
      <c r="G61" s="82"/>
      <c r="H61" s="82"/>
      <c r="I61" s="82"/>
      <c r="J61" s="82"/>
      <c r="K61" s="82"/>
      <c r="L61" s="82"/>
      <c r="M61" s="82"/>
      <c r="N61" s="82"/>
      <c r="O61" s="82"/>
      <c r="P61" s="82"/>
      <c r="Q61" s="8"/>
    </row>
    <row r="62" spans="1:17">
      <c r="A62" s="69" t="s">
        <v>161</v>
      </c>
      <c r="B62" s="71" t="s">
        <v>162</v>
      </c>
      <c r="C62" s="82">
        <v>0</v>
      </c>
      <c r="D62" s="82">
        <v>0</v>
      </c>
      <c r="E62" s="82"/>
      <c r="F62" s="82"/>
      <c r="G62" s="82"/>
      <c r="H62" s="82"/>
      <c r="I62" s="82"/>
      <c r="J62" s="82"/>
      <c r="K62" s="82"/>
      <c r="L62" s="82"/>
      <c r="M62" s="82"/>
      <c r="N62" s="82"/>
      <c r="O62" s="82"/>
      <c r="P62" s="82"/>
      <c r="Q62" s="8"/>
    </row>
    <row r="63" spans="1:17">
      <c r="A63" s="69" t="s">
        <v>163</v>
      </c>
      <c r="B63" s="71" t="s">
        <v>178</v>
      </c>
      <c r="C63" s="82" t="s">
        <v>207</v>
      </c>
      <c r="D63" s="82">
        <v>0</v>
      </c>
      <c r="E63" s="82"/>
      <c r="F63" s="82"/>
      <c r="G63" s="82"/>
      <c r="H63" s="82"/>
      <c r="I63" s="82"/>
      <c r="J63" s="82"/>
      <c r="K63" s="82"/>
      <c r="L63" s="82"/>
      <c r="M63" s="82"/>
      <c r="N63" s="82"/>
      <c r="O63" s="82"/>
      <c r="P63" s="82"/>
      <c r="Q63" s="8"/>
    </row>
    <row r="64" spans="1:17">
      <c r="A64" s="69" t="s">
        <v>164</v>
      </c>
      <c r="B64" s="71" t="s">
        <v>178</v>
      </c>
      <c r="C64" s="82">
        <v>1</v>
      </c>
      <c r="D64" s="82">
        <v>0</v>
      </c>
      <c r="E64" s="82"/>
      <c r="F64" s="82"/>
      <c r="G64" s="82"/>
      <c r="H64" s="82"/>
      <c r="I64" s="82"/>
      <c r="J64" s="82"/>
      <c r="K64" s="82"/>
      <c r="L64" s="82"/>
      <c r="M64" s="82"/>
      <c r="N64" s="82"/>
      <c r="O64" s="82"/>
      <c r="P64" s="82"/>
      <c r="Q64" s="8"/>
    </row>
    <row r="65" spans="1:17">
      <c r="A65" s="69" t="s">
        <v>165</v>
      </c>
      <c r="B65" s="71" t="s">
        <v>178</v>
      </c>
      <c r="C65" s="82">
        <v>1</v>
      </c>
      <c r="D65" s="82">
        <v>1</v>
      </c>
      <c r="E65" s="82"/>
      <c r="F65" s="82"/>
      <c r="G65" s="82"/>
      <c r="H65" s="82"/>
      <c r="I65" s="82"/>
      <c r="J65" s="82"/>
      <c r="K65" s="82"/>
      <c r="L65" s="82"/>
      <c r="M65" s="82"/>
      <c r="N65" s="82"/>
      <c r="O65" s="82"/>
      <c r="P65" s="82"/>
      <c r="Q65" s="8"/>
    </row>
    <row r="66" spans="1:17">
      <c r="A66" s="69" t="s">
        <v>166</v>
      </c>
      <c r="B66" s="71" t="s">
        <v>178</v>
      </c>
      <c r="C66" s="82" t="s">
        <v>207</v>
      </c>
      <c r="D66" s="82">
        <v>0</v>
      </c>
      <c r="E66" s="82"/>
      <c r="F66" s="82"/>
      <c r="G66" s="82"/>
      <c r="H66" s="82"/>
      <c r="I66" s="82"/>
      <c r="J66" s="82"/>
      <c r="K66" s="82"/>
      <c r="L66" s="82"/>
      <c r="M66" s="82"/>
      <c r="N66" s="82"/>
      <c r="O66" s="82"/>
      <c r="P66" s="82"/>
      <c r="Q66" s="8"/>
    </row>
    <row r="67" spans="1:17">
      <c r="A67" s="69" t="s">
        <v>167</v>
      </c>
      <c r="B67" s="71" t="s">
        <v>178</v>
      </c>
      <c r="C67" s="82">
        <v>1</v>
      </c>
      <c r="D67" s="82">
        <v>1</v>
      </c>
      <c r="E67" s="82"/>
      <c r="F67" s="82"/>
      <c r="G67" s="82"/>
      <c r="H67" s="82"/>
      <c r="I67" s="82"/>
      <c r="J67" s="82"/>
      <c r="K67" s="82"/>
      <c r="L67" s="82"/>
      <c r="M67" s="82"/>
      <c r="N67" s="82"/>
      <c r="O67" s="82"/>
      <c r="P67" s="82"/>
      <c r="Q67" s="8"/>
    </row>
    <row r="68" spans="1:17">
      <c r="A68" s="69" t="s">
        <v>168</v>
      </c>
      <c r="B68" s="71" t="s">
        <v>178</v>
      </c>
      <c r="C68" s="82">
        <v>1</v>
      </c>
      <c r="D68" s="82">
        <v>1</v>
      </c>
      <c r="E68" s="82"/>
      <c r="F68" s="82"/>
      <c r="G68" s="82"/>
      <c r="H68" s="82"/>
      <c r="I68" s="82"/>
      <c r="J68" s="82"/>
      <c r="K68" s="82"/>
      <c r="L68" s="82"/>
      <c r="M68" s="82"/>
      <c r="N68" s="82"/>
      <c r="O68" s="82"/>
      <c r="P68" s="82"/>
      <c r="Q68" s="8"/>
    </row>
    <row r="69" spans="1:17">
      <c r="A69" s="69" t="s">
        <v>169</v>
      </c>
      <c r="B69" s="71" t="s">
        <v>178</v>
      </c>
      <c r="C69" s="82">
        <v>0</v>
      </c>
      <c r="D69" s="82">
        <v>0</v>
      </c>
      <c r="E69" s="82"/>
      <c r="F69" s="82"/>
      <c r="G69" s="82"/>
      <c r="H69" s="82"/>
      <c r="I69" s="82"/>
      <c r="J69" s="82"/>
      <c r="K69" s="82"/>
      <c r="L69" s="82"/>
      <c r="M69" s="82"/>
      <c r="N69" s="82"/>
      <c r="O69" s="82"/>
      <c r="P69" s="82"/>
      <c r="Q69" s="8"/>
    </row>
    <row r="70" spans="1:17">
      <c r="A70" s="69" t="s">
        <v>170</v>
      </c>
      <c r="B70" s="71" t="s">
        <v>178</v>
      </c>
      <c r="C70" s="82">
        <v>1</v>
      </c>
      <c r="D70" s="82">
        <v>1</v>
      </c>
      <c r="E70" s="82"/>
      <c r="F70" s="82"/>
      <c r="G70" s="82"/>
      <c r="H70" s="82"/>
      <c r="I70" s="82"/>
      <c r="J70" s="82"/>
      <c r="K70" s="82"/>
      <c r="L70" s="82"/>
      <c r="M70" s="82"/>
      <c r="N70" s="82"/>
      <c r="O70" s="82"/>
      <c r="P70" s="82"/>
      <c r="Q70" s="8"/>
    </row>
    <row r="71" spans="1:17">
      <c r="A71" s="69" t="s">
        <v>171</v>
      </c>
      <c r="B71" s="71" t="s">
        <v>178</v>
      </c>
      <c r="C71" s="82" t="s">
        <v>207</v>
      </c>
      <c r="D71" s="82">
        <v>0</v>
      </c>
      <c r="E71" s="82"/>
      <c r="F71" s="82"/>
      <c r="G71" s="82"/>
      <c r="H71" s="82"/>
      <c r="I71" s="82"/>
      <c r="J71" s="82"/>
      <c r="K71" s="82"/>
      <c r="L71" s="82"/>
      <c r="M71" s="82"/>
      <c r="N71" s="82"/>
      <c r="O71" s="82"/>
      <c r="P71" s="82"/>
      <c r="Q71" s="8"/>
    </row>
    <row r="72" spans="1:17">
      <c r="A72" s="69" t="s">
        <v>172</v>
      </c>
      <c r="B72" s="71" t="s">
        <v>178</v>
      </c>
      <c r="C72" s="82">
        <v>1</v>
      </c>
      <c r="D72" s="82">
        <v>1</v>
      </c>
      <c r="E72" s="82"/>
      <c r="F72" s="82"/>
      <c r="G72" s="82"/>
      <c r="H72" s="82"/>
      <c r="I72" s="82"/>
      <c r="J72" s="82"/>
      <c r="K72" s="82"/>
      <c r="L72" s="82"/>
      <c r="M72" s="82"/>
      <c r="N72" s="82"/>
      <c r="O72" s="82"/>
      <c r="P72" s="82"/>
      <c r="Q72" s="8"/>
    </row>
    <row r="73" spans="1:17">
      <c r="A73" s="69" t="s">
        <v>173</v>
      </c>
      <c r="B73" s="71" t="s">
        <v>178</v>
      </c>
      <c r="C73" s="82">
        <v>1</v>
      </c>
      <c r="D73" s="82">
        <v>1</v>
      </c>
      <c r="E73" s="82"/>
      <c r="F73" s="82"/>
      <c r="G73" s="82"/>
      <c r="H73" s="82"/>
      <c r="I73" s="82"/>
      <c r="J73" s="82"/>
      <c r="K73" s="82"/>
      <c r="L73" s="82"/>
      <c r="M73" s="82"/>
      <c r="N73" s="82"/>
      <c r="O73" s="82"/>
      <c r="P73" s="82"/>
      <c r="Q73" s="8"/>
    </row>
    <row r="74" spans="1:17">
      <c r="A74" s="69" t="s">
        <v>174</v>
      </c>
      <c r="B74" s="71" t="s">
        <v>178</v>
      </c>
      <c r="C74" s="82">
        <v>0</v>
      </c>
      <c r="D74" s="82">
        <v>0</v>
      </c>
      <c r="E74" s="82"/>
      <c r="F74" s="82"/>
      <c r="G74" s="82"/>
      <c r="H74" s="82"/>
      <c r="I74" s="82"/>
      <c r="J74" s="82"/>
      <c r="K74" s="82"/>
      <c r="L74" s="82"/>
      <c r="M74" s="82"/>
      <c r="N74" s="82"/>
      <c r="O74" s="82"/>
      <c r="P74" s="82"/>
      <c r="Q74" s="8"/>
    </row>
    <row r="75" spans="1:17">
      <c r="A75" s="69" t="s">
        <v>175</v>
      </c>
      <c r="B75" s="71" t="s">
        <v>178</v>
      </c>
      <c r="C75" s="82">
        <v>1</v>
      </c>
      <c r="D75" s="82">
        <v>1</v>
      </c>
      <c r="E75" s="82"/>
      <c r="F75" s="82"/>
      <c r="G75" s="82"/>
      <c r="H75" s="82"/>
      <c r="I75" s="82"/>
      <c r="J75" s="82"/>
      <c r="K75" s="82"/>
      <c r="L75" s="82"/>
      <c r="M75" s="82"/>
      <c r="N75" s="82"/>
      <c r="O75" s="82"/>
      <c r="P75" s="82"/>
      <c r="Q75" s="8"/>
    </row>
    <row r="76" spans="1:17">
      <c r="A76" s="69" t="s">
        <v>176</v>
      </c>
      <c r="B76" s="71" t="s">
        <v>178</v>
      </c>
      <c r="C76" s="82">
        <v>0</v>
      </c>
      <c r="D76" s="82">
        <v>0</v>
      </c>
      <c r="E76" s="82"/>
      <c r="F76" s="82"/>
      <c r="G76" s="82"/>
      <c r="H76" s="82"/>
      <c r="I76" s="82"/>
      <c r="J76" s="82"/>
      <c r="K76" s="82"/>
      <c r="L76" s="82"/>
      <c r="M76" s="82"/>
      <c r="N76" s="82"/>
      <c r="O76" s="82"/>
      <c r="P76" s="82"/>
      <c r="Q76" s="8"/>
    </row>
    <row r="77" spans="1:17">
      <c r="A77" s="69" t="s">
        <v>177</v>
      </c>
      <c r="B77" s="71" t="s">
        <v>178</v>
      </c>
      <c r="C77" s="82">
        <v>0</v>
      </c>
      <c r="D77" s="82">
        <v>1</v>
      </c>
      <c r="E77" s="82"/>
      <c r="F77" s="82"/>
      <c r="G77" s="82"/>
      <c r="H77" s="82"/>
      <c r="I77" s="82"/>
      <c r="J77" s="82"/>
      <c r="K77" s="82"/>
      <c r="L77" s="82"/>
      <c r="M77" s="82"/>
      <c r="N77" s="82"/>
      <c r="O77" s="82"/>
      <c r="P77" s="82"/>
      <c r="Q77" s="8"/>
    </row>
    <row r="78" spans="1:17">
      <c r="A78" s="68" t="s">
        <v>194</v>
      </c>
      <c r="B78" s="71" t="s">
        <v>188</v>
      </c>
      <c r="C78" s="82">
        <v>1</v>
      </c>
      <c r="D78" s="82">
        <v>1</v>
      </c>
      <c r="E78" s="82"/>
      <c r="F78" s="82"/>
      <c r="G78" s="82"/>
      <c r="H78" s="82"/>
      <c r="I78" s="82"/>
      <c r="J78" s="82"/>
      <c r="K78" s="82"/>
      <c r="L78" s="82"/>
      <c r="M78" s="82"/>
      <c r="N78" s="82"/>
      <c r="O78" s="82"/>
      <c r="P78" s="82"/>
      <c r="Q78" s="8"/>
    </row>
    <row r="79" spans="1:17">
      <c r="A79" s="69" t="s">
        <v>184</v>
      </c>
      <c r="B79" s="71" t="s">
        <v>188</v>
      </c>
      <c r="C79" s="82">
        <v>0</v>
      </c>
      <c r="D79" s="82">
        <v>0</v>
      </c>
      <c r="E79" s="82"/>
      <c r="F79" s="82"/>
      <c r="G79" s="82"/>
      <c r="H79" s="82"/>
      <c r="I79" s="82"/>
      <c r="J79" s="82"/>
      <c r="K79" s="82"/>
      <c r="L79" s="82"/>
      <c r="M79" s="82"/>
      <c r="N79" s="82"/>
      <c r="O79" s="82"/>
      <c r="P79" s="82"/>
      <c r="Q79" s="8"/>
    </row>
    <row r="80" spans="1:17">
      <c r="A80" s="69" t="s">
        <v>182</v>
      </c>
      <c r="B80" s="71" t="s">
        <v>188</v>
      </c>
      <c r="C80" s="82">
        <v>0</v>
      </c>
      <c r="D80" s="82">
        <v>1</v>
      </c>
      <c r="E80" s="82"/>
      <c r="F80" s="82"/>
      <c r="G80" s="82"/>
      <c r="H80" s="82"/>
      <c r="I80" s="82"/>
      <c r="J80" s="82"/>
      <c r="K80" s="82"/>
      <c r="L80" s="82"/>
      <c r="M80" s="82"/>
      <c r="N80" s="82"/>
      <c r="O80" s="82"/>
      <c r="P80" s="82"/>
      <c r="Q80" s="8"/>
    </row>
    <row r="81" spans="1:17">
      <c r="A81" s="69" t="s">
        <v>181</v>
      </c>
      <c r="B81" s="71" t="s">
        <v>188</v>
      </c>
      <c r="C81" s="82">
        <v>0</v>
      </c>
      <c r="D81" s="82">
        <v>0</v>
      </c>
      <c r="E81" s="82"/>
      <c r="F81" s="82"/>
      <c r="G81" s="82"/>
      <c r="H81" s="82"/>
      <c r="I81" s="82"/>
      <c r="J81" s="82"/>
      <c r="K81" s="82"/>
      <c r="L81" s="82"/>
      <c r="M81" s="82"/>
      <c r="N81" s="82"/>
      <c r="O81" s="82"/>
      <c r="P81" s="82"/>
      <c r="Q81" s="8"/>
    </row>
    <row r="82" spans="1:17">
      <c r="A82" s="69" t="s">
        <v>179</v>
      </c>
      <c r="B82" s="71" t="s">
        <v>188</v>
      </c>
      <c r="C82" s="82">
        <v>0</v>
      </c>
      <c r="D82" s="82">
        <v>1</v>
      </c>
      <c r="E82" s="82"/>
      <c r="F82" s="82"/>
      <c r="G82" s="82"/>
      <c r="H82" s="82"/>
      <c r="I82" s="82"/>
      <c r="J82" s="82"/>
      <c r="K82" s="82"/>
      <c r="L82" s="82"/>
      <c r="M82" s="82"/>
      <c r="N82" s="82"/>
      <c r="O82" s="82"/>
      <c r="P82" s="82"/>
      <c r="Q82" s="8"/>
    </row>
    <row r="83" spans="1:17">
      <c r="A83" s="69" t="s">
        <v>185</v>
      </c>
      <c r="B83" s="71" t="s">
        <v>188</v>
      </c>
      <c r="C83" s="82">
        <v>0</v>
      </c>
      <c r="D83" s="82">
        <v>0</v>
      </c>
      <c r="E83" s="82"/>
      <c r="F83" s="82"/>
      <c r="G83" s="82"/>
      <c r="H83" s="82"/>
      <c r="I83" s="82"/>
      <c r="J83" s="82"/>
      <c r="K83" s="82"/>
      <c r="L83" s="82"/>
      <c r="M83" s="82"/>
      <c r="N83" s="82"/>
      <c r="O83" s="82"/>
      <c r="P83" s="82"/>
      <c r="Q83" s="8"/>
    </row>
    <row r="84" spans="1:17">
      <c r="A84" s="70" t="s">
        <v>187</v>
      </c>
      <c r="B84" s="71" t="s">
        <v>188</v>
      </c>
      <c r="C84" s="82">
        <v>1</v>
      </c>
      <c r="D84" s="82">
        <v>1</v>
      </c>
      <c r="E84" s="82"/>
      <c r="F84" s="82"/>
      <c r="G84" s="82"/>
      <c r="H84" s="82"/>
      <c r="I84" s="82"/>
      <c r="J84" s="82"/>
      <c r="K84" s="82"/>
      <c r="L84" s="82"/>
      <c r="M84" s="82"/>
      <c r="N84" s="82"/>
      <c r="O84" s="82"/>
      <c r="P84" s="82"/>
      <c r="Q84" s="8"/>
    </row>
    <row r="85" spans="1:17">
      <c r="A85" s="69" t="s">
        <v>186</v>
      </c>
      <c r="B85" s="71" t="s">
        <v>188</v>
      </c>
      <c r="C85" s="82">
        <v>1</v>
      </c>
      <c r="D85" s="82">
        <v>1</v>
      </c>
      <c r="E85" s="82"/>
      <c r="F85" s="82"/>
      <c r="G85" s="82"/>
      <c r="H85" s="82"/>
      <c r="I85" s="82"/>
      <c r="J85" s="82"/>
      <c r="K85" s="82"/>
      <c r="L85" s="82"/>
      <c r="M85" s="82"/>
      <c r="N85" s="82"/>
      <c r="O85" s="82"/>
      <c r="P85" s="82"/>
      <c r="Q85" s="8"/>
    </row>
    <row r="86" spans="1:17">
      <c r="A86" s="69" t="s">
        <v>183</v>
      </c>
      <c r="B86" s="71" t="s">
        <v>188</v>
      </c>
      <c r="C86" s="82" t="s">
        <v>207</v>
      </c>
      <c r="D86" s="82">
        <v>0</v>
      </c>
      <c r="E86" s="82"/>
      <c r="F86" s="82"/>
      <c r="G86" s="82"/>
      <c r="H86" s="82"/>
      <c r="I86" s="82"/>
      <c r="J86" s="82"/>
      <c r="K86" s="82"/>
      <c r="L86" s="82"/>
      <c r="M86" s="82"/>
      <c r="N86" s="82"/>
      <c r="O86" s="82"/>
      <c r="P86" s="82"/>
      <c r="Q86" s="8"/>
    </row>
    <row r="87" spans="1:17">
      <c r="A87" s="69" t="s">
        <v>180</v>
      </c>
      <c r="B87" s="71" t="s">
        <v>188</v>
      </c>
      <c r="C87" s="82">
        <v>1</v>
      </c>
      <c r="D87" s="82" t="s">
        <v>207</v>
      </c>
      <c r="E87" s="82"/>
      <c r="F87" s="82"/>
      <c r="G87" s="82"/>
      <c r="H87" s="82"/>
      <c r="I87" s="82"/>
      <c r="J87" s="82"/>
      <c r="K87" s="82"/>
      <c r="L87" s="82"/>
      <c r="M87" s="82"/>
      <c r="N87" s="82"/>
      <c r="O87" s="82"/>
      <c r="P87" s="82"/>
      <c r="Q87" s="8"/>
    </row>
    <row r="88" spans="1:17">
      <c r="C88" s="82"/>
      <c r="D88" s="82"/>
      <c r="E88" s="82"/>
      <c r="F88" s="82"/>
      <c r="G88" s="82"/>
      <c r="H88" s="82"/>
      <c r="I88" s="82"/>
      <c r="J88" s="82"/>
      <c r="K88" s="82"/>
      <c r="L88" s="82"/>
      <c r="M88" s="82"/>
      <c r="N88" s="82"/>
      <c r="O88" s="82"/>
      <c r="P88" s="82"/>
      <c r="Q88" s="8"/>
    </row>
    <row r="89" spans="1:17">
      <c r="C89" s="82"/>
      <c r="D89" s="82"/>
      <c r="E89" s="82"/>
      <c r="F89" s="82"/>
      <c r="G89" s="82"/>
      <c r="H89" s="82"/>
      <c r="I89" s="82"/>
      <c r="J89" s="82"/>
      <c r="K89" s="82"/>
      <c r="L89" s="82"/>
      <c r="M89" s="82"/>
      <c r="N89" s="82"/>
      <c r="O89" s="82"/>
      <c r="P89" s="82"/>
      <c r="Q89" s="8"/>
    </row>
    <row r="90" spans="1:17">
      <c r="C90" s="82"/>
      <c r="D90" s="82"/>
      <c r="E90" s="82"/>
      <c r="F90" s="82"/>
      <c r="G90" s="82"/>
      <c r="H90" s="82"/>
      <c r="I90" s="82"/>
      <c r="J90" s="82"/>
      <c r="K90" s="82"/>
      <c r="L90" s="82"/>
      <c r="M90" s="82"/>
      <c r="N90" s="82"/>
      <c r="O90" s="82"/>
      <c r="P90" s="82"/>
      <c r="Q90" s="8"/>
    </row>
    <row r="91" spans="1:17">
      <c r="C91" s="8"/>
      <c r="D91" s="8"/>
      <c r="E91" s="8"/>
      <c r="F91" s="8"/>
      <c r="G91" s="8"/>
      <c r="H91" s="8"/>
      <c r="I91" s="8"/>
      <c r="J91" s="8"/>
      <c r="K91" s="8"/>
      <c r="L91" s="8"/>
      <c r="M91" s="8"/>
      <c r="N91" s="8"/>
      <c r="O91" s="8"/>
      <c r="P91" s="8"/>
      <c r="Q91" s="8"/>
    </row>
    <row r="92" spans="1:17">
      <c r="C92" s="8"/>
      <c r="D92" s="8"/>
      <c r="E92" s="8"/>
      <c r="F92" s="8"/>
      <c r="G92" s="8"/>
      <c r="H92" s="8"/>
      <c r="I92" s="8"/>
      <c r="J92" s="8"/>
      <c r="K92" s="8"/>
      <c r="L92" s="8"/>
      <c r="M92" s="8"/>
      <c r="N92" s="8"/>
      <c r="O92" s="8"/>
      <c r="P92" s="8"/>
      <c r="Q92" s="8"/>
    </row>
    <row r="93" spans="1:17">
      <c r="C93" s="8"/>
      <c r="D93" s="8"/>
      <c r="E93" s="8"/>
      <c r="F93" s="8"/>
      <c r="G93" s="8"/>
      <c r="H93" s="8"/>
      <c r="I93" s="8"/>
      <c r="J93" s="8"/>
      <c r="K93" s="8"/>
      <c r="L93" s="8"/>
      <c r="M93" s="8"/>
      <c r="N93" s="8"/>
      <c r="O93" s="8"/>
      <c r="P93" s="8"/>
      <c r="Q93" s="8"/>
    </row>
    <row r="94" spans="1:17">
      <c r="C94" s="8"/>
      <c r="D94" s="8"/>
      <c r="E94" s="8"/>
      <c r="F94" s="8"/>
      <c r="G94" s="8"/>
      <c r="H94" s="8"/>
      <c r="I94" s="8"/>
      <c r="J94" s="8"/>
      <c r="K94" s="8"/>
      <c r="L94" s="8"/>
      <c r="M94" s="8"/>
      <c r="N94" s="8"/>
      <c r="O94" s="8"/>
      <c r="P94" s="8"/>
      <c r="Q94" s="8"/>
    </row>
    <row r="95" spans="1:17">
      <c r="C95" s="8"/>
      <c r="D95" s="8"/>
      <c r="E95" s="8"/>
      <c r="F95" s="8"/>
      <c r="G95" s="8"/>
      <c r="H95" s="8"/>
      <c r="I95" s="8"/>
      <c r="J95" s="8"/>
      <c r="K95" s="8"/>
      <c r="L95" s="8"/>
      <c r="M95" s="8"/>
      <c r="N95" s="8"/>
      <c r="O95" s="8"/>
      <c r="P95" s="8"/>
      <c r="Q95" s="8"/>
    </row>
    <row r="96" spans="1:17">
      <c r="C96" s="8"/>
      <c r="D96" s="8"/>
      <c r="E96" s="8"/>
      <c r="F96" s="8"/>
      <c r="G96" s="8"/>
      <c r="H96" s="8"/>
      <c r="I96" s="8"/>
      <c r="J96" s="8"/>
      <c r="K96" s="8"/>
      <c r="L96" s="8"/>
      <c r="M96" s="8"/>
      <c r="N96" s="8"/>
      <c r="O96" s="8"/>
      <c r="P96" s="8"/>
      <c r="Q96" s="8"/>
    </row>
    <row r="97" spans="3:17">
      <c r="C97" s="8"/>
      <c r="D97" s="8"/>
      <c r="E97" s="8"/>
      <c r="F97" s="8"/>
      <c r="G97" s="8"/>
      <c r="H97" s="8"/>
      <c r="I97" s="8"/>
      <c r="J97" s="8"/>
      <c r="K97" s="8"/>
      <c r="L97" s="8"/>
      <c r="M97" s="8"/>
      <c r="N97" s="8"/>
      <c r="O97" s="8"/>
      <c r="P97" s="8"/>
      <c r="Q97" s="8"/>
    </row>
    <row r="98" spans="3:17">
      <c r="C98" s="8"/>
      <c r="D98" s="8"/>
      <c r="E98" s="8"/>
      <c r="F98" s="8"/>
      <c r="G98" s="8"/>
      <c r="H98" s="8"/>
      <c r="I98" s="8"/>
      <c r="J98" s="8"/>
      <c r="K98" s="8"/>
      <c r="L98" s="8"/>
      <c r="M98" s="8"/>
      <c r="N98" s="8"/>
      <c r="O98" s="8"/>
      <c r="P98" s="8"/>
      <c r="Q98" s="8"/>
    </row>
    <row r="99" spans="3:17">
      <c r="C99" s="8"/>
      <c r="D99" s="8"/>
      <c r="E99" s="8"/>
      <c r="F99" s="8"/>
      <c r="G99" s="8"/>
      <c r="H99" s="8"/>
      <c r="I99" s="8"/>
      <c r="J99" s="8"/>
      <c r="K99" s="8"/>
      <c r="L99" s="8"/>
      <c r="M99" s="8"/>
      <c r="N99" s="8"/>
      <c r="O99" s="8"/>
      <c r="P99" s="8"/>
      <c r="Q99" s="8"/>
    </row>
    <row r="100" spans="3:17">
      <c r="C100" s="8"/>
      <c r="D100" s="8"/>
      <c r="E100" s="8"/>
      <c r="F100" s="8"/>
      <c r="G100" s="8"/>
      <c r="H100" s="8"/>
      <c r="I100" s="8"/>
      <c r="J100" s="8"/>
      <c r="K100" s="8"/>
      <c r="L100" s="8"/>
      <c r="M100" s="8"/>
      <c r="N100" s="8"/>
      <c r="O100" s="8"/>
      <c r="P100" s="8"/>
      <c r="Q100" s="8"/>
    </row>
    <row r="101" spans="3:17">
      <c r="C101" s="8"/>
      <c r="D101" s="8"/>
      <c r="E101" s="8"/>
      <c r="F101" s="8"/>
      <c r="G101" s="8"/>
      <c r="H101" s="8"/>
      <c r="I101" s="8"/>
      <c r="J101" s="8"/>
      <c r="K101" s="8"/>
      <c r="L101" s="8"/>
      <c r="M101" s="8"/>
      <c r="N101" s="8"/>
      <c r="O101" s="8"/>
      <c r="P101" s="8"/>
      <c r="Q101" s="8"/>
    </row>
  </sheetData>
  <autoFilter ref="A38:L87">
    <sortState ref="A39:L87">
      <sortCondition ref="B38:B87"/>
    </sortState>
  </autoFilter>
  <mergeCells count="12">
    <mergeCell ref="A37:B37"/>
    <mergeCell ref="A3:H3"/>
    <mergeCell ref="B5:H5"/>
    <mergeCell ref="B6:H6"/>
    <mergeCell ref="B7:H7"/>
    <mergeCell ref="B8:H8"/>
    <mergeCell ref="B9:H9"/>
    <mergeCell ref="G2:H2"/>
    <mergeCell ref="J3:K3"/>
    <mergeCell ref="M3:N3"/>
    <mergeCell ref="J4:K4"/>
    <mergeCell ref="M4:N4"/>
  </mergeCells>
  <conditionalFormatting sqref="C14:H23">
    <cfRule type="expression" dxfId="96" priority="3">
      <formula>ISERROR(C14)</formula>
    </cfRule>
  </conditionalFormatting>
  <conditionalFormatting sqref="I15:I31">
    <cfRule type="expression" dxfId="95" priority="2">
      <formula>ISERROR(I15)</formula>
    </cfRule>
  </conditionalFormatting>
  <conditionalFormatting sqref="I13">
    <cfRule type="expression" dxfId="94" priority="1">
      <formula>ISERROR(I13)</formula>
    </cfRule>
  </conditionalFormatting>
  <hyperlinks>
    <hyperlink ref="G2" location="'Information och Innehåll'!A1" display="Tillbaka till Information och Innehåll"/>
    <hyperlink ref="J6" location="V1.1.1!A1" display="V1.1.1"/>
    <hyperlink ref="J7" location="V1.1.2!A1" display="V1.1.2"/>
    <hyperlink ref="J8" location="V1.1.3!A1" display="V1.1.3"/>
    <hyperlink ref="J9" location="V2.1.1!A1" display="V2.1.1"/>
    <hyperlink ref="J10" location="V2.1.2!A1" display="V2.1.2"/>
    <hyperlink ref="J12" location="V3.1.2!A1" display="V3.1.2"/>
    <hyperlink ref="J11" location="V3.1.1!A1" display="V3.1.1"/>
    <hyperlink ref="J13" location="V3.1.3!A1" display="V3.1.3"/>
    <hyperlink ref="J15" location="V4.1.1!A1" display="V4.1.1"/>
    <hyperlink ref="J16" location="V4.2.1!A1" display="V4.2.1"/>
    <hyperlink ref="J17" location="V4.2.2!A1" display="V4.2.2"/>
    <hyperlink ref="J18" location="V4.2.3!A1" display="V4.2.3"/>
    <hyperlink ref="J19" location="V4.2.4!A1" display="V4.2.4"/>
    <hyperlink ref="J20" location="V5.1.1!A1" display="V5.1.1"/>
    <hyperlink ref="J21" location="V5.1.2!A1" display="V5.1.2"/>
    <hyperlink ref="K6" location="B1.1.1!A1" display="B1.1.1"/>
    <hyperlink ref="K7" location="B1.1.2!A1" display="B1.1.2"/>
    <hyperlink ref="K8" location="B1.2.1!A1" display="B1.2.1"/>
    <hyperlink ref="K9" location="B1.2.2!A1" display="B1.2.2"/>
    <hyperlink ref="K10" location="B1.2.3!A1" display="B1.2.3"/>
    <hyperlink ref="K11" location="B2.1.1!A1" display="B2.1.1"/>
    <hyperlink ref="K13" location="B2.2.1!A1" display="B2.2.1"/>
    <hyperlink ref="K14" location="B2.2.2!A1" display="B2.2.2"/>
    <hyperlink ref="K15" location="B2.2.3!A1" display="B2.2.3"/>
    <hyperlink ref="K16" location="B2.2.4!A1" display="B2.2.4"/>
    <hyperlink ref="K17" location="B3.1.1!A1" display="B3.1.1"/>
    <hyperlink ref="K18" location="B3.1.2!A1" display="B3.1.2"/>
    <hyperlink ref="K21" location="B4.1.1!A1" display="B4.1.1"/>
    <hyperlink ref="K22" location="B5.1.1!A1" display="B5.1.1"/>
    <hyperlink ref="K23" location="B5.1.2!A1" display="B5.1.2"/>
    <hyperlink ref="K24" location="B5.1.3!A1" display="B5.1.3"/>
    <hyperlink ref="K19" location="B3.1.3!A1" display="B3.1.3"/>
    <hyperlink ref="K12" location="B2.1.2!A1" display="B2.1.2"/>
    <hyperlink ref="J22" location="V5.1.3!A1" display="V5.1.3"/>
    <hyperlink ref="K20" location="B3.2.1!A1" display="B3.2.1"/>
    <hyperlink ref="J14" location="B3.2.1!A1" display="V3.2.1"/>
    <hyperlink ref="M6" location="'V1.1.1 DATA'!A1" display="V1.1.1"/>
    <hyperlink ref="M7" location="'V1.1.2 DATA'!A1" display="V1.1.2"/>
    <hyperlink ref="M8" location="'V1.1.3 Data'!A1" display="V1.1.3"/>
    <hyperlink ref="M9" location="'V2.1.1 DATA'!A1" display="V2.1.1"/>
    <hyperlink ref="M10" location="'V2.1.2 DATA'!A1" display="V2.1.2"/>
    <hyperlink ref="M12" location="'V3.1.2 DATA'!A1" display="V3.1.2"/>
    <hyperlink ref="M11" location="'V3.1.1 DATA'!A1" display="V3.1.1"/>
    <hyperlink ref="M13" location="'V3.1.3 DATA'!A1" display="V3.1.3"/>
    <hyperlink ref="M14" location="'V3.2.1 DATA'!A1" display="V3.2.1"/>
    <hyperlink ref="M15" location="'V4.1.1 DATA'!A1" display="V4.1.1"/>
    <hyperlink ref="M16" location="'V4.2.1 DATA'!A1" display="V4.2.1"/>
    <hyperlink ref="M18" location="'V4.2.3 DATA'!A1" display="V4.2.3"/>
    <hyperlink ref="M19" location="'V4.2.4 DATA'!A1" display="V4.2.4"/>
    <hyperlink ref="M20" location="'V5.1.1 DATA'!A1" display="V5.1.1"/>
    <hyperlink ref="M21" location="'V5.1.2 DATA'!A1" display="V5.1.2"/>
    <hyperlink ref="N6" location="'B1.1.1 DATA'!A1" display="B1.1.1"/>
    <hyperlink ref="N7" location="'B1.1.2 DATA'!A1" display="B1.1.2"/>
    <hyperlink ref="N8" location="'B1.2.1 DATA'!A1" display="B1.2.1"/>
    <hyperlink ref="N9" location="'B1.2.2 DATA'!A1" display="B1.2.2"/>
    <hyperlink ref="N10" location="'B1.2.3 DATA'!A1" display="B1.2.3"/>
    <hyperlink ref="N11" location="'B2.1.1 DATA'!A1" display="B2.1.1"/>
    <hyperlink ref="N13" location="'B2.2.1 DATA'!A1" display="B2.2.1"/>
    <hyperlink ref="N14" location="'B2.2.2 DATA'!A1" display="B2.2.2"/>
    <hyperlink ref="N15" location="'B2.2.3 DATA'!A1" display="B2.2.3"/>
    <hyperlink ref="N16" location="'B2.2.4 DATA'!A1" display="B2.2.4"/>
    <hyperlink ref="N17" location="'B3.1.1 DATA'!A1" display="B3.1.1"/>
    <hyperlink ref="N18" location="'B3.1.2 DATA'!A1" display="B3.1.2"/>
    <hyperlink ref="N20" location="'B3.2.1 DATA'!A1" display="B3.2.1"/>
    <hyperlink ref="N21" location="'B4.1.1 DATA'!A1" display="B4.1.1"/>
    <hyperlink ref="N22" location="'B5.1.1 DATA'!A1" display="B5.1.1"/>
    <hyperlink ref="N23" location="'B5.1.2 DATA'!A1" display="B5.1.2"/>
    <hyperlink ref="N24" location="'B5.1.3 DATA'!A1" display="B5.1.3"/>
    <hyperlink ref="N12" location="'B2.1.2 DATA'!A1" display="B2.1.2"/>
    <hyperlink ref="M22" location="'V5.1.3 DATA'!A1" display="V5.1.3"/>
    <hyperlink ref="N19" location="'B3.1.3 DATA'!A1" display="B3.1.3"/>
    <hyperlink ref="M17" location="'V4.2.2 DATA'!A1" display="V4.2.2"/>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18366"/>
  </sheetPr>
  <dimension ref="A2:AA55"/>
  <sheetViews>
    <sheetView showGridLines="0" showRowColHeaders="0" zoomScale="70" zoomScaleNormal="70" workbookViewId="0"/>
  </sheetViews>
  <sheetFormatPr defaultRowHeight="14.25"/>
  <cols>
    <col min="1" max="1" width="2.796875" customWidth="1"/>
    <col min="2"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487</v>
      </c>
      <c r="C3" s="338"/>
      <c r="D3" s="338"/>
      <c r="E3" s="338"/>
      <c r="F3" s="338"/>
      <c r="G3" s="338"/>
      <c r="H3" s="338"/>
      <c r="I3" s="338"/>
      <c r="J3" s="338"/>
      <c r="K3" s="338"/>
      <c r="L3" s="338"/>
      <c r="M3" s="338"/>
      <c r="N3" s="338"/>
      <c r="O3" s="338"/>
      <c r="P3" s="338"/>
      <c r="Q3" s="338"/>
      <c r="R3" s="338"/>
      <c r="S3" s="338"/>
      <c r="T3" s="338"/>
    </row>
    <row r="4" spans="1:20" ht="30.75">
      <c r="B4" s="366" t="s">
        <v>492</v>
      </c>
      <c r="C4" s="366"/>
      <c r="D4" s="366"/>
      <c r="E4" s="366"/>
      <c r="F4" s="366"/>
      <c r="G4" s="366"/>
      <c r="H4" s="366"/>
      <c r="I4" s="366"/>
      <c r="J4" s="366"/>
      <c r="K4" s="366"/>
      <c r="L4" s="366"/>
      <c r="M4" s="366"/>
      <c r="N4" s="366"/>
      <c r="O4" s="366"/>
      <c r="P4" s="366"/>
      <c r="Q4" s="366"/>
      <c r="R4" s="366"/>
      <c r="S4" s="366"/>
      <c r="T4" s="366"/>
    </row>
    <row r="5" spans="1:20" ht="18">
      <c r="B5" s="340" t="s">
        <v>8</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31"/>
      <c r="O10" s="31"/>
      <c r="P10" s="31"/>
      <c r="Q10" s="31"/>
      <c r="R10" s="31"/>
      <c r="S10" s="31"/>
      <c r="T10" s="31"/>
    </row>
    <row r="11" spans="1:20">
      <c r="B11" s="336" t="s">
        <v>40</v>
      </c>
      <c r="C11" s="336"/>
      <c r="D11" s="336"/>
      <c r="E11" s="336"/>
      <c r="F11" s="336"/>
      <c r="G11" s="336"/>
      <c r="H11" s="336"/>
      <c r="I11" s="336"/>
      <c r="J11" s="336"/>
      <c r="K11" s="336"/>
      <c r="L11" s="336"/>
      <c r="N11" s="111" t="s">
        <v>211</v>
      </c>
      <c r="O11" s="111" t="s">
        <v>286</v>
      </c>
    </row>
    <row r="12" spans="1:20">
      <c r="B12" s="1"/>
      <c r="C12" s="337" t="s">
        <v>563</v>
      </c>
      <c r="D12" s="337"/>
      <c r="E12" s="337"/>
      <c r="F12" s="337"/>
      <c r="G12" s="337"/>
      <c r="H12" s="337"/>
      <c r="I12" s="337"/>
      <c r="J12" s="337"/>
      <c r="K12" s="337"/>
      <c r="L12" s="337"/>
      <c r="N12" s="111" t="s">
        <v>287</v>
      </c>
      <c r="O12" s="111" t="s">
        <v>242</v>
      </c>
    </row>
    <row r="13" spans="1:20">
      <c r="B13" s="32"/>
      <c r="C13" s="332" t="s">
        <v>564</v>
      </c>
      <c r="D13" s="332"/>
      <c r="E13" s="332"/>
      <c r="F13" s="332"/>
      <c r="G13" s="332"/>
      <c r="H13" s="332"/>
      <c r="I13" s="332"/>
      <c r="J13" s="332"/>
      <c r="K13" s="332"/>
      <c r="L13" s="332"/>
      <c r="N13" s="112">
        <v>2016</v>
      </c>
      <c r="O13" s="111">
        <v>0.125</v>
      </c>
    </row>
    <row r="14" spans="1:20">
      <c r="B14" s="32"/>
      <c r="C14" s="333" t="s">
        <v>292</v>
      </c>
      <c r="D14" s="333"/>
      <c r="E14" s="333"/>
      <c r="F14" s="333"/>
      <c r="G14" s="333"/>
      <c r="H14" s="333"/>
      <c r="I14" s="333"/>
      <c r="J14" s="333"/>
      <c r="K14" s="333"/>
      <c r="L14" s="333"/>
      <c r="N14" s="112">
        <v>2017</v>
      </c>
      <c r="O14" s="111">
        <v>0</v>
      </c>
    </row>
    <row r="15" spans="1:20">
      <c r="B15" s="32"/>
      <c r="C15" s="333" t="s">
        <v>565</v>
      </c>
      <c r="D15" s="333"/>
      <c r="E15" s="333"/>
      <c r="F15" s="333"/>
      <c r="G15" s="333"/>
      <c r="H15" s="333"/>
      <c r="I15" s="333"/>
      <c r="J15" s="333"/>
      <c r="K15" s="333"/>
      <c r="L15" s="333"/>
      <c r="N15" s="112">
        <v>2018</v>
      </c>
      <c r="O15" s="111"/>
    </row>
    <row r="16" spans="1:20">
      <c r="A16" s="3"/>
      <c r="B16" s="32"/>
      <c r="C16" s="47"/>
      <c r="D16" s="47"/>
      <c r="E16" s="47"/>
      <c r="F16" s="47"/>
      <c r="G16" s="47"/>
      <c r="H16" s="47"/>
      <c r="I16" s="47"/>
      <c r="J16" s="47"/>
      <c r="K16" s="47"/>
      <c r="L16" s="32"/>
      <c r="N16" s="112">
        <v>2019</v>
      </c>
      <c r="O16" s="111"/>
    </row>
    <row r="17" spans="1:26">
      <c r="A17" s="3"/>
      <c r="B17" s="336" t="s">
        <v>41</v>
      </c>
      <c r="C17" s="336"/>
      <c r="D17" s="336"/>
      <c r="E17" s="336"/>
      <c r="F17" s="336"/>
      <c r="G17" s="336"/>
      <c r="H17" s="336"/>
      <c r="I17" s="336"/>
      <c r="J17" s="336"/>
      <c r="K17" s="336"/>
      <c r="L17" s="336"/>
      <c r="N17" s="112">
        <v>2020</v>
      </c>
      <c r="O17" s="111"/>
    </row>
    <row r="18" spans="1:26">
      <c r="A18" s="3"/>
      <c r="B18" s="1"/>
      <c r="C18" s="333" t="s">
        <v>295</v>
      </c>
      <c r="D18" s="333"/>
      <c r="E18" s="333"/>
      <c r="F18" s="333"/>
      <c r="G18" s="333"/>
      <c r="H18" s="333"/>
      <c r="I18" s="333"/>
      <c r="J18" s="333"/>
      <c r="K18" s="333"/>
      <c r="L18" s="333"/>
      <c r="N18" s="112">
        <v>2021</v>
      </c>
      <c r="O18" s="111"/>
    </row>
    <row r="19" spans="1:26">
      <c r="A19" s="3"/>
      <c r="B19" s="32"/>
      <c r="C19" s="333" t="s">
        <v>318</v>
      </c>
      <c r="D19" s="333"/>
      <c r="E19" s="333"/>
      <c r="F19" s="333"/>
      <c r="G19" s="333"/>
      <c r="H19" s="333"/>
      <c r="I19" s="333"/>
      <c r="J19" s="333"/>
      <c r="K19" s="333"/>
      <c r="L19" s="333"/>
      <c r="N19" s="112">
        <v>2022</v>
      </c>
      <c r="O19" s="111"/>
    </row>
    <row r="20" spans="1:26">
      <c r="A20" s="3"/>
      <c r="B20" s="32"/>
      <c r="C20" s="333" t="s">
        <v>369</v>
      </c>
      <c r="D20" s="333"/>
      <c r="E20" s="333"/>
      <c r="F20" s="333"/>
      <c r="G20" s="333"/>
      <c r="H20" s="333"/>
      <c r="I20" s="333"/>
      <c r="J20" s="333"/>
      <c r="K20" s="333"/>
      <c r="L20" s="333"/>
      <c r="N20" s="112">
        <v>2023</v>
      </c>
      <c r="O20" s="111"/>
    </row>
    <row r="21" spans="1:26">
      <c r="A21" s="3"/>
      <c r="B21" s="32"/>
      <c r="C21" s="58" t="str">
        <f>"--&gt;"</f>
        <v>--&gt;</v>
      </c>
      <c r="D21" s="334" t="s">
        <v>212</v>
      </c>
      <c r="E21" s="334"/>
      <c r="F21" s="334"/>
      <c r="G21" s="334"/>
      <c r="H21" s="334"/>
      <c r="I21" s="334"/>
      <c r="J21" s="334"/>
      <c r="K21" s="334"/>
      <c r="L21" s="334"/>
      <c r="N21" s="112">
        <v>2024</v>
      </c>
      <c r="O21" s="111"/>
    </row>
    <row r="22" spans="1:26">
      <c r="A22" s="3"/>
      <c r="B22" s="32"/>
      <c r="C22" s="32"/>
      <c r="D22" s="334"/>
      <c r="E22" s="334"/>
      <c r="F22" s="334"/>
      <c r="G22" s="334"/>
      <c r="H22" s="334"/>
      <c r="I22" s="334"/>
      <c r="J22" s="334"/>
      <c r="K22" s="334"/>
      <c r="L22" s="334"/>
      <c r="N22" s="112">
        <v>2025</v>
      </c>
      <c r="O22" s="111"/>
    </row>
    <row r="23" spans="1:26">
      <c r="A23" s="3"/>
      <c r="B23" s="32"/>
      <c r="C23" s="333" t="s">
        <v>356</v>
      </c>
      <c r="D23" s="333"/>
      <c r="E23" s="333"/>
      <c r="F23" s="333"/>
      <c r="G23" s="333"/>
      <c r="H23" s="333"/>
      <c r="I23" s="333"/>
      <c r="J23" s="333"/>
      <c r="K23" s="333"/>
      <c r="L23" s="333"/>
    </row>
    <row r="24" spans="1:26">
      <c r="A24" s="3"/>
      <c r="B24" s="32"/>
      <c r="C24" s="333"/>
      <c r="D24" s="333"/>
      <c r="E24" s="333"/>
      <c r="F24" s="333"/>
      <c r="G24" s="333"/>
      <c r="H24" s="333"/>
      <c r="I24" s="333"/>
      <c r="J24" s="333"/>
      <c r="K24" s="333"/>
      <c r="L24" s="333"/>
      <c r="S24" s="11"/>
      <c r="T24" s="11"/>
    </row>
    <row r="25" spans="1:26">
      <c r="A25" s="3"/>
      <c r="B25" s="32"/>
      <c r="C25" s="333"/>
      <c r="D25" s="333"/>
      <c r="E25" s="333"/>
      <c r="F25" s="333"/>
      <c r="G25" s="333"/>
      <c r="H25" s="333"/>
      <c r="I25" s="333"/>
      <c r="J25" s="333"/>
      <c r="K25" s="333"/>
      <c r="L25" s="333"/>
      <c r="Q25" s="2"/>
      <c r="S25" s="11"/>
      <c r="T25" s="11"/>
    </row>
    <row r="26" spans="1:26">
      <c r="A26" s="3"/>
      <c r="B26" s="32"/>
      <c r="C26" s="363" t="s">
        <v>320</v>
      </c>
      <c r="D26" s="363"/>
      <c r="E26" s="363"/>
      <c r="F26" s="363"/>
      <c r="G26" s="363"/>
      <c r="H26" s="363"/>
      <c r="I26" s="363"/>
      <c r="J26" s="363"/>
      <c r="K26" s="363"/>
      <c r="L26" s="363"/>
      <c r="Q26" s="2"/>
      <c r="S26" s="11"/>
      <c r="T26" s="11"/>
    </row>
    <row r="27" spans="1:26">
      <c r="B27" s="47"/>
      <c r="C27" s="363"/>
      <c r="D27" s="363"/>
      <c r="E27" s="363"/>
      <c r="F27" s="363"/>
      <c r="G27" s="363"/>
      <c r="H27" s="363"/>
      <c r="I27" s="363"/>
      <c r="J27" s="363"/>
      <c r="K27" s="363"/>
      <c r="L27" s="363"/>
      <c r="Q27" s="2"/>
      <c r="S27" s="11"/>
      <c r="T27" s="11"/>
    </row>
    <row r="28" spans="1:26">
      <c r="B28" s="47"/>
      <c r="C28" s="363"/>
      <c r="D28" s="363"/>
      <c r="E28" s="363"/>
      <c r="F28" s="363"/>
      <c r="G28" s="363"/>
      <c r="H28" s="363"/>
      <c r="I28" s="363"/>
      <c r="J28" s="363"/>
      <c r="K28" s="363"/>
      <c r="L28" s="363"/>
      <c r="Q28" s="2"/>
      <c r="S28" s="11"/>
      <c r="T28" s="11"/>
    </row>
    <row r="29" spans="1:26">
      <c r="B29" s="83"/>
      <c r="C29" s="351"/>
      <c r="D29" s="351"/>
      <c r="E29" s="351"/>
      <c r="F29" s="351"/>
      <c r="G29" s="351"/>
      <c r="H29" s="351"/>
      <c r="I29" s="351"/>
      <c r="J29" s="351"/>
      <c r="K29" s="351"/>
      <c r="L29" s="351"/>
      <c r="S29" s="11"/>
      <c r="T29" s="11"/>
    </row>
    <row r="30" spans="1:26">
      <c r="B30" s="31"/>
      <c r="C30" s="351"/>
      <c r="D30" s="351"/>
      <c r="E30" s="351"/>
      <c r="F30" s="351"/>
      <c r="G30" s="351"/>
      <c r="H30" s="351"/>
      <c r="I30" s="351"/>
      <c r="J30" s="351"/>
      <c r="K30" s="351"/>
      <c r="L30" s="351"/>
      <c r="M30" s="9"/>
      <c r="N30" s="31"/>
      <c r="O30" s="34"/>
      <c r="P30" s="35"/>
      <c r="Q30" s="35"/>
      <c r="R30" s="35"/>
      <c r="S30" s="35"/>
      <c r="T30" s="31"/>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6">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6">
      <c r="B34" s="1"/>
      <c r="C34" s="1"/>
      <c r="D34" s="1"/>
      <c r="E34" s="1"/>
      <c r="F34" s="1"/>
      <c r="G34" s="1"/>
      <c r="H34" s="1"/>
      <c r="I34" s="1"/>
      <c r="J34" s="1"/>
      <c r="K34" s="1"/>
      <c r="L34" s="1"/>
      <c r="M34" s="1"/>
      <c r="N34" s="1"/>
      <c r="O34" s="1"/>
      <c r="P34" s="1"/>
      <c r="Q34" s="1"/>
      <c r="R34" s="1"/>
      <c r="S34" s="1"/>
      <c r="T34" s="1"/>
      <c r="V34" s="56" t="s">
        <v>61</v>
      </c>
      <c r="W34" s="56" t="s">
        <v>62</v>
      </c>
      <c r="X34" s="11"/>
      <c r="Y34" s="56" t="s">
        <v>61</v>
      </c>
      <c r="Z34" s="56" t="s">
        <v>62</v>
      </c>
    </row>
    <row r="35" spans="1:26">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6">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6">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6">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6">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6">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6">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6">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6">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6">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6">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6">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row>
    <row r="47" spans="1:26">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row>
    <row r="48" spans="1:26">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row>
    <row r="49" spans="2:27">
      <c r="B49" s="1"/>
      <c r="C49" s="1"/>
      <c r="D49" s="1"/>
      <c r="E49" s="1"/>
      <c r="F49" s="1"/>
      <c r="G49" s="1"/>
      <c r="H49" s="1"/>
      <c r="I49" s="1"/>
      <c r="J49" s="1"/>
      <c r="K49" s="1"/>
      <c r="L49" s="1"/>
      <c r="M49" s="1"/>
      <c r="N49" s="1"/>
      <c r="O49" s="1"/>
      <c r="P49" s="1"/>
      <c r="Q49" s="1"/>
      <c r="R49" s="1"/>
      <c r="S49" s="1"/>
      <c r="T49" s="1"/>
      <c r="V49" s="244" t="s">
        <v>445</v>
      </c>
      <c r="W49" s="244" t="s">
        <v>462</v>
      </c>
      <c r="X49" s="9"/>
      <c r="Y49" s="244" t="s">
        <v>445</v>
      </c>
      <c r="Z49" s="244" t="s">
        <v>462</v>
      </c>
    </row>
    <row r="50" spans="2:27">
      <c r="B50" s="1"/>
      <c r="C50" s="1"/>
      <c r="D50" s="1"/>
      <c r="E50" s="1"/>
      <c r="F50" s="1"/>
      <c r="G50" s="1"/>
      <c r="H50" s="1"/>
      <c r="I50" s="1"/>
      <c r="J50" s="1"/>
      <c r="K50" s="1"/>
      <c r="L50" s="1"/>
      <c r="M50" s="1"/>
      <c r="N50" s="1"/>
      <c r="O50" s="1"/>
      <c r="P50" s="1"/>
      <c r="Q50" s="1"/>
      <c r="R50" s="1"/>
      <c r="S50" s="1"/>
      <c r="T50" s="1"/>
      <c r="V50" s="246" t="s">
        <v>446</v>
      </c>
      <c r="W50" s="244" t="s">
        <v>463</v>
      </c>
      <c r="X50" s="9"/>
      <c r="Y50" s="246" t="s">
        <v>446</v>
      </c>
      <c r="Z50" s="244" t="s">
        <v>463</v>
      </c>
    </row>
    <row r="51" spans="2:27">
      <c r="B51" s="1"/>
      <c r="C51" s="1"/>
      <c r="D51" s="1"/>
      <c r="E51" s="1"/>
      <c r="F51" s="1"/>
      <c r="G51" s="1"/>
      <c r="H51" s="1"/>
      <c r="I51" s="1"/>
      <c r="J51" s="1"/>
      <c r="K51" s="1"/>
      <c r="L51" s="1"/>
      <c r="M51" s="1"/>
      <c r="N51" s="1"/>
      <c r="O51" s="1"/>
      <c r="P51" s="1"/>
      <c r="Q51" s="1"/>
      <c r="R51" s="1"/>
      <c r="S51" s="1"/>
      <c r="T51" s="1"/>
      <c r="V51" s="247" t="s">
        <v>447</v>
      </c>
      <c r="W51" s="244" t="s">
        <v>464</v>
      </c>
      <c r="X51" s="9"/>
      <c r="Y51" s="247" t="s">
        <v>447</v>
      </c>
      <c r="Z51" s="244" t="s">
        <v>464</v>
      </c>
      <c r="AA51" s="9"/>
    </row>
    <row r="52" spans="2:27">
      <c r="B52" s="1"/>
      <c r="C52" s="1"/>
      <c r="D52" s="1"/>
      <c r="E52" s="1"/>
      <c r="F52" s="1"/>
      <c r="G52" s="1"/>
      <c r="H52" s="1"/>
      <c r="I52" s="1"/>
      <c r="J52" s="1"/>
      <c r="K52" s="1"/>
      <c r="L52" s="1"/>
      <c r="M52" s="1"/>
      <c r="N52" s="1"/>
      <c r="O52" s="1"/>
      <c r="P52" s="1"/>
      <c r="Q52" s="1"/>
      <c r="R52" s="1"/>
      <c r="S52" s="1"/>
      <c r="T52" s="1"/>
      <c r="V52" s="295"/>
      <c r="W52" s="244" t="s">
        <v>465</v>
      </c>
      <c r="X52" s="9"/>
      <c r="Y52" s="284"/>
      <c r="Z52" s="244" t="s">
        <v>465</v>
      </c>
      <c r="AA52" s="9"/>
    </row>
    <row r="53" spans="2:27">
      <c r="B53" s="1"/>
      <c r="C53" s="1"/>
      <c r="D53" s="1"/>
      <c r="E53" s="1"/>
      <c r="F53" s="1"/>
      <c r="G53" s="1"/>
      <c r="H53" s="1"/>
      <c r="I53" s="1"/>
      <c r="J53" s="1"/>
      <c r="K53" s="1"/>
      <c r="L53" s="1"/>
      <c r="M53" s="1"/>
      <c r="N53" s="1"/>
      <c r="O53" s="1"/>
      <c r="P53" s="1"/>
      <c r="Q53" s="1"/>
      <c r="R53" s="1"/>
      <c r="S53" s="1"/>
      <c r="T53" s="1"/>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sheetData>
  <mergeCells count="24">
    <mergeCell ref="B11:L11"/>
    <mergeCell ref="C12:L12"/>
    <mergeCell ref="C13:L13"/>
    <mergeCell ref="C14:L14"/>
    <mergeCell ref="B3:T3"/>
    <mergeCell ref="B4:T4"/>
    <mergeCell ref="B5:T5"/>
    <mergeCell ref="R7:T7"/>
    <mergeCell ref="B9:L9"/>
    <mergeCell ref="N9:T9"/>
    <mergeCell ref="Y32:Z32"/>
    <mergeCell ref="Y33:Z33"/>
    <mergeCell ref="V33:W33"/>
    <mergeCell ref="C15:L15"/>
    <mergeCell ref="B17:L17"/>
    <mergeCell ref="C18:L18"/>
    <mergeCell ref="C19:L19"/>
    <mergeCell ref="C20:L20"/>
    <mergeCell ref="D21:L22"/>
    <mergeCell ref="C23:L25"/>
    <mergeCell ref="C26:L28"/>
    <mergeCell ref="C29:L30"/>
    <mergeCell ref="B32:T32"/>
    <mergeCell ref="V32:W32"/>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B49073"/>
  </sheetPr>
  <dimension ref="A1:Q89"/>
  <sheetViews>
    <sheetView showGridLines="0" zoomScale="70" zoomScaleNormal="70" workbookViewId="0"/>
  </sheetViews>
  <sheetFormatPr defaultRowHeight="14.25"/>
  <cols>
    <col min="1" max="1" width="15.796875" customWidth="1"/>
    <col min="2" max="8" width="26.796875" customWidth="1"/>
    <col min="9" max="15" width="12.796875" customWidth="1"/>
  </cols>
  <sheetData>
    <row r="1" spans="1:14" ht="15.75">
      <c r="A1" s="16" t="s">
        <v>338</v>
      </c>
      <c r="B1" s="84"/>
      <c r="C1" s="84"/>
      <c r="D1" s="84"/>
      <c r="E1" s="84"/>
      <c r="F1" s="84"/>
      <c r="G1" s="84"/>
    </row>
    <row r="2" spans="1:14" ht="15.75">
      <c r="A2" s="26" t="s">
        <v>34</v>
      </c>
      <c r="C2" s="27">
        <v>42977</v>
      </c>
      <c r="G2" s="342" t="s">
        <v>44</v>
      </c>
      <c r="H2" s="342"/>
    </row>
    <row r="3" spans="1:14" ht="23.65" thickBot="1">
      <c r="A3" s="354" t="s">
        <v>7</v>
      </c>
      <c r="B3" s="354"/>
      <c r="C3" s="354"/>
      <c r="D3" s="354"/>
      <c r="E3" s="354"/>
      <c r="F3" s="354"/>
      <c r="G3" s="354"/>
      <c r="H3" s="354"/>
      <c r="J3" s="321" t="s">
        <v>46</v>
      </c>
      <c r="K3" s="321"/>
      <c r="L3" s="11"/>
      <c r="M3" s="318" t="s">
        <v>46</v>
      </c>
      <c r="N3" s="318"/>
    </row>
    <row r="4" spans="1:14">
      <c r="A4" s="119"/>
      <c r="B4" s="119"/>
      <c r="C4" s="119"/>
      <c r="D4" s="119"/>
      <c r="E4" s="119"/>
      <c r="F4" s="119"/>
      <c r="G4" s="119"/>
      <c r="H4" s="119"/>
      <c r="J4" s="319" t="s">
        <v>65</v>
      </c>
      <c r="K4" s="320"/>
      <c r="L4" s="11"/>
      <c r="M4" s="319" t="s">
        <v>66</v>
      </c>
      <c r="N4" s="320"/>
    </row>
    <row r="5" spans="1:14">
      <c r="A5" s="119"/>
      <c r="B5" s="352" t="s">
        <v>374</v>
      </c>
      <c r="C5" s="352"/>
      <c r="D5" s="352"/>
      <c r="E5" s="352"/>
      <c r="F5" s="352"/>
      <c r="G5" s="352"/>
      <c r="H5" s="352"/>
      <c r="J5" s="56" t="s">
        <v>61</v>
      </c>
      <c r="K5" s="56" t="s">
        <v>62</v>
      </c>
      <c r="L5" s="11"/>
      <c r="M5" s="56" t="s">
        <v>61</v>
      </c>
      <c r="N5" s="56" t="s">
        <v>62</v>
      </c>
    </row>
    <row r="6" spans="1:14">
      <c r="A6" s="119"/>
      <c r="B6" s="352" t="s">
        <v>326</v>
      </c>
      <c r="C6" s="352"/>
      <c r="D6" s="352"/>
      <c r="E6" s="352"/>
      <c r="F6" s="352"/>
      <c r="G6" s="352"/>
      <c r="H6" s="352"/>
      <c r="J6" s="244" t="s">
        <v>392</v>
      </c>
      <c r="K6" s="244" t="s">
        <v>448</v>
      </c>
      <c r="L6" s="11"/>
      <c r="M6" s="244" t="s">
        <v>392</v>
      </c>
      <c r="N6" s="244" t="s">
        <v>448</v>
      </c>
    </row>
    <row r="7" spans="1:14">
      <c r="A7" s="119"/>
      <c r="B7" s="352" t="s">
        <v>331</v>
      </c>
      <c r="C7" s="352"/>
      <c r="D7" s="352"/>
      <c r="E7" s="352"/>
      <c r="F7" s="352"/>
      <c r="G7" s="352"/>
      <c r="H7" s="352"/>
      <c r="J7" s="244" t="s">
        <v>393</v>
      </c>
      <c r="K7" s="244" t="s">
        <v>449</v>
      </c>
      <c r="L7" s="11"/>
      <c r="M7" s="244" t="s">
        <v>393</v>
      </c>
      <c r="N7" s="244" t="s">
        <v>449</v>
      </c>
    </row>
    <row r="8" spans="1:14">
      <c r="A8" s="119"/>
      <c r="B8" s="353" t="s">
        <v>325</v>
      </c>
      <c r="C8" s="353"/>
      <c r="D8" s="353"/>
      <c r="E8" s="353"/>
      <c r="F8" s="353"/>
      <c r="G8" s="353"/>
      <c r="H8" s="353"/>
      <c r="J8" s="244" t="s">
        <v>394</v>
      </c>
      <c r="K8" s="244" t="s">
        <v>450</v>
      </c>
      <c r="L8" s="11"/>
      <c r="M8" s="244" t="s">
        <v>394</v>
      </c>
      <c r="N8" s="244" t="s">
        <v>450</v>
      </c>
    </row>
    <row r="9" spans="1:14">
      <c r="A9" s="119"/>
      <c r="B9" s="353" t="s">
        <v>566</v>
      </c>
      <c r="C9" s="353"/>
      <c r="D9" s="353"/>
      <c r="E9" s="353"/>
      <c r="F9" s="353"/>
      <c r="G9" s="353"/>
      <c r="H9" s="353"/>
      <c r="J9" s="244" t="s">
        <v>434</v>
      </c>
      <c r="K9" s="244" t="s">
        <v>451</v>
      </c>
      <c r="L9" s="11"/>
      <c r="M9" s="244" t="s">
        <v>434</v>
      </c>
      <c r="N9" s="244" t="s">
        <v>451</v>
      </c>
    </row>
    <row r="10" spans="1:14">
      <c r="A10" s="119"/>
      <c r="B10" s="123" t="s">
        <v>567</v>
      </c>
      <c r="C10" s="123"/>
      <c r="D10" s="123"/>
      <c r="E10" s="123"/>
      <c r="F10" s="123"/>
      <c r="G10" s="123"/>
      <c r="H10" s="123"/>
      <c r="J10" s="244" t="s">
        <v>435</v>
      </c>
      <c r="K10" s="244" t="s">
        <v>452</v>
      </c>
      <c r="M10" s="244" t="s">
        <v>435</v>
      </c>
      <c r="N10" s="244" t="s">
        <v>452</v>
      </c>
    </row>
    <row r="11" spans="1:14">
      <c r="A11" s="119"/>
      <c r="B11" s="119"/>
      <c r="C11" s="119"/>
      <c r="D11" s="119"/>
      <c r="E11" s="119"/>
      <c r="F11" s="119"/>
      <c r="G11" s="119"/>
      <c r="H11" s="119"/>
      <c r="J11" s="244" t="s">
        <v>436</v>
      </c>
      <c r="K11" s="244" t="s">
        <v>453</v>
      </c>
      <c r="M11" s="244" t="s">
        <v>436</v>
      </c>
      <c r="N11" s="244" t="s">
        <v>453</v>
      </c>
    </row>
    <row r="12" spans="1:14" ht="15.75">
      <c r="A12" s="26"/>
      <c r="C12" s="27"/>
      <c r="J12" s="244" t="s">
        <v>437</v>
      </c>
      <c r="K12" s="245" t="s">
        <v>454</v>
      </c>
      <c r="M12" s="244" t="s">
        <v>437</v>
      </c>
      <c r="N12" s="245" t="s">
        <v>454</v>
      </c>
    </row>
    <row r="13" spans="1:14">
      <c r="A13" s="133" t="s">
        <v>2</v>
      </c>
      <c r="B13" s="133" t="s">
        <v>203</v>
      </c>
      <c r="C13" s="133" t="s">
        <v>153</v>
      </c>
      <c r="D13" s="133" t="s">
        <v>158</v>
      </c>
      <c r="E13" s="133" t="s">
        <v>162</v>
      </c>
      <c r="F13" s="133" t="s">
        <v>178</v>
      </c>
      <c r="G13" s="133" t="s">
        <v>188</v>
      </c>
      <c r="H13" s="134" t="s">
        <v>209</v>
      </c>
      <c r="I13" s="79"/>
      <c r="J13" s="244" t="s">
        <v>438</v>
      </c>
      <c r="K13" s="244" t="s">
        <v>455</v>
      </c>
      <c r="M13" s="244" t="s">
        <v>438</v>
      </c>
      <c r="N13" s="244" t="s">
        <v>455</v>
      </c>
    </row>
    <row r="14" spans="1:14">
      <c r="A14" s="2">
        <v>2016</v>
      </c>
      <c r="B14" s="2" t="s">
        <v>242</v>
      </c>
      <c r="C14" s="79">
        <f>COUNTIF(C$39:C$53,"=1")/COUNT(C$39:C$53)</f>
        <v>0.23076923076923078</v>
      </c>
      <c r="D14" s="79">
        <f>COUNTIF(C$54:C$58,"=1")/COUNT(C$54:C$58)</f>
        <v>0</v>
      </c>
      <c r="E14" s="79">
        <f>COUNTIF(C$59:C$62,"=1")/COUNT(C$59:C$62)</f>
        <v>0</v>
      </c>
      <c r="F14" s="79">
        <f>COUNTIF(C$63:C$77,"=1")/COUNT(C$63:C$77)</f>
        <v>8.3333333333333329E-2</v>
      </c>
      <c r="G14" s="79">
        <f>COUNTIF(C$78:C$87,"=1")/COUNT(C$78:C$87)</f>
        <v>0.1111111111111111</v>
      </c>
      <c r="H14" s="79">
        <f>COUNTIF(C$39:C$87,"=1")/COUNT(C$39:C$87)</f>
        <v>0.125</v>
      </c>
      <c r="I14" s="79"/>
      <c r="J14" s="245" t="s">
        <v>439</v>
      </c>
      <c r="K14" s="244" t="s">
        <v>456</v>
      </c>
      <c r="M14" s="244" t="s">
        <v>439</v>
      </c>
      <c r="N14" s="244" t="s">
        <v>456</v>
      </c>
    </row>
    <row r="15" spans="1:14">
      <c r="A15">
        <v>2017</v>
      </c>
      <c r="B15" s="2" t="s">
        <v>242</v>
      </c>
      <c r="C15" s="79">
        <f>COUNTIF(D$39:D$53,"=1")/COUNT(D$39:D$53)</f>
        <v>0</v>
      </c>
      <c r="D15" s="79">
        <f>COUNTIF(D$54:D$58,"=1")/COUNT(D$54:D$58)</f>
        <v>0</v>
      </c>
      <c r="E15" s="79">
        <f>COUNTIF(D$59:D$62,"=1")/COUNT(D$59:D$62)</f>
        <v>0</v>
      </c>
      <c r="F15" s="79">
        <f>COUNTIF(D$63:D$77,"=1")/COUNT(D$63:D$77)</f>
        <v>0</v>
      </c>
      <c r="G15" s="79">
        <f>COUNTIF(D$78:D$87,"=1")/COUNT(D$78:D$87)</f>
        <v>0</v>
      </c>
      <c r="H15" s="79">
        <f>COUNTIF(D$39:D$87,"=1")/COUNT(D$39:D$87)</f>
        <v>0</v>
      </c>
      <c r="I15" s="79"/>
      <c r="J15" s="244" t="s">
        <v>440</v>
      </c>
      <c r="K15" s="244" t="s">
        <v>457</v>
      </c>
      <c r="M15" s="244" t="s">
        <v>440</v>
      </c>
      <c r="N15" s="244" t="s">
        <v>457</v>
      </c>
    </row>
    <row r="16" spans="1:14">
      <c r="A16" s="2">
        <v>2018</v>
      </c>
      <c r="B16" s="2" t="s">
        <v>242</v>
      </c>
      <c r="C16" s="79" t="e">
        <f>COUNTIF(E$39:E$53,"=1")/COUNT(E$39:E$53)</f>
        <v>#DIV/0!</v>
      </c>
      <c r="D16" s="79" t="e">
        <f>COUNTIF(E$54:E$58,"=1")/COUNT(E$54:E$58)</f>
        <v>#DIV/0!</v>
      </c>
      <c r="E16" s="79" t="e">
        <f>COUNTIF(E$59:E$62,"=1")/COUNT(E$59:E$62)</f>
        <v>#DIV/0!</v>
      </c>
      <c r="F16" s="79" t="e">
        <f>COUNTIF(E$63:E$77,"=1")/COUNT(E$63:E$77)</f>
        <v>#DIV/0!</v>
      </c>
      <c r="G16" s="79" t="e">
        <f>COUNTIF(E$78:E$87,"=1")/COUNT(E$78:E$87)</f>
        <v>#DIV/0!</v>
      </c>
      <c r="H16" s="79" t="e">
        <f>COUNTIF(E$39:E$87,"=1")/COUNT(E$39:E$87)</f>
        <v>#DIV/0!</v>
      </c>
      <c r="I16" s="79"/>
      <c r="J16" s="244" t="s">
        <v>441</v>
      </c>
      <c r="K16" s="244" t="s">
        <v>458</v>
      </c>
      <c r="M16" s="244" t="s">
        <v>441</v>
      </c>
      <c r="N16" s="244" t="s">
        <v>458</v>
      </c>
    </row>
    <row r="17" spans="1:15">
      <c r="A17">
        <v>2019</v>
      </c>
      <c r="B17" s="2" t="s">
        <v>242</v>
      </c>
      <c r="C17" s="79" t="e">
        <f>COUNTIF(F$39:F$53,"=1")/COUNT(F$39:F$53)</f>
        <v>#DIV/0!</v>
      </c>
      <c r="D17" s="79" t="e">
        <f>COUNTIF(F$54:F$58,"=1")/COUNT(F$54:F$58)</f>
        <v>#DIV/0!</v>
      </c>
      <c r="E17" s="79" t="e">
        <f>COUNTIF(F$59:F$62,"=1")/COUNT(F$59:F$62)</f>
        <v>#DIV/0!</v>
      </c>
      <c r="F17" s="79" t="e">
        <f>COUNTIF(F$63:F$77,"=1")/COUNT(F$63:F$77)</f>
        <v>#DIV/0!</v>
      </c>
      <c r="G17" s="79" t="e">
        <f>COUNTIF(F$78:F$87,"=1")/COUNT(F$78:F$87)</f>
        <v>#DIV/0!</v>
      </c>
      <c r="H17" s="79" t="e">
        <f>COUNTIF(F$39:F$87,"=1")/COUNT(F$39:F$87)</f>
        <v>#DIV/0!</v>
      </c>
      <c r="I17" s="79"/>
      <c r="J17" s="244" t="s">
        <v>442</v>
      </c>
      <c r="K17" s="244" t="s">
        <v>459</v>
      </c>
      <c r="M17" s="244" t="s">
        <v>442</v>
      </c>
      <c r="N17" s="244" t="s">
        <v>459</v>
      </c>
    </row>
    <row r="18" spans="1:15">
      <c r="A18" s="2">
        <v>2020</v>
      </c>
      <c r="B18" s="2" t="s">
        <v>242</v>
      </c>
      <c r="C18" s="79" t="e">
        <f>COUNTIF(G$39:G$53,"=1")/COUNT(G$39:G$53)</f>
        <v>#DIV/0!</v>
      </c>
      <c r="D18" s="79" t="e">
        <f>COUNTIF(G$54:G$58,"=1")/COUNT(G$54:G$58)</f>
        <v>#DIV/0!</v>
      </c>
      <c r="E18" s="79" t="e">
        <f>COUNTIF(G$59:G$62,"=1")/COUNT(G$59:G$62)</f>
        <v>#DIV/0!</v>
      </c>
      <c r="F18" s="79" t="e">
        <f>COUNTIF(G$63:G$77,"=1")/COUNT(G$63:G$77)</f>
        <v>#DIV/0!</v>
      </c>
      <c r="G18" s="79" t="e">
        <f>COUNTIF(G$78:G$87,"=1")/COUNT(G$78:G$87)</f>
        <v>#DIV/0!</v>
      </c>
      <c r="H18" s="79" t="e">
        <f>COUNTIF(G$39:G$87,"=1")/COUNT(G$39:G$87)</f>
        <v>#DIV/0!</v>
      </c>
      <c r="I18" s="79"/>
      <c r="J18" s="244" t="s">
        <v>443</v>
      </c>
      <c r="K18" s="244" t="s">
        <v>460</v>
      </c>
      <c r="M18" s="244" t="s">
        <v>443</v>
      </c>
      <c r="N18" s="244" t="s">
        <v>460</v>
      </c>
    </row>
    <row r="19" spans="1:15">
      <c r="A19">
        <v>2021</v>
      </c>
      <c r="B19" s="2" t="s">
        <v>242</v>
      </c>
      <c r="C19" s="79" t="e">
        <f>COUNTIF(H$39:H$53,"=1")/COUNT(H$39:H$53)</f>
        <v>#DIV/0!</v>
      </c>
      <c r="D19" s="79" t="e">
        <f>COUNTIF(H$54:H$58,"=1")/COUNT(H$54:H$58)</f>
        <v>#DIV/0!</v>
      </c>
      <c r="E19" s="79" t="e">
        <f>COUNTIF(H$59:H$62,"=1")/COUNT(H$59:H$62)</f>
        <v>#DIV/0!</v>
      </c>
      <c r="F19" s="79" t="e">
        <f>COUNTIF(H$63:H$77,"=1")/COUNT(H$63:H$77)</f>
        <v>#DIV/0!</v>
      </c>
      <c r="G19" s="79" t="e">
        <f>COUNTIF(H$78:H$87,"=1")/COUNT(H$78:H$87)</f>
        <v>#DIV/0!</v>
      </c>
      <c r="H19" s="79" t="e">
        <f>COUNTIF(H$39:H$87,"=1")/COUNT(H$39:H$87)</f>
        <v>#DIV/0!</v>
      </c>
      <c r="I19" s="79"/>
      <c r="J19" s="244" t="s">
        <v>444</v>
      </c>
      <c r="K19" s="245" t="s">
        <v>461</v>
      </c>
      <c r="M19" s="244" t="s">
        <v>444</v>
      </c>
      <c r="N19" s="245" t="s">
        <v>461</v>
      </c>
    </row>
    <row r="20" spans="1:15">
      <c r="A20" s="2">
        <v>2022</v>
      </c>
      <c r="B20" s="2" t="s">
        <v>242</v>
      </c>
      <c r="C20" s="79" t="e">
        <f>COUNTIF(I$39:I$53,"=1")/COUNT(I$39:I$53)</f>
        <v>#DIV/0!</v>
      </c>
      <c r="D20" s="79" t="e">
        <f>COUNTIF(I$54:I$58,"=1")/COUNT(I$54:I$58)</f>
        <v>#DIV/0!</v>
      </c>
      <c r="E20" s="79" t="e">
        <f>COUNTIF(I$59:I$62,"=1")/COUNT(I$59:I$62)</f>
        <v>#DIV/0!</v>
      </c>
      <c r="F20" s="79" t="e">
        <f>COUNTIF(I$63:I$77,"=1")/COUNT(I$63:I$77)</f>
        <v>#DIV/0!</v>
      </c>
      <c r="G20" s="79" t="e">
        <f>COUNTIF(I$78:I$87,"=1")/COUNT(I$78:I$87)</f>
        <v>#DIV/0!</v>
      </c>
      <c r="H20" s="79" t="e">
        <f>COUNTIF(I$39:I$87,"=1")/COUNT(I$39:I$87)</f>
        <v>#DIV/0!</v>
      </c>
      <c r="I20" s="79"/>
      <c r="J20" s="244" t="s">
        <v>445</v>
      </c>
      <c r="K20" s="244" t="s">
        <v>462</v>
      </c>
      <c r="L20" s="9"/>
      <c r="M20" s="244" t="s">
        <v>445</v>
      </c>
      <c r="N20" s="244" t="s">
        <v>462</v>
      </c>
    </row>
    <row r="21" spans="1:15">
      <c r="A21">
        <v>2023</v>
      </c>
      <c r="B21" s="2" t="s">
        <v>242</v>
      </c>
      <c r="C21" s="79" t="e">
        <f>COUNTIF(J$39:J$53,"=1")/COUNT(J$39:J$53)</f>
        <v>#DIV/0!</v>
      </c>
      <c r="D21" s="79" t="e">
        <f>COUNTIF(J$54:J$58,"=1")/COUNT(J$54:J$58)</f>
        <v>#DIV/0!</v>
      </c>
      <c r="E21" s="79" t="e">
        <f>COUNTIF(J$59:J$62,"=1")/COUNT(J$59:J$62)</f>
        <v>#DIV/0!</v>
      </c>
      <c r="F21" s="79" t="e">
        <f>COUNTIF(J$63:J$77,"=1")/COUNT(J$63:J$77)</f>
        <v>#DIV/0!</v>
      </c>
      <c r="G21" s="79" t="e">
        <f>COUNTIF(J$78:J$87,"=1")/COUNT(J$78:J$87)</f>
        <v>#DIV/0!</v>
      </c>
      <c r="H21" s="79" t="e">
        <f>COUNTIF(J$39:J$87,"=1")/COUNT(J$39:J$87)</f>
        <v>#DIV/0!</v>
      </c>
      <c r="I21" s="79"/>
      <c r="J21" s="246" t="s">
        <v>446</v>
      </c>
      <c r="K21" s="244" t="s">
        <v>463</v>
      </c>
      <c r="L21" s="9"/>
      <c r="M21" s="246" t="s">
        <v>446</v>
      </c>
      <c r="N21" s="244" t="s">
        <v>463</v>
      </c>
      <c r="O21" s="9"/>
    </row>
    <row r="22" spans="1:15">
      <c r="A22" s="2">
        <v>2024</v>
      </c>
      <c r="B22" s="2" t="s">
        <v>242</v>
      </c>
      <c r="C22" s="79" t="e">
        <f>COUNTIF(K$39:K$53,"=1")/COUNT(K$39:K$53)</f>
        <v>#DIV/0!</v>
      </c>
      <c r="D22" s="79" t="e">
        <f>COUNTIF(K$54:K$58,"=1")/COUNT(K$54:K$58)</f>
        <v>#DIV/0!</v>
      </c>
      <c r="E22" s="79" t="e">
        <f>COUNTIF(K$59:K$62,"=1")/COUNT(K$59:K$62)</f>
        <v>#DIV/0!</v>
      </c>
      <c r="F22" s="79" t="e">
        <f>COUNTIF(K$63:K$77,"=1")/COUNT(K$63:K$77)</f>
        <v>#DIV/0!</v>
      </c>
      <c r="G22" s="79" t="e">
        <f>COUNTIF(K$78:K$87,"=1")/COUNT(K$78:K$87)</f>
        <v>#DIV/0!</v>
      </c>
      <c r="H22" s="79" t="e">
        <f>COUNTIF(K$39:K$87,"=1")/COUNT(K$39:K$87)</f>
        <v>#DIV/0!</v>
      </c>
      <c r="I22" s="79"/>
      <c r="J22" s="247" t="s">
        <v>447</v>
      </c>
      <c r="K22" s="244" t="s">
        <v>464</v>
      </c>
      <c r="L22" s="9"/>
      <c r="M22" s="247" t="s">
        <v>447</v>
      </c>
      <c r="N22" s="244" t="s">
        <v>464</v>
      </c>
      <c r="O22" s="9"/>
    </row>
    <row r="23" spans="1:15">
      <c r="A23">
        <v>2025</v>
      </c>
      <c r="B23" s="2" t="s">
        <v>242</v>
      </c>
      <c r="C23" s="79" t="e">
        <f>COUNTIF(L$39:L$53,"=1")/COUNT(L$39:L$53)</f>
        <v>#DIV/0!</v>
      </c>
      <c r="D23" s="79" t="e">
        <f>COUNTIF(L$54:L$58,"=1")/COUNT(L$54:L$58)</f>
        <v>#DIV/0!</v>
      </c>
      <c r="E23" s="79" t="e">
        <f>COUNTIF(L$59:L$62,"=1")/COUNT(L$59:L$62)</f>
        <v>#DIV/0!</v>
      </c>
      <c r="F23" s="79" t="e">
        <f>COUNTIF(L$63:L$77,"=1")/COUNT(L$63:L$77)</f>
        <v>#DIV/0!</v>
      </c>
      <c r="G23" s="79" t="e">
        <f>COUNTIF(L$78:L$87,"=1")/COUNT(L$78:L$87)</f>
        <v>#DIV/0!</v>
      </c>
      <c r="H23" s="79" t="e">
        <f>COUNTIF(L$39:L$87,"=1")/COUNT(L$39:L$87)</f>
        <v>#DIV/0!</v>
      </c>
      <c r="I23" s="79"/>
      <c r="J23" s="295"/>
      <c r="K23" s="244" t="s">
        <v>465</v>
      </c>
      <c r="L23" s="9"/>
      <c r="M23" s="284"/>
      <c r="N23" s="244" t="s">
        <v>465</v>
      </c>
      <c r="O23" s="9"/>
    </row>
    <row r="24" spans="1:15">
      <c r="D24" s="79"/>
      <c r="E24" s="79"/>
      <c r="F24" s="79"/>
      <c r="G24" s="79"/>
      <c r="H24" s="79"/>
      <c r="I24" s="79"/>
      <c r="J24" s="204"/>
      <c r="K24" s="248" t="s">
        <v>466</v>
      </c>
      <c r="L24" s="9"/>
      <c r="M24" s="257"/>
      <c r="N24" s="258" t="s">
        <v>466</v>
      </c>
      <c r="O24" s="9"/>
    </row>
    <row r="25" spans="1:15">
      <c r="D25" s="79"/>
      <c r="E25" s="79"/>
      <c r="F25" s="79"/>
      <c r="G25" s="79"/>
      <c r="H25" s="79"/>
      <c r="I25" s="79"/>
      <c r="J25" s="256"/>
      <c r="K25" s="254"/>
      <c r="L25" s="9"/>
      <c r="M25" s="256"/>
      <c r="N25" s="254"/>
      <c r="O25" s="9"/>
    </row>
    <row r="26" spans="1:15">
      <c r="D26" s="79"/>
      <c r="E26" s="79"/>
      <c r="F26" s="79"/>
      <c r="G26" s="79"/>
      <c r="H26" s="79"/>
      <c r="I26" s="79"/>
      <c r="J26" s="242"/>
      <c r="K26" s="254"/>
      <c r="L26" s="9"/>
      <c r="M26" s="242"/>
      <c r="N26" s="254"/>
      <c r="O26" s="9"/>
    </row>
    <row r="27" spans="1:15">
      <c r="D27" s="79"/>
      <c r="E27" s="79"/>
      <c r="F27" s="79"/>
      <c r="G27" s="79"/>
      <c r="H27" s="79"/>
      <c r="I27" s="79"/>
      <c r="J27" s="9"/>
      <c r="K27" s="9"/>
      <c r="L27" s="9"/>
      <c r="M27" s="9"/>
      <c r="N27" s="9"/>
      <c r="O27" s="9"/>
    </row>
    <row r="28" spans="1:15">
      <c r="D28" s="79"/>
      <c r="E28" s="79"/>
      <c r="F28" s="79"/>
      <c r="G28" s="79"/>
      <c r="H28" s="79"/>
      <c r="I28" s="79"/>
    </row>
    <row r="29" spans="1:15">
      <c r="D29" s="79"/>
      <c r="E29" s="79"/>
      <c r="F29" s="79"/>
      <c r="G29" s="79"/>
      <c r="H29" s="79"/>
      <c r="I29" s="79"/>
    </row>
    <row r="30" spans="1:15">
      <c r="D30" s="79"/>
      <c r="E30" s="79"/>
      <c r="F30" s="79"/>
      <c r="G30" s="79"/>
      <c r="H30" s="79"/>
      <c r="I30" s="79"/>
    </row>
    <row r="31" spans="1:15">
      <c r="D31" s="79"/>
      <c r="E31" s="79"/>
      <c r="F31" s="79"/>
      <c r="G31" s="79"/>
      <c r="H31" s="79"/>
      <c r="I31" s="79"/>
    </row>
    <row r="32" spans="1:15">
      <c r="D32" s="79"/>
      <c r="E32" s="79"/>
      <c r="F32" s="79"/>
      <c r="G32" s="79"/>
      <c r="H32" s="79"/>
      <c r="I32" s="79"/>
    </row>
    <row r="33" spans="1:17">
      <c r="D33" s="79"/>
      <c r="E33" s="79"/>
      <c r="F33" s="79"/>
      <c r="G33" s="79"/>
      <c r="H33" s="79"/>
      <c r="I33" s="79"/>
    </row>
    <row r="34" spans="1:17">
      <c r="D34" s="79"/>
      <c r="E34" s="79"/>
      <c r="F34" s="79"/>
      <c r="G34" s="79"/>
      <c r="H34" s="79"/>
      <c r="I34" s="79"/>
    </row>
    <row r="35" spans="1:17">
      <c r="C35" s="79"/>
      <c r="D35" s="79"/>
      <c r="E35" s="79"/>
      <c r="F35" s="79"/>
      <c r="G35" s="79"/>
      <c r="H35" s="79"/>
    </row>
    <row r="37" spans="1:17" ht="18">
      <c r="A37" s="355" t="s">
        <v>195</v>
      </c>
      <c r="B37" s="355"/>
      <c r="C37" s="59"/>
      <c r="D37" s="59"/>
      <c r="E37" s="59"/>
      <c r="F37" s="59"/>
      <c r="G37" s="59"/>
      <c r="H37" s="59"/>
      <c r="I37" s="59"/>
      <c r="J37" s="59"/>
      <c r="K37" s="59"/>
      <c r="L37" s="59"/>
    </row>
    <row r="38" spans="1:17" ht="18">
      <c r="A38" s="81" t="s">
        <v>199</v>
      </c>
      <c r="B38" s="80" t="s">
        <v>210</v>
      </c>
      <c r="C38" s="150">
        <v>2016</v>
      </c>
      <c r="D38" s="151">
        <v>2017</v>
      </c>
      <c r="E38" s="151">
        <v>2018</v>
      </c>
      <c r="F38" s="151">
        <v>2019</v>
      </c>
      <c r="G38" s="151">
        <v>2020</v>
      </c>
      <c r="H38" s="151">
        <v>2021</v>
      </c>
      <c r="I38" s="151">
        <v>2022</v>
      </c>
      <c r="J38" s="151">
        <v>2023</v>
      </c>
      <c r="K38" s="151">
        <v>2024</v>
      </c>
      <c r="L38" s="151">
        <v>2025</v>
      </c>
    </row>
    <row r="39" spans="1:17">
      <c r="A39" s="68" t="s">
        <v>189</v>
      </c>
      <c r="B39" t="s">
        <v>153</v>
      </c>
      <c r="C39" s="82">
        <v>0</v>
      </c>
      <c r="D39" s="82">
        <v>0</v>
      </c>
      <c r="E39" s="82"/>
      <c r="F39" s="82"/>
      <c r="G39" s="82"/>
      <c r="H39" s="82"/>
      <c r="I39" s="82"/>
      <c r="J39" s="82"/>
      <c r="K39" s="82"/>
      <c r="L39" s="82"/>
      <c r="M39" s="8"/>
      <c r="N39" s="8"/>
      <c r="O39" s="8"/>
      <c r="P39" s="8"/>
      <c r="Q39" s="8"/>
    </row>
    <row r="40" spans="1:17">
      <c r="A40" s="69" t="s">
        <v>141</v>
      </c>
      <c r="B40" t="s">
        <v>153</v>
      </c>
      <c r="C40" s="82">
        <v>0</v>
      </c>
      <c r="D40" s="82">
        <v>0</v>
      </c>
      <c r="E40" s="82"/>
      <c r="F40" s="82"/>
      <c r="G40" s="82"/>
      <c r="H40" s="82"/>
      <c r="I40" s="82"/>
      <c r="J40" s="82"/>
      <c r="K40" s="82"/>
      <c r="L40" s="82"/>
      <c r="M40" s="82"/>
      <c r="N40" s="82"/>
      <c r="O40" s="8"/>
      <c r="P40" s="8"/>
      <c r="Q40" s="8"/>
    </row>
    <row r="41" spans="1:17">
      <c r="A41" s="69" t="s">
        <v>143</v>
      </c>
      <c r="B41" t="s">
        <v>153</v>
      </c>
      <c r="C41" s="82">
        <v>0</v>
      </c>
      <c r="D41" s="82">
        <v>0</v>
      </c>
      <c r="E41" s="82"/>
      <c r="F41" s="82"/>
      <c r="G41" s="82"/>
      <c r="H41" s="82"/>
      <c r="I41" s="82"/>
      <c r="J41" s="82"/>
      <c r="K41" s="82"/>
      <c r="L41" s="82"/>
      <c r="M41" s="82"/>
      <c r="N41" s="82"/>
      <c r="O41" s="8"/>
      <c r="P41" s="8"/>
      <c r="Q41" s="8"/>
    </row>
    <row r="42" spans="1:17">
      <c r="A42" s="69" t="s">
        <v>152</v>
      </c>
      <c r="B42" t="s">
        <v>153</v>
      </c>
      <c r="C42" s="82" t="s">
        <v>207</v>
      </c>
      <c r="D42" s="82">
        <v>0</v>
      </c>
      <c r="E42" s="82"/>
      <c r="F42" s="82"/>
      <c r="G42" s="82"/>
      <c r="H42" s="82"/>
      <c r="I42" s="82"/>
      <c r="J42" s="82"/>
      <c r="K42" s="82"/>
      <c r="L42" s="82"/>
      <c r="M42" s="82"/>
      <c r="N42" s="82"/>
      <c r="O42" s="8"/>
      <c r="P42" s="8"/>
      <c r="Q42" s="8"/>
    </row>
    <row r="43" spans="1:17">
      <c r="A43" s="69" t="s">
        <v>146</v>
      </c>
      <c r="B43" t="s">
        <v>153</v>
      </c>
      <c r="C43" s="82">
        <v>1</v>
      </c>
      <c r="D43" s="82">
        <v>0</v>
      </c>
      <c r="E43" s="82"/>
      <c r="F43" s="82"/>
      <c r="G43" s="82"/>
      <c r="H43" s="82"/>
      <c r="I43" s="82"/>
      <c r="J43" s="82"/>
      <c r="K43" s="82"/>
      <c r="L43" s="82"/>
      <c r="M43" s="82"/>
      <c r="N43" s="82"/>
      <c r="O43" s="8"/>
      <c r="P43" s="8"/>
      <c r="Q43" s="8"/>
    </row>
    <row r="44" spans="1:17">
      <c r="A44" s="69" t="s">
        <v>142</v>
      </c>
      <c r="B44" t="s">
        <v>153</v>
      </c>
      <c r="C44" s="82" t="s">
        <v>207</v>
      </c>
      <c r="D44" s="82">
        <v>0</v>
      </c>
      <c r="E44" s="82"/>
      <c r="F44" s="82"/>
      <c r="G44" s="82"/>
      <c r="H44" s="82"/>
      <c r="I44" s="82"/>
      <c r="J44" s="82"/>
      <c r="K44" s="82"/>
      <c r="L44" s="82"/>
      <c r="M44" s="82"/>
      <c r="N44" s="82"/>
      <c r="O44" s="8"/>
      <c r="P44" s="8"/>
      <c r="Q44" s="8"/>
    </row>
    <row r="45" spans="1:17">
      <c r="A45" s="69" t="s">
        <v>148</v>
      </c>
      <c r="B45" t="s">
        <v>153</v>
      </c>
      <c r="C45" s="82">
        <v>0</v>
      </c>
      <c r="D45" s="82">
        <v>0</v>
      </c>
      <c r="E45" s="82"/>
      <c r="F45" s="82"/>
      <c r="G45" s="82"/>
      <c r="H45" s="82"/>
      <c r="I45" s="82"/>
      <c r="J45" s="82"/>
      <c r="K45" s="82"/>
      <c r="L45" s="82"/>
      <c r="M45" s="82"/>
      <c r="N45" s="82"/>
      <c r="O45" s="8"/>
      <c r="P45" s="8"/>
      <c r="Q45" s="8"/>
    </row>
    <row r="46" spans="1:17">
      <c r="A46" s="69" t="s">
        <v>149</v>
      </c>
      <c r="B46" t="s">
        <v>153</v>
      </c>
      <c r="C46" s="82">
        <v>0</v>
      </c>
      <c r="D46" s="82">
        <v>0</v>
      </c>
      <c r="E46" s="82"/>
      <c r="F46" s="82"/>
      <c r="G46" s="82"/>
      <c r="H46" s="82"/>
      <c r="I46" s="82"/>
      <c r="J46" s="82"/>
      <c r="K46" s="82"/>
      <c r="L46" s="82"/>
      <c r="M46" s="82"/>
      <c r="N46" s="82"/>
      <c r="O46" s="8"/>
      <c r="P46" s="8"/>
      <c r="Q46" s="8"/>
    </row>
    <row r="47" spans="1:17">
      <c r="A47" s="69" t="s">
        <v>147</v>
      </c>
      <c r="B47" t="s">
        <v>153</v>
      </c>
      <c r="C47" s="82">
        <v>0</v>
      </c>
      <c r="D47" s="82">
        <v>0</v>
      </c>
      <c r="E47" s="82"/>
      <c r="F47" s="82"/>
      <c r="G47" s="82"/>
      <c r="H47" s="82"/>
      <c r="I47" s="82"/>
      <c r="J47" s="82"/>
      <c r="K47" s="82"/>
      <c r="L47" s="82"/>
      <c r="M47" s="82"/>
      <c r="N47" s="82"/>
      <c r="O47" s="8"/>
      <c r="P47" s="8"/>
      <c r="Q47" s="8"/>
    </row>
    <row r="48" spans="1:17">
      <c r="A48" s="68" t="s">
        <v>190</v>
      </c>
      <c r="B48" t="s">
        <v>153</v>
      </c>
      <c r="C48" s="82">
        <v>0</v>
      </c>
      <c r="D48" s="82">
        <v>0</v>
      </c>
      <c r="E48" s="82"/>
      <c r="F48" s="82"/>
      <c r="G48" s="82"/>
      <c r="H48" s="82"/>
      <c r="I48" s="82"/>
      <c r="J48" s="82"/>
      <c r="K48" s="82"/>
      <c r="L48" s="82"/>
      <c r="M48" s="82"/>
      <c r="N48" s="82"/>
      <c r="O48" s="82"/>
      <c r="P48" s="82"/>
      <c r="Q48" s="8"/>
    </row>
    <row r="49" spans="1:17">
      <c r="A49" s="69" t="s">
        <v>145</v>
      </c>
      <c r="B49" t="s">
        <v>153</v>
      </c>
      <c r="C49" s="82">
        <v>0</v>
      </c>
      <c r="D49" s="82">
        <v>0</v>
      </c>
      <c r="E49" s="82"/>
      <c r="F49" s="82"/>
      <c r="G49" s="82"/>
      <c r="H49" s="82"/>
      <c r="I49" s="82"/>
      <c r="J49" s="82"/>
      <c r="K49" s="82"/>
      <c r="L49" s="82"/>
      <c r="M49" s="82"/>
      <c r="N49" s="82"/>
      <c r="O49" s="82"/>
      <c r="P49" s="82"/>
      <c r="Q49" s="8"/>
    </row>
    <row r="50" spans="1:17">
      <c r="A50" s="68" t="s">
        <v>191</v>
      </c>
      <c r="B50" t="s">
        <v>153</v>
      </c>
      <c r="C50" s="82">
        <v>0</v>
      </c>
      <c r="D50" s="82">
        <v>0</v>
      </c>
      <c r="E50" s="82"/>
      <c r="F50" s="82"/>
      <c r="G50" s="82"/>
      <c r="H50" s="82"/>
      <c r="I50" s="82"/>
      <c r="J50" s="82"/>
      <c r="K50" s="82"/>
      <c r="L50" s="82"/>
      <c r="M50" s="82"/>
      <c r="N50" s="82"/>
      <c r="O50" s="82"/>
      <c r="P50" s="82"/>
      <c r="Q50" s="8"/>
    </row>
    <row r="51" spans="1:17">
      <c r="A51" s="69" t="s">
        <v>150</v>
      </c>
      <c r="B51" t="s">
        <v>153</v>
      </c>
      <c r="C51" s="82">
        <v>1</v>
      </c>
      <c r="D51" s="82">
        <v>0</v>
      </c>
      <c r="E51" s="82"/>
      <c r="F51" s="82"/>
      <c r="G51" s="82"/>
      <c r="H51" s="82"/>
      <c r="I51" s="82"/>
      <c r="J51" s="82"/>
      <c r="K51" s="82"/>
      <c r="L51" s="82"/>
      <c r="M51" s="82"/>
      <c r="N51" s="82"/>
      <c r="O51" s="82"/>
      <c r="P51" s="82"/>
      <c r="Q51" s="8"/>
    </row>
    <row r="52" spans="1:17">
      <c r="A52" s="69" t="s">
        <v>151</v>
      </c>
      <c r="B52" t="s">
        <v>153</v>
      </c>
      <c r="C52" s="82">
        <v>0</v>
      </c>
      <c r="D52" s="82">
        <v>0</v>
      </c>
      <c r="E52" s="82"/>
      <c r="F52" s="82"/>
      <c r="G52" s="82"/>
      <c r="H52" s="82"/>
      <c r="I52" s="82"/>
      <c r="J52" s="82"/>
      <c r="K52" s="82"/>
      <c r="L52" s="82"/>
      <c r="M52" s="82"/>
      <c r="N52" s="82"/>
      <c r="O52" s="82"/>
      <c r="P52" s="82"/>
      <c r="Q52" s="8"/>
    </row>
    <row r="53" spans="1:17">
      <c r="A53" s="69" t="s">
        <v>144</v>
      </c>
      <c r="B53" t="s">
        <v>153</v>
      </c>
      <c r="C53" s="82">
        <v>1</v>
      </c>
      <c r="D53" s="82">
        <v>0</v>
      </c>
      <c r="E53" s="82"/>
      <c r="F53" s="82"/>
      <c r="G53" s="82"/>
      <c r="H53" s="82"/>
      <c r="I53" s="82"/>
      <c r="J53" s="82"/>
      <c r="K53" s="82"/>
      <c r="L53" s="82"/>
      <c r="M53" s="82"/>
      <c r="N53" s="82"/>
      <c r="O53" s="82"/>
      <c r="P53" s="82"/>
      <c r="Q53" s="8"/>
    </row>
    <row r="54" spans="1:17">
      <c r="A54" s="69" t="s">
        <v>154</v>
      </c>
      <c r="B54" s="71" t="s">
        <v>158</v>
      </c>
      <c r="C54" s="82"/>
      <c r="D54" s="82" t="s">
        <v>207</v>
      </c>
      <c r="E54" s="82"/>
      <c r="F54" s="82"/>
      <c r="G54" s="82"/>
      <c r="H54" s="82"/>
      <c r="I54" s="82"/>
      <c r="J54" s="82"/>
      <c r="K54" s="82"/>
      <c r="L54" s="82"/>
      <c r="M54" s="82"/>
      <c r="N54" s="82"/>
      <c r="O54" s="82"/>
      <c r="P54" s="82"/>
      <c r="Q54" s="8"/>
    </row>
    <row r="55" spans="1:17">
      <c r="A55" s="69" t="s">
        <v>155</v>
      </c>
      <c r="B55" s="71" t="s">
        <v>158</v>
      </c>
      <c r="C55" s="82" t="s">
        <v>207</v>
      </c>
      <c r="D55" s="82">
        <v>0</v>
      </c>
      <c r="E55" s="82"/>
      <c r="F55" s="82"/>
      <c r="G55" s="82"/>
      <c r="H55" s="82"/>
      <c r="I55" s="82"/>
      <c r="J55" s="82"/>
      <c r="K55" s="82"/>
      <c r="L55" s="82"/>
      <c r="M55" s="82"/>
      <c r="N55" s="82"/>
      <c r="O55" s="82"/>
      <c r="P55" s="82"/>
      <c r="Q55" s="8"/>
    </row>
    <row r="56" spans="1:17">
      <c r="A56" s="69" t="s">
        <v>156</v>
      </c>
      <c r="B56" s="71" t="s">
        <v>158</v>
      </c>
      <c r="C56" s="82">
        <v>0</v>
      </c>
      <c r="D56" s="82" t="s">
        <v>207</v>
      </c>
      <c r="E56" s="82"/>
      <c r="F56" s="82"/>
      <c r="G56" s="82"/>
      <c r="H56" s="82"/>
      <c r="I56" s="82"/>
      <c r="J56" s="82"/>
      <c r="K56" s="82"/>
      <c r="L56" s="82"/>
      <c r="M56" s="82"/>
      <c r="N56" s="82"/>
      <c r="O56" s="82"/>
      <c r="P56" s="82"/>
      <c r="Q56" s="8"/>
    </row>
    <row r="57" spans="1:17">
      <c r="A57" s="69" t="s">
        <v>157</v>
      </c>
      <c r="B57" s="71" t="s">
        <v>158</v>
      </c>
      <c r="C57" s="82">
        <v>0</v>
      </c>
      <c r="D57" s="82">
        <v>0</v>
      </c>
      <c r="E57" s="82"/>
      <c r="F57" s="82"/>
      <c r="G57" s="82"/>
      <c r="H57" s="82"/>
      <c r="I57" s="82"/>
      <c r="J57" s="82"/>
      <c r="K57" s="82"/>
      <c r="L57" s="82"/>
      <c r="M57" s="82"/>
      <c r="N57" s="82"/>
      <c r="O57" s="82"/>
      <c r="P57" s="82"/>
      <c r="Q57" s="8"/>
    </row>
    <row r="58" spans="1:17">
      <c r="A58" s="68" t="s">
        <v>192</v>
      </c>
      <c r="B58" s="71" t="s">
        <v>158</v>
      </c>
      <c r="C58" s="82" t="s">
        <v>207</v>
      </c>
      <c r="D58" s="82" t="s">
        <v>207</v>
      </c>
      <c r="E58" s="82"/>
      <c r="F58" s="82"/>
      <c r="G58" s="82"/>
      <c r="H58" s="82"/>
      <c r="I58" s="82"/>
      <c r="J58" s="82"/>
      <c r="K58" s="82"/>
      <c r="L58" s="82"/>
      <c r="M58" s="82"/>
      <c r="N58" s="82"/>
      <c r="O58" s="82"/>
      <c r="P58" s="82"/>
      <c r="Q58" s="8"/>
    </row>
    <row r="59" spans="1:17">
      <c r="A59" s="69" t="s">
        <v>159</v>
      </c>
      <c r="B59" s="71" t="s">
        <v>162</v>
      </c>
      <c r="C59" s="82">
        <v>0</v>
      </c>
      <c r="D59" s="82">
        <v>0</v>
      </c>
      <c r="E59" s="82"/>
      <c r="F59" s="82"/>
      <c r="G59" s="82"/>
      <c r="H59" s="82"/>
      <c r="I59" s="82"/>
      <c r="J59" s="82"/>
      <c r="K59" s="82"/>
      <c r="L59" s="82"/>
      <c r="M59" s="82"/>
      <c r="N59" s="82"/>
      <c r="O59" s="82"/>
      <c r="P59" s="82"/>
      <c r="Q59" s="8"/>
    </row>
    <row r="60" spans="1:17">
      <c r="A60" s="69" t="s">
        <v>160</v>
      </c>
      <c r="B60" s="71" t="s">
        <v>162</v>
      </c>
      <c r="C60" s="82">
        <v>0</v>
      </c>
      <c r="D60" s="82">
        <v>0</v>
      </c>
      <c r="E60" s="82"/>
      <c r="F60" s="82"/>
      <c r="G60" s="82"/>
      <c r="H60" s="82"/>
      <c r="I60" s="82"/>
      <c r="J60" s="82"/>
      <c r="K60" s="82"/>
      <c r="L60" s="82"/>
      <c r="M60" s="82"/>
      <c r="N60" s="82"/>
      <c r="O60" s="82"/>
      <c r="P60" s="82"/>
      <c r="Q60" s="8"/>
    </row>
    <row r="61" spans="1:17">
      <c r="A61" s="68" t="s">
        <v>193</v>
      </c>
      <c r="B61" s="71" t="s">
        <v>162</v>
      </c>
      <c r="C61" s="82">
        <v>0</v>
      </c>
      <c r="D61" s="82">
        <v>0</v>
      </c>
      <c r="E61" s="82"/>
      <c r="F61" s="82"/>
      <c r="G61" s="82"/>
      <c r="H61" s="82"/>
      <c r="I61" s="82"/>
      <c r="J61" s="82"/>
      <c r="K61" s="82"/>
      <c r="L61" s="82"/>
      <c r="M61" s="82"/>
      <c r="N61" s="82"/>
      <c r="O61" s="82"/>
      <c r="P61" s="82"/>
      <c r="Q61" s="8"/>
    </row>
    <row r="62" spans="1:17">
      <c r="A62" s="69" t="s">
        <v>161</v>
      </c>
      <c r="B62" s="71" t="s">
        <v>162</v>
      </c>
      <c r="C62" s="82">
        <v>0</v>
      </c>
      <c r="D62" s="82">
        <v>0</v>
      </c>
      <c r="E62" s="82"/>
      <c r="F62" s="82"/>
      <c r="G62" s="82"/>
      <c r="H62" s="82"/>
      <c r="I62" s="82"/>
      <c r="J62" s="82"/>
      <c r="K62" s="82"/>
      <c r="L62" s="82"/>
      <c r="M62" s="82"/>
      <c r="N62" s="82"/>
      <c r="O62" s="82"/>
      <c r="P62" s="82"/>
      <c r="Q62" s="8"/>
    </row>
    <row r="63" spans="1:17">
      <c r="A63" s="69" t="s">
        <v>163</v>
      </c>
      <c r="B63" s="71" t="s">
        <v>178</v>
      </c>
      <c r="C63" s="82" t="s">
        <v>207</v>
      </c>
      <c r="D63" s="82">
        <v>0</v>
      </c>
      <c r="E63" s="82"/>
      <c r="F63" s="82"/>
      <c r="G63" s="82"/>
      <c r="H63" s="82"/>
      <c r="I63" s="82"/>
      <c r="J63" s="82"/>
      <c r="K63" s="82"/>
      <c r="L63" s="82"/>
      <c r="M63" s="82"/>
      <c r="N63" s="82"/>
      <c r="O63" s="82"/>
      <c r="P63" s="82"/>
      <c r="Q63" s="8"/>
    </row>
    <row r="64" spans="1:17">
      <c r="A64" s="69" t="s">
        <v>164</v>
      </c>
      <c r="B64" s="71" t="s">
        <v>178</v>
      </c>
      <c r="C64" s="82">
        <v>1</v>
      </c>
      <c r="D64" s="82">
        <v>0</v>
      </c>
      <c r="E64" s="82"/>
      <c r="F64" s="82"/>
      <c r="G64" s="82"/>
      <c r="H64" s="82"/>
      <c r="I64" s="82"/>
      <c r="J64" s="82"/>
      <c r="K64" s="82"/>
      <c r="L64" s="82"/>
      <c r="M64" s="82"/>
      <c r="N64" s="82"/>
      <c r="O64" s="82"/>
      <c r="P64" s="82"/>
      <c r="Q64" s="8"/>
    </row>
    <row r="65" spans="1:17">
      <c r="A65" s="69" t="s">
        <v>165</v>
      </c>
      <c r="B65" s="71" t="s">
        <v>178</v>
      </c>
      <c r="C65" s="82">
        <v>0</v>
      </c>
      <c r="D65" s="82">
        <v>0</v>
      </c>
      <c r="E65" s="82"/>
      <c r="F65" s="82"/>
      <c r="G65" s="82"/>
      <c r="H65" s="82"/>
      <c r="I65" s="82"/>
      <c r="J65" s="82"/>
      <c r="K65" s="82"/>
      <c r="L65" s="82"/>
      <c r="M65" s="82"/>
      <c r="N65" s="82"/>
      <c r="O65" s="82"/>
      <c r="P65" s="82"/>
      <c r="Q65" s="8"/>
    </row>
    <row r="66" spans="1:17">
      <c r="A66" s="69" t="s">
        <v>166</v>
      </c>
      <c r="B66" s="71" t="s">
        <v>178</v>
      </c>
      <c r="C66" s="82" t="s">
        <v>207</v>
      </c>
      <c r="D66" s="82">
        <v>0</v>
      </c>
      <c r="E66" s="82"/>
      <c r="F66" s="82"/>
      <c r="G66" s="82"/>
      <c r="H66" s="82"/>
      <c r="I66" s="82"/>
      <c r="J66" s="82"/>
      <c r="K66" s="82"/>
      <c r="L66" s="82"/>
      <c r="M66" s="82"/>
      <c r="N66" s="82"/>
      <c r="O66" s="82"/>
      <c r="P66" s="82"/>
      <c r="Q66" s="8"/>
    </row>
    <row r="67" spans="1:17">
      <c r="A67" s="69" t="s">
        <v>167</v>
      </c>
      <c r="B67" s="71" t="s">
        <v>178</v>
      </c>
      <c r="C67" s="82">
        <v>0</v>
      </c>
      <c r="D67" s="82">
        <v>0</v>
      </c>
      <c r="E67" s="82"/>
      <c r="F67" s="82"/>
      <c r="G67" s="82"/>
      <c r="H67" s="82"/>
      <c r="I67" s="82"/>
      <c r="J67" s="82"/>
      <c r="K67" s="82"/>
      <c r="L67" s="82"/>
      <c r="M67" s="82"/>
      <c r="N67" s="82"/>
      <c r="O67" s="82"/>
      <c r="P67" s="82"/>
      <c r="Q67" s="8"/>
    </row>
    <row r="68" spans="1:17">
      <c r="A68" s="69" t="s">
        <v>168</v>
      </c>
      <c r="B68" s="71" t="s">
        <v>178</v>
      </c>
      <c r="C68" s="82">
        <v>0</v>
      </c>
      <c r="D68" s="82">
        <v>0</v>
      </c>
      <c r="E68" s="82"/>
      <c r="F68" s="82"/>
      <c r="G68" s="82"/>
      <c r="H68" s="82"/>
      <c r="I68" s="82"/>
      <c r="J68" s="82"/>
      <c r="K68" s="82"/>
      <c r="L68" s="82"/>
      <c r="M68" s="82"/>
      <c r="N68" s="82"/>
      <c r="O68" s="82"/>
      <c r="P68" s="82"/>
      <c r="Q68" s="8"/>
    </row>
    <row r="69" spans="1:17">
      <c r="A69" s="69" t="s">
        <v>169</v>
      </c>
      <c r="B69" s="71" t="s">
        <v>178</v>
      </c>
      <c r="C69" s="82">
        <v>0</v>
      </c>
      <c r="D69" s="82">
        <v>0</v>
      </c>
      <c r="E69" s="82"/>
      <c r="F69" s="82"/>
      <c r="G69" s="82"/>
      <c r="H69" s="82"/>
      <c r="I69" s="82"/>
      <c r="J69" s="82"/>
      <c r="K69" s="82"/>
      <c r="L69" s="82"/>
      <c r="M69" s="82"/>
      <c r="N69" s="82"/>
      <c r="O69" s="82"/>
      <c r="P69" s="82"/>
      <c r="Q69" s="8"/>
    </row>
    <row r="70" spans="1:17">
      <c r="A70" s="69" t="s">
        <v>170</v>
      </c>
      <c r="B70" s="71" t="s">
        <v>178</v>
      </c>
      <c r="C70" s="82">
        <v>0</v>
      </c>
      <c r="D70" s="82">
        <v>0</v>
      </c>
      <c r="E70" s="82"/>
      <c r="F70" s="82"/>
      <c r="G70" s="82"/>
      <c r="H70" s="82"/>
      <c r="I70" s="82"/>
      <c r="J70" s="82"/>
      <c r="K70" s="82"/>
      <c r="L70" s="82"/>
      <c r="M70" s="82"/>
      <c r="N70" s="82"/>
      <c r="O70" s="82"/>
      <c r="P70" s="82"/>
      <c r="Q70" s="8"/>
    </row>
    <row r="71" spans="1:17">
      <c r="A71" s="69" t="s">
        <v>171</v>
      </c>
      <c r="B71" s="71" t="s">
        <v>178</v>
      </c>
      <c r="C71" s="82" t="s">
        <v>207</v>
      </c>
      <c r="D71" s="82">
        <v>0</v>
      </c>
      <c r="E71" s="82"/>
      <c r="F71" s="82"/>
      <c r="G71" s="82"/>
      <c r="H71" s="82"/>
      <c r="I71" s="82"/>
      <c r="J71" s="82"/>
      <c r="K71" s="82"/>
      <c r="L71" s="82"/>
      <c r="M71" s="82"/>
      <c r="N71" s="82"/>
      <c r="O71" s="82"/>
      <c r="P71" s="82"/>
      <c r="Q71" s="8"/>
    </row>
    <row r="72" spans="1:17">
      <c r="A72" s="69" t="s">
        <v>172</v>
      </c>
      <c r="B72" s="71" t="s">
        <v>178</v>
      </c>
      <c r="C72" s="82">
        <v>0</v>
      </c>
      <c r="D72" s="82">
        <v>0</v>
      </c>
      <c r="E72" s="82"/>
      <c r="F72" s="82"/>
      <c r="G72" s="82"/>
      <c r="H72" s="82"/>
      <c r="I72" s="82"/>
      <c r="J72" s="82"/>
      <c r="K72" s="82"/>
      <c r="L72" s="82"/>
      <c r="M72" s="82"/>
      <c r="N72" s="82"/>
      <c r="O72" s="82"/>
      <c r="P72" s="82"/>
      <c r="Q72" s="8"/>
    </row>
    <row r="73" spans="1:17">
      <c r="A73" s="69" t="s">
        <v>173</v>
      </c>
      <c r="B73" s="71" t="s">
        <v>178</v>
      </c>
      <c r="C73" s="82">
        <v>0</v>
      </c>
      <c r="D73" s="82">
        <v>0</v>
      </c>
      <c r="E73" s="82"/>
      <c r="F73" s="82"/>
      <c r="G73" s="82"/>
      <c r="H73" s="82"/>
      <c r="I73" s="82"/>
      <c r="J73" s="82"/>
      <c r="K73" s="82"/>
      <c r="L73" s="82"/>
      <c r="M73" s="82"/>
      <c r="N73" s="82"/>
      <c r="O73" s="82"/>
      <c r="P73" s="82"/>
      <c r="Q73" s="8"/>
    </row>
    <row r="74" spans="1:17">
      <c r="A74" s="69" t="s">
        <v>174</v>
      </c>
      <c r="B74" s="71" t="s">
        <v>178</v>
      </c>
      <c r="C74" s="82">
        <v>0</v>
      </c>
      <c r="D74" s="82">
        <v>0</v>
      </c>
      <c r="E74" s="82"/>
      <c r="F74" s="82"/>
      <c r="G74" s="82"/>
      <c r="H74" s="82"/>
      <c r="I74" s="82"/>
      <c r="J74" s="82"/>
      <c r="K74" s="82"/>
      <c r="L74" s="82"/>
      <c r="M74" s="82"/>
      <c r="N74" s="82"/>
      <c r="O74" s="82"/>
      <c r="P74" s="82"/>
      <c r="Q74" s="8"/>
    </row>
    <row r="75" spans="1:17">
      <c r="A75" s="69" t="s">
        <v>175</v>
      </c>
      <c r="B75" s="71" t="s">
        <v>178</v>
      </c>
      <c r="C75" s="82">
        <v>0</v>
      </c>
      <c r="D75" s="82">
        <v>0</v>
      </c>
      <c r="E75" s="82"/>
      <c r="F75" s="82"/>
      <c r="G75" s="82"/>
      <c r="H75" s="82"/>
      <c r="I75" s="82"/>
      <c r="J75" s="82"/>
      <c r="K75" s="82"/>
      <c r="L75" s="82"/>
      <c r="M75" s="82"/>
      <c r="N75" s="82"/>
      <c r="O75" s="82"/>
      <c r="P75" s="82"/>
      <c r="Q75" s="8"/>
    </row>
    <row r="76" spans="1:17">
      <c r="A76" s="69" t="s">
        <v>176</v>
      </c>
      <c r="B76" s="71" t="s">
        <v>178</v>
      </c>
      <c r="C76" s="82">
        <v>0</v>
      </c>
      <c r="D76" s="82">
        <v>0</v>
      </c>
      <c r="E76" s="82"/>
      <c r="F76" s="82"/>
      <c r="G76" s="82"/>
      <c r="H76" s="82"/>
      <c r="I76" s="82"/>
      <c r="J76" s="82"/>
      <c r="K76" s="82"/>
      <c r="L76" s="82"/>
      <c r="M76" s="82"/>
      <c r="N76" s="82"/>
      <c r="O76" s="82"/>
      <c r="P76" s="82"/>
      <c r="Q76" s="8"/>
    </row>
    <row r="77" spans="1:17">
      <c r="A77" s="69" t="s">
        <v>177</v>
      </c>
      <c r="B77" s="71" t="s">
        <v>178</v>
      </c>
      <c r="C77" s="82">
        <v>0</v>
      </c>
      <c r="D77" s="82">
        <v>0</v>
      </c>
      <c r="E77" s="82"/>
      <c r="F77" s="82"/>
      <c r="G77" s="82"/>
      <c r="H77" s="82"/>
      <c r="I77" s="82"/>
      <c r="J77" s="82"/>
      <c r="K77" s="82"/>
      <c r="L77" s="82"/>
      <c r="M77" s="82"/>
      <c r="N77" s="82"/>
      <c r="O77" s="82"/>
      <c r="P77" s="82"/>
      <c r="Q77" s="8"/>
    </row>
    <row r="78" spans="1:17">
      <c r="A78" s="68" t="s">
        <v>194</v>
      </c>
      <c r="B78" s="71" t="s">
        <v>188</v>
      </c>
      <c r="C78" s="82">
        <v>0</v>
      </c>
      <c r="D78" s="82">
        <v>0</v>
      </c>
      <c r="E78" s="82"/>
      <c r="F78" s="82"/>
      <c r="G78" s="82"/>
      <c r="H78" s="82"/>
      <c r="I78" s="82"/>
      <c r="J78" s="82"/>
      <c r="K78" s="82"/>
      <c r="L78" s="82"/>
      <c r="M78" s="82"/>
      <c r="N78" s="82"/>
      <c r="O78" s="82"/>
      <c r="P78" s="82"/>
      <c r="Q78" s="8"/>
    </row>
    <row r="79" spans="1:17">
      <c r="A79" s="69" t="s">
        <v>184</v>
      </c>
      <c r="B79" s="71" t="s">
        <v>188</v>
      </c>
      <c r="C79" s="82">
        <v>0</v>
      </c>
      <c r="D79" s="82">
        <v>0</v>
      </c>
      <c r="E79" s="82"/>
      <c r="F79" s="82"/>
      <c r="G79" s="82"/>
      <c r="H79" s="82"/>
      <c r="I79" s="82"/>
      <c r="J79" s="82"/>
      <c r="K79" s="82"/>
      <c r="L79" s="82"/>
      <c r="M79" s="82"/>
      <c r="N79" s="82"/>
      <c r="O79" s="82"/>
      <c r="P79" s="82"/>
      <c r="Q79" s="8"/>
    </row>
    <row r="80" spans="1:17">
      <c r="A80" s="69" t="s">
        <v>182</v>
      </c>
      <c r="B80" s="71" t="s">
        <v>188</v>
      </c>
      <c r="C80" s="82">
        <v>0</v>
      </c>
      <c r="D80" s="82">
        <v>0</v>
      </c>
      <c r="E80" s="82"/>
      <c r="F80" s="82"/>
      <c r="G80" s="82"/>
      <c r="H80" s="82"/>
      <c r="I80" s="82"/>
      <c r="J80" s="82"/>
      <c r="K80" s="82"/>
      <c r="L80" s="82"/>
      <c r="M80" s="82"/>
      <c r="N80" s="82"/>
      <c r="O80" s="82"/>
      <c r="P80" s="82"/>
      <c r="Q80" s="8"/>
    </row>
    <row r="81" spans="1:17">
      <c r="A81" s="69" t="s">
        <v>181</v>
      </c>
      <c r="B81" s="71" t="s">
        <v>188</v>
      </c>
      <c r="C81" s="82">
        <v>0</v>
      </c>
      <c r="D81" s="82">
        <v>0</v>
      </c>
      <c r="E81" s="82"/>
      <c r="F81" s="82"/>
      <c r="G81" s="82"/>
      <c r="H81" s="82"/>
      <c r="I81" s="82"/>
      <c r="J81" s="82"/>
      <c r="K81" s="82"/>
      <c r="L81" s="82"/>
      <c r="M81" s="82"/>
      <c r="N81" s="82"/>
      <c r="O81" s="82"/>
      <c r="P81" s="82"/>
      <c r="Q81" s="8"/>
    </row>
    <row r="82" spans="1:17">
      <c r="A82" s="69" t="s">
        <v>179</v>
      </c>
      <c r="B82" s="71" t="s">
        <v>188</v>
      </c>
      <c r="C82" s="82">
        <v>1</v>
      </c>
      <c r="D82" s="82">
        <v>0</v>
      </c>
      <c r="E82" s="82"/>
      <c r="F82" s="82"/>
      <c r="G82" s="82"/>
      <c r="H82" s="82"/>
      <c r="I82" s="82"/>
      <c r="J82" s="82"/>
      <c r="K82" s="82"/>
      <c r="L82" s="82"/>
      <c r="M82" s="82"/>
      <c r="N82" s="82"/>
      <c r="O82" s="82"/>
      <c r="P82" s="82"/>
      <c r="Q82" s="8"/>
    </row>
    <row r="83" spans="1:17">
      <c r="A83" s="69" t="s">
        <v>185</v>
      </c>
      <c r="B83" s="71" t="s">
        <v>188</v>
      </c>
      <c r="C83" s="82">
        <v>0</v>
      </c>
      <c r="D83" s="82">
        <v>0</v>
      </c>
      <c r="E83" s="82"/>
      <c r="F83" s="82"/>
      <c r="G83" s="82"/>
      <c r="H83" s="82"/>
      <c r="I83" s="82"/>
      <c r="J83" s="82"/>
      <c r="K83" s="82"/>
      <c r="L83" s="82"/>
      <c r="M83" s="82"/>
      <c r="N83" s="82"/>
      <c r="O83" s="82"/>
      <c r="P83" s="82"/>
      <c r="Q83" s="8"/>
    </row>
    <row r="84" spans="1:17">
      <c r="A84" s="70" t="s">
        <v>187</v>
      </c>
      <c r="B84" s="71" t="s">
        <v>188</v>
      </c>
      <c r="C84" s="82">
        <v>0</v>
      </c>
      <c r="D84" s="82">
        <v>0</v>
      </c>
      <c r="E84" s="82"/>
      <c r="F84" s="82"/>
      <c r="G84" s="82"/>
      <c r="H84" s="82"/>
      <c r="I84" s="82"/>
      <c r="J84" s="82"/>
      <c r="K84" s="82"/>
      <c r="L84" s="82"/>
      <c r="M84" s="82"/>
      <c r="N84" s="82"/>
      <c r="O84" s="82"/>
      <c r="P84" s="82"/>
      <c r="Q84" s="8"/>
    </row>
    <row r="85" spans="1:17">
      <c r="A85" s="69" t="s">
        <v>186</v>
      </c>
      <c r="B85" s="71" t="s">
        <v>188</v>
      </c>
      <c r="C85" s="82">
        <v>0</v>
      </c>
      <c r="D85" s="82">
        <v>0</v>
      </c>
      <c r="E85" s="82"/>
      <c r="F85" s="82"/>
      <c r="G85" s="82"/>
      <c r="H85" s="82"/>
      <c r="I85" s="82"/>
      <c r="J85" s="82"/>
      <c r="K85" s="82"/>
      <c r="L85" s="82"/>
      <c r="M85" s="82"/>
      <c r="N85" s="82"/>
      <c r="O85" s="82"/>
      <c r="P85" s="82"/>
      <c r="Q85" s="8"/>
    </row>
    <row r="86" spans="1:17">
      <c r="A86" s="69" t="s">
        <v>183</v>
      </c>
      <c r="B86" s="71" t="s">
        <v>188</v>
      </c>
      <c r="C86" s="82" t="s">
        <v>207</v>
      </c>
      <c r="D86" s="82">
        <v>0</v>
      </c>
      <c r="E86" s="82"/>
      <c r="F86" s="82"/>
      <c r="G86" s="82"/>
      <c r="H86" s="82"/>
      <c r="I86" s="82"/>
      <c r="J86" s="82"/>
      <c r="K86" s="82"/>
      <c r="L86" s="82"/>
      <c r="M86" s="82"/>
      <c r="N86" s="82"/>
      <c r="O86" s="82"/>
      <c r="P86" s="82"/>
      <c r="Q86" s="8"/>
    </row>
    <row r="87" spans="1:17">
      <c r="A87" s="69" t="s">
        <v>180</v>
      </c>
      <c r="B87" s="71" t="s">
        <v>188</v>
      </c>
      <c r="C87" s="82">
        <v>0</v>
      </c>
      <c r="D87" s="82" t="s">
        <v>207</v>
      </c>
      <c r="E87" s="82"/>
      <c r="F87" s="82"/>
      <c r="G87" s="82"/>
      <c r="H87" s="82"/>
      <c r="I87" s="82"/>
      <c r="J87" s="82"/>
      <c r="K87" s="82"/>
      <c r="L87" s="82"/>
      <c r="M87" s="82"/>
      <c r="N87" s="82"/>
      <c r="O87" s="82"/>
      <c r="P87" s="82"/>
      <c r="Q87" s="8"/>
    </row>
    <row r="88" spans="1:17">
      <c r="C88" s="82"/>
      <c r="D88" s="82"/>
      <c r="E88" s="82"/>
      <c r="F88" s="82"/>
      <c r="G88" s="82"/>
      <c r="H88" s="82"/>
      <c r="I88" s="82"/>
      <c r="J88" s="82"/>
      <c r="K88" s="82"/>
      <c r="L88" s="82"/>
      <c r="M88" s="82"/>
      <c r="N88" s="82"/>
      <c r="O88" s="82"/>
      <c r="P88" s="82"/>
      <c r="Q88" s="8"/>
    </row>
    <row r="89" spans="1:17">
      <c r="C89" s="8"/>
      <c r="D89" s="8"/>
      <c r="E89" s="8"/>
      <c r="F89" s="8"/>
      <c r="G89" s="8"/>
      <c r="H89" s="8"/>
      <c r="I89" s="8"/>
      <c r="J89" s="8"/>
      <c r="K89" s="8"/>
      <c r="L89" s="8"/>
      <c r="M89" s="8"/>
      <c r="N89" s="8"/>
      <c r="O89" s="8"/>
      <c r="P89" s="8"/>
      <c r="Q89" s="8"/>
    </row>
  </sheetData>
  <autoFilter ref="A38:L87">
    <sortState ref="A39:L87">
      <sortCondition ref="B38:B87"/>
    </sortState>
  </autoFilter>
  <mergeCells count="12">
    <mergeCell ref="A37:B37"/>
    <mergeCell ref="A3:H3"/>
    <mergeCell ref="B5:H5"/>
    <mergeCell ref="B6:H6"/>
    <mergeCell ref="B7:H7"/>
    <mergeCell ref="B8:H8"/>
    <mergeCell ref="B9:H9"/>
    <mergeCell ref="G2:H2"/>
    <mergeCell ref="J3:K3"/>
    <mergeCell ref="M3:N3"/>
    <mergeCell ref="J4:K4"/>
    <mergeCell ref="M4:N4"/>
  </mergeCells>
  <conditionalFormatting sqref="C14:H23">
    <cfRule type="expression" dxfId="81" priority="3">
      <formula>ISERROR(C14)</formula>
    </cfRule>
  </conditionalFormatting>
  <conditionalFormatting sqref="I15:I31">
    <cfRule type="expression" dxfId="80" priority="2">
      <formula>ISERROR(I15)</formula>
    </cfRule>
  </conditionalFormatting>
  <conditionalFormatting sqref="I13">
    <cfRule type="expression" dxfId="79" priority="1">
      <formula>ISERROR(I13)</formula>
    </cfRule>
  </conditionalFormatting>
  <hyperlinks>
    <hyperlink ref="G2" location="'Information och Innehåll'!A1" display="Tillbaka till Information och Innehåll"/>
    <hyperlink ref="J6" location="V1.1.1!A1" display="V1.1.1"/>
    <hyperlink ref="J7" location="V1.1.2!A1" display="V1.1.2"/>
    <hyperlink ref="J8" location="V1.1.3!A1" display="V1.1.3"/>
    <hyperlink ref="J9" location="V2.1.1!A1" display="V2.1.1"/>
    <hyperlink ref="J10" location="V2.1.2!A1" display="V2.1.2"/>
    <hyperlink ref="J12" location="V3.1.2!A1" display="V3.1.2"/>
    <hyperlink ref="J11" location="V3.1.1!A1" display="V3.1.1"/>
    <hyperlink ref="J13" location="V3.1.3!A1" display="V3.1.3"/>
    <hyperlink ref="J15" location="V4.1.1!A1" display="V4.1.1"/>
    <hyperlink ref="J16" location="V4.2.1!A1" display="V4.2.1"/>
    <hyperlink ref="J17" location="V4.2.2!A1" display="V4.2.2"/>
    <hyperlink ref="J18" location="V4.2.3!A1" display="V4.2.3"/>
    <hyperlink ref="J19" location="V4.2.4!A1" display="V4.2.4"/>
    <hyperlink ref="J20" location="V5.1.1!A1" display="V5.1.1"/>
    <hyperlink ref="J21" location="V5.1.2!A1" display="V5.1.2"/>
    <hyperlink ref="K6" location="B1.1.1!A1" display="B1.1.1"/>
    <hyperlink ref="K7" location="B1.1.2!A1" display="B1.1.2"/>
    <hyperlink ref="K8" location="B1.2.1!A1" display="B1.2.1"/>
    <hyperlink ref="K9" location="B1.2.2!A1" display="B1.2.2"/>
    <hyperlink ref="K10" location="B1.2.3!A1" display="B1.2.3"/>
    <hyperlink ref="K11" location="B2.1.1!A1" display="B2.1.1"/>
    <hyperlink ref="K13" location="B2.2.1!A1" display="B2.2.1"/>
    <hyperlink ref="K14" location="B2.2.2!A1" display="B2.2.2"/>
    <hyperlink ref="K15" location="B2.2.3!A1" display="B2.2.3"/>
    <hyperlink ref="K16" location="B2.2.4!A1" display="B2.2.4"/>
    <hyperlink ref="K17" location="B3.1.1!A1" display="B3.1.1"/>
    <hyperlink ref="K18" location="B3.1.2!A1" display="B3.1.2"/>
    <hyperlink ref="K21" location="B4.1.1!A1" display="B4.1.1"/>
    <hyperlink ref="K22" location="B5.1.1!A1" display="B5.1.1"/>
    <hyperlink ref="K23" location="B5.1.2!A1" display="B5.1.2"/>
    <hyperlink ref="K24" location="B5.1.3!A1" display="B5.1.3"/>
    <hyperlink ref="K19" location="B3.1.3!A1" display="B3.1.3"/>
    <hyperlink ref="K12" location="B2.1.2!A1" display="B2.1.2"/>
    <hyperlink ref="J22" location="V5.1.3!A1" display="V5.1.3"/>
    <hyperlink ref="K20" location="B3.2.1!A1" display="B3.2.1"/>
    <hyperlink ref="J14" location="B3.2.1!A1" display="V3.2.1"/>
    <hyperlink ref="M6" location="'V1.1.1 DATA'!A1" display="V1.1.1"/>
    <hyperlink ref="M7" location="'V1.1.2 DATA'!A1" display="V1.1.2"/>
    <hyperlink ref="M8" location="'V1.1.3 Data'!A1" display="V1.1.3"/>
    <hyperlink ref="M9" location="'V2.1.1 DATA'!A1" display="V2.1.1"/>
    <hyperlink ref="M10" location="'V2.1.2 DATA'!A1" display="V2.1.2"/>
    <hyperlink ref="M12" location="'V3.1.2 DATA'!A1" display="V3.1.2"/>
    <hyperlink ref="M11" location="'V3.1.1 DATA'!A1" display="V3.1.1"/>
    <hyperlink ref="M13" location="'V3.1.3 DATA'!A1" display="V3.1.3"/>
    <hyperlink ref="M14" location="'V3.2.1 DATA'!A1" display="V3.2.1"/>
    <hyperlink ref="M15" location="'V4.1.1 DATA'!A1" display="V4.1.1"/>
    <hyperlink ref="M16" location="'V4.2.1 DATA'!A1" display="V4.2.1"/>
    <hyperlink ref="M18" location="'V4.2.3 DATA'!A1" display="V4.2.3"/>
    <hyperlink ref="M19" location="'V4.2.4 DATA'!A1" display="V4.2.4"/>
    <hyperlink ref="M20" location="'V5.1.1 DATA'!A1" display="V5.1.1"/>
    <hyperlink ref="M21" location="'V5.1.2 DATA'!A1" display="V5.1.2"/>
    <hyperlink ref="N6" location="'B1.1.1 DATA'!A1" display="B1.1.1"/>
    <hyperlink ref="N7" location="'B1.1.2 DATA'!A1" display="B1.1.2"/>
    <hyperlink ref="N8" location="'B1.2.1 DATA'!A1" display="B1.2.1"/>
    <hyperlink ref="N9" location="'B1.2.2 DATA'!A1" display="B1.2.2"/>
    <hyperlink ref="N10" location="'B1.2.3 DATA'!A1" display="B1.2.3"/>
    <hyperlink ref="N11" location="'B2.1.1 DATA'!A1" display="B2.1.1"/>
    <hyperlink ref="N13" location="'B2.2.1 DATA'!A1" display="B2.2.1"/>
    <hyperlink ref="N14" location="'B2.2.2 DATA'!A1" display="B2.2.2"/>
    <hyperlink ref="N15" location="'B2.2.3 DATA'!A1" display="B2.2.3"/>
    <hyperlink ref="N16" location="'B2.2.4 DATA'!A1" display="B2.2.4"/>
    <hyperlink ref="N17" location="'B3.1.1 DATA'!A1" display="B3.1.1"/>
    <hyperlink ref="N18" location="'B3.1.2 DATA'!A1" display="B3.1.2"/>
    <hyperlink ref="N20" location="'B3.2.1 DATA'!A1" display="B3.2.1"/>
    <hyperlink ref="N21" location="'B4.1.1 DATA'!A1" display="B4.1.1"/>
    <hyperlink ref="N22" location="'B5.1.1 DATA'!A1" display="B5.1.1"/>
    <hyperlink ref="N23" location="'B5.1.2 DATA'!A1" display="B5.1.2"/>
    <hyperlink ref="N24" location="'B5.1.3 DATA'!A1" display="B5.1.3"/>
    <hyperlink ref="N12" location="'B2.1.2 DATA'!A1" display="B2.1.2"/>
    <hyperlink ref="M22" location="'V5.1.3 DATA'!A1" display="V5.1.3"/>
    <hyperlink ref="N19" location="'B3.1.3 DATA'!A1" display="B3.1.3"/>
    <hyperlink ref="M17" location="'V4.2.2 DATA'!A1" display="V4.2.2"/>
  </hyperlinks>
  <pageMargins left="0.7" right="0.7" top="0.75" bottom="0.75" header="0.3" footer="0.3"/>
  <ignoredErrors>
    <ignoredError sqref="C16"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B5DAC7"/>
  </sheetPr>
  <dimension ref="A1:AA63"/>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 min="27" max="30" width="5.53125" customWidth="1"/>
  </cols>
  <sheetData>
    <row r="1" spans="1:24" ht="14.45" customHeight="1">
      <c r="U1" s="9"/>
      <c r="V1" s="9"/>
      <c r="W1" s="9"/>
    </row>
    <row r="2" spans="1:24" ht="14.45" customHeight="1">
      <c r="P2" s="10"/>
      <c r="Q2" s="11"/>
      <c r="R2" s="11"/>
      <c r="U2" s="9"/>
      <c r="V2" s="9"/>
      <c r="W2" s="9"/>
    </row>
    <row r="3" spans="1:24" ht="23.25">
      <c r="B3" s="338" t="s">
        <v>396</v>
      </c>
      <c r="C3" s="338"/>
      <c r="D3" s="338"/>
      <c r="E3" s="338"/>
      <c r="F3" s="338"/>
      <c r="G3" s="338"/>
      <c r="H3" s="338"/>
      <c r="I3" s="338"/>
      <c r="J3" s="338"/>
      <c r="K3" s="338"/>
      <c r="L3" s="338"/>
      <c r="M3" s="338"/>
      <c r="N3" s="338"/>
      <c r="O3" s="338"/>
      <c r="P3" s="338"/>
      <c r="Q3" s="338"/>
      <c r="R3" s="338"/>
      <c r="S3" s="338"/>
      <c r="T3" s="338"/>
      <c r="U3" s="44"/>
      <c r="V3" s="9"/>
      <c r="W3" s="9"/>
    </row>
    <row r="4" spans="1:24" ht="30.75">
      <c r="B4" s="339" t="s">
        <v>473</v>
      </c>
      <c r="C4" s="339"/>
      <c r="D4" s="339"/>
      <c r="E4" s="339"/>
      <c r="F4" s="339"/>
      <c r="G4" s="339"/>
      <c r="H4" s="339"/>
      <c r="I4" s="339"/>
      <c r="J4" s="339"/>
      <c r="K4" s="339"/>
      <c r="L4" s="339"/>
      <c r="M4" s="339"/>
      <c r="N4" s="339"/>
      <c r="O4" s="339"/>
      <c r="P4" s="339"/>
      <c r="Q4" s="339"/>
      <c r="R4" s="339"/>
      <c r="S4" s="339"/>
      <c r="T4" s="339"/>
      <c r="U4" s="45"/>
      <c r="V4" s="9"/>
      <c r="W4" s="9"/>
    </row>
    <row r="5" spans="1:24" ht="18">
      <c r="B5" s="340" t="s">
        <v>8</v>
      </c>
      <c r="C5" s="340"/>
      <c r="D5" s="340"/>
      <c r="E5" s="340"/>
      <c r="F5" s="340"/>
      <c r="G5" s="340"/>
      <c r="H5" s="340"/>
      <c r="I5" s="340"/>
      <c r="J5" s="340"/>
      <c r="K5" s="340"/>
      <c r="L5" s="340"/>
      <c r="M5" s="340"/>
      <c r="N5" s="340"/>
      <c r="O5" s="340"/>
      <c r="P5" s="340"/>
      <c r="Q5" s="340"/>
      <c r="R5" s="340"/>
      <c r="S5" s="340"/>
      <c r="T5" s="340"/>
      <c r="U5" s="46"/>
      <c r="V5" s="9"/>
      <c r="W5" s="9"/>
    </row>
    <row r="6" spans="1:24" ht="14.45" customHeight="1">
      <c r="P6" s="11"/>
      <c r="Q6" s="11"/>
      <c r="R6" s="11"/>
      <c r="U6" s="9"/>
      <c r="V6" s="9"/>
      <c r="W6" s="9"/>
    </row>
    <row r="7" spans="1:24" ht="14.45" customHeight="1">
      <c r="B7" s="26" t="s">
        <v>35</v>
      </c>
      <c r="E7" s="27">
        <v>42977</v>
      </c>
      <c r="P7" s="11"/>
      <c r="Q7" s="11"/>
      <c r="R7" s="342" t="s">
        <v>44</v>
      </c>
      <c r="S7" s="342"/>
      <c r="T7" s="342"/>
      <c r="U7" s="9"/>
      <c r="V7" s="9"/>
      <c r="W7" s="9"/>
    </row>
    <row r="8" spans="1:24" ht="14.45" customHeight="1">
      <c r="P8" s="11"/>
      <c r="Q8" s="11"/>
      <c r="R8" s="11"/>
      <c r="U8" s="9"/>
      <c r="V8" s="9"/>
      <c r="W8" s="9"/>
      <c r="X8" s="9"/>
    </row>
    <row r="9" spans="1:24" ht="23.65" thickBot="1">
      <c r="B9" s="341" t="s">
        <v>7</v>
      </c>
      <c r="C9" s="341"/>
      <c r="D9" s="341"/>
      <c r="E9" s="341"/>
      <c r="F9" s="341"/>
      <c r="G9" s="341"/>
      <c r="H9" s="341"/>
      <c r="I9" s="341"/>
      <c r="J9" s="341"/>
      <c r="K9" s="341"/>
      <c r="L9" s="341"/>
      <c r="N9" s="331" t="s">
        <v>38</v>
      </c>
      <c r="O9" s="331"/>
      <c r="P9" s="331"/>
      <c r="Q9" s="331"/>
      <c r="R9" s="331"/>
      <c r="S9" s="331"/>
      <c r="T9" s="331"/>
      <c r="U9" s="21"/>
      <c r="V9" s="9"/>
      <c r="W9" s="9"/>
      <c r="X9" s="9"/>
    </row>
    <row r="10" spans="1:24" ht="14.45" customHeight="1">
      <c r="B10" s="33"/>
      <c r="C10" s="33"/>
      <c r="D10" s="33"/>
      <c r="E10" s="33"/>
      <c r="F10" s="33"/>
      <c r="G10" s="33"/>
      <c r="H10" s="33"/>
      <c r="I10" s="33"/>
      <c r="J10" s="33"/>
      <c r="K10" s="33"/>
      <c r="L10" s="33"/>
      <c r="N10" s="4"/>
      <c r="O10" s="4"/>
      <c r="P10" s="4"/>
      <c r="Q10" s="4"/>
      <c r="R10" s="4"/>
      <c r="S10" s="4"/>
      <c r="T10" s="4"/>
      <c r="U10" s="9"/>
      <c r="V10" s="9"/>
      <c r="W10" s="9"/>
      <c r="X10" s="9"/>
    </row>
    <row r="11" spans="1:24" ht="14.45" customHeight="1">
      <c r="B11" s="336" t="s">
        <v>40</v>
      </c>
      <c r="C11" s="336"/>
      <c r="D11" s="336"/>
      <c r="E11" s="336"/>
      <c r="F11" s="336"/>
      <c r="G11" s="336"/>
      <c r="H11" s="336"/>
      <c r="I11" s="336"/>
      <c r="J11" s="336"/>
      <c r="K11" s="336"/>
      <c r="L11" s="336"/>
      <c r="N11" s="205" t="s">
        <v>54</v>
      </c>
      <c r="O11" s="205" t="s">
        <v>286</v>
      </c>
      <c r="P11" s="205"/>
      <c r="Q11" s="205"/>
      <c r="V11" s="9"/>
      <c r="W11" s="9"/>
      <c r="X11" s="9"/>
    </row>
    <row r="12" spans="1:24" ht="14.45" customHeight="1">
      <c r="B12" s="1"/>
      <c r="C12" s="337" t="s">
        <v>507</v>
      </c>
      <c r="D12" s="337"/>
      <c r="E12" s="337"/>
      <c r="F12" s="337"/>
      <c r="G12" s="337"/>
      <c r="H12" s="337"/>
      <c r="I12" s="337"/>
      <c r="J12" s="337"/>
      <c r="K12" s="337"/>
      <c r="L12" s="337"/>
      <c r="N12" s="205" t="s">
        <v>287</v>
      </c>
      <c r="O12" s="205" t="s">
        <v>5</v>
      </c>
      <c r="P12" s="205" t="s">
        <v>6</v>
      </c>
      <c r="Q12" s="205" t="s">
        <v>42</v>
      </c>
      <c r="V12" s="9"/>
      <c r="W12" s="9"/>
      <c r="X12" s="9"/>
    </row>
    <row r="13" spans="1:24" ht="14.45" customHeight="1">
      <c r="B13" s="32"/>
      <c r="C13" s="332" t="s">
        <v>508</v>
      </c>
      <c r="D13" s="332"/>
      <c r="E13" s="332"/>
      <c r="F13" s="332"/>
      <c r="G13" s="332"/>
      <c r="H13" s="332"/>
      <c r="I13" s="332"/>
      <c r="J13" s="332"/>
      <c r="K13" s="332"/>
      <c r="L13" s="332"/>
      <c r="N13" s="112">
        <v>2010</v>
      </c>
      <c r="O13" s="205">
        <v>74.3</v>
      </c>
      <c r="P13" s="205">
        <v>101.78</v>
      </c>
      <c r="Q13" s="205">
        <v>88.2</v>
      </c>
      <c r="V13" s="9"/>
      <c r="W13" s="9"/>
      <c r="X13" s="9"/>
    </row>
    <row r="14" spans="1:24" ht="14.45" customHeight="1">
      <c r="B14" s="32"/>
      <c r="C14" s="333" t="s">
        <v>292</v>
      </c>
      <c r="D14" s="333"/>
      <c r="E14" s="333"/>
      <c r="F14" s="333"/>
      <c r="G14" s="333"/>
      <c r="H14" s="333"/>
      <c r="I14" s="333"/>
      <c r="J14" s="333"/>
      <c r="K14" s="333"/>
      <c r="L14" s="333"/>
      <c r="N14" s="112">
        <v>2011</v>
      </c>
      <c r="O14" s="205">
        <v>73.989999999999995</v>
      </c>
      <c r="P14" s="205">
        <v>108.09</v>
      </c>
      <c r="Q14" s="205">
        <v>91.22</v>
      </c>
      <c r="V14" s="9"/>
      <c r="W14" s="9"/>
      <c r="X14" s="9"/>
    </row>
    <row r="15" spans="1:24" ht="14.45" customHeight="1">
      <c r="B15" s="32"/>
      <c r="C15" s="333" t="s">
        <v>510</v>
      </c>
      <c r="D15" s="333"/>
      <c r="E15" s="333"/>
      <c r="F15" s="333"/>
      <c r="G15" s="333"/>
      <c r="H15" s="333"/>
      <c r="I15" s="333"/>
      <c r="J15" s="333"/>
      <c r="K15" s="333"/>
      <c r="L15" s="333"/>
      <c r="N15" s="112">
        <v>2012</v>
      </c>
      <c r="O15" s="205">
        <v>76.62</v>
      </c>
      <c r="P15" s="205">
        <v>110.6</v>
      </c>
      <c r="Q15" s="205">
        <v>93.78</v>
      </c>
      <c r="V15" s="9"/>
      <c r="W15" s="9"/>
      <c r="X15" s="9"/>
    </row>
    <row r="16" spans="1:24" ht="14.45" customHeight="1">
      <c r="A16" s="3"/>
      <c r="B16" s="32"/>
      <c r="C16" s="47"/>
      <c r="D16" s="47"/>
      <c r="E16" s="47"/>
      <c r="F16" s="47"/>
      <c r="G16" s="47"/>
      <c r="H16" s="47"/>
      <c r="I16" s="47"/>
      <c r="J16" s="47"/>
      <c r="K16" s="47"/>
      <c r="L16" s="32"/>
      <c r="N16" s="112">
        <v>2013</v>
      </c>
      <c r="O16" s="205">
        <v>66.27</v>
      </c>
      <c r="P16" s="205">
        <v>86.89</v>
      </c>
      <c r="Q16" s="205">
        <v>76.680000000000007</v>
      </c>
      <c r="V16" s="9"/>
      <c r="W16" s="9"/>
      <c r="X16" s="9"/>
    </row>
    <row r="17" spans="1:26" ht="14.45" customHeight="1">
      <c r="A17" s="3"/>
      <c r="B17" s="336" t="s">
        <v>41</v>
      </c>
      <c r="C17" s="336"/>
      <c r="D17" s="336"/>
      <c r="E17" s="336"/>
      <c r="F17" s="336"/>
      <c r="G17" s="336"/>
      <c r="H17" s="336"/>
      <c r="I17" s="336"/>
      <c r="J17" s="336"/>
      <c r="K17" s="336"/>
      <c r="L17" s="336"/>
      <c r="N17" s="112">
        <v>2014</v>
      </c>
      <c r="O17" s="205">
        <v>63.88</v>
      </c>
      <c r="P17" s="205">
        <v>91.38</v>
      </c>
      <c r="Q17" s="205">
        <v>77.75</v>
      </c>
      <c r="V17" s="9"/>
      <c r="W17" s="9"/>
      <c r="X17" s="9"/>
    </row>
    <row r="18" spans="1:26" ht="14.45" customHeight="1">
      <c r="A18" s="3"/>
      <c r="B18" s="1"/>
      <c r="C18" s="333" t="s">
        <v>295</v>
      </c>
      <c r="D18" s="333"/>
      <c r="E18" s="333"/>
      <c r="F18" s="333"/>
      <c r="G18" s="333"/>
      <c r="H18" s="333"/>
      <c r="I18" s="333"/>
      <c r="J18" s="333"/>
      <c r="K18" s="333"/>
      <c r="L18" s="333"/>
      <c r="N18" s="112">
        <v>2015</v>
      </c>
      <c r="O18" s="205">
        <v>67.760000000000005</v>
      </c>
      <c r="P18" s="205">
        <v>94.38</v>
      </c>
      <c r="Q18" s="205">
        <v>81.16</v>
      </c>
      <c r="V18" s="9"/>
      <c r="W18" s="9"/>
      <c r="X18" s="9"/>
    </row>
    <row r="19" spans="1:26" ht="14.45" customHeight="1">
      <c r="A19" s="3"/>
      <c r="B19" s="32"/>
      <c r="C19" s="333" t="s">
        <v>296</v>
      </c>
      <c r="D19" s="333"/>
      <c r="E19" s="333"/>
      <c r="F19" s="333"/>
      <c r="G19" s="333"/>
      <c r="H19" s="333"/>
      <c r="I19" s="333"/>
      <c r="J19" s="333"/>
      <c r="K19" s="333"/>
      <c r="L19" s="333"/>
      <c r="N19" s="112">
        <v>2016</v>
      </c>
      <c r="O19" s="205"/>
      <c r="P19" s="205"/>
      <c r="Q19" s="205"/>
      <c r="V19" s="9"/>
      <c r="W19" s="9"/>
      <c r="X19" s="9"/>
    </row>
    <row r="20" spans="1:26" ht="14.45" customHeight="1">
      <c r="A20" s="3"/>
      <c r="B20" s="32"/>
      <c r="C20" s="333" t="s">
        <v>371</v>
      </c>
      <c r="D20" s="333"/>
      <c r="E20" s="333"/>
      <c r="F20" s="333"/>
      <c r="G20" s="333"/>
      <c r="H20" s="333"/>
      <c r="I20" s="333"/>
      <c r="J20" s="333"/>
      <c r="K20" s="333"/>
      <c r="L20" s="333"/>
      <c r="N20" s="112">
        <v>2017</v>
      </c>
      <c r="O20" s="205"/>
      <c r="P20" s="205"/>
      <c r="Q20" s="205"/>
      <c r="V20" s="9"/>
      <c r="W20" s="9"/>
      <c r="X20" s="9"/>
    </row>
    <row r="21" spans="1:26" ht="14.45" customHeight="1">
      <c r="A21" s="3"/>
      <c r="B21" s="32"/>
      <c r="C21" s="58" t="str">
        <f>"--&gt;"</f>
        <v>--&gt;</v>
      </c>
      <c r="D21" s="334" t="s">
        <v>52</v>
      </c>
      <c r="E21" s="334"/>
      <c r="F21" s="334"/>
      <c r="G21" s="334"/>
      <c r="H21" s="334"/>
      <c r="I21" s="334"/>
      <c r="J21" s="334"/>
      <c r="K21" s="334"/>
      <c r="L21" s="334"/>
      <c r="N21" s="112">
        <v>2018</v>
      </c>
      <c r="O21" s="205"/>
      <c r="P21" s="205"/>
      <c r="Q21" s="205"/>
      <c r="V21" s="9"/>
      <c r="W21" s="9"/>
      <c r="X21" s="9"/>
    </row>
    <row r="22" spans="1:26" ht="14.45" customHeight="1">
      <c r="A22" s="3"/>
      <c r="B22" s="32"/>
      <c r="C22" s="32"/>
      <c r="D22" s="334"/>
      <c r="E22" s="334"/>
      <c r="F22" s="334"/>
      <c r="G22" s="334"/>
      <c r="H22" s="334"/>
      <c r="I22" s="334"/>
      <c r="J22" s="334"/>
      <c r="K22" s="334"/>
      <c r="L22" s="334"/>
      <c r="N22" s="112">
        <v>2019</v>
      </c>
      <c r="O22" s="205"/>
      <c r="P22" s="205"/>
      <c r="Q22" s="205"/>
      <c r="V22" s="9"/>
      <c r="W22" s="9"/>
      <c r="X22" s="9"/>
    </row>
    <row r="23" spans="1:26" ht="14.45" customHeight="1">
      <c r="A23" s="3"/>
      <c r="B23" s="32"/>
      <c r="C23" s="333" t="s">
        <v>357</v>
      </c>
      <c r="D23" s="333"/>
      <c r="E23" s="333"/>
      <c r="F23" s="333"/>
      <c r="G23" s="333"/>
      <c r="H23" s="333"/>
      <c r="I23" s="333"/>
      <c r="J23" s="333"/>
      <c r="K23" s="333"/>
      <c r="L23" s="333"/>
      <c r="N23" s="112">
        <v>2020</v>
      </c>
      <c r="O23" s="205"/>
      <c r="P23" s="205"/>
      <c r="Q23" s="205"/>
      <c r="V23" s="9"/>
      <c r="W23" s="9"/>
      <c r="X23" s="9"/>
    </row>
    <row r="24" spans="1:26" ht="14.45" customHeight="1">
      <c r="A24" s="3"/>
      <c r="B24" s="32"/>
      <c r="C24" s="333"/>
      <c r="D24" s="333"/>
      <c r="E24" s="333"/>
      <c r="F24" s="333"/>
      <c r="G24" s="333"/>
      <c r="H24" s="333"/>
      <c r="I24" s="333"/>
      <c r="J24" s="333"/>
      <c r="K24" s="333"/>
      <c r="L24" s="333"/>
      <c r="N24" s="112">
        <v>2021</v>
      </c>
      <c r="O24" s="205"/>
      <c r="P24" s="205"/>
      <c r="Q24" s="205"/>
      <c r="V24" s="9"/>
      <c r="W24" s="9"/>
      <c r="X24" s="9"/>
    </row>
    <row r="25" spans="1:26" ht="14.45" customHeight="1">
      <c r="A25" s="3"/>
      <c r="B25" s="32"/>
      <c r="C25" s="333"/>
      <c r="D25" s="333"/>
      <c r="E25" s="333"/>
      <c r="F25" s="333"/>
      <c r="G25" s="333"/>
      <c r="H25" s="333"/>
      <c r="I25" s="333"/>
      <c r="J25" s="333"/>
      <c r="K25" s="333"/>
      <c r="L25" s="333"/>
      <c r="N25" s="112">
        <v>2022</v>
      </c>
      <c r="O25" s="205"/>
      <c r="P25" s="205"/>
      <c r="Q25" s="205"/>
      <c r="V25" s="9"/>
      <c r="W25" s="9"/>
      <c r="X25" s="9"/>
    </row>
    <row r="26" spans="1:26" ht="14.45" customHeight="1">
      <c r="A26" s="3"/>
      <c r="B26" s="32"/>
      <c r="C26" s="335" t="s">
        <v>298</v>
      </c>
      <c r="D26" s="335"/>
      <c r="E26" s="335"/>
      <c r="F26" s="335"/>
      <c r="G26" s="335"/>
      <c r="H26" s="335"/>
      <c r="I26" s="335"/>
      <c r="J26" s="335"/>
      <c r="K26" s="335"/>
      <c r="L26" s="335"/>
      <c r="N26" s="112">
        <v>2023</v>
      </c>
      <c r="O26" s="205"/>
      <c r="P26" s="205"/>
      <c r="Q26" s="205"/>
      <c r="V26" s="9"/>
      <c r="W26" s="9"/>
      <c r="X26" s="9"/>
    </row>
    <row r="27" spans="1:26" ht="14.45" customHeight="1">
      <c r="B27" s="47"/>
      <c r="C27" s="335"/>
      <c r="D27" s="335"/>
      <c r="E27" s="335"/>
      <c r="F27" s="335"/>
      <c r="G27" s="335"/>
      <c r="H27" s="335"/>
      <c r="I27" s="335"/>
      <c r="J27" s="335"/>
      <c r="K27" s="335"/>
      <c r="L27" s="335"/>
      <c r="N27" s="112">
        <v>2024</v>
      </c>
      <c r="O27" s="205"/>
      <c r="P27" s="205"/>
      <c r="Q27" s="205"/>
      <c r="V27" s="9"/>
      <c r="W27" s="9"/>
      <c r="X27" s="9"/>
    </row>
    <row r="28" spans="1:26" ht="14.45" customHeight="1">
      <c r="B28" s="47"/>
      <c r="C28" s="335"/>
      <c r="D28" s="335"/>
      <c r="E28" s="335"/>
      <c r="F28" s="335"/>
      <c r="G28" s="335"/>
      <c r="H28" s="335"/>
      <c r="I28" s="335"/>
      <c r="J28" s="335"/>
      <c r="K28" s="335"/>
      <c r="L28" s="335"/>
      <c r="N28" s="112">
        <v>2025</v>
      </c>
      <c r="O28" s="205"/>
      <c r="P28" s="205"/>
      <c r="Q28" s="205"/>
      <c r="V28" s="9"/>
      <c r="W28" s="9"/>
      <c r="X28" s="9"/>
    </row>
    <row r="29" spans="1:26" ht="14.45" customHeight="1">
      <c r="B29" s="47"/>
      <c r="C29" s="47"/>
      <c r="D29" s="47"/>
      <c r="E29" s="47"/>
      <c r="F29" s="47"/>
      <c r="G29" s="47"/>
      <c r="H29" s="47"/>
      <c r="I29" s="47"/>
      <c r="J29" s="47"/>
      <c r="K29" s="47"/>
      <c r="L29" s="47"/>
      <c r="U29" s="9"/>
      <c r="V29" s="9"/>
      <c r="W29" s="9"/>
      <c r="X29" s="9"/>
    </row>
    <row r="30" spans="1:26" ht="14.45" customHeight="1">
      <c r="B30" s="4"/>
      <c r="C30" s="1"/>
      <c r="D30" s="1"/>
      <c r="E30" s="1"/>
      <c r="F30" s="1"/>
      <c r="G30" s="1"/>
      <c r="H30" s="1"/>
      <c r="I30" s="1"/>
      <c r="J30" s="1"/>
      <c r="K30" s="1"/>
      <c r="L30" s="1"/>
      <c r="M30" s="9"/>
      <c r="N30" s="4"/>
      <c r="O30" s="34"/>
      <c r="P30" s="35"/>
      <c r="Q30" s="35"/>
      <c r="R30" s="35"/>
      <c r="S30" s="35"/>
      <c r="T30" s="4"/>
      <c r="U30" s="9"/>
      <c r="V30" s="9"/>
      <c r="W30" s="9"/>
      <c r="X30" s="9"/>
    </row>
    <row r="31" spans="1:26">
      <c r="A31" s="3"/>
      <c r="U31" s="9"/>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U32" s="21"/>
      <c r="V32" s="321" t="s">
        <v>46</v>
      </c>
      <c r="W32" s="321"/>
      <c r="X32" s="11"/>
      <c r="Y32" s="318" t="s">
        <v>46</v>
      </c>
      <c r="Z32" s="318"/>
    </row>
    <row r="33" spans="1:26">
      <c r="A33" s="3"/>
      <c r="B33" s="1"/>
      <c r="C33" s="1"/>
      <c r="D33" s="1"/>
      <c r="E33" s="1"/>
      <c r="F33" s="1"/>
      <c r="G33" s="1"/>
      <c r="H33" s="1"/>
      <c r="I33" s="1"/>
      <c r="J33" s="1"/>
      <c r="K33" s="1"/>
      <c r="L33" s="1"/>
      <c r="M33" s="1"/>
      <c r="N33" s="1"/>
      <c r="O33" s="1"/>
      <c r="P33" s="1"/>
      <c r="Q33" s="1"/>
      <c r="R33" s="1"/>
      <c r="S33" s="1"/>
      <c r="T33" s="1"/>
      <c r="U33" s="9"/>
      <c r="V33" s="319" t="s">
        <v>65</v>
      </c>
      <c r="W33" s="320"/>
      <c r="X33" s="11"/>
      <c r="Y33" s="319" t="s">
        <v>66</v>
      </c>
      <c r="Z33" s="320"/>
    </row>
    <row r="34" spans="1:26">
      <c r="B34" s="1"/>
      <c r="C34" s="1"/>
      <c r="D34" s="1"/>
      <c r="E34" s="1"/>
      <c r="F34" s="1"/>
      <c r="G34" s="1"/>
      <c r="H34" s="1"/>
      <c r="I34" s="1"/>
      <c r="J34" s="1"/>
      <c r="K34" s="1"/>
      <c r="L34" s="1"/>
      <c r="M34" s="1"/>
      <c r="N34" s="1"/>
      <c r="O34" s="1"/>
      <c r="P34" s="1"/>
      <c r="Q34" s="1"/>
      <c r="R34" s="1"/>
      <c r="S34" s="1"/>
      <c r="T34" s="1"/>
      <c r="U34" s="9"/>
      <c r="V34" s="56" t="s">
        <v>61</v>
      </c>
      <c r="W34" s="56" t="s">
        <v>62</v>
      </c>
      <c r="X34" s="11"/>
      <c r="Y34" s="56" t="s">
        <v>61</v>
      </c>
      <c r="Z34" s="56" t="s">
        <v>62</v>
      </c>
    </row>
    <row r="35" spans="1:26">
      <c r="B35" s="1"/>
      <c r="C35" s="1"/>
      <c r="D35" s="1"/>
      <c r="E35" s="1"/>
      <c r="F35" s="1"/>
      <c r="G35" s="1"/>
      <c r="H35" s="1"/>
      <c r="I35" s="1"/>
      <c r="J35" s="1"/>
      <c r="K35" s="1"/>
      <c r="L35" s="1"/>
      <c r="M35" s="1"/>
      <c r="N35" s="1"/>
      <c r="O35" s="1"/>
      <c r="P35" s="1"/>
      <c r="Q35" s="1"/>
      <c r="R35" s="1"/>
      <c r="S35" s="1"/>
      <c r="T35" s="1"/>
      <c r="U35" s="9"/>
      <c r="V35" s="244" t="s">
        <v>392</v>
      </c>
      <c r="W35" s="244" t="s">
        <v>448</v>
      </c>
      <c r="X35" s="11"/>
      <c r="Y35" s="244" t="s">
        <v>392</v>
      </c>
      <c r="Z35" s="244" t="s">
        <v>448</v>
      </c>
    </row>
    <row r="36" spans="1:26">
      <c r="B36" s="1"/>
      <c r="C36" s="1"/>
      <c r="D36" s="1"/>
      <c r="E36" s="1"/>
      <c r="F36" s="1"/>
      <c r="G36" s="1"/>
      <c r="H36" s="1"/>
      <c r="I36" s="1"/>
      <c r="J36" s="1"/>
      <c r="K36" s="1"/>
      <c r="L36" s="1"/>
      <c r="M36" s="1"/>
      <c r="N36" s="1"/>
      <c r="O36" s="1"/>
      <c r="P36" s="1"/>
      <c r="Q36" s="1"/>
      <c r="R36" s="1"/>
      <c r="S36" s="1"/>
      <c r="T36" s="1"/>
      <c r="U36" s="9"/>
      <c r="V36" s="244" t="s">
        <v>393</v>
      </c>
      <c r="W36" s="244" t="s">
        <v>449</v>
      </c>
      <c r="X36" s="11"/>
      <c r="Y36" s="244" t="s">
        <v>393</v>
      </c>
      <c r="Z36" s="244" t="s">
        <v>449</v>
      </c>
    </row>
    <row r="37" spans="1:26">
      <c r="B37" s="1"/>
      <c r="C37" s="1"/>
      <c r="D37" s="1"/>
      <c r="E37" s="1"/>
      <c r="F37" s="1"/>
      <c r="G37" s="1"/>
      <c r="H37" s="1"/>
      <c r="I37" s="1"/>
      <c r="J37" s="1"/>
      <c r="K37" s="1"/>
      <c r="L37" s="1"/>
      <c r="M37" s="1"/>
      <c r="N37" s="1"/>
      <c r="O37" s="1"/>
      <c r="P37" s="1"/>
      <c r="Q37" s="1"/>
      <c r="R37" s="1"/>
      <c r="S37" s="1"/>
      <c r="T37" s="1"/>
      <c r="U37" s="9"/>
      <c r="V37" s="244" t="s">
        <v>394</v>
      </c>
      <c r="W37" s="244" t="s">
        <v>450</v>
      </c>
      <c r="X37" s="11"/>
      <c r="Y37" s="244" t="s">
        <v>394</v>
      </c>
      <c r="Z37" s="244" t="s">
        <v>450</v>
      </c>
    </row>
    <row r="38" spans="1:26">
      <c r="B38" s="1"/>
      <c r="C38" s="1"/>
      <c r="D38" s="1"/>
      <c r="E38" s="1"/>
      <c r="F38" s="1"/>
      <c r="G38" s="1"/>
      <c r="H38" s="1"/>
      <c r="I38" s="1"/>
      <c r="J38" s="1"/>
      <c r="K38" s="1"/>
      <c r="L38" s="1"/>
      <c r="M38" s="1"/>
      <c r="N38" s="1"/>
      <c r="O38" s="1"/>
      <c r="P38" s="1"/>
      <c r="Q38" s="1"/>
      <c r="R38" s="1"/>
      <c r="S38" s="1"/>
      <c r="T38" s="1"/>
      <c r="U38" s="9"/>
      <c r="V38" s="244" t="s">
        <v>434</v>
      </c>
      <c r="W38" s="244" t="s">
        <v>451</v>
      </c>
      <c r="X38" s="11"/>
      <c r="Y38" s="244" t="s">
        <v>434</v>
      </c>
      <c r="Z38" s="244" t="s">
        <v>451</v>
      </c>
    </row>
    <row r="39" spans="1:26">
      <c r="B39" s="1"/>
      <c r="C39" s="1"/>
      <c r="D39" s="1"/>
      <c r="E39" s="1"/>
      <c r="F39" s="1"/>
      <c r="G39" s="1"/>
      <c r="H39" s="1"/>
      <c r="I39" s="1"/>
      <c r="J39" s="1"/>
      <c r="K39" s="1"/>
      <c r="L39" s="1"/>
      <c r="M39" s="1"/>
      <c r="N39" s="1"/>
      <c r="O39" s="1"/>
      <c r="P39" s="1"/>
      <c r="Q39" s="1"/>
      <c r="R39" s="1"/>
      <c r="S39" s="1"/>
      <c r="T39" s="1"/>
      <c r="U39" s="9"/>
      <c r="V39" s="244" t="s">
        <v>435</v>
      </c>
      <c r="W39" s="244" t="s">
        <v>452</v>
      </c>
      <c r="Y39" s="244" t="s">
        <v>435</v>
      </c>
      <c r="Z39" s="244" t="s">
        <v>452</v>
      </c>
    </row>
    <row r="40" spans="1:26">
      <c r="B40" s="1"/>
      <c r="C40" s="1"/>
      <c r="D40" s="1"/>
      <c r="E40" s="1"/>
      <c r="F40" s="1"/>
      <c r="G40" s="1"/>
      <c r="H40" s="1"/>
      <c r="I40" s="1"/>
      <c r="J40" s="1"/>
      <c r="K40" s="1"/>
      <c r="L40" s="1"/>
      <c r="M40" s="1"/>
      <c r="N40" s="1"/>
      <c r="O40" s="1"/>
      <c r="P40" s="1"/>
      <c r="Q40" s="1"/>
      <c r="R40" s="1"/>
      <c r="S40" s="1"/>
      <c r="T40" s="1"/>
      <c r="U40" s="9"/>
      <c r="V40" s="244" t="s">
        <v>436</v>
      </c>
      <c r="W40" s="244" t="s">
        <v>453</v>
      </c>
      <c r="Y40" s="244" t="s">
        <v>436</v>
      </c>
      <c r="Z40" s="244" t="s">
        <v>453</v>
      </c>
    </row>
    <row r="41" spans="1:26">
      <c r="B41" s="1"/>
      <c r="C41" s="1"/>
      <c r="D41" s="1"/>
      <c r="E41" s="1"/>
      <c r="F41" s="1"/>
      <c r="G41" s="1"/>
      <c r="H41" s="1"/>
      <c r="I41" s="1"/>
      <c r="J41" s="1"/>
      <c r="K41" s="1"/>
      <c r="L41" s="1"/>
      <c r="M41" s="1"/>
      <c r="N41" s="1"/>
      <c r="O41" s="1"/>
      <c r="P41" s="1"/>
      <c r="Q41" s="1"/>
      <c r="R41" s="1"/>
      <c r="S41" s="1"/>
      <c r="T41" s="1"/>
      <c r="U41" s="9"/>
      <c r="V41" s="244" t="s">
        <v>437</v>
      </c>
      <c r="W41" s="245" t="s">
        <v>454</v>
      </c>
      <c r="Y41" s="244" t="s">
        <v>437</v>
      </c>
      <c r="Z41" s="245" t="s">
        <v>454</v>
      </c>
    </row>
    <row r="42" spans="1:26">
      <c r="B42" s="1"/>
      <c r="C42" s="1"/>
      <c r="D42" s="1"/>
      <c r="E42" s="1"/>
      <c r="F42" s="1"/>
      <c r="G42" s="1"/>
      <c r="H42" s="1"/>
      <c r="I42" s="1"/>
      <c r="J42" s="1"/>
      <c r="K42" s="1"/>
      <c r="L42" s="1"/>
      <c r="M42" s="1"/>
      <c r="N42" s="1"/>
      <c r="O42" s="1"/>
      <c r="P42" s="1"/>
      <c r="Q42" s="1"/>
      <c r="R42" s="1"/>
      <c r="S42" s="1"/>
      <c r="T42" s="1"/>
      <c r="U42" s="9"/>
      <c r="V42" s="244" t="s">
        <v>438</v>
      </c>
      <c r="W42" s="244" t="s">
        <v>455</v>
      </c>
      <c r="Y42" s="244" t="s">
        <v>438</v>
      </c>
      <c r="Z42" s="244" t="s">
        <v>455</v>
      </c>
    </row>
    <row r="43" spans="1:26">
      <c r="B43" s="1"/>
      <c r="C43" s="1"/>
      <c r="D43" s="1"/>
      <c r="E43" s="1"/>
      <c r="F43" s="1"/>
      <c r="G43" s="1"/>
      <c r="H43" s="1"/>
      <c r="I43" s="1"/>
      <c r="J43" s="1"/>
      <c r="K43" s="1"/>
      <c r="L43" s="1"/>
      <c r="M43" s="1"/>
      <c r="N43" s="1"/>
      <c r="O43" s="1"/>
      <c r="P43" s="1"/>
      <c r="Q43" s="1"/>
      <c r="R43" s="1"/>
      <c r="S43" s="1"/>
      <c r="T43" s="1"/>
      <c r="U43" s="9"/>
      <c r="V43" s="245" t="s">
        <v>439</v>
      </c>
      <c r="W43" s="244" t="s">
        <v>456</v>
      </c>
      <c r="Y43" s="244" t="s">
        <v>439</v>
      </c>
      <c r="Z43" s="244" t="s">
        <v>456</v>
      </c>
    </row>
    <row r="44" spans="1:26">
      <c r="B44" s="1"/>
      <c r="C44" s="1"/>
      <c r="D44" s="1"/>
      <c r="E44" s="1"/>
      <c r="F44" s="1"/>
      <c r="G44" s="1"/>
      <c r="H44" s="1"/>
      <c r="I44" s="1"/>
      <c r="J44" s="1"/>
      <c r="K44" s="1"/>
      <c r="L44" s="1"/>
      <c r="M44" s="1"/>
      <c r="N44" s="1"/>
      <c r="O44" s="1"/>
      <c r="P44" s="1"/>
      <c r="Q44" s="1"/>
      <c r="R44" s="1"/>
      <c r="S44" s="1"/>
      <c r="T44" s="1"/>
      <c r="U44" s="9"/>
      <c r="V44" s="244" t="s">
        <v>440</v>
      </c>
      <c r="W44" s="244" t="s">
        <v>457</v>
      </c>
      <c r="Y44" s="244" t="s">
        <v>440</v>
      </c>
      <c r="Z44" s="244" t="s">
        <v>457</v>
      </c>
    </row>
    <row r="45" spans="1:26">
      <c r="B45" s="1"/>
      <c r="C45" s="1"/>
      <c r="D45" s="1"/>
      <c r="E45" s="1"/>
      <c r="F45" s="1"/>
      <c r="G45" s="1"/>
      <c r="H45" s="1"/>
      <c r="I45" s="1"/>
      <c r="J45" s="1"/>
      <c r="K45" s="1"/>
      <c r="L45" s="1"/>
      <c r="M45" s="1"/>
      <c r="N45" s="1"/>
      <c r="O45" s="1"/>
      <c r="P45" s="1"/>
      <c r="Q45" s="1"/>
      <c r="R45" s="1"/>
      <c r="S45" s="1"/>
      <c r="T45" s="1"/>
      <c r="U45" s="9"/>
      <c r="V45" s="244" t="s">
        <v>441</v>
      </c>
      <c r="W45" s="244" t="s">
        <v>458</v>
      </c>
      <c r="Y45" s="244" t="s">
        <v>441</v>
      </c>
      <c r="Z45" s="244" t="s">
        <v>458</v>
      </c>
    </row>
    <row r="46" spans="1:26">
      <c r="B46" s="1"/>
      <c r="C46" s="1"/>
      <c r="D46" s="1"/>
      <c r="E46" s="1"/>
      <c r="F46" s="1"/>
      <c r="G46" s="1"/>
      <c r="H46" s="1"/>
      <c r="I46" s="1"/>
      <c r="J46" s="1"/>
      <c r="K46" s="1"/>
      <c r="L46" s="1"/>
      <c r="M46" s="1"/>
      <c r="N46" s="1"/>
      <c r="O46" s="1"/>
      <c r="P46" s="1"/>
      <c r="Q46" s="1"/>
      <c r="R46" s="1"/>
      <c r="S46" s="1"/>
      <c r="T46" s="1"/>
      <c r="U46" s="9"/>
      <c r="V46" s="244" t="s">
        <v>442</v>
      </c>
      <c r="W46" s="244" t="s">
        <v>459</v>
      </c>
      <c r="Y46" s="244" t="s">
        <v>442</v>
      </c>
      <c r="Z46" s="244" t="s">
        <v>459</v>
      </c>
    </row>
    <row r="47" spans="1:26">
      <c r="B47" s="1"/>
      <c r="C47" s="1"/>
      <c r="D47" s="1"/>
      <c r="E47" s="1"/>
      <c r="F47" s="1"/>
      <c r="G47" s="1"/>
      <c r="H47" s="1"/>
      <c r="I47" s="1"/>
      <c r="J47" s="1"/>
      <c r="K47" s="1"/>
      <c r="L47" s="1"/>
      <c r="M47" s="1"/>
      <c r="N47" s="1"/>
      <c r="O47" s="1"/>
      <c r="P47" s="1"/>
      <c r="Q47" s="1"/>
      <c r="R47" s="1"/>
      <c r="S47" s="1"/>
      <c r="T47" s="1"/>
      <c r="U47" s="9"/>
      <c r="V47" s="244" t="s">
        <v>443</v>
      </c>
      <c r="W47" s="244" t="s">
        <v>460</v>
      </c>
      <c r="Y47" s="244" t="s">
        <v>443</v>
      </c>
      <c r="Z47" s="244" t="s">
        <v>460</v>
      </c>
    </row>
    <row r="48" spans="1:26">
      <c r="B48" s="1"/>
      <c r="C48" s="1"/>
      <c r="D48" s="1"/>
      <c r="E48" s="1"/>
      <c r="F48" s="1"/>
      <c r="G48" s="1"/>
      <c r="H48" s="1"/>
      <c r="I48" s="1"/>
      <c r="J48" s="1"/>
      <c r="K48" s="1"/>
      <c r="L48" s="1"/>
      <c r="M48" s="1"/>
      <c r="N48" s="1"/>
      <c r="O48" s="1"/>
      <c r="P48" s="1"/>
      <c r="Q48" s="1"/>
      <c r="R48" s="1"/>
      <c r="S48" s="1"/>
      <c r="T48" s="1"/>
      <c r="U48" s="9"/>
      <c r="V48" s="244" t="s">
        <v>444</v>
      </c>
      <c r="W48" s="245" t="s">
        <v>461</v>
      </c>
      <c r="Y48" s="244" t="s">
        <v>444</v>
      </c>
      <c r="Z48" s="245" t="s">
        <v>461</v>
      </c>
    </row>
    <row r="49" spans="1:27">
      <c r="B49" s="1"/>
      <c r="C49" s="1"/>
      <c r="D49" s="1"/>
      <c r="E49" s="1"/>
      <c r="F49" s="1"/>
      <c r="G49" s="1"/>
      <c r="H49" s="1"/>
      <c r="I49" s="1"/>
      <c r="J49" s="1"/>
      <c r="K49" s="1"/>
      <c r="L49" s="1"/>
      <c r="M49" s="1"/>
      <c r="N49" s="1"/>
      <c r="O49" s="1"/>
      <c r="P49" s="1"/>
      <c r="Q49" s="1"/>
      <c r="R49" s="1"/>
      <c r="S49" s="1"/>
      <c r="T49" s="1"/>
      <c r="U49" s="9"/>
      <c r="V49" s="244" t="s">
        <v>445</v>
      </c>
      <c r="W49" s="244" t="s">
        <v>462</v>
      </c>
      <c r="Y49" s="244" t="s">
        <v>445</v>
      </c>
      <c r="Z49" s="244" t="s">
        <v>462</v>
      </c>
    </row>
    <row r="50" spans="1:27">
      <c r="B50" s="1"/>
      <c r="C50" s="1"/>
      <c r="D50" s="1"/>
      <c r="E50" s="1"/>
      <c r="F50" s="1"/>
      <c r="G50" s="1"/>
      <c r="H50" s="1"/>
      <c r="I50" s="1"/>
      <c r="J50" s="1"/>
      <c r="K50" s="1"/>
      <c r="L50" s="1"/>
      <c r="M50" s="1"/>
      <c r="N50" s="1"/>
      <c r="O50" s="1"/>
      <c r="P50" s="1"/>
      <c r="Q50" s="1"/>
      <c r="R50" s="1"/>
      <c r="S50" s="1"/>
      <c r="T50" s="1"/>
      <c r="U50" s="9"/>
      <c r="V50" s="246" t="s">
        <v>446</v>
      </c>
      <c r="W50" s="244" t="s">
        <v>463</v>
      </c>
      <c r="Y50" s="246" t="s">
        <v>446</v>
      </c>
      <c r="Z50" s="244" t="s">
        <v>463</v>
      </c>
    </row>
    <row r="51" spans="1:27">
      <c r="B51" s="1"/>
      <c r="C51" s="1"/>
      <c r="D51" s="1"/>
      <c r="E51" s="1"/>
      <c r="F51" s="1"/>
      <c r="G51" s="1"/>
      <c r="H51" s="1"/>
      <c r="I51" s="1"/>
      <c r="J51" s="1"/>
      <c r="K51" s="1"/>
      <c r="L51" s="1"/>
      <c r="M51" s="1"/>
      <c r="N51" s="1"/>
      <c r="O51" s="1"/>
      <c r="P51" s="1"/>
      <c r="Q51" s="1"/>
      <c r="R51" s="1"/>
      <c r="S51" s="1"/>
      <c r="T51" s="1"/>
      <c r="U51" s="9"/>
      <c r="V51" s="247" t="s">
        <v>447</v>
      </c>
      <c r="W51" s="244" t="s">
        <v>464</v>
      </c>
      <c r="Y51" s="247" t="s">
        <v>447</v>
      </c>
      <c r="Z51" s="244" t="s">
        <v>464</v>
      </c>
    </row>
    <row r="52" spans="1:27">
      <c r="B52" s="1"/>
      <c r="C52" s="1"/>
      <c r="D52" s="1"/>
      <c r="E52" s="1"/>
      <c r="F52" s="1"/>
      <c r="G52" s="1"/>
      <c r="H52" s="1"/>
      <c r="I52" s="1"/>
      <c r="J52" s="1"/>
      <c r="K52" s="1"/>
      <c r="L52" s="1"/>
      <c r="M52" s="1"/>
      <c r="N52" s="1"/>
      <c r="O52" s="1"/>
      <c r="P52" s="1"/>
      <c r="Q52" s="1"/>
      <c r="R52" s="1"/>
      <c r="S52" s="1"/>
      <c r="T52" s="1"/>
      <c r="U52" s="9"/>
      <c r="V52" s="295"/>
      <c r="W52" s="244" t="s">
        <v>465</v>
      </c>
      <c r="X52" s="6"/>
      <c r="Y52" s="284"/>
      <c r="Z52" s="244" t="s">
        <v>465</v>
      </c>
      <c r="AA52" s="6"/>
    </row>
    <row r="53" spans="1:27">
      <c r="B53" s="1"/>
      <c r="C53" s="1"/>
      <c r="D53" s="1"/>
      <c r="E53" s="1"/>
      <c r="F53" s="1"/>
      <c r="G53" s="1"/>
      <c r="H53" s="1"/>
      <c r="I53" s="1"/>
      <c r="J53" s="1"/>
      <c r="K53" s="1"/>
      <c r="L53" s="1"/>
      <c r="M53" s="1"/>
      <c r="N53" s="1"/>
      <c r="O53" s="1"/>
      <c r="P53" s="1"/>
      <c r="Q53" s="1"/>
      <c r="R53" s="1"/>
      <c r="S53" s="1"/>
      <c r="T53" s="1"/>
      <c r="U53" s="9"/>
      <c r="V53" s="204"/>
      <c r="W53" s="248" t="s">
        <v>466</v>
      </c>
      <c r="X53" s="6"/>
      <c r="Y53" s="257"/>
      <c r="Z53" s="258" t="s">
        <v>466</v>
      </c>
      <c r="AA53" s="6"/>
    </row>
    <row r="54" spans="1:27">
      <c r="B54" s="119"/>
      <c r="C54" s="119"/>
      <c r="D54" s="119"/>
      <c r="E54" s="119"/>
      <c r="F54" s="119"/>
      <c r="G54" s="119"/>
      <c r="H54" s="119"/>
      <c r="I54" s="119"/>
      <c r="J54" s="119"/>
      <c r="K54" s="119"/>
      <c r="L54" s="119"/>
      <c r="M54" s="119"/>
      <c r="N54" s="119"/>
      <c r="O54" s="119"/>
      <c r="P54" s="119"/>
      <c r="Q54" s="119"/>
      <c r="R54" s="119"/>
      <c r="S54" s="119"/>
      <c r="T54" s="119"/>
      <c r="U54" s="9"/>
      <c r="V54" s="250"/>
      <c r="W54" s="251"/>
      <c r="X54" s="6"/>
      <c r="Y54" s="250"/>
      <c r="Z54" s="251"/>
      <c r="AA54" s="6"/>
    </row>
    <row r="55" spans="1:27">
      <c r="B55" s="119"/>
      <c r="C55" s="119"/>
      <c r="D55" s="119"/>
      <c r="E55" s="119"/>
      <c r="F55" s="119"/>
      <c r="G55" s="119"/>
      <c r="H55" s="119"/>
      <c r="I55" s="119"/>
      <c r="J55" s="119"/>
      <c r="K55" s="119"/>
      <c r="L55" s="119"/>
      <c r="M55" s="119"/>
      <c r="N55" s="119"/>
      <c r="O55" s="119"/>
      <c r="P55" s="119"/>
      <c r="Q55" s="119"/>
      <c r="R55" s="119"/>
      <c r="S55" s="119"/>
      <c r="T55" s="119"/>
      <c r="U55" s="9"/>
      <c r="V55" s="249"/>
      <c r="W55" s="251"/>
      <c r="X55" s="6"/>
      <c r="Y55" s="249"/>
      <c r="Z55" s="251"/>
      <c r="AA55" s="6"/>
    </row>
    <row r="56" spans="1:27">
      <c r="U56" s="9"/>
      <c r="V56" s="6"/>
      <c r="W56" s="6"/>
      <c r="X56" s="6"/>
      <c r="Y56" s="6"/>
      <c r="Z56" s="6"/>
      <c r="AA56" s="6"/>
    </row>
    <row r="57" spans="1:27">
      <c r="U57" s="9"/>
      <c r="V57" s="9"/>
      <c r="W57" s="9"/>
    </row>
    <row r="58" spans="1:27">
      <c r="U58" s="9"/>
      <c r="V58" s="9"/>
      <c r="W58" s="9"/>
    </row>
    <row r="59" spans="1:27">
      <c r="U59" s="9"/>
      <c r="V59" s="9"/>
      <c r="W59" s="9"/>
    </row>
    <row r="60" spans="1:27">
      <c r="U60" s="9"/>
      <c r="V60" s="9"/>
      <c r="W60" s="9"/>
    </row>
    <row r="61" spans="1:27">
      <c r="A61" s="9"/>
      <c r="B61" s="9"/>
      <c r="D61" s="9"/>
      <c r="E61" s="9"/>
      <c r="F61" s="9"/>
      <c r="G61" s="9"/>
      <c r="H61" s="9"/>
      <c r="I61" s="9"/>
      <c r="J61" s="9"/>
      <c r="K61" s="9"/>
      <c r="L61" s="9"/>
      <c r="M61" s="9"/>
      <c r="N61" s="9"/>
      <c r="O61" s="9"/>
      <c r="P61" s="9"/>
      <c r="Q61" s="9"/>
      <c r="R61" s="9"/>
      <c r="S61" s="9"/>
      <c r="T61" s="9"/>
      <c r="U61" s="9"/>
      <c r="V61" s="9"/>
      <c r="W61" s="9"/>
    </row>
    <row r="62" spans="1:27">
      <c r="A62" s="9"/>
      <c r="B62" s="9"/>
      <c r="C62" s="9"/>
      <c r="D62" s="9"/>
      <c r="E62" s="9"/>
      <c r="F62" s="9"/>
      <c r="G62" s="9"/>
      <c r="H62" s="9"/>
      <c r="I62" s="9"/>
      <c r="J62" s="9"/>
      <c r="K62" s="9"/>
      <c r="L62" s="9"/>
      <c r="M62" s="9"/>
      <c r="N62" s="9"/>
      <c r="O62" s="9"/>
      <c r="P62" s="9"/>
      <c r="Q62" s="9"/>
      <c r="R62" s="9"/>
      <c r="S62" s="9"/>
      <c r="T62" s="9"/>
      <c r="U62" s="9"/>
      <c r="V62" s="9"/>
      <c r="W62" s="9"/>
    </row>
    <row r="63" spans="1:27">
      <c r="C63" s="9"/>
    </row>
  </sheetData>
  <sheetProtection sort="0" autoFilter="0" pivotTables="0"/>
  <mergeCells count="23">
    <mergeCell ref="C14:L14"/>
    <mergeCell ref="B3:T3"/>
    <mergeCell ref="B4:T4"/>
    <mergeCell ref="B5:T5"/>
    <mergeCell ref="B9:L9"/>
    <mergeCell ref="N9:T9"/>
    <mergeCell ref="R7:T7"/>
    <mergeCell ref="Y32:Z32"/>
    <mergeCell ref="Y33:Z33"/>
    <mergeCell ref="V33:W33"/>
    <mergeCell ref="B11:L11"/>
    <mergeCell ref="C12:L12"/>
    <mergeCell ref="C13:L13"/>
    <mergeCell ref="B17:L17"/>
    <mergeCell ref="B32:T32"/>
    <mergeCell ref="V32:W32"/>
    <mergeCell ref="D21:L22"/>
    <mergeCell ref="C23:L25"/>
    <mergeCell ref="C26:L28"/>
    <mergeCell ref="C20:L20"/>
    <mergeCell ref="C19:L19"/>
    <mergeCell ref="C18:L18"/>
    <mergeCell ref="C15:L15"/>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18366"/>
  </sheetPr>
  <dimension ref="A2:AA55"/>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406</v>
      </c>
      <c r="C3" s="338"/>
      <c r="D3" s="338"/>
      <c r="E3" s="338"/>
      <c r="F3" s="338"/>
      <c r="G3" s="338"/>
      <c r="H3" s="338"/>
      <c r="I3" s="338"/>
      <c r="J3" s="338"/>
      <c r="K3" s="338"/>
      <c r="L3" s="338"/>
      <c r="M3" s="338"/>
      <c r="N3" s="338"/>
      <c r="O3" s="338"/>
      <c r="P3" s="338"/>
      <c r="Q3" s="338"/>
      <c r="R3" s="338"/>
      <c r="S3" s="338"/>
      <c r="T3" s="338"/>
    </row>
    <row r="4" spans="1:20" ht="30.75">
      <c r="B4" s="366" t="s">
        <v>488</v>
      </c>
      <c r="C4" s="366"/>
      <c r="D4" s="366"/>
      <c r="E4" s="366"/>
      <c r="F4" s="366"/>
      <c r="G4" s="366"/>
      <c r="H4" s="366"/>
      <c r="I4" s="366"/>
      <c r="J4" s="366"/>
      <c r="K4" s="366"/>
      <c r="L4" s="366"/>
      <c r="M4" s="366"/>
      <c r="N4" s="366"/>
      <c r="O4" s="366"/>
      <c r="P4" s="366"/>
      <c r="Q4" s="366"/>
      <c r="R4" s="366"/>
      <c r="S4" s="366"/>
      <c r="T4" s="366"/>
    </row>
    <row r="5" spans="1:20" ht="18">
      <c r="B5" s="340" t="s">
        <v>8</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31"/>
      <c r="O10" s="31"/>
      <c r="P10" s="31"/>
      <c r="Q10" s="31"/>
      <c r="R10" s="31"/>
      <c r="S10" s="31"/>
      <c r="T10" s="31"/>
    </row>
    <row r="11" spans="1:20">
      <c r="B11" s="336" t="s">
        <v>40</v>
      </c>
      <c r="C11" s="336"/>
      <c r="D11" s="336"/>
      <c r="E11" s="336"/>
      <c r="F11" s="336"/>
      <c r="G11" s="336"/>
      <c r="H11" s="336"/>
      <c r="I11" s="336"/>
      <c r="J11" s="336"/>
      <c r="K11" s="336"/>
      <c r="L11" s="336"/>
      <c r="N11" s="111" t="s">
        <v>211</v>
      </c>
      <c r="O11" s="111" t="s">
        <v>286</v>
      </c>
    </row>
    <row r="12" spans="1:20">
      <c r="B12" s="1"/>
      <c r="C12" s="337" t="s">
        <v>568</v>
      </c>
      <c r="D12" s="337"/>
      <c r="E12" s="337"/>
      <c r="F12" s="337"/>
      <c r="G12" s="337"/>
      <c r="H12" s="337"/>
      <c r="I12" s="337"/>
      <c r="J12" s="337"/>
      <c r="K12" s="337"/>
      <c r="L12" s="337"/>
      <c r="N12" s="111" t="s">
        <v>287</v>
      </c>
      <c r="O12" s="111" t="s">
        <v>247</v>
      </c>
    </row>
    <row r="13" spans="1:20">
      <c r="B13" s="32"/>
      <c r="C13" s="332" t="s">
        <v>569</v>
      </c>
      <c r="D13" s="332"/>
      <c r="E13" s="332"/>
      <c r="F13" s="332"/>
      <c r="G13" s="332"/>
      <c r="H13" s="332"/>
      <c r="I13" s="332"/>
      <c r="J13" s="332"/>
      <c r="K13" s="332"/>
      <c r="L13" s="332"/>
      <c r="N13" s="112">
        <v>2014</v>
      </c>
      <c r="O13" s="111">
        <v>0.64</v>
      </c>
    </row>
    <row r="14" spans="1:20">
      <c r="B14" s="32"/>
      <c r="C14" s="333" t="s">
        <v>292</v>
      </c>
      <c r="D14" s="333"/>
      <c r="E14" s="333"/>
      <c r="F14" s="333"/>
      <c r="G14" s="333"/>
      <c r="H14" s="333"/>
      <c r="I14" s="333"/>
      <c r="J14" s="333"/>
      <c r="K14" s="333"/>
      <c r="L14" s="333"/>
      <c r="N14" s="112">
        <v>2015</v>
      </c>
      <c r="O14" s="111">
        <v>0.66</v>
      </c>
    </row>
    <row r="15" spans="1:20">
      <c r="B15" s="32"/>
      <c r="C15" s="333" t="s">
        <v>572</v>
      </c>
      <c r="D15" s="333"/>
      <c r="E15" s="333"/>
      <c r="F15" s="333"/>
      <c r="G15" s="333"/>
      <c r="H15" s="333"/>
      <c r="I15" s="333"/>
      <c r="J15" s="333"/>
      <c r="K15" s="333"/>
      <c r="L15" s="333"/>
      <c r="N15" s="112">
        <v>2016</v>
      </c>
      <c r="O15" s="111">
        <v>0.66</v>
      </c>
    </row>
    <row r="16" spans="1:20">
      <c r="A16" s="3"/>
      <c r="B16" s="32"/>
      <c r="C16" s="47"/>
      <c r="D16" s="47"/>
      <c r="E16" s="47"/>
      <c r="F16" s="47"/>
      <c r="G16" s="47"/>
      <c r="H16" s="47"/>
      <c r="I16" s="47"/>
      <c r="J16" s="47"/>
      <c r="K16" s="47"/>
      <c r="L16" s="32"/>
      <c r="N16" s="112">
        <v>2017</v>
      </c>
      <c r="O16" s="111"/>
    </row>
    <row r="17" spans="1:26">
      <c r="A17" s="3"/>
      <c r="B17" s="336" t="s">
        <v>41</v>
      </c>
      <c r="C17" s="336"/>
      <c r="D17" s="336"/>
      <c r="E17" s="336"/>
      <c r="F17" s="336"/>
      <c r="G17" s="336"/>
      <c r="H17" s="336"/>
      <c r="I17" s="336"/>
      <c r="J17" s="336"/>
      <c r="K17" s="336"/>
      <c r="L17" s="336"/>
      <c r="N17" s="112">
        <v>2018</v>
      </c>
      <c r="O17" s="111"/>
    </row>
    <row r="18" spans="1:26">
      <c r="A18" s="3"/>
      <c r="B18" s="1"/>
      <c r="C18" s="333" t="s">
        <v>295</v>
      </c>
      <c r="D18" s="333"/>
      <c r="E18" s="333"/>
      <c r="F18" s="333"/>
      <c r="G18" s="333"/>
      <c r="H18" s="333"/>
      <c r="I18" s="333"/>
      <c r="J18" s="333"/>
      <c r="K18" s="333"/>
      <c r="L18" s="333"/>
      <c r="N18" s="112">
        <v>2019</v>
      </c>
      <c r="O18" s="111"/>
    </row>
    <row r="19" spans="1:26">
      <c r="A19" s="3"/>
      <c r="B19" s="32"/>
      <c r="C19" s="333" t="s">
        <v>318</v>
      </c>
      <c r="D19" s="333"/>
      <c r="E19" s="333"/>
      <c r="F19" s="333"/>
      <c r="G19" s="333"/>
      <c r="H19" s="333"/>
      <c r="I19" s="333"/>
      <c r="J19" s="333"/>
      <c r="K19" s="333"/>
      <c r="L19" s="333"/>
      <c r="N19" s="112">
        <v>2020</v>
      </c>
      <c r="O19" s="111"/>
    </row>
    <row r="20" spans="1:26">
      <c r="A20" s="3"/>
      <c r="B20" s="32"/>
      <c r="C20" s="333" t="s">
        <v>369</v>
      </c>
      <c r="D20" s="333"/>
      <c r="E20" s="333"/>
      <c r="F20" s="333"/>
      <c r="G20" s="333"/>
      <c r="H20" s="333"/>
      <c r="I20" s="333"/>
      <c r="J20" s="333"/>
      <c r="K20" s="333"/>
      <c r="L20" s="333"/>
      <c r="N20" s="112">
        <v>2021</v>
      </c>
      <c r="O20" s="111"/>
    </row>
    <row r="21" spans="1:26">
      <c r="A21" s="3"/>
      <c r="B21" s="32"/>
      <c r="C21" s="58" t="str">
        <f>"--&gt;"</f>
        <v>--&gt;</v>
      </c>
      <c r="D21" s="334" t="s">
        <v>284</v>
      </c>
      <c r="E21" s="334"/>
      <c r="F21" s="334"/>
      <c r="G21" s="334"/>
      <c r="H21" s="334"/>
      <c r="I21" s="334"/>
      <c r="J21" s="334"/>
      <c r="K21" s="334"/>
      <c r="L21" s="334"/>
      <c r="N21" s="112">
        <v>2022</v>
      </c>
      <c r="O21" s="111"/>
    </row>
    <row r="22" spans="1:26">
      <c r="A22" s="3"/>
      <c r="B22" s="32"/>
      <c r="C22" s="32"/>
      <c r="D22" s="334"/>
      <c r="E22" s="334"/>
      <c r="F22" s="334"/>
      <c r="G22" s="334"/>
      <c r="H22" s="334"/>
      <c r="I22" s="334"/>
      <c r="J22" s="334"/>
      <c r="K22" s="334"/>
      <c r="L22" s="334"/>
      <c r="N22" s="112">
        <v>2023</v>
      </c>
      <c r="O22" s="111"/>
    </row>
    <row r="23" spans="1:26">
      <c r="A23" s="3"/>
      <c r="B23" s="32"/>
      <c r="C23" s="333" t="s">
        <v>356</v>
      </c>
      <c r="D23" s="333"/>
      <c r="E23" s="333"/>
      <c r="F23" s="333"/>
      <c r="G23" s="333"/>
      <c r="H23" s="333"/>
      <c r="I23" s="333"/>
      <c r="J23" s="333"/>
      <c r="K23" s="333"/>
      <c r="L23" s="333"/>
      <c r="N23" s="112">
        <v>2024</v>
      </c>
      <c r="O23" s="111"/>
    </row>
    <row r="24" spans="1:26">
      <c r="A24" s="3"/>
      <c r="B24" s="32"/>
      <c r="C24" s="333"/>
      <c r="D24" s="333"/>
      <c r="E24" s="333"/>
      <c r="F24" s="333"/>
      <c r="G24" s="333"/>
      <c r="H24" s="333"/>
      <c r="I24" s="333"/>
      <c r="J24" s="333"/>
      <c r="K24" s="333"/>
      <c r="L24" s="333"/>
      <c r="N24" s="112">
        <v>2025</v>
      </c>
      <c r="O24" s="111"/>
      <c r="S24" s="11"/>
      <c r="T24" s="11"/>
    </row>
    <row r="25" spans="1:26">
      <c r="A25" s="3"/>
      <c r="B25" s="32"/>
      <c r="C25" s="333"/>
      <c r="D25" s="333"/>
      <c r="E25" s="333"/>
      <c r="F25" s="333"/>
      <c r="G25" s="333"/>
      <c r="H25" s="333"/>
      <c r="I25" s="333"/>
      <c r="J25" s="333"/>
      <c r="K25" s="333"/>
      <c r="L25" s="333"/>
      <c r="S25" s="11"/>
      <c r="T25" s="11"/>
    </row>
    <row r="26" spans="1:26" ht="15" customHeight="1">
      <c r="A26" s="3"/>
      <c r="B26" s="51"/>
      <c r="C26" s="335" t="s">
        <v>320</v>
      </c>
      <c r="D26" s="335"/>
      <c r="E26" s="335"/>
      <c r="F26" s="335"/>
      <c r="G26" s="335"/>
      <c r="H26" s="335"/>
      <c r="I26" s="335"/>
      <c r="J26" s="335"/>
      <c r="K26" s="335"/>
      <c r="L26" s="335"/>
      <c r="S26" s="11"/>
      <c r="T26" s="11"/>
    </row>
    <row r="27" spans="1:26">
      <c r="B27" s="52"/>
      <c r="C27" s="335"/>
      <c r="D27" s="335"/>
      <c r="E27" s="335"/>
      <c r="F27" s="335"/>
      <c r="G27" s="335"/>
      <c r="H27" s="335"/>
      <c r="I27" s="335"/>
      <c r="J27" s="335"/>
      <c r="K27" s="335"/>
      <c r="L27" s="335"/>
      <c r="Q27" s="2"/>
      <c r="S27" s="11"/>
      <c r="T27" s="11"/>
    </row>
    <row r="28" spans="1:26">
      <c r="B28" s="83"/>
      <c r="C28" s="351"/>
      <c r="D28" s="351"/>
      <c r="E28" s="351"/>
      <c r="F28" s="351"/>
      <c r="G28" s="351"/>
      <c r="H28" s="351"/>
      <c r="I28" s="351"/>
      <c r="J28" s="351"/>
      <c r="K28" s="351"/>
      <c r="L28" s="351"/>
      <c r="Q28" s="2"/>
      <c r="S28" s="11"/>
      <c r="T28" s="11"/>
    </row>
    <row r="29" spans="1:26">
      <c r="B29" s="54"/>
      <c r="C29" s="351"/>
      <c r="D29" s="351"/>
      <c r="E29" s="351"/>
      <c r="F29" s="351"/>
      <c r="G29" s="351"/>
      <c r="H29" s="351"/>
      <c r="I29" s="351"/>
      <c r="J29" s="351"/>
      <c r="K29" s="351"/>
      <c r="L29" s="351"/>
      <c r="S29" s="11"/>
      <c r="T29" s="11"/>
    </row>
    <row r="30" spans="1:26">
      <c r="B30" s="54"/>
      <c r="C30" s="77"/>
      <c r="D30" s="77"/>
      <c r="E30" s="77"/>
      <c r="F30" s="77"/>
      <c r="G30" s="77"/>
      <c r="H30" s="77"/>
      <c r="I30" s="77"/>
      <c r="J30" s="77"/>
      <c r="K30" s="77"/>
      <c r="L30" s="77"/>
      <c r="M30" s="9"/>
      <c r="N30" s="31"/>
      <c r="O30" s="34"/>
      <c r="P30" s="35"/>
      <c r="Q30" s="35"/>
      <c r="R30" s="35"/>
      <c r="S30" s="35"/>
      <c r="T30" s="31"/>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7">
      <c r="B34" s="1"/>
      <c r="C34" s="1"/>
      <c r="D34" s="1"/>
      <c r="E34" s="1"/>
      <c r="F34" s="1"/>
      <c r="G34" s="1"/>
      <c r="H34" s="1"/>
      <c r="I34" s="1"/>
      <c r="J34" s="1"/>
      <c r="K34" s="1"/>
      <c r="L34" s="1"/>
      <c r="M34" s="1"/>
      <c r="N34" s="1"/>
      <c r="O34" s="1"/>
      <c r="P34" s="1"/>
      <c r="Q34" s="1"/>
      <c r="R34" s="1"/>
      <c r="S34" s="1"/>
      <c r="T34" s="1"/>
      <c r="V34" s="56" t="s">
        <v>61</v>
      </c>
      <c r="W34" s="56" t="s">
        <v>62</v>
      </c>
      <c r="X34" s="11"/>
      <c r="Y34" s="56" t="s">
        <v>61</v>
      </c>
      <c r="Z34" s="56" t="s">
        <v>62</v>
      </c>
    </row>
    <row r="35" spans="1:27">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7">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7">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7">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7">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7">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7">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7">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7">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7">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7">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7">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row>
    <row r="47" spans="1:27">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c r="AA47" s="9"/>
    </row>
    <row r="48" spans="1:27">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c r="AA48" s="9"/>
    </row>
    <row r="49" spans="2:27">
      <c r="B49" s="1"/>
      <c r="C49" s="1"/>
      <c r="D49" s="1"/>
      <c r="E49" s="1"/>
      <c r="F49" s="1"/>
      <c r="G49" s="1"/>
      <c r="H49" s="1"/>
      <c r="I49" s="1"/>
      <c r="J49" s="1"/>
      <c r="K49" s="1"/>
      <c r="L49" s="1"/>
      <c r="M49" s="1"/>
      <c r="N49" s="1"/>
      <c r="O49" s="1"/>
      <c r="P49" s="1"/>
      <c r="Q49" s="1"/>
      <c r="R49" s="1"/>
      <c r="S49" s="1"/>
      <c r="T49" s="1"/>
      <c r="V49" s="244" t="s">
        <v>445</v>
      </c>
      <c r="W49" s="244" t="s">
        <v>462</v>
      </c>
      <c r="X49" s="9"/>
      <c r="Y49" s="244" t="s">
        <v>445</v>
      </c>
      <c r="Z49" s="244" t="s">
        <v>462</v>
      </c>
      <c r="AA49" s="9"/>
    </row>
    <row r="50" spans="2:27">
      <c r="B50" s="1"/>
      <c r="C50" s="1"/>
      <c r="D50" s="1"/>
      <c r="E50" s="1"/>
      <c r="F50" s="1"/>
      <c r="G50" s="1"/>
      <c r="H50" s="1"/>
      <c r="I50" s="1"/>
      <c r="J50" s="1"/>
      <c r="K50" s="1"/>
      <c r="L50" s="1"/>
      <c r="M50" s="1"/>
      <c r="N50" s="1"/>
      <c r="O50" s="1"/>
      <c r="P50" s="1"/>
      <c r="Q50" s="1"/>
      <c r="R50" s="1"/>
      <c r="S50" s="1"/>
      <c r="T50" s="1"/>
      <c r="V50" s="246" t="s">
        <v>446</v>
      </c>
      <c r="W50" s="244" t="s">
        <v>463</v>
      </c>
      <c r="X50" s="9"/>
      <c r="Y50" s="246" t="s">
        <v>446</v>
      </c>
      <c r="Z50" s="244" t="s">
        <v>463</v>
      </c>
      <c r="AA50" s="9"/>
    </row>
    <row r="51" spans="2:27">
      <c r="B51" s="1"/>
      <c r="C51" s="1"/>
      <c r="D51" s="1"/>
      <c r="E51" s="1"/>
      <c r="F51" s="1"/>
      <c r="G51" s="1"/>
      <c r="H51" s="1"/>
      <c r="I51" s="1"/>
      <c r="J51" s="1"/>
      <c r="K51" s="1"/>
      <c r="L51" s="1"/>
      <c r="M51" s="1"/>
      <c r="N51" s="1"/>
      <c r="O51" s="1"/>
      <c r="P51" s="1"/>
      <c r="Q51" s="1"/>
      <c r="R51" s="1"/>
      <c r="S51" s="1"/>
      <c r="T51" s="1"/>
      <c r="V51" s="247" t="s">
        <v>447</v>
      </c>
      <c r="W51" s="244" t="s">
        <v>464</v>
      </c>
      <c r="X51" s="9"/>
      <c r="Y51" s="247" t="s">
        <v>447</v>
      </c>
      <c r="Z51" s="244" t="s">
        <v>464</v>
      </c>
      <c r="AA51" s="9"/>
    </row>
    <row r="52" spans="2:27">
      <c r="B52" s="1"/>
      <c r="C52" s="1"/>
      <c r="D52" s="1"/>
      <c r="E52" s="1"/>
      <c r="F52" s="1"/>
      <c r="G52" s="1"/>
      <c r="H52" s="1"/>
      <c r="I52" s="1"/>
      <c r="J52" s="1"/>
      <c r="K52" s="1"/>
      <c r="L52" s="1"/>
      <c r="M52" s="1"/>
      <c r="N52" s="1"/>
      <c r="O52" s="1"/>
      <c r="P52" s="1"/>
      <c r="Q52" s="1"/>
      <c r="R52" s="1"/>
      <c r="S52" s="1"/>
      <c r="T52" s="1"/>
      <c r="V52" s="295"/>
      <c r="W52" s="244" t="s">
        <v>465</v>
      </c>
      <c r="X52" s="9"/>
      <c r="Y52" s="284"/>
      <c r="Z52" s="244" t="s">
        <v>465</v>
      </c>
      <c r="AA52" s="9"/>
    </row>
    <row r="53" spans="2:27">
      <c r="B53" s="1"/>
      <c r="C53" s="1"/>
      <c r="D53" s="1"/>
      <c r="E53" s="1"/>
      <c r="F53" s="1"/>
      <c r="G53" s="1"/>
      <c r="H53" s="1"/>
      <c r="I53" s="1"/>
      <c r="J53" s="1"/>
      <c r="K53" s="1"/>
      <c r="L53" s="1"/>
      <c r="M53" s="1"/>
      <c r="N53" s="1"/>
      <c r="O53" s="1"/>
      <c r="P53" s="1"/>
      <c r="Q53" s="1"/>
      <c r="R53" s="1"/>
      <c r="S53" s="1"/>
      <c r="T53" s="1"/>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sheetData>
  <mergeCells count="24">
    <mergeCell ref="B11:L11"/>
    <mergeCell ref="C12:L12"/>
    <mergeCell ref="C13:L13"/>
    <mergeCell ref="C14:L14"/>
    <mergeCell ref="B3:T3"/>
    <mergeCell ref="B4:T4"/>
    <mergeCell ref="B5:T5"/>
    <mergeCell ref="R7:T7"/>
    <mergeCell ref="B9:L9"/>
    <mergeCell ref="N9:T9"/>
    <mergeCell ref="Y32:Z32"/>
    <mergeCell ref="Y33:Z33"/>
    <mergeCell ref="V33:W33"/>
    <mergeCell ref="C15:L15"/>
    <mergeCell ref="B17:L17"/>
    <mergeCell ref="C18:L18"/>
    <mergeCell ref="C19:L19"/>
    <mergeCell ref="C20:L20"/>
    <mergeCell ref="D21:L22"/>
    <mergeCell ref="C26:L27"/>
    <mergeCell ref="C28:L29"/>
    <mergeCell ref="C23:L25"/>
    <mergeCell ref="B32:T32"/>
    <mergeCell ref="V32:W32"/>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pageSetup paperSize="9" orientation="portrait"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B49073"/>
  </sheetPr>
  <dimension ref="A1:AZ98"/>
  <sheetViews>
    <sheetView showGridLines="0" showRowColHeaders="0" zoomScale="70" zoomScaleNormal="70" workbookViewId="0"/>
  </sheetViews>
  <sheetFormatPr defaultRowHeight="14.25"/>
  <cols>
    <col min="1" max="1" width="15.796875" customWidth="1"/>
    <col min="2" max="2" width="26.796875" customWidth="1"/>
    <col min="3" max="52" width="12.796875" customWidth="1"/>
  </cols>
  <sheetData>
    <row r="1" spans="1:52" ht="15.75">
      <c r="A1" s="16" t="s">
        <v>246</v>
      </c>
      <c r="B1" s="84"/>
      <c r="C1" s="84"/>
      <c r="D1" s="84"/>
      <c r="E1" s="84"/>
      <c r="F1" s="84"/>
      <c r="G1" s="84"/>
    </row>
    <row r="2" spans="1:52" ht="15.75">
      <c r="A2" s="26" t="s">
        <v>34</v>
      </c>
      <c r="C2" s="27">
        <v>42977</v>
      </c>
      <c r="K2" s="342" t="s">
        <v>44</v>
      </c>
      <c r="L2" s="342"/>
      <c r="M2" s="342"/>
    </row>
    <row r="3" spans="1:52" ht="23.25">
      <c r="A3" s="354" t="s">
        <v>7</v>
      </c>
      <c r="B3" s="354"/>
      <c r="C3" s="354"/>
      <c r="D3" s="354"/>
      <c r="E3" s="354"/>
      <c r="F3" s="354"/>
      <c r="G3" s="354"/>
      <c r="H3" s="354"/>
      <c r="I3" s="198"/>
      <c r="J3" s="198"/>
      <c r="K3" s="198"/>
      <c r="L3" s="198"/>
      <c r="M3" s="198"/>
    </row>
    <row r="4" spans="1:52">
      <c r="A4" s="119"/>
      <c r="B4" s="119"/>
      <c r="C4" s="119"/>
      <c r="D4" s="119"/>
      <c r="E4" s="119"/>
      <c r="F4" s="119"/>
      <c r="G4" s="119"/>
      <c r="H4" s="119"/>
      <c r="I4" s="119"/>
      <c r="J4" s="119"/>
      <c r="K4" s="119"/>
      <c r="L4" s="119"/>
      <c r="M4" s="119"/>
    </row>
    <row r="5" spans="1:52">
      <c r="A5" s="119"/>
      <c r="B5" s="352" t="s">
        <v>374</v>
      </c>
      <c r="C5" s="352"/>
      <c r="D5" s="352"/>
      <c r="E5" s="352"/>
      <c r="F5" s="352"/>
      <c r="G5" s="352"/>
      <c r="H5" s="352"/>
      <c r="I5" s="352"/>
      <c r="J5" s="352"/>
      <c r="K5" s="352"/>
      <c r="L5" s="352"/>
      <c r="M5" s="119"/>
    </row>
    <row r="6" spans="1:52">
      <c r="A6" s="119"/>
      <c r="B6" s="352" t="s">
        <v>331</v>
      </c>
      <c r="C6" s="352"/>
      <c r="D6" s="352"/>
      <c r="E6" s="352"/>
      <c r="F6" s="352"/>
      <c r="G6" s="352"/>
      <c r="H6" s="352"/>
      <c r="I6" s="352"/>
      <c r="J6" s="352"/>
      <c r="K6" s="352"/>
      <c r="L6" s="352"/>
      <c r="M6" s="119"/>
    </row>
    <row r="7" spans="1:52">
      <c r="A7" s="119"/>
      <c r="B7" s="353" t="s">
        <v>570</v>
      </c>
      <c r="C7" s="353"/>
      <c r="D7" s="353"/>
      <c r="E7" s="353"/>
      <c r="F7" s="353"/>
      <c r="G7" s="353"/>
      <c r="H7" s="353"/>
      <c r="I7" s="353"/>
      <c r="J7" s="353"/>
      <c r="K7" s="353"/>
      <c r="L7" s="353"/>
      <c r="M7" s="119"/>
    </row>
    <row r="8" spans="1:52">
      <c r="A8" s="119"/>
      <c r="B8" s="353" t="s">
        <v>571</v>
      </c>
      <c r="C8" s="353"/>
      <c r="D8" s="353"/>
      <c r="E8" s="353"/>
      <c r="F8" s="353"/>
      <c r="G8" s="353"/>
      <c r="H8" s="353"/>
      <c r="I8" s="353"/>
      <c r="J8" s="353"/>
      <c r="K8" s="353"/>
      <c r="L8" s="353"/>
      <c r="M8" s="119"/>
    </row>
    <row r="9" spans="1:52">
      <c r="A9" s="119"/>
      <c r="B9" s="353"/>
      <c r="C9" s="353"/>
      <c r="D9" s="353"/>
      <c r="E9" s="353"/>
      <c r="F9" s="353"/>
      <c r="G9" s="353"/>
      <c r="H9" s="353"/>
      <c r="I9" s="353"/>
      <c r="J9" s="353"/>
      <c r="K9" s="353"/>
      <c r="L9" s="353"/>
      <c r="M9" s="119"/>
    </row>
    <row r="10" spans="1:52" ht="15.75">
      <c r="A10" s="26"/>
      <c r="C10" s="27"/>
    </row>
    <row r="11" spans="1:52">
      <c r="A11" s="133" t="s">
        <v>2</v>
      </c>
      <c r="B11" s="133" t="s">
        <v>203</v>
      </c>
      <c r="C11" s="141" t="s">
        <v>159</v>
      </c>
      <c r="D11" s="142" t="s">
        <v>194</v>
      </c>
      <c r="E11" s="142" t="s">
        <v>189</v>
      </c>
      <c r="F11" s="141" t="s">
        <v>184</v>
      </c>
      <c r="G11" s="141" t="s">
        <v>182</v>
      </c>
      <c r="H11" s="141" t="s">
        <v>141</v>
      </c>
      <c r="I11" s="141" t="s">
        <v>163</v>
      </c>
      <c r="J11" s="141" t="s">
        <v>164</v>
      </c>
      <c r="K11" s="141" t="s">
        <v>143</v>
      </c>
      <c r="L11" s="141" t="s">
        <v>165</v>
      </c>
      <c r="M11" s="141" t="s">
        <v>166</v>
      </c>
      <c r="N11" s="141" t="s">
        <v>154</v>
      </c>
      <c r="O11" s="141" t="s">
        <v>167</v>
      </c>
      <c r="P11" s="141" t="s">
        <v>181</v>
      </c>
      <c r="Q11" s="141" t="s">
        <v>168</v>
      </c>
      <c r="R11" s="141" t="s">
        <v>155</v>
      </c>
      <c r="S11" s="141" t="s">
        <v>169</v>
      </c>
      <c r="T11" s="141" t="s">
        <v>160</v>
      </c>
      <c r="U11" s="141" t="s">
        <v>179</v>
      </c>
      <c r="V11" s="141" t="s">
        <v>170</v>
      </c>
      <c r="W11" s="141" t="s">
        <v>152</v>
      </c>
      <c r="X11" s="141" t="s">
        <v>146</v>
      </c>
      <c r="Y11" s="141" t="s">
        <v>171</v>
      </c>
      <c r="Z11" s="141" t="s">
        <v>185</v>
      </c>
      <c r="AA11" s="141" t="s">
        <v>142</v>
      </c>
      <c r="AB11" s="141" t="s">
        <v>148</v>
      </c>
      <c r="AC11" s="141" t="s">
        <v>156</v>
      </c>
      <c r="AD11" s="141" t="s">
        <v>149</v>
      </c>
      <c r="AE11" s="141" t="s">
        <v>157</v>
      </c>
      <c r="AF11" s="141" t="s">
        <v>172</v>
      </c>
      <c r="AG11" s="141" t="s">
        <v>173</v>
      </c>
      <c r="AH11" s="141" t="s">
        <v>147</v>
      </c>
      <c r="AI11" s="142" t="s">
        <v>193</v>
      </c>
      <c r="AJ11" s="142" t="s">
        <v>190</v>
      </c>
      <c r="AK11" s="143" t="s">
        <v>187</v>
      </c>
      <c r="AL11" s="141" t="s">
        <v>145</v>
      </c>
      <c r="AM11" s="141" t="s">
        <v>174</v>
      </c>
      <c r="AN11" s="141" t="s">
        <v>175</v>
      </c>
      <c r="AO11" s="141" t="s">
        <v>161</v>
      </c>
      <c r="AP11" s="141" t="s">
        <v>186</v>
      </c>
      <c r="AQ11" s="142" t="s">
        <v>191</v>
      </c>
      <c r="AR11" s="141" t="s">
        <v>176</v>
      </c>
      <c r="AS11" s="141" t="s">
        <v>150</v>
      </c>
      <c r="AT11" s="141" t="s">
        <v>183</v>
      </c>
      <c r="AU11" s="141" t="s">
        <v>177</v>
      </c>
      <c r="AV11" s="141" t="s">
        <v>180</v>
      </c>
      <c r="AW11" s="141" t="s">
        <v>151</v>
      </c>
      <c r="AX11" s="141" t="s">
        <v>144</v>
      </c>
      <c r="AY11" s="144" t="s">
        <v>192</v>
      </c>
      <c r="AZ11" s="144" t="s">
        <v>209</v>
      </c>
    </row>
    <row r="12" spans="1:52">
      <c r="A12" s="2">
        <v>2014</v>
      </c>
      <c r="B12" t="s">
        <v>247</v>
      </c>
      <c r="C12" s="79">
        <f>0.01*$C$33</f>
        <v>0.62</v>
      </c>
      <c r="D12" s="79">
        <f>0.01*$C$34</f>
        <v>0.66</v>
      </c>
      <c r="E12" s="79">
        <f>0.01*$C$35</f>
        <v>0.64</v>
      </c>
      <c r="F12" s="79">
        <f>0.01*$C$36</f>
        <v>0.73</v>
      </c>
      <c r="G12" s="79">
        <f>0.01*$C$37</f>
        <v>0.65</v>
      </c>
      <c r="H12" s="79">
        <f>0.01*$C$38</f>
        <v>0.72</v>
      </c>
      <c r="I12" s="79">
        <f>0.01*$C$39</f>
        <v>0.52</v>
      </c>
      <c r="J12" s="79">
        <f>0.01*$C$40</f>
        <v>0.63</v>
      </c>
      <c r="K12" s="79">
        <f>0.01*$C$41</f>
        <v>0.41000000000000003</v>
      </c>
      <c r="L12" s="79">
        <f>0.01*$C$42</f>
        <v>0.69000000000000006</v>
      </c>
      <c r="M12" s="79">
        <f>0.01*$C$43</f>
        <v>0.65</v>
      </c>
      <c r="N12" s="79">
        <f>0.01*$C$44</f>
        <v>0.57000000000000006</v>
      </c>
      <c r="O12" s="79">
        <f>0.01*$C$45</f>
        <v>0.69000000000000006</v>
      </c>
      <c r="P12" s="79">
        <f>0.01*$C$46</f>
        <v>0.73</v>
      </c>
      <c r="Q12" s="79">
        <f>0.01*$C$47</f>
        <v>0.65</v>
      </c>
      <c r="R12" s="79">
        <f>0.01*$C$48</f>
        <v>0.70000000000000007</v>
      </c>
      <c r="S12" s="79">
        <f>0.01*$C$49</f>
        <v>0.75</v>
      </c>
      <c r="T12" s="79">
        <f>0.01*$C$50</f>
        <v>0.65</v>
      </c>
      <c r="U12" s="79">
        <f>0.01*$C$51</f>
        <v>0.71</v>
      </c>
      <c r="V12" s="79">
        <f>0.01*$C$52</f>
        <v>0.67</v>
      </c>
      <c r="W12" s="79">
        <f>0.01*$C$53</f>
        <v>0.62</v>
      </c>
      <c r="X12" s="79">
        <f>0.01*$C$54</f>
        <v>0.56000000000000005</v>
      </c>
      <c r="Y12" s="79">
        <f>0.01*$C$55</f>
        <v>0.69000000000000006</v>
      </c>
      <c r="Z12" s="79">
        <f>0.01*$C$56</f>
        <v>0.67</v>
      </c>
      <c r="AA12" s="79">
        <f>0.01*$C$57</f>
        <v>0.64</v>
      </c>
      <c r="AB12" s="79">
        <f>0.01*$C$58</f>
        <v>0.66</v>
      </c>
      <c r="AC12" s="79">
        <f>0.01*$C$59</f>
        <v>0.68</v>
      </c>
      <c r="AD12" s="79">
        <f>0.01*$C$60</f>
        <v>0.71</v>
      </c>
      <c r="AE12" s="79">
        <f>0.01*$C$61</f>
        <v>0.68</v>
      </c>
      <c r="AF12" s="79">
        <f>0.01*$C$62</f>
        <v>0.65</v>
      </c>
      <c r="AG12" s="79">
        <f>0.01*$C$63</f>
        <v>0.68</v>
      </c>
      <c r="AH12" s="79">
        <f>0.01*$C$64</f>
        <v>0.67</v>
      </c>
      <c r="AI12" s="79">
        <f>0.01*$C$65</f>
        <v>0.64</v>
      </c>
      <c r="AJ12" s="79">
        <f>0.01*$C$66</f>
        <v>0.59</v>
      </c>
      <c r="AK12" s="79">
        <f>0.01*$C$67</f>
        <v>0.78</v>
      </c>
      <c r="AL12" s="79">
        <f>0.01*$C$68</f>
        <v>0.66</v>
      </c>
      <c r="AM12" s="79">
        <f>0.01*$C$69</f>
        <v>0.79</v>
      </c>
      <c r="AN12" s="79">
        <f>0.01*$C$70</f>
        <v>0.67</v>
      </c>
      <c r="AO12" s="79">
        <f>0.01*$C$71</f>
        <v>0.66</v>
      </c>
      <c r="AP12" s="79">
        <f>0.01*$C$72</f>
        <v>0.71</v>
      </c>
      <c r="AQ12" s="79">
        <f>0.01*$C$73</f>
        <v>0.68</v>
      </c>
      <c r="AR12" s="79">
        <f>0.01*$C$74</f>
        <v>0.70000000000000007</v>
      </c>
      <c r="AS12" s="79">
        <f>0.01*$C$75</f>
        <v>0.64</v>
      </c>
      <c r="AT12" s="79">
        <f>0.01*$C$76</f>
        <v>0.68</v>
      </c>
      <c r="AU12" s="79">
        <f>0.01*$C$77</f>
        <v>0.6</v>
      </c>
      <c r="AV12" s="79">
        <f>0.01*$C$78</f>
        <v>0.61</v>
      </c>
      <c r="AW12" s="79">
        <f>0.01*$C$79</f>
        <v>0.73</v>
      </c>
      <c r="AX12" s="79">
        <f>0.01*$C$80</f>
        <v>0.72</v>
      </c>
      <c r="AY12" s="79">
        <f>0.01*$C$81</f>
        <v>0.71</v>
      </c>
      <c r="AZ12" s="79">
        <f>0.01*$C$83</f>
        <v>0.64</v>
      </c>
    </row>
    <row r="13" spans="1:52">
      <c r="A13">
        <v>2015</v>
      </c>
      <c r="B13" t="s">
        <v>247</v>
      </c>
      <c r="C13" s="79">
        <f>0.01*$D$33</f>
        <v>0.64</v>
      </c>
      <c r="D13" s="79">
        <f>0.01*$D$34</f>
        <v>0.67</v>
      </c>
      <c r="E13" s="79">
        <f>0.01*$D$35</f>
        <v>0.67</v>
      </c>
      <c r="F13" s="79">
        <f>0.01*$D$36</f>
        <v>0.70000000000000007</v>
      </c>
      <c r="G13" s="79">
        <f>0.01*$D$37</f>
        <v>0.65</v>
      </c>
      <c r="H13" s="79">
        <f>0.01*$D$38</f>
        <v>0.64</v>
      </c>
      <c r="I13" s="79">
        <f>0.01*$D$39</f>
        <v>0.66</v>
      </c>
      <c r="J13" s="79">
        <f>0.01*$D$40</f>
        <v>0.68</v>
      </c>
      <c r="K13" s="79">
        <f>0.01*$D$41</f>
        <v>0.65</v>
      </c>
      <c r="L13" s="79">
        <f>0.01*$D$42</f>
        <v>0.70000000000000007</v>
      </c>
      <c r="M13" s="79">
        <f>0.01*$D$43</f>
        <v>0.52</v>
      </c>
      <c r="N13" s="79">
        <f>0.01*$D$44</f>
        <v>0.61</v>
      </c>
      <c r="O13" s="79">
        <f>0.01*$D$45</f>
        <v>0.62</v>
      </c>
      <c r="P13" s="79">
        <f>0.01*$D$46</f>
        <v>0.69000000000000006</v>
      </c>
      <c r="Q13" s="79">
        <f>0.01*$D$47</f>
        <v>0.63</v>
      </c>
      <c r="R13" s="79">
        <f>0.01*$D$48</f>
        <v>0.69000000000000006</v>
      </c>
      <c r="S13" s="79">
        <f>0.01*$D$49</f>
        <v>0.70000000000000007</v>
      </c>
      <c r="T13" s="79">
        <f>0.01*$D$50</f>
        <v>0.68</v>
      </c>
      <c r="U13" s="79">
        <f>0.01*$D$51</f>
        <v>0.71</v>
      </c>
      <c r="V13" s="79">
        <f>0.01*$D$52</f>
        <v>0.69000000000000006</v>
      </c>
      <c r="W13" s="79">
        <f>0.01*$D$53</f>
        <v>0.59</v>
      </c>
      <c r="X13" s="79">
        <f>0.01*$D$54</f>
        <v>0.62</v>
      </c>
      <c r="Y13" s="79">
        <f>0.01*$D$55</f>
        <v>0.77</v>
      </c>
      <c r="Z13" s="79">
        <f>0.01*$D$56</f>
        <v>0.66</v>
      </c>
      <c r="AA13" s="79">
        <f>0.01*$D$57</f>
        <v>0.63</v>
      </c>
      <c r="AB13" s="79">
        <f>0.01*$D$58</f>
        <v>0.68</v>
      </c>
      <c r="AC13" s="79">
        <f>0.01*$D$59</f>
        <v>0.67</v>
      </c>
      <c r="AD13" s="79">
        <f>0.01*$D$60</f>
        <v>0.71</v>
      </c>
      <c r="AE13" s="79">
        <f>0.01*$D$61</f>
        <v>0.73</v>
      </c>
      <c r="AF13" s="79">
        <f>0.01*$D$62</f>
        <v>0.66</v>
      </c>
      <c r="AG13" s="79">
        <f>0.01*$D$63</f>
        <v>0.76</v>
      </c>
      <c r="AH13" s="79">
        <f>0.01*$D$64</f>
        <v>0.62</v>
      </c>
      <c r="AI13" s="79">
        <f>0.01*$D$65</f>
        <v>0.69000000000000006</v>
      </c>
      <c r="AJ13" s="79">
        <f>0.01*$D$66</f>
        <v>0.63</v>
      </c>
      <c r="AK13" s="79">
        <f>0.01*$D$67</f>
        <v>0.62</v>
      </c>
      <c r="AL13" s="79">
        <f>0.01*$D$68</f>
        <v>0.71</v>
      </c>
      <c r="AM13" s="79">
        <f>0.01*$D$69</f>
        <v>0.62</v>
      </c>
      <c r="AN13" s="79">
        <f>0.01*$D$70</f>
        <v>0.65</v>
      </c>
      <c r="AO13" s="79">
        <f>0.01*$D$71</f>
        <v>0.66</v>
      </c>
      <c r="AP13" s="79">
        <f>0.01*$D$72</f>
        <v>0.68</v>
      </c>
      <c r="AQ13" s="79">
        <f>0.01*$D$73</f>
        <v>0.67</v>
      </c>
      <c r="AR13" s="79">
        <f>0.01*$D$74</f>
        <v>0.77</v>
      </c>
      <c r="AS13" s="79">
        <f>0.01*$D$75</f>
        <v>0.65</v>
      </c>
      <c r="AT13" s="79">
        <f>0.01*$D$76</f>
        <v>0.72</v>
      </c>
      <c r="AU13" s="79">
        <f>0.01*$D$77</f>
        <v>0.6</v>
      </c>
      <c r="AV13" s="79">
        <f>0.01*$D$78</f>
        <v>0.56000000000000005</v>
      </c>
      <c r="AW13" s="79">
        <f>0.01*$D$79</f>
        <v>0.71</v>
      </c>
      <c r="AX13" s="79">
        <f>0.01*$D$80</f>
        <v>0.66</v>
      </c>
      <c r="AY13" s="79">
        <f>0.01*$D$81</f>
        <v>0.64</v>
      </c>
      <c r="AZ13" s="79">
        <f>0.01*$D$83</f>
        <v>0.66</v>
      </c>
    </row>
    <row r="14" spans="1:52">
      <c r="A14" s="2">
        <v>2016</v>
      </c>
      <c r="B14" t="s">
        <v>247</v>
      </c>
      <c r="C14" s="79">
        <f>0.01*$E$33</f>
        <v>0.59</v>
      </c>
      <c r="D14" s="79">
        <f>0.01*$E$34</f>
        <v>0.68</v>
      </c>
      <c r="E14" s="79">
        <f>0.01*$E$35</f>
        <v>0.65</v>
      </c>
      <c r="F14" s="79">
        <f>0.01*$E$36</f>
        <v>0.68</v>
      </c>
      <c r="G14" s="79">
        <f>0.01*$E$37</f>
        <v>0.65</v>
      </c>
      <c r="H14" s="79">
        <f>0.01*$E$38</f>
        <v>0.69000000000000006</v>
      </c>
      <c r="I14" s="79">
        <f>0.01*$E$39</f>
        <v>0.64</v>
      </c>
      <c r="J14" s="79">
        <f>0.01*$E$40</f>
        <v>0.63</v>
      </c>
      <c r="K14" s="79">
        <f>0.01*$E$41</f>
        <v>0.51</v>
      </c>
      <c r="L14" s="79">
        <f>0.01*$E$42</f>
        <v>0.83000000000000007</v>
      </c>
      <c r="M14" s="79">
        <f>0.01*$E$43</f>
        <v>0.56000000000000005</v>
      </c>
      <c r="N14" s="79">
        <f>0.01*$E$44</f>
        <v>0.6</v>
      </c>
      <c r="O14" s="79">
        <f>0.01*$E$45</f>
        <v>0.74</v>
      </c>
      <c r="P14" s="79">
        <f>0.01*$E$46</f>
        <v>0.75</v>
      </c>
      <c r="Q14" s="79">
        <f>0.01*$E$47</f>
        <v>0.79</v>
      </c>
      <c r="R14" s="79">
        <f>0.01*$E$48</f>
        <v>0.71</v>
      </c>
      <c r="S14" s="79">
        <f>0.01*$E$49</f>
        <v>0.67</v>
      </c>
      <c r="T14" s="79">
        <f>0.01*$E$50</f>
        <v>0.69000000000000006</v>
      </c>
      <c r="U14" s="79">
        <f>0.01*$E$51</f>
        <v>0.70000000000000007</v>
      </c>
      <c r="V14" s="79">
        <f>0.01*$E$52</f>
        <v>0.75</v>
      </c>
      <c r="W14" s="79">
        <f>0.01*$E$53</f>
        <v>0.68</v>
      </c>
      <c r="X14" s="79">
        <f>0.01*$E$54</f>
        <v>0.57999999999999996</v>
      </c>
      <c r="Y14" s="79">
        <f>0.01*$E$55</f>
        <v>0.70000000000000007</v>
      </c>
      <c r="Z14" s="79">
        <f>0.01*$E$56</f>
        <v>0.72</v>
      </c>
      <c r="AA14" s="79">
        <f>0.01*$E$57</f>
        <v>0.65</v>
      </c>
      <c r="AB14" s="79">
        <f>0.01*$E$58</f>
        <v>0.67</v>
      </c>
      <c r="AC14" s="79">
        <f>0.01*$E$59</f>
        <v>0.68</v>
      </c>
      <c r="AD14" s="79">
        <f>0.01*$E$60</f>
        <v>0.69000000000000006</v>
      </c>
      <c r="AE14" s="79">
        <f>0.01*$E$61</f>
        <v>0.72</v>
      </c>
      <c r="AF14" s="79">
        <f>0.01*$E$62</f>
        <v>0.72</v>
      </c>
      <c r="AG14" s="79">
        <f>0.01*$E$63</f>
        <v>0.70000000000000007</v>
      </c>
      <c r="AH14" s="79">
        <f>0.01*$E$64</f>
        <v>0.77</v>
      </c>
      <c r="AI14" s="79">
        <f>0.01*$E$65</f>
        <v>0.66</v>
      </c>
      <c r="AJ14" s="79">
        <f>0.01*$E$66</f>
        <v>0.59</v>
      </c>
      <c r="AK14" s="79">
        <f>0.01*$E$67</f>
        <v>0.61</v>
      </c>
      <c r="AL14" s="79">
        <f>0.01*$E$68</f>
        <v>0.71</v>
      </c>
      <c r="AM14" s="79">
        <f>0.01*$E$69</f>
        <v>0.73</v>
      </c>
      <c r="AN14" s="79">
        <f>0.01*$E$70</f>
        <v>0.67</v>
      </c>
      <c r="AO14" s="79">
        <f>0.01*$E$71</f>
        <v>0.71</v>
      </c>
      <c r="AP14" s="79">
        <f>0.01*$E$72</f>
        <v>0.79</v>
      </c>
      <c r="AQ14" s="79">
        <f>0.01*$E$73</f>
        <v>0.62</v>
      </c>
      <c r="AR14" s="79">
        <f>0.01*$E$74</f>
        <v>0.75</v>
      </c>
      <c r="AS14" s="79">
        <f>0.01*$E$75</f>
        <v>0.65</v>
      </c>
      <c r="AT14" s="79">
        <f>0.01*$E$76</f>
        <v>0.75</v>
      </c>
      <c r="AU14" s="79">
        <f>0.01*$E$77</f>
        <v>0.68</v>
      </c>
      <c r="AV14" s="79">
        <f>0.01*$E$78</f>
        <v>0.69000000000000006</v>
      </c>
      <c r="AW14" s="79">
        <f>0.01*$E$79</f>
        <v>0.68</v>
      </c>
      <c r="AX14" s="79">
        <f>0.01*$E$80</f>
        <v>0.69000000000000006</v>
      </c>
      <c r="AY14" s="79">
        <f>0.01*$E$81</f>
        <v>0.79</v>
      </c>
      <c r="AZ14" s="79">
        <f>0.01*$E$83</f>
        <v>0.66</v>
      </c>
    </row>
    <row r="15" spans="1:52">
      <c r="A15">
        <v>2017</v>
      </c>
      <c r="B15" t="s">
        <v>247</v>
      </c>
      <c r="C15" s="79" t="e">
        <f>0.01*$F$33</f>
        <v>#DIV/0!</v>
      </c>
      <c r="D15" s="79" t="e">
        <f>0.01*$F$34</f>
        <v>#DIV/0!</v>
      </c>
      <c r="E15" s="79" t="e">
        <f>0.01*$F$35</f>
        <v>#DIV/0!</v>
      </c>
      <c r="F15" s="79" t="e">
        <f>0.01*$F$36</f>
        <v>#DIV/0!</v>
      </c>
      <c r="G15" s="79" t="e">
        <f>0.01*$F$37</f>
        <v>#DIV/0!</v>
      </c>
      <c r="H15" s="79" t="e">
        <f>0.01*$F$38</f>
        <v>#DIV/0!</v>
      </c>
      <c r="I15" s="79" t="e">
        <f>0.01*$F$39</f>
        <v>#DIV/0!</v>
      </c>
      <c r="J15" s="79" t="e">
        <f>0.01*$F$40</f>
        <v>#DIV/0!</v>
      </c>
      <c r="K15" s="79" t="e">
        <f>0.01*$F$41</f>
        <v>#DIV/0!</v>
      </c>
      <c r="L15" s="79" t="e">
        <f>0.01*$F$42</f>
        <v>#DIV/0!</v>
      </c>
      <c r="M15" s="79" t="e">
        <f>0.01*$F$43</f>
        <v>#DIV/0!</v>
      </c>
      <c r="N15" s="79" t="e">
        <f>0.01*$F$44</f>
        <v>#DIV/0!</v>
      </c>
      <c r="O15" s="79" t="e">
        <f>0.01*$F$45</f>
        <v>#DIV/0!</v>
      </c>
      <c r="P15" s="79" t="e">
        <f>0.01*$F$46</f>
        <v>#DIV/0!</v>
      </c>
      <c r="Q15" s="79" t="e">
        <f>0.01*$F$47</f>
        <v>#DIV/0!</v>
      </c>
      <c r="R15" s="79" t="e">
        <f>0.01*$F$48</f>
        <v>#DIV/0!</v>
      </c>
      <c r="S15" s="79" t="e">
        <f>0.01*$F$49</f>
        <v>#DIV/0!</v>
      </c>
      <c r="T15" s="79" t="e">
        <f>0.01*$F$50</f>
        <v>#DIV/0!</v>
      </c>
      <c r="U15" s="79" t="e">
        <f>0.01*$F$51</f>
        <v>#DIV/0!</v>
      </c>
      <c r="V15" s="79" t="e">
        <f>0.01*$F$52</f>
        <v>#DIV/0!</v>
      </c>
      <c r="W15" s="79" t="e">
        <f>0.01*$F$53</f>
        <v>#DIV/0!</v>
      </c>
      <c r="X15" s="79" t="e">
        <f>0.01*$F$54</f>
        <v>#DIV/0!</v>
      </c>
      <c r="Y15" s="79" t="e">
        <f>0.01*$F$55</f>
        <v>#DIV/0!</v>
      </c>
      <c r="Z15" s="79" t="e">
        <f>0.01*$F$56</f>
        <v>#DIV/0!</v>
      </c>
      <c r="AA15" s="79" t="e">
        <f>0.01*$F$57</f>
        <v>#DIV/0!</v>
      </c>
      <c r="AB15" s="79" t="e">
        <f>0.01*$F$58</f>
        <v>#DIV/0!</v>
      </c>
      <c r="AC15" s="79" t="e">
        <f>0.01*$F$59</f>
        <v>#DIV/0!</v>
      </c>
      <c r="AD15" s="79" t="e">
        <f>0.01*$F$60</f>
        <v>#DIV/0!</v>
      </c>
      <c r="AE15" s="79" t="e">
        <f>0.01*$F$61</f>
        <v>#DIV/0!</v>
      </c>
      <c r="AF15" s="79" t="e">
        <f>0.01*$F$62</f>
        <v>#DIV/0!</v>
      </c>
      <c r="AG15" s="79" t="e">
        <f>0.01*$F$63</f>
        <v>#DIV/0!</v>
      </c>
      <c r="AH15" s="79" t="e">
        <f>0.01*$F$64</f>
        <v>#DIV/0!</v>
      </c>
      <c r="AI15" s="79" t="e">
        <f>0.01*$F$65</f>
        <v>#DIV/0!</v>
      </c>
      <c r="AJ15" s="79" t="e">
        <f>0.01*$F$66</f>
        <v>#DIV/0!</v>
      </c>
      <c r="AK15" s="79" t="e">
        <f>0.01*$F$67</f>
        <v>#DIV/0!</v>
      </c>
      <c r="AL15" s="79" t="e">
        <f>0.01*$F$68</f>
        <v>#DIV/0!</v>
      </c>
      <c r="AM15" s="79" t="e">
        <f>0.01*$F$69</f>
        <v>#DIV/0!</v>
      </c>
      <c r="AN15" s="79" t="e">
        <f>0.01*$F$70</f>
        <v>#DIV/0!</v>
      </c>
      <c r="AO15" s="79" t="e">
        <f>0.01*$F$71</f>
        <v>#DIV/0!</v>
      </c>
      <c r="AP15" s="79" t="e">
        <f>0.01*$F$72</f>
        <v>#DIV/0!</v>
      </c>
      <c r="AQ15" s="79" t="e">
        <f>0.01*$F$73</f>
        <v>#DIV/0!</v>
      </c>
      <c r="AR15" s="79" t="e">
        <f>0.01*$F$74</f>
        <v>#DIV/0!</v>
      </c>
      <c r="AS15" s="79" t="e">
        <f>0.01*$F$75</f>
        <v>#DIV/0!</v>
      </c>
      <c r="AT15" s="79" t="e">
        <f>0.01*$F$76</f>
        <v>#DIV/0!</v>
      </c>
      <c r="AU15" s="79" t="e">
        <f>0.01*$F$77</f>
        <v>#DIV/0!</v>
      </c>
      <c r="AV15" s="79" t="e">
        <f>0.01*$F$78</f>
        <v>#DIV/0!</v>
      </c>
      <c r="AW15" s="79" t="e">
        <f>0.01*$F$79</f>
        <v>#DIV/0!</v>
      </c>
      <c r="AX15" s="79" t="e">
        <f>0.01*$F$80</f>
        <v>#DIV/0!</v>
      </c>
      <c r="AY15" s="79" t="e">
        <f>0.01*$F$81</f>
        <v>#DIV/0!</v>
      </c>
      <c r="AZ15" s="79" t="e">
        <f>0.01*$F$83</f>
        <v>#DIV/0!</v>
      </c>
    </row>
    <row r="16" spans="1:52">
      <c r="A16" s="2">
        <v>2018</v>
      </c>
      <c r="B16" t="s">
        <v>247</v>
      </c>
      <c r="C16" s="79" t="e">
        <f>0.01*$G$33</f>
        <v>#DIV/0!</v>
      </c>
      <c r="D16" s="79" t="e">
        <f>0.01*$G$34</f>
        <v>#DIV/0!</v>
      </c>
      <c r="E16" s="79" t="e">
        <f>0.01*$G$35</f>
        <v>#DIV/0!</v>
      </c>
      <c r="F16" s="79" t="e">
        <f>0.01*$G$36</f>
        <v>#DIV/0!</v>
      </c>
      <c r="G16" s="79" t="e">
        <f>0.01*$G$37</f>
        <v>#DIV/0!</v>
      </c>
      <c r="H16" s="79" t="e">
        <f>0.01*$G$38</f>
        <v>#DIV/0!</v>
      </c>
      <c r="I16" s="79" t="e">
        <f>0.01*$G$39</f>
        <v>#DIV/0!</v>
      </c>
      <c r="J16" s="79" t="e">
        <f>0.01*$G$40</f>
        <v>#DIV/0!</v>
      </c>
      <c r="K16" s="79" t="e">
        <f>0.01*$G$41</f>
        <v>#DIV/0!</v>
      </c>
      <c r="L16" s="79" t="e">
        <f>0.01*$G$42</f>
        <v>#DIV/0!</v>
      </c>
      <c r="M16" s="79" t="e">
        <f>0.01*$G$43</f>
        <v>#DIV/0!</v>
      </c>
      <c r="N16" s="79" t="e">
        <f>0.01*$G$44</f>
        <v>#DIV/0!</v>
      </c>
      <c r="O16" s="79" t="e">
        <f>0.01*$G$45</f>
        <v>#DIV/0!</v>
      </c>
      <c r="P16" s="79" t="e">
        <f>0.01*$G$46</f>
        <v>#DIV/0!</v>
      </c>
      <c r="Q16" s="79" t="e">
        <f>0.01*$G$47</f>
        <v>#DIV/0!</v>
      </c>
      <c r="R16" s="79" t="e">
        <f>0.01*$G$48</f>
        <v>#DIV/0!</v>
      </c>
      <c r="S16" s="79" t="e">
        <f>0.01*$G$49</f>
        <v>#DIV/0!</v>
      </c>
      <c r="T16" s="79" t="e">
        <f>0.01*$G$50</f>
        <v>#DIV/0!</v>
      </c>
      <c r="U16" s="79" t="e">
        <f>0.01*$G$51</f>
        <v>#DIV/0!</v>
      </c>
      <c r="V16" s="79" t="e">
        <f>0.01*$G$52</f>
        <v>#DIV/0!</v>
      </c>
      <c r="W16" s="79" t="e">
        <f>0.01*$G$53</f>
        <v>#DIV/0!</v>
      </c>
      <c r="X16" s="79" t="e">
        <f>0.01*$G$54</f>
        <v>#DIV/0!</v>
      </c>
      <c r="Y16" s="79" t="e">
        <f>0.01*$G$55</f>
        <v>#DIV/0!</v>
      </c>
      <c r="Z16" s="79" t="e">
        <f>0.01*$G$56</f>
        <v>#DIV/0!</v>
      </c>
      <c r="AA16" s="79" t="e">
        <f>0.01*$G$57</f>
        <v>#DIV/0!</v>
      </c>
      <c r="AB16" s="79" t="e">
        <f>0.01*$G$58</f>
        <v>#DIV/0!</v>
      </c>
      <c r="AC16" s="79" t="e">
        <f>0.01*$G$59</f>
        <v>#DIV/0!</v>
      </c>
      <c r="AD16" s="79" t="e">
        <f>0.01*$G$60</f>
        <v>#DIV/0!</v>
      </c>
      <c r="AE16" s="79" t="e">
        <f>0.01*$G$61</f>
        <v>#DIV/0!</v>
      </c>
      <c r="AF16" s="79" t="e">
        <f>0.01*$G$62</f>
        <v>#DIV/0!</v>
      </c>
      <c r="AG16" s="79" t="e">
        <f>0.01*$G$63</f>
        <v>#DIV/0!</v>
      </c>
      <c r="AH16" s="79" t="e">
        <f>0.01*$G$64</f>
        <v>#DIV/0!</v>
      </c>
      <c r="AI16" s="79" t="e">
        <f>0.01*$G$65</f>
        <v>#DIV/0!</v>
      </c>
      <c r="AJ16" s="79" t="e">
        <f>0.01*$G$66</f>
        <v>#DIV/0!</v>
      </c>
      <c r="AK16" s="79" t="e">
        <f>0.01*$G$67</f>
        <v>#DIV/0!</v>
      </c>
      <c r="AL16" s="79" t="e">
        <f>0.01*$G$68</f>
        <v>#DIV/0!</v>
      </c>
      <c r="AM16" s="79" t="e">
        <f>0.01*$G$69</f>
        <v>#DIV/0!</v>
      </c>
      <c r="AN16" s="79" t="e">
        <f>0.01*$G$70</f>
        <v>#DIV/0!</v>
      </c>
      <c r="AO16" s="79" t="e">
        <f>0.01*$G$71</f>
        <v>#DIV/0!</v>
      </c>
      <c r="AP16" s="79" t="e">
        <f>0.01*$G$72</f>
        <v>#DIV/0!</v>
      </c>
      <c r="AQ16" s="79" t="e">
        <f>0.01*$G$73</f>
        <v>#DIV/0!</v>
      </c>
      <c r="AR16" s="79" t="e">
        <f>0.01*$G$74</f>
        <v>#DIV/0!</v>
      </c>
      <c r="AS16" s="79" t="e">
        <f>0.01*$G$75</f>
        <v>#DIV/0!</v>
      </c>
      <c r="AT16" s="79" t="e">
        <f>0.01*$G$76</f>
        <v>#DIV/0!</v>
      </c>
      <c r="AU16" s="79" t="e">
        <f>0.01*$G$77</f>
        <v>#DIV/0!</v>
      </c>
      <c r="AV16" s="79" t="e">
        <f>0.01*$G$78</f>
        <v>#DIV/0!</v>
      </c>
      <c r="AW16" s="79" t="e">
        <f>0.01*$G$79</f>
        <v>#DIV/0!</v>
      </c>
      <c r="AX16" s="79" t="e">
        <f>0.01*$G$80</f>
        <v>#DIV/0!</v>
      </c>
      <c r="AY16" s="79" t="e">
        <f>0.01*$G$81</f>
        <v>#DIV/0!</v>
      </c>
      <c r="AZ16" s="79" t="e">
        <f>0.01*$G$83</f>
        <v>#DIV/0!</v>
      </c>
    </row>
    <row r="17" spans="1:52">
      <c r="A17">
        <v>2019</v>
      </c>
      <c r="B17" t="s">
        <v>247</v>
      </c>
      <c r="C17" s="79" t="e">
        <f>0.01*$H$33</f>
        <v>#DIV/0!</v>
      </c>
      <c r="D17" s="79" t="e">
        <f>0.01*$H$34</f>
        <v>#DIV/0!</v>
      </c>
      <c r="E17" s="79" t="e">
        <f>0.01*$H$35</f>
        <v>#DIV/0!</v>
      </c>
      <c r="F17" s="79" t="e">
        <f>0.01*$H$36</f>
        <v>#DIV/0!</v>
      </c>
      <c r="G17" s="79" t="e">
        <f>0.01*$H$37</f>
        <v>#DIV/0!</v>
      </c>
      <c r="H17" s="79" t="e">
        <f>0.01*$H$38</f>
        <v>#DIV/0!</v>
      </c>
      <c r="I17" s="79" t="e">
        <f>0.01*$H$39</f>
        <v>#DIV/0!</v>
      </c>
      <c r="J17" s="79" t="e">
        <f>0.01*$H$40</f>
        <v>#DIV/0!</v>
      </c>
      <c r="K17" s="79" t="e">
        <f>0.01*$H$41</f>
        <v>#DIV/0!</v>
      </c>
      <c r="L17" s="79" t="e">
        <f>0.01*$H$42</f>
        <v>#DIV/0!</v>
      </c>
      <c r="M17" s="79" t="e">
        <f>0.01*$H$43</f>
        <v>#DIV/0!</v>
      </c>
      <c r="N17" s="79" t="e">
        <f>0.01*$H$44</f>
        <v>#DIV/0!</v>
      </c>
      <c r="O17" s="79" t="e">
        <f>0.01*$H$45</f>
        <v>#DIV/0!</v>
      </c>
      <c r="P17" s="79" t="e">
        <f>0.01*$H$46</f>
        <v>#DIV/0!</v>
      </c>
      <c r="Q17" s="79" t="e">
        <f>0.01*$H$47</f>
        <v>#DIV/0!</v>
      </c>
      <c r="R17" s="79" t="e">
        <f>0.01*$H$48</f>
        <v>#DIV/0!</v>
      </c>
      <c r="S17" s="79" t="e">
        <f>0.01*$H$49</f>
        <v>#DIV/0!</v>
      </c>
      <c r="T17" s="79" t="e">
        <f>0.01*$H$50</f>
        <v>#DIV/0!</v>
      </c>
      <c r="U17" s="79" t="e">
        <f>0.01*$H$51</f>
        <v>#DIV/0!</v>
      </c>
      <c r="V17" s="79" t="e">
        <f>0.01*$H$52</f>
        <v>#DIV/0!</v>
      </c>
      <c r="W17" s="79" t="e">
        <f>0.01*$H$53</f>
        <v>#DIV/0!</v>
      </c>
      <c r="X17" s="79" t="e">
        <f>0.01*$H$54</f>
        <v>#DIV/0!</v>
      </c>
      <c r="Y17" s="79" t="e">
        <f>0.01*$H$55</f>
        <v>#DIV/0!</v>
      </c>
      <c r="Z17" s="79" t="e">
        <f>0.01*$H$56</f>
        <v>#DIV/0!</v>
      </c>
      <c r="AA17" s="79" t="e">
        <f>0.01*$H$57</f>
        <v>#DIV/0!</v>
      </c>
      <c r="AB17" s="79" t="e">
        <f>0.01*$H$58</f>
        <v>#DIV/0!</v>
      </c>
      <c r="AC17" s="79" t="e">
        <f>0.01*$H$59</f>
        <v>#DIV/0!</v>
      </c>
      <c r="AD17" s="79" t="e">
        <f>0.01*$H$60</f>
        <v>#DIV/0!</v>
      </c>
      <c r="AE17" s="79" t="e">
        <f>0.01*$H$61</f>
        <v>#DIV/0!</v>
      </c>
      <c r="AF17" s="79" t="e">
        <f>0.01*$H$62</f>
        <v>#DIV/0!</v>
      </c>
      <c r="AG17" s="79" t="e">
        <f>0.01*$H$63</f>
        <v>#DIV/0!</v>
      </c>
      <c r="AH17" s="79" t="e">
        <f>0.01*$H$64</f>
        <v>#DIV/0!</v>
      </c>
      <c r="AI17" s="79" t="e">
        <f>0.01*$H$65</f>
        <v>#DIV/0!</v>
      </c>
      <c r="AJ17" s="79" t="e">
        <f>0.01*$H$66</f>
        <v>#DIV/0!</v>
      </c>
      <c r="AK17" s="79" t="e">
        <f>0.01*$H$67</f>
        <v>#DIV/0!</v>
      </c>
      <c r="AL17" s="79" t="e">
        <f>0.01*$H$68</f>
        <v>#DIV/0!</v>
      </c>
      <c r="AM17" s="79" t="e">
        <f>0.01*$H$69</f>
        <v>#DIV/0!</v>
      </c>
      <c r="AN17" s="79" t="e">
        <f>0.01*$H$70</f>
        <v>#DIV/0!</v>
      </c>
      <c r="AO17" s="79" t="e">
        <f>0.01*$H$71</f>
        <v>#DIV/0!</v>
      </c>
      <c r="AP17" s="79" t="e">
        <f>0.01*$H$72</f>
        <v>#DIV/0!</v>
      </c>
      <c r="AQ17" s="79" t="e">
        <f>0.01*$H$73</f>
        <v>#DIV/0!</v>
      </c>
      <c r="AR17" s="79" t="e">
        <f>0.01*$H$74</f>
        <v>#DIV/0!</v>
      </c>
      <c r="AS17" s="79" t="e">
        <f>0.01*$H$75</f>
        <v>#DIV/0!</v>
      </c>
      <c r="AT17" s="79" t="e">
        <f>0.01*$H$76</f>
        <v>#DIV/0!</v>
      </c>
      <c r="AU17" s="79" t="e">
        <f>0.01*$H$77</f>
        <v>#DIV/0!</v>
      </c>
      <c r="AV17" s="79" t="e">
        <f>0.01*$H$78</f>
        <v>#DIV/0!</v>
      </c>
      <c r="AW17" s="79" t="e">
        <f>0.01*$H$79</f>
        <v>#DIV/0!</v>
      </c>
      <c r="AX17" s="79" t="e">
        <f>0.01*$H$80</f>
        <v>#DIV/0!</v>
      </c>
      <c r="AY17" s="79" t="e">
        <f>0.01*$H$81</f>
        <v>#DIV/0!</v>
      </c>
      <c r="AZ17" s="79" t="e">
        <f>0.01*$H$83</f>
        <v>#DIV/0!</v>
      </c>
    </row>
    <row r="18" spans="1:52">
      <c r="A18" s="2">
        <v>2020</v>
      </c>
      <c r="B18" t="s">
        <v>247</v>
      </c>
      <c r="C18" s="79" t="e">
        <f>0.01*$I$33</f>
        <v>#DIV/0!</v>
      </c>
      <c r="D18" s="79" t="e">
        <f>0.01*$I$34</f>
        <v>#DIV/0!</v>
      </c>
      <c r="E18" s="79" t="e">
        <f>0.01*$I$35</f>
        <v>#DIV/0!</v>
      </c>
      <c r="F18" s="79" t="e">
        <f>0.01*$I$36</f>
        <v>#DIV/0!</v>
      </c>
      <c r="G18" s="79" t="e">
        <f>0.01*$I$37</f>
        <v>#DIV/0!</v>
      </c>
      <c r="H18" s="79" t="e">
        <f>0.01*$I$38</f>
        <v>#DIV/0!</v>
      </c>
      <c r="I18" s="79" t="e">
        <f>0.01*$I$39</f>
        <v>#DIV/0!</v>
      </c>
      <c r="J18" s="79" t="e">
        <f>0.01*$I$40</f>
        <v>#DIV/0!</v>
      </c>
      <c r="K18" s="79" t="e">
        <f>0.01*$I$41</f>
        <v>#DIV/0!</v>
      </c>
      <c r="L18" s="79" t="e">
        <f>0.01*$I$42</f>
        <v>#DIV/0!</v>
      </c>
      <c r="M18" s="79" t="e">
        <f>0.01*$I$43</f>
        <v>#DIV/0!</v>
      </c>
      <c r="N18" s="79" t="e">
        <f>0.01*$I$44</f>
        <v>#DIV/0!</v>
      </c>
      <c r="O18" s="79" t="e">
        <f>0.01*$I$45</f>
        <v>#DIV/0!</v>
      </c>
      <c r="P18" s="79" t="e">
        <f>0.01*$I$46</f>
        <v>#DIV/0!</v>
      </c>
      <c r="Q18" s="79" t="e">
        <f>0.01*$I$47</f>
        <v>#DIV/0!</v>
      </c>
      <c r="R18" s="79" t="e">
        <f>0.01*$I$48</f>
        <v>#DIV/0!</v>
      </c>
      <c r="S18" s="79" t="e">
        <f>0.01*$I$49</f>
        <v>#DIV/0!</v>
      </c>
      <c r="T18" s="79" t="e">
        <f>0.01*$I$50</f>
        <v>#DIV/0!</v>
      </c>
      <c r="U18" s="79" t="e">
        <f>0.01*$I$51</f>
        <v>#DIV/0!</v>
      </c>
      <c r="V18" s="79" t="e">
        <f>0.01*$I$52</f>
        <v>#DIV/0!</v>
      </c>
      <c r="W18" s="79" t="e">
        <f>0.01*$I$53</f>
        <v>#DIV/0!</v>
      </c>
      <c r="X18" s="79" t="e">
        <f>0.01*$I$54</f>
        <v>#DIV/0!</v>
      </c>
      <c r="Y18" s="79" t="e">
        <f>0.01*$I$55</f>
        <v>#DIV/0!</v>
      </c>
      <c r="Z18" s="79" t="e">
        <f>0.01*$I$56</f>
        <v>#DIV/0!</v>
      </c>
      <c r="AA18" s="79" t="e">
        <f>0.01*$I$57</f>
        <v>#DIV/0!</v>
      </c>
      <c r="AB18" s="79" t="e">
        <f>0.01*$I$58</f>
        <v>#DIV/0!</v>
      </c>
      <c r="AC18" s="79" t="e">
        <f>0.01*$I$59</f>
        <v>#DIV/0!</v>
      </c>
      <c r="AD18" s="79" t="e">
        <f>0.01*$I$60</f>
        <v>#DIV/0!</v>
      </c>
      <c r="AE18" s="79" t="e">
        <f>0.01*$I$61</f>
        <v>#DIV/0!</v>
      </c>
      <c r="AF18" s="79" t="e">
        <f>0.01*$I$62</f>
        <v>#DIV/0!</v>
      </c>
      <c r="AG18" s="79" t="e">
        <f>0.01*$I$63</f>
        <v>#DIV/0!</v>
      </c>
      <c r="AH18" s="79" t="e">
        <f>0.01*$I$64</f>
        <v>#DIV/0!</v>
      </c>
      <c r="AI18" s="79" t="e">
        <f>0.01*$I$65</f>
        <v>#DIV/0!</v>
      </c>
      <c r="AJ18" s="79" t="e">
        <f>0.01*$I$66</f>
        <v>#DIV/0!</v>
      </c>
      <c r="AK18" s="79" t="e">
        <f>0.01*$I$67</f>
        <v>#DIV/0!</v>
      </c>
      <c r="AL18" s="79" t="e">
        <f>0.01*$I$68</f>
        <v>#DIV/0!</v>
      </c>
      <c r="AM18" s="79" t="e">
        <f>0.01*$I$69</f>
        <v>#DIV/0!</v>
      </c>
      <c r="AN18" s="79" t="e">
        <f>0.01*$I$70</f>
        <v>#DIV/0!</v>
      </c>
      <c r="AO18" s="79" t="e">
        <f>0.01*$I$71</f>
        <v>#DIV/0!</v>
      </c>
      <c r="AP18" s="79" t="e">
        <f>0.01*$I$72</f>
        <v>#DIV/0!</v>
      </c>
      <c r="AQ18" s="79" t="e">
        <f>0.01*$I$73</f>
        <v>#DIV/0!</v>
      </c>
      <c r="AR18" s="79" t="e">
        <f>0.01*$I$74</f>
        <v>#DIV/0!</v>
      </c>
      <c r="AS18" s="79" t="e">
        <f>0.01*$I$75</f>
        <v>#DIV/0!</v>
      </c>
      <c r="AT18" s="79" t="e">
        <f>0.01*$I$76</f>
        <v>#DIV/0!</v>
      </c>
      <c r="AU18" s="79" t="e">
        <f>0.01*$I$77</f>
        <v>#DIV/0!</v>
      </c>
      <c r="AV18" s="79" t="e">
        <f>0.01*$I$78</f>
        <v>#DIV/0!</v>
      </c>
      <c r="AW18" s="79" t="e">
        <f>0.01*$I$79</f>
        <v>#DIV/0!</v>
      </c>
      <c r="AX18" s="79" t="e">
        <f>0.01*$I$80</f>
        <v>#DIV/0!</v>
      </c>
      <c r="AY18" s="79" t="e">
        <f>0.01*$I$81</f>
        <v>#DIV/0!</v>
      </c>
      <c r="AZ18" s="79" t="e">
        <f>0.01*$I$83</f>
        <v>#DIV/0!</v>
      </c>
    </row>
    <row r="19" spans="1:52">
      <c r="A19">
        <v>2021</v>
      </c>
      <c r="B19" t="s">
        <v>247</v>
      </c>
      <c r="C19" s="79" t="e">
        <f>0.01*$J$33</f>
        <v>#DIV/0!</v>
      </c>
      <c r="D19" s="79" t="e">
        <f>0.01*$J$34</f>
        <v>#DIV/0!</v>
      </c>
      <c r="E19" s="79" t="e">
        <f>0.01*$J$35</f>
        <v>#DIV/0!</v>
      </c>
      <c r="F19" s="79" t="e">
        <f>0.01*$J$36</f>
        <v>#DIV/0!</v>
      </c>
      <c r="G19" s="79" t="e">
        <f>0.01*$J$37</f>
        <v>#DIV/0!</v>
      </c>
      <c r="H19" s="79" t="e">
        <f>0.01*$J$38</f>
        <v>#DIV/0!</v>
      </c>
      <c r="I19" s="79" t="e">
        <f>0.01*$J$39</f>
        <v>#DIV/0!</v>
      </c>
      <c r="J19" s="79" t="e">
        <f>0.01*$J$40</f>
        <v>#DIV/0!</v>
      </c>
      <c r="K19" s="79" t="e">
        <f>0.01*$J$41</f>
        <v>#DIV/0!</v>
      </c>
      <c r="L19" s="79" t="e">
        <f>0.01*$J$42</f>
        <v>#DIV/0!</v>
      </c>
      <c r="M19" s="79" t="e">
        <f>0.01*$J$43</f>
        <v>#DIV/0!</v>
      </c>
      <c r="N19" s="79" t="e">
        <f>0.01*$J$44</f>
        <v>#DIV/0!</v>
      </c>
      <c r="O19" s="79" t="e">
        <f>0.01*$J$45</f>
        <v>#DIV/0!</v>
      </c>
      <c r="P19" s="79" t="e">
        <f>0.01*$J$46</f>
        <v>#DIV/0!</v>
      </c>
      <c r="Q19" s="79" t="e">
        <f>0.01*$J$47</f>
        <v>#DIV/0!</v>
      </c>
      <c r="R19" s="79" t="e">
        <f>0.01*$J$48</f>
        <v>#DIV/0!</v>
      </c>
      <c r="S19" s="79" t="e">
        <f>0.01*$J$49</f>
        <v>#DIV/0!</v>
      </c>
      <c r="T19" s="79" t="e">
        <f>0.01*$J$50</f>
        <v>#DIV/0!</v>
      </c>
      <c r="U19" s="79" t="e">
        <f>0.01*$J$51</f>
        <v>#DIV/0!</v>
      </c>
      <c r="V19" s="79" t="e">
        <f>0.01*$J$52</f>
        <v>#DIV/0!</v>
      </c>
      <c r="W19" s="79" t="e">
        <f>0.01*$J$53</f>
        <v>#DIV/0!</v>
      </c>
      <c r="X19" s="79" t="e">
        <f>0.01*$J$54</f>
        <v>#DIV/0!</v>
      </c>
      <c r="Y19" s="79" t="e">
        <f>0.01*$J$55</f>
        <v>#DIV/0!</v>
      </c>
      <c r="Z19" s="79" t="e">
        <f>0.01*$J$56</f>
        <v>#DIV/0!</v>
      </c>
      <c r="AA19" s="79" t="e">
        <f>0.01*$J$57</f>
        <v>#DIV/0!</v>
      </c>
      <c r="AB19" s="79" t="e">
        <f>0.01*$J$58</f>
        <v>#DIV/0!</v>
      </c>
      <c r="AC19" s="79" t="e">
        <f>0.01*$J$59</f>
        <v>#DIV/0!</v>
      </c>
      <c r="AD19" s="79" t="e">
        <f>0.01*$J$60</f>
        <v>#DIV/0!</v>
      </c>
      <c r="AE19" s="79" t="e">
        <f>0.01*$J$61</f>
        <v>#DIV/0!</v>
      </c>
      <c r="AF19" s="79" t="e">
        <f>0.01*$J$62</f>
        <v>#DIV/0!</v>
      </c>
      <c r="AG19" s="79" t="e">
        <f>0.01*$J$63</f>
        <v>#DIV/0!</v>
      </c>
      <c r="AH19" s="79" t="e">
        <f>0.01*$J$64</f>
        <v>#DIV/0!</v>
      </c>
      <c r="AI19" s="79" t="e">
        <f>0.01*$J$65</f>
        <v>#DIV/0!</v>
      </c>
      <c r="AJ19" s="79" t="e">
        <f>0.01*$J$66</f>
        <v>#DIV/0!</v>
      </c>
      <c r="AK19" s="79" t="e">
        <f>0.01*$J$67</f>
        <v>#DIV/0!</v>
      </c>
      <c r="AL19" s="79" t="e">
        <f>0.01*$J$68</f>
        <v>#DIV/0!</v>
      </c>
      <c r="AM19" s="79" t="e">
        <f>0.01*$J$69</f>
        <v>#DIV/0!</v>
      </c>
      <c r="AN19" s="79" t="e">
        <f>0.01*$J$70</f>
        <v>#DIV/0!</v>
      </c>
      <c r="AO19" s="79" t="e">
        <f>0.01*$J$71</f>
        <v>#DIV/0!</v>
      </c>
      <c r="AP19" s="79" t="e">
        <f>0.01*$J$72</f>
        <v>#DIV/0!</v>
      </c>
      <c r="AQ19" s="79" t="e">
        <f>0.01*$J$73</f>
        <v>#DIV/0!</v>
      </c>
      <c r="AR19" s="79" t="e">
        <f>0.01*$J$74</f>
        <v>#DIV/0!</v>
      </c>
      <c r="AS19" s="79" t="e">
        <f>0.01*$J$75</f>
        <v>#DIV/0!</v>
      </c>
      <c r="AT19" s="79" t="e">
        <f>0.01*$J$76</f>
        <v>#DIV/0!</v>
      </c>
      <c r="AU19" s="79" t="e">
        <f>0.01*$J$77</f>
        <v>#DIV/0!</v>
      </c>
      <c r="AV19" s="79" t="e">
        <f>0.01*$J$78</f>
        <v>#DIV/0!</v>
      </c>
      <c r="AW19" s="79" t="e">
        <f>0.01*$J$79</f>
        <v>#DIV/0!</v>
      </c>
      <c r="AX19" s="79" t="e">
        <f>0.01*$J$80</f>
        <v>#DIV/0!</v>
      </c>
      <c r="AY19" s="79" t="e">
        <f>0.01*$J$81</f>
        <v>#DIV/0!</v>
      </c>
      <c r="AZ19" s="79" t="e">
        <f>0.01*$J$83</f>
        <v>#DIV/0!</v>
      </c>
    </row>
    <row r="20" spans="1:52">
      <c r="A20" s="2">
        <v>2022</v>
      </c>
      <c r="B20" t="s">
        <v>247</v>
      </c>
      <c r="C20" s="79" t="e">
        <f>0.01*$K$33</f>
        <v>#DIV/0!</v>
      </c>
      <c r="D20" s="79" t="e">
        <f>0.01*$K$34</f>
        <v>#DIV/0!</v>
      </c>
      <c r="E20" s="79" t="e">
        <f>0.01*$K$35</f>
        <v>#DIV/0!</v>
      </c>
      <c r="F20" s="79" t="e">
        <f>0.01*$K$36</f>
        <v>#DIV/0!</v>
      </c>
      <c r="G20" s="79" t="e">
        <f>0.01*$K$37</f>
        <v>#DIV/0!</v>
      </c>
      <c r="H20" s="79" t="e">
        <f>0.01*$K$38</f>
        <v>#DIV/0!</v>
      </c>
      <c r="I20" s="79" t="e">
        <f>0.01*$K$39</f>
        <v>#DIV/0!</v>
      </c>
      <c r="J20" s="79" t="e">
        <f>0.01*$K$40</f>
        <v>#DIV/0!</v>
      </c>
      <c r="K20" s="79" t="e">
        <f>0.01*$K$41</f>
        <v>#DIV/0!</v>
      </c>
      <c r="L20" s="79" t="e">
        <f>0.01*$K$42</f>
        <v>#DIV/0!</v>
      </c>
      <c r="M20" s="79" t="e">
        <f>0.01*$K$43</f>
        <v>#DIV/0!</v>
      </c>
      <c r="N20" s="79" t="e">
        <f>0.01*$K$44</f>
        <v>#DIV/0!</v>
      </c>
      <c r="O20" s="79" t="e">
        <f>0.01*$K$45</f>
        <v>#DIV/0!</v>
      </c>
      <c r="P20" s="79" t="e">
        <f>0.01*$K$46</f>
        <v>#DIV/0!</v>
      </c>
      <c r="Q20" s="79" t="e">
        <f>0.01*$K$47</f>
        <v>#DIV/0!</v>
      </c>
      <c r="R20" s="79" t="e">
        <f>0.01*$K$48</f>
        <v>#DIV/0!</v>
      </c>
      <c r="S20" s="79" t="e">
        <f>0.01*$K$49</f>
        <v>#DIV/0!</v>
      </c>
      <c r="T20" s="79" t="e">
        <f>0.01*$K$50</f>
        <v>#DIV/0!</v>
      </c>
      <c r="U20" s="79" t="e">
        <f>0.01*$K$51</f>
        <v>#DIV/0!</v>
      </c>
      <c r="V20" s="79" t="e">
        <f>0.01*$K$52</f>
        <v>#DIV/0!</v>
      </c>
      <c r="W20" s="79" t="e">
        <f>0.01*$K$53</f>
        <v>#DIV/0!</v>
      </c>
      <c r="X20" s="79" t="e">
        <f>0.01*$K$54</f>
        <v>#DIV/0!</v>
      </c>
      <c r="Y20" s="79" t="e">
        <f>0.01*$K$55</f>
        <v>#DIV/0!</v>
      </c>
      <c r="Z20" s="79" t="e">
        <f>0.01*$K$56</f>
        <v>#DIV/0!</v>
      </c>
      <c r="AA20" s="79" t="e">
        <f>0.01*$K$57</f>
        <v>#DIV/0!</v>
      </c>
      <c r="AB20" s="79" t="e">
        <f>0.01*$K$58</f>
        <v>#DIV/0!</v>
      </c>
      <c r="AC20" s="79" t="e">
        <f>0.01*$K$59</f>
        <v>#DIV/0!</v>
      </c>
      <c r="AD20" s="79" t="e">
        <f>0.01*$K$60</f>
        <v>#DIV/0!</v>
      </c>
      <c r="AE20" s="79" t="e">
        <f>0.01*$K$61</f>
        <v>#DIV/0!</v>
      </c>
      <c r="AF20" s="79" t="e">
        <f>0.01*$K$62</f>
        <v>#DIV/0!</v>
      </c>
      <c r="AG20" s="79" t="e">
        <f>0.01*$K$63</f>
        <v>#DIV/0!</v>
      </c>
      <c r="AH20" s="79" t="e">
        <f>0.01*$K$64</f>
        <v>#DIV/0!</v>
      </c>
      <c r="AI20" s="79" t="e">
        <f>0.01*$K$65</f>
        <v>#DIV/0!</v>
      </c>
      <c r="AJ20" s="79" t="e">
        <f>0.01*$K$66</f>
        <v>#DIV/0!</v>
      </c>
      <c r="AK20" s="79" t="e">
        <f>0.01*$K$67</f>
        <v>#DIV/0!</v>
      </c>
      <c r="AL20" s="79" t="e">
        <f>0.01*$K$68</f>
        <v>#DIV/0!</v>
      </c>
      <c r="AM20" s="79" t="e">
        <f>0.01*$K$69</f>
        <v>#DIV/0!</v>
      </c>
      <c r="AN20" s="79" t="e">
        <f>0.01*$K$70</f>
        <v>#DIV/0!</v>
      </c>
      <c r="AO20" s="79" t="e">
        <f>0.01*$K$71</f>
        <v>#DIV/0!</v>
      </c>
      <c r="AP20" s="79" t="e">
        <f>0.01*$K$72</f>
        <v>#DIV/0!</v>
      </c>
      <c r="AQ20" s="79" t="e">
        <f>0.01*$K$73</f>
        <v>#DIV/0!</v>
      </c>
      <c r="AR20" s="79" t="e">
        <f>0.01*$K$74</f>
        <v>#DIV/0!</v>
      </c>
      <c r="AS20" s="79" t="e">
        <f>0.01*$K$75</f>
        <v>#DIV/0!</v>
      </c>
      <c r="AT20" s="79" t="e">
        <f>0.01*$K$76</f>
        <v>#DIV/0!</v>
      </c>
      <c r="AU20" s="79" t="e">
        <f>0.01*$K$77</f>
        <v>#DIV/0!</v>
      </c>
      <c r="AV20" s="79" t="e">
        <f>0.01*$K$78</f>
        <v>#DIV/0!</v>
      </c>
      <c r="AW20" s="79" t="e">
        <f>0.01*$K$79</f>
        <v>#DIV/0!</v>
      </c>
      <c r="AX20" s="79" t="e">
        <f>0.01*$K$80</f>
        <v>#DIV/0!</v>
      </c>
      <c r="AY20" s="79" t="e">
        <f>0.01*$K$81</f>
        <v>#DIV/0!</v>
      </c>
      <c r="AZ20" s="79" t="e">
        <f>0.01*$K$83</f>
        <v>#DIV/0!</v>
      </c>
    </row>
    <row r="21" spans="1:52">
      <c r="A21">
        <v>2023</v>
      </c>
      <c r="B21" t="s">
        <v>247</v>
      </c>
      <c r="C21" s="79" t="e">
        <f>0.01*$L$33</f>
        <v>#DIV/0!</v>
      </c>
      <c r="D21" s="79" t="e">
        <f>0.01*$L$34</f>
        <v>#DIV/0!</v>
      </c>
      <c r="E21" s="79" t="e">
        <f>0.01*$L$35</f>
        <v>#DIV/0!</v>
      </c>
      <c r="F21" s="79" t="e">
        <f>0.01*$L$36</f>
        <v>#DIV/0!</v>
      </c>
      <c r="G21" s="79" t="e">
        <f>0.01*$L$37</f>
        <v>#DIV/0!</v>
      </c>
      <c r="H21" s="79" t="e">
        <f>0.01*$L$38</f>
        <v>#DIV/0!</v>
      </c>
      <c r="I21" s="79" t="e">
        <f>0.01*$L$39</f>
        <v>#DIV/0!</v>
      </c>
      <c r="J21" s="79" t="e">
        <f>0.01*$L$40</f>
        <v>#DIV/0!</v>
      </c>
      <c r="K21" s="79" t="e">
        <f>0.01*$L$41</f>
        <v>#DIV/0!</v>
      </c>
      <c r="L21" s="79" t="e">
        <f>0.01*$L$42</f>
        <v>#DIV/0!</v>
      </c>
      <c r="M21" s="79" t="e">
        <f>0.01*$L$43</f>
        <v>#DIV/0!</v>
      </c>
      <c r="N21" s="79" t="e">
        <f>0.01*$L$44</f>
        <v>#DIV/0!</v>
      </c>
      <c r="O21" s="79" t="e">
        <f>0.01*$L$45</f>
        <v>#DIV/0!</v>
      </c>
      <c r="P21" s="79" t="e">
        <f>0.01*$L$46</f>
        <v>#DIV/0!</v>
      </c>
      <c r="Q21" s="79" t="e">
        <f>0.01*$L$47</f>
        <v>#DIV/0!</v>
      </c>
      <c r="R21" s="79" t="e">
        <f>0.01*$L$48</f>
        <v>#DIV/0!</v>
      </c>
      <c r="S21" s="79" t="e">
        <f>0.01*$L$49</f>
        <v>#DIV/0!</v>
      </c>
      <c r="T21" s="79" t="e">
        <f>0.01*$L$50</f>
        <v>#DIV/0!</v>
      </c>
      <c r="U21" s="79" t="e">
        <f>0.01*$L$51</f>
        <v>#DIV/0!</v>
      </c>
      <c r="V21" s="79" t="e">
        <f>0.01*$L$52</f>
        <v>#DIV/0!</v>
      </c>
      <c r="W21" s="79" t="e">
        <f>0.01*$L$53</f>
        <v>#DIV/0!</v>
      </c>
      <c r="X21" s="79" t="e">
        <f>0.01*$L$54</f>
        <v>#DIV/0!</v>
      </c>
      <c r="Y21" s="79" t="e">
        <f>0.01*$L$55</f>
        <v>#DIV/0!</v>
      </c>
      <c r="Z21" s="79" t="e">
        <f>0.01*$L$56</f>
        <v>#DIV/0!</v>
      </c>
      <c r="AA21" s="79" t="e">
        <f>0.01*$L$57</f>
        <v>#DIV/0!</v>
      </c>
      <c r="AB21" s="79" t="e">
        <f>0.01*$L$58</f>
        <v>#DIV/0!</v>
      </c>
      <c r="AC21" s="79" t="e">
        <f>0.01*$L$59</f>
        <v>#DIV/0!</v>
      </c>
      <c r="AD21" s="79" t="e">
        <f>0.01*$L$60</f>
        <v>#DIV/0!</v>
      </c>
      <c r="AE21" s="79" t="e">
        <f>0.01*$L$61</f>
        <v>#DIV/0!</v>
      </c>
      <c r="AF21" s="79" t="e">
        <f>0.01*$L$62</f>
        <v>#DIV/0!</v>
      </c>
      <c r="AG21" s="79" t="e">
        <f>0.01*$L$63</f>
        <v>#DIV/0!</v>
      </c>
      <c r="AH21" s="79" t="e">
        <f>0.01*$L$64</f>
        <v>#DIV/0!</v>
      </c>
      <c r="AI21" s="79" t="e">
        <f>0.01*$L$65</f>
        <v>#DIV/0!</v>
      </c>
      <c r="AJ21" s="79" t="e">
        <f>0.01*$L$66</f>
        <v>#DIV/0!</v>
      </c>
      <c r="AK21" s="79" t="e">
        <f>0.01*$L$67</f>
        <v>#DIV/0!</v>
      </c>
      <c r="AL21" s="79" t="e">
        <f>0.01*$L$68</f>
        <v>#DIV/0!</v>
      </c>
      <c r="AM21" s="79" t="e">
        <f>0.01*$L$69</f>
        <v>#DIV/0!</v>
      </c>
      <c r="AN21" s="79" t="e">
        <f>0.01*$L$70</f>
        <v>#DIV/0!</v>
      </c>
      <c r="AO21" s="79" t="e">
        <f>0.01*$L$71</f>
        <v>#DIV/0!</v>
      </c>
      <c r="AP21" s="79" t="e">
        <f>0.01*$L$72</f>
        <v>#DIV/0!</v>
      </c>
      <c r="AQ21" s="79" t="e">
        <f>0.01*$L$73</f>
        <v>#DIV/0!</v>
      </c>
      <c r="AR21" s="79" t="e">
        <f>0.01*$L$74</f>
        <v>#DIV/0!</v>
      </c>
      <c r="AS21" s="79" t="e">
        <f>0.01*$L$75</f>
        <v>#DIV/0!</v>
      </c>
      <c r="AT21" s="79" t="e">
        <f>0.01*$L$76</f>
        <v>#DIV/0!</v>
      </c>
      <c r="AU21" s="79" t="e">
        <f>0.01*$L$77</f>
        <v>#DIV/0!</v>
      </c>
      <c r="AV21" s="79" t="e">
        <f>0.01*$L$78</f>
        <v>#DIV/0!</v>
      </c>
      <c r="AW21" s="79" t="e">
        <f>0.01*$L$79</f>
        <v>#DIV/0!</v>
      </c>
      <c r="AX21" s="79" t="e">
        <f>0.01*$L$80</f>
        <v>#DIV/0!</v>
      </c>
      <c r="AY21" s="79" t="e">
        <f>0.01*$L$81</f>
        <v>#DIV/0!</v>
      </c>
      <c r="AZ21" s="79" t="e">
        <f>0.01*$L$83</f>
        <v>#DIV/0!</v>
      </c>
    </row>
    <row r="22" spans="1:52">
      <c r="A22" s="2">
        <v>2024</v>
      </c>
      <c r="B22" t="s">
        <v>247</v>
      </c>
      <c r="C22" s="79" t="e">
        <f>0.01*$M$33</f>
        <v>#DIV/0!</v>
      </c>
      <c r="D22" s="79" t="e">
        <f>0.01*$M$34</f>
        <v>#DIV/0!</v>
      </c>
      <c r="E22" s="79" t="e">
        <f>0.01*$M$35</f>
        <v>#DIV/0!</v>
      </c>
      <c r="F22" s="79" t="e">
        <f>0.01*$M$36</f>
        <v>#DIV/0!</v>
      </c>
      <c r="G22" s="79" t="e">
        <f>0.01*$M$37</f>
        <v>#DIV/0!</v>
      </c>
      <c r="H22" s="79" t="e">
        <f>0.01*$M$38</f>
        <v>#DIV/0!</v>
      </c>
      <c r="I22" s="79" t="e">
        <f>0.01*$M$39</f>
        <v>#DIV/0!</v>
      </c>
      <c r="J22" s="79" t="e">
        <f>0.01*$M$40</f>
        <v>#DIV/0!</v>
      </c>
      <c r="K22" s="79" t="e">
        <f>0.01*$M$41</f>
        <v>#DIV/0!</v>
      </c>
      <c r="L22" s="79" t="e">
        <f>0.01*$M$42</f>
        <v>#DIV/0!</v>
      </c>
      <c r="M22" s="79" t="e">
        <f>0.01*$M$43</f>
        <v>#DIV/0!</v>
      </c>
      <c r="N22" s="79" t="e">
        <f>0.01*$M$44</f>
        <v>#DIV/0!</v>
      </c>
      <c r="O22" s="79" t="e">
        <f>0.01*$M$45</f>
        <v>#DIV/0!</v>
      </c>
      <c r="P22" s="79" t="e">
        <f>0.01*$M$46</f>
        <v>#DIV/0!</v>
      </c>
      <c r="Q22" s="79" t="e">
        <f>0.01*$M$47</f>
        <v>#DIV/0!</v>
      </c>
      <c r="R22" s="79" t="e">
        <f>0.01*$M$48</f>
        <v>#DIV/0!</v>
      </c>
      <c r="S22" s="79" t="e">
        <f>0.01*$M$49</f>
        <v>#DIV/0!</v>
      </c>
      <c r="T22" s="79" t="e">
        <f>0.01*$M$50</f>
        <v>#DIV/0!</v>
      </c>
      <c r="U22" s="79" t="e">
        <f>0.01*$M$51</f>
        <v>#DIV/0!</v>
      </c>
      <c r="V22" s="79" t="e">
        <f>0.01*$M$52</f>
        <v>#DIV/0!</v>
      </c>
      <c r="W22" s="79" t="e">
        <f>0.01*$M$53</f>
        <v>#DIV/0!</v>
      </c>
      <c r="X22" s="79" t="e">
        <f>0.01*$M$54</f>
        <v>#DIV/0!</v>
      </c>
      <c r="Y22" s="79" t="e">
        <f>0.01*$M$55</f>
        <v>#DIV/0!</v>
      </c>
      <c r="Z22" s="79" t="e">
        <f>0.01*$M$56</f>
        <v>#DIV/0!</v>
      </c>
      <c r="AA22" s="79" t="e">
        <f>0.01*$M$57</f>
        <v>#DIV/0!</v>
      </c>
      <c r="AB22" s="79" t="e">
        <f>0.01*$M$58</f>
        <v>#DIV/0!</v>
      </c>
      <c r="AC22" s="79" t="e">
        <f>0.01*$M$59</f>
        <v>#DIV/0!</v>
      </c>
      <c r="AD22" s="79" t="e">
        <f>0.01*$M$60</f>
        <v>#DIV/0!</v>
      </c>
      <c r="AE22" s="79" t="e">
        <f>0.01*$M$61</f>
        <v>#DIV/0!</v>
      </c>
      <c r="AF22" s="79" t="e">
        <f>0.01*$M$62</f>
        <v>#DIV/0!</v>
      </c>
      <c r="AG22" s="79" t="e">
        <f>0.01*$M$63</f>
        <v>#DIV/0!</v>
      </c>
      <c r="AH22" s="79" t="e">
        <f>0.01*$M$64</f>
        <v>#DIV/0!</v>
      </c>
      <c r="AI22" s="79" t="e">
        <f>0.01*$M$65</f>
        <v>#DIV/0!</v>
      </c>
      <c r="AJ22" s="79" t="e">
        <f>0.01*$M$66</f>
        <v>#DIV/0!</v>
      </c>
      <c r="AK22" s="79" t="e">
        <f>0.01*$M$67</f>
        <v>#DIV/0!</v>
      </c>
      <c r="AL22" s="79" t="e">
        <f>0.01*$M$68</f>
        <v>#DIV/0!</v>
      </c>
      <c r="AM22" s="79" t="e">
        <f>0.01*$M$69</f>
        <v>#DIV/0!</v>
      </c>
      <c r="AN22" s="79" t="e">
        <f>0.01*$M$70</f>
        <v>#DIV/0!</v>
      </c>
      <c r="AO22" s="79" t="e">
        <f>0.01*$M$71</f>
        <v>#DIV/0!</v>
      </c>
      <c r="AP22" s="79" t="e">
        <f>0.01*$M$72</f>
        <v>#DIV/0!</v>
      </c>
      <c r="AQ22" s="79" t="e">
        <f>0.01*$M$73</f>
        <v>#DIV/0!</v>
      </c>
      <c r="AR22" s="79" t="e">
        <f>0.01*$M$74</f>
        <v>#DIV/0!</v>
      </c>
      <c r="AS22" s="79" t="e">
        <f>0.01*$M$75</f>
        <v>#DIV/0!</v>
      </c>
      <c r="AT22" s="79" t="e">
        <f>0.01*$M$76</f>
        <v>#DIV/0!</v>
      </c>
      <c r="AU22" s="79" t="e">
        <f>0.01*$M$77</f>
        <v>#DIV/0!</v>
      </c>
      <c r="AV22" s="79" t="e">
        <f>0.01*$M$78</f>
        <v>#DIV/0!</v>
      </c>
      <c r="AW22" s="79" t="e">
        <f>0.01*$M$79</f>
        <v>#DIV/0!</v>
      </c>
      <c r="AX22" s="79" t="e">
        <f>0.01*$M$80</f>
        <v>#DIV/0!</v>
      </c>
      <c r="AY22" s="79" t="e">
        <f>0.01*$M$81</f>
        <v>#DIV/0!</v>
      </c>
      <c r="AZ22" s="79" t="e">
        <f>0.01*$M$83</f>
        <v>#DIV/0!</v>
      </c>
    </row>
    <row r="23" spans="1:52">
      <c r="A23">
        <v>2025</v>
      </c>
      <c r="B23" t="s">
        <v>247</v>
      </c>
      <c r="C23" s="79" t="e">
        <f>0.01*$N$33</f>
        <v>#DIV/0!</v>
      </c>
      <c r="D23" s="79" t="e">
        <f>0.01*$N$34</f>
        <v>#DIV/0!</v>
      </c>
      <c r="E23" s="79" t="e">
        <f>0.01*$N$35</f>
        <v>#DIV/0!</v>
      </c>
      <c r="F23" s="79" t="e">
        <f>0.01*$N$36</f>
        <v>#DIV/0!</v>
      </c>
      <c r="G23" s="79" t="e">
        <f>0.01*$N$37</f>
        <v>#DIV/0!</v>
      </c>
      <c r="H23" s="79" t="e">
        <f>0.01*$N$38</f>
        <v>#DIV/0!</v>
      </c>
      <c r="I23" s="79" t="e">
        <f>0.01*$N$39</f>
        <v>#DIV/0!</v>
      </c>
      <c r="J23" s="79" t="e">
        <f>0.01*$N$40</f>
        <v>#DIV/0!</v>
      </c>
      <c r="K23" s="79" t="e">
        <f>0.01*$N$41</f>
        <v>#DIV/0!</v>
      </c>
      <c r="L23" s="79" t="e">
        <f>0.01*$N$42</f>
        <v>#DIV/0!</v>
      </c>
      <c r="M23" s="79" t="e">
        <f>0.01*$N$43</f>
        <v>#DIV/0!</v>
      </c>
      <c r="N23" s="79" t="e">
        <f>0.01*$N$44</f>
        <v>#DIV/0!</v>
      </c>
      <c r="O23" s="79" t="e">
        <f>0.01*$N$45</f>
        <v>#DIV/0!</v>
      </c>
      <c r="P23" s="79" t="e">
        <f>0.01*$N$46</f>
        <v>#DIV/0!</v>
      </c>
      <c r="Q23" s="79" t="e">
        <f>0.01*$N$47</f>
        <v>#DIV/0!</v>
      </c>
      <c r="R23" s="79" t="e">
        <f>0.01*$N$48</f>
        <v>#DIV/0!</v>
      </c>
      <c r="S23" s="79" t="e">
        <f>0.01*$N$49</f>
        <v>#DIV/0!</v>
      </c>
      <c r="T23" s="79" t="e">
        <f>0.01*$N$50</f>
        <v>#DIV/0!</v>
      </c>
      <c r="U23" s="79" t="e">
        <f>0.01*$N$51</f>
        <v>#DIV/0!</v>
      </c>
      <c r="V23" s="79" t="e">
        <f>0.01*$N$52</f>
        <v>#DIV/0!</v>
      </c>
      <c r="W23" s="79" t="e">
        <f>0.01*$N$53</f>
        <v>#DIV/0!</v>
      </c>
      <c r="X23" s="79" t="e">
        <f>0.01*$N$54</f>
        <v>#DIV/0!</v>
      </c>
      <c r="Y23" s="79" t="e">
        <f>0.01*$N$55</f>
        <v>#DIV/0!</v>
      </c>
      <c r="Z23" s="79" t="e">
        <f>0.01*$N$56</f>
        <v>#DIV/0!</v>
      </c>
      <c r="AA23" s="79" t="e">
        <f>0.01*$N$57</f>
        <v>#DIV/0!</v>
      </c>
      <c r="AB23" s="79" t="e">
        <f>0.01*$N$58</f>
        <v>#DIV/0!</v>
      </c>
      <c r="AC23" s="79" t="e">
        <f>0.01*$N$59</f>
        <v>#DIV/0!</v>
      </c>
      <c r="AD23" s="79" t="e">
        <f>0.01*$N$60</f>
        <v>#DIV/0!</v>
      </c>
      <c r="AE23" s="79" t="e">
        <f>0.01*$N$61</f>
        <v>#DIV/0!</v>
      </c>
      <c r="AF23" s="79" t="e">
        <f>0.01*$N$62</f>
        <v>#DIV/0!</v>
      </c>
      <c r="AG23" s="79" t="e">
        <f>0.01*$N$63</f>
        <v>#DIV/0!</v>
      </c>
      <c r="AH23" s="79" t="e">
        <f>0.01*$N$64</f>
        <v>#DIV/0!</v>
      </c>
      <c r="AI23" s="79" t="e">
        <f>0.01*$N$65</f>
        <v>#DIV/0!</v>
      </c>
      <c r="AJ23" s="79" t="e">
        <f>0.01*$N$66</f>
        <v>#DIV/0!</v>
      </c>
      <c r="AK23" s="79" t="e">
        <f>0.01*$N$67</f>
        <v>#DIV/0!</v>
      </c>
      <c r="AL23" s="79" t="e">
        <f>0.01*$N$68</f>
        <v>#DIV/0!</v>
      </c>
      <c r="AM23" s="79" t="e">
        <f>0.01*$N$69</f>
        <v>#DIV/0!</v>
      </c>
      <c r="AN23" s="79" t="e">
        <f>0.01*$N$70</f>
        <v>#DIV/0!</v>
      </c>
      <c r="AO23" s="79" t="e">
        <f>0.01*$N$71</f>
        <v>#DIV/0!</v>
      </c>
      <c r="AP23" s="79" t="e">
        <f>0.01*$N$72</f>
        <v>#DIV/0!</v>
      </c>
      <c r="AQ23" s="79" t="e">
        <f>0.01*$N$73</f>
        <v>#DIV/0!</v>
      </c>
      <c r="AR23" s="79" t="e">
        <f>0.01*$N$74</f>
        <v>#DIV/0!</v>
      </c>
      <c r="AS23" s="79" t="e">
        <f>0.01*$N$75</f>
        <v>#DIV/0!</v>
      </c>
      <c r="AT23" s="79" t="e">
        <f>0.01*$N$76</f>
        <v>#DIV/0!</v>
      </c>
      <c r="AU23" s="79" t="e">
        <f>0.01*$N$77</f>
        <v>#DIV/0!</v>
      </c>
      <c r="AV23" s="79" t="e">
        <f>0.01*$N$78</f>
        <v>#DIV/0!</v>
      </c>
      <c r="AW23" s="79" t="e">
        <f>0.01*$N$79</f>
        <v>#DIV/0!</v>
      </c>
      <c r="AX23" s="79" t="e">
        <f>0.01*$N$80</f>
        <v>#DIV/0!</v>
      </c>
      <c r="AY23" s="79" t="e">
        <f>0.01*$N$81</f>
        <v>#DIV/0!</v>
      </c>
      <c r="AZ23" s="79" t="e">
        <f>0.01*$N$83</f>
        <v>#DIV/0!</v>
      </c>
    </row>
    <row r="24" spans="1:52">
      <c r="A24" s="2"/>
      <c r="C24" s="79"/>
      <c r="D24" s="79"/>
      <c r="E24" s="79"/>
      <c r="F24" s="79"/>
      <c r="G24" s="79"/>
      <c r="H24" s="79"/>
    </row>
    <row r="25" spans="1:52">
      <c r="C25" s="79"/>
      <c r="D25" s="79"/>
      <c r="E25" s="79"/>
      <c r="F25" s="79"/>
      <c r="G25" s="79"/>
      <c r="H25" s="79"/>
    </row>
    <row r="26" spans="1:52">
      <c r="A26" s="2"/>
      <c r="C26" s="79"/>
      <c r="D26" s="79"/>
      <c r="E26" s="79"/>
      <c r="F26" s="79"/>
      <c r="G26" s="79"/>
      <c r="H26" s="79"/>
    </row>
    <row r="27" spans="1:52">
      <c r="C27" s="79"/>
      <c r="D27" s="79"/>
      <c r="E27" s="79"/>
      <c r="F27" s="79"/>
      <c r="G27" s="79"/>
      <c r="H27" s="79"/>
    </row>
    <row r="28" spans="1:52">
      <c r="A28" s="2"/>
      <c r="C28" s="79"/>
      <c r="D28" s="79"/>
      <c r="E28" s="79"/>
      <c r="F28" s="79"/>
      <c r="G28" s="79"/>
      <c r="H28" s="79"/>
    </row>
    <row r="29" spans="1:52">
      <c r="C29" s="79"/>
      <c r="D29" s="79"/>
      <c r="E29" s="79"/>
      <c r="F29" s="79"/>
      <c r="G29" s="79"/>
      <c r="H29" s="79"/>
      <c r="Q29" s="82"/>
      <c r="R29" s="82"/>
      <c r="S29" s="8"/>
      <c r="T29" s="8"/>
      <c r="U29" s="8"/>
      <c r="V29" s="8"/>
    </row>
    <row r="30" spans="1:52">
      <c r="Q30" s="82"/>
      <c r="R30" s="82"/>
      <c r="S30" s="82"/>
      <c r="T30" s="82"/>
      <c r="U30" s="82"/>
      <c r="V30" s="82"/>
    </row>
    <row r="31" spans="1:52" ht="23.65" thickBot="1">
      <c r="A31" s="355" t="s">
        <v>195</v>
      </c>
      <c r="B31" s="355"/>
      <c r="C31" s="59"/>
      <c r="D31" s="59"/>
      <c r="E31" s="59"/>
      <c r="F31" s="59"/>
      <c r="G31" s="59"/>
      <c r="H31" s="59"/>
      <c r="I31" s="59"/>
      <c r="J31" s="59"/>
      <c r="K31" s="59"/>
      <c r="L31" s="59"/>
      <c r="M31" s="59"/>
      <c r="N31" s="59"/>
      <c r="O31" s="82"/>
      <c r="P31" s="321" t="s">
        <v>46</v>
      </c>
      <c r="Q31" s="321"/>
      <c r="R31" s="155"/>
      <c r="S31" s="367" t="s">
        <v>245</v>
      </c>
      <c r="T31" s="368"/>
      <c r="U31" s="368"/>
      <c r="V31" s="368"/>
      <c r="W31" s="368"/>
      <c r="X31" s="368"/>
      <c r="Y31" s="368"/>
      <c r="Z31" s="368"/>
      <c r="AA31" s="368"/>
      <c r="AB31" s="368"/>
      <c r="AC31" s="368"/>
      <c r="AD31" s="368"/>
      <c r="AE31" s="93"/>
      <c r="AF31" s="93"/>
      <c r="AG31" s="93"/>
      <c r="AH31" s="93"/>
      <c r="AK31" s="11"/>
      <c r="AN31" s="90"/>
      <c r="AO31" s="90"/>
      <c r="AP31" s="90"/>
      <c r="AQ31" s="90"/>
      <c r="AR31" s="90"/>
      <c r="AS31" s="90"/>
      <c r="AT31" s="90"/>
      <c r="AU31" s="90"/>
      <c r="AV31" s="90"/>
    </row>
    <row r="32" spans="1:52" ht="18">
      <c r="A32" s="81" t="s">
        <v>199</v>
      </c>
      <c r="B32" s="80" t="s">
        <v>210</v>
      </c>
      <c r="C32" s="140">
        <v>2014</v>
      </c>
      <c r="D32" s="140">
        <v>2015</v>
      </c>
      <c r="E32" s="140">
        <v>2016</v>
      </c>
      <c r="F32" s="140">
        <v>2017</v>
      </c>
      <c r="G32" s="140">
        <v>2018</v>
      </c>
      <c r="H32" s="140">
        <v>2019</v>
      </c>
      <c r="I32" s="150">
        <v>2020</v>
      </c>
      <c r="J32" s="150">
        <v>2021</v>
      </c>
      <c r="K32" s="150">
        <v>2022</v>
      </c>
      <c r="L32" s="150">
        <v>2023</v>
      </c>
      <c r="M32" s="150">
        <v>2024</v>
      </c>
      <c r="N32" s="150">
        <v>2025</v>
      </c>
      <c r="O32" s="155"/>
      <c r="P32" s="319" t="s">
        <v>65</v>
      </c>
      <c r="Q32" s="320"/>
      <c r="R32" s="82"/>
      <c r="S32" s="156">
        <v>2014</v>
      </c>
      <c r="T32" s="91">
        <v>2015</v>
      </c>
      <c r="U32" s="91">
        <v>2016</v>
      </c>
      <c r="V32" s="91">
        <v>2017</v>
      </c>
      <c r="W32" s="91">
        <v>2018</v>
      </c>
      <c r="X32" s="91">
        <v>2019</v>
      </c>
      <c r="Y32" s="91">
        <v>2020</v>
      </c>
      <c r="Z32" s="91">
        <v>2021</v>
      </c>
      <c r="AA32" s="91">
        <v>2022</v>
      </c>
      <c r="AB32" s="91">
        <v>2023</v>
      </c>
      <c r="AC32" s="91">
        <v>2024</v>
      </c>
      <c r="AD32" s="92">
        <v>2025</v>
      </c>
      <c r="AE32" s="94"/>
      <c r="AF32" s="94"/>
      <c r="AG32" s="94"/>
      <c r="AH32" s="94"/>
      <c r="AK32" s="11"/>
      <c r="AN32" s="85"/>
      <c r="AO32" s="85"/>
      <c r="AP32" s="85"/>
      <c r="AQ32" s="85"/>
      <c r="AR32" s="85"/>
      <c r="AS32" s="85"/>
      <c r="AT32" s="85"/>
      <c r="AU32" s="85"/>
      <c r="AV32" s="85"/>
    </row>
    <row r="33" spans="1:37">
      <c r="A33" s="69" t="s">
        <v>159</v>
      </c>
      <c r="B33" s="71" t="s">
        <v>162</v>
      </c>
      <c r="C33">
        <v>62</v>
      </c>
      <c r="D33">
        <v>64</v>
      </c>
      <c r="E33">
        <v>59</v>
      </c>
      <c r="F33" t="e">
        <f>1/0</f>
        <v>#DIV/0!</v>
      </c>
      <c r="G33" t="e">
        <f t="shared" ref="G33:N48" si="0">1/0</f>
        <v>#DIV/0!</v>
      </c>
      <c r="H33" t="e">
        <f t="shared" si="0"/>
        <v>#DIV/0!</v>
      </c>
      <c r="I33" t="e">
        <f t="shared" si="0"/>
        <v>#DIV/0!</v>
      </c>
      <c r="J33" t="e">
        <f t="shared" si="0"/>
        <v>#DIV/0!</v>
      </c>
      <c r="K33" t="e">
        <f t="shared" si="0"/>
        <v>#DIV/0!</v>
      </c>
      <c r="L33" t="e">
        <f t="shared" si="0"/>
        <v>#DIV/0!</v>
      </c>
      <c r="M33" t="e">
        <f t="shared" si="0"/>
        <v>#DIV/0!</v>
      </c>
      <c r="N33" t="e">
        <f t="shared" si="0"/>
        <v>#DIV/0!</v>
      </c>
      <c r="O33" s="82"/>
      <c r="P33" s="56" t="s">
        <v>61</v>
      </c>
      <c r="Q33" s="56" t="s">
        <v>62</v>
      </c>
      <c r="R33" s="82"/>
      <c r="S33">
        <f>$C$33</f>
        <v>62</v>
      </c>
      <c r="T33">
        <f>$D$33</f>
        <v>64</v>
      </c>
      <c r="U33">
        <f>$E$33</f>
        <v>59</v>
      </c>
      <c r="V33" t="e">
        <f>$F$33</f>
        <v>#DIV/0!</v>
      </c>
      <c r="W33" t="e">
        <f>$G$33</f>
        <v>#DIV/0!</v>
      </c>
      <c r="X33" t="e">
        <f>$H$33</f>
        <v>#DIV/0!</v>
      </c>
      <c r="Y33" t="e">
        <f>$I$33</f>
        <v>#DIV/0!</v>
      </c>
      <c r="Z33" t="e">
        <f>$J$33</f>
        <v>#DIV/0!</v>
      </c>
      <c r="AA33" t="e">
        <f>$K$33</f>
        <v>#DIV/0!</v>
      </c>
      <c r="AB33" t="e">
        <f>$L$33</f>
        <v>#DIV/0!</v>
      </c>
      <c r="AC33" t="e">
        <f>$M$33</f>
        <v>#DIV/0!</v>
      </c>
      <c r="AD33" t="e">
        <f>$N$33</f>
        <v>#DIV/0!</v>
      </c>
      <c r="AE33" s="95"/>
      <c r="AF33" s="95"/>
      <c r="AG33" s="95"/>
      <c r="AH33" s="95"/>
      <c r="AK33" s="11"/>
    </row>
    <row r="34" spans="1:37">
      <c r="A34" s="68" t="s">
        <v>194</v>
      </c>
      <c r="B34" s="71" t="s">
        <v>188</v>
      </c>
      <c r="C34" s="8">
        <v>66</v>
      </c>
      <c r="D34" s="8">
        <v>67</v>
      </c>
      <c r="E34" s="8">
        <v>68</v>
      </c>
      <c r="F34" t="e">
        <f t="shared" ref="F34:N75" si="1">1/0</f>
        <v>#DIV/0!</v>
      </c>
      <c r="G34" t="e">
        <f t="shared" si="0"/>
        <v>#DIV/0!</v>
      </c>
      <c r="H34" t="e">
        <f t="shared" si="0"/>
        <v>#DIV/0!</v>
      </c>
      <c r="I34" t="e">
        <f t="shared" si="0"/>
        <v>#DIV/0!</v>
      </c>
      <c r="J34" t="e">
        <f t="shared" si="0"/>
        <v>#DIV/0!</v>
      </c>
      <c r="K34" t="e">
        <f t="shared" si="0"/>
        <v>#DIV/0!</v>
      </c>
      <c r="L34" t="e">
        <f t="shared" si="0"/>
        <v>#DIV/0!</v>
      </c>
      <c r="M34" t="e">
        <f t="shared" si="0"/>
        <v>#DIV/0!</v>
      </c>
      <c r="N34" t="e">
        <f t="shared" si="0"/>
        <v>#DIV/0!</v>
      </c>
      <c r="O34" s="82"/>
      <c r="P34" s="244" t="s">
        <v>392</v>
      </c>
      <c r="Q34" s="244" t="s">
        <v>448</v>
      </c>
      <c r="R34" s="82"/>
      <c r="S34">
        <f>$C$34</f>
        <v>66</v>
      </c>
      <c r="T34">
        <f>$D$34</f>
        <v>67</v>
      </c>
      <c r="U34">
        <f>$E$34</f>
        <v>68</v>
      </c>
      <c r="V34" t="e">
        <f>$F$34</f>
        <v>#DIV/0!</v>
      </c>
      <c r="W34" t="e">
        <f>$G$34</f>
        <v>#DIV/0!</v>
      </c>
      <c r="X34" t="e">
        <f>$H$34</f>
        <v>#DIV/0!</v>
      </c>
      <c r="Y34" t="e">
        <f>$I$34</f>
        <v>#DIV/0!</v>
      </c>
      <c r="Z34" t="e">
        <f>$J$34</f>
        <v>#DIV/0!</v>
      </c>
      <c r="AA34" t="e">
        <f>$K$34</f>
        <v>#DIV/0!</v>
      </c>
      <c r="AB34" t="e">
        <f>$L$34</f>
        <v>#DIV/0!</v>
      </c>
      <c r="AC34" t="e">
        <f>$M$34</f>
        <v>#DIV/0!</v>
      </c>
      <c r="AD34" t="e">
        <f>$N$34</f>
        <v>#DIV/0!</v>
      </c>
      <c r="AE34" s="95"/>
      <c r="AF34" s="95"/>
      <c r="AG34" s="95"/>
      <c r="AH34" s="95"/>
      <c r="AK34" s="11"/>
    </row>
    <row r="35" spans="1:37">
      <c r="A35" s="68" t="s">
        <v>189</v>
      </c>
      <c r="B35" t="s">
        <v>153</v>
      </c>
      <c r="C35" s="8">
        <v>64</v>
      </c>
      <c r="D35" s="8">
        <v>67</v>
      </c>
      <c r="E35" s="8">
        <v>65</v>
      </c>
      <c r="F35" t="e">
        <f t="shared" si="1"/>
        <v>#DIV/0!</v>
      </c>
      <c r="G35" t="e">
        <f t="shared" si="0"/>
        <v>#DIV/0!</v>
      </c>
      <c r="H35" t="e">
        <f t="shared" si="0"/>
        <v>#DIV/0!</v>
      </c>
      <c r="I35" t="e">
        <f t="shared" si="0"/>
        <v>#DIV/0!</v>
      </c>
      <c r="J35" t="e">
        <f t="shared" si="0"/>
        <v>#DIV/0!</v>
      </c>
      <c r="K35" t="e">
        <f t="shared" si="0"/>
        <v>#DIV/0!</v>
      </c>
      <c r="L35" t="e">
        <f t="shared" si="0"/>
        <v>#DIV/0!</v>
      </c>
      <c r="M35" t="e">
        <f t="shared" si="0"/>
        <v>#DIV/0!</v>
      </c>
      <c r="N35" t="e">
        <f t="shared" si="0"/>
        <v>#DIV/0!</v>
      </c>
      <c r="O35" s="82"/>
      <c r="P35" s="244" t="s">
        <v>393</v>
      </c>
      <c r="Q35" s="244" t="s">
        <v>449</v>
      </c>
      <c r="R35" s="82"/>
      <c r="S35">
        <f>$C$35</f>
        <v>64</v>
      </c>
      <c r="T35">
        <f>$D$35</f>
        <v>67</v>
      </c>
      <c r="U35">
        <f>$E$35</f>
        <v>65</v>
      </c>
      <c r="V35" t="e">
        <f>$F$35</f>
        <v>#DIV/0!</v>
      </c>
      <c r="W35" t="e">
        <f>$G$35</f>
        <v>#DIV/0!</v>
      </c>
      <c r="X35" t="e">
        <f>$H$35</f>
        <v>#DIV/0!</v>
      </c>
      <c r="Y35" t="e">
        <f>$I$35</f>
        <v>#DIV/0!</v>
      </c>
      <c r="Z35" t="e">
        <f>$J$35</f>
        <v>#DIV/0!</v>
      </c>
      <c r="AA35" t="e">
        <f>$K$35</f>
        <v>#DIV/0!</v>
      </c>
      <c r="AB35" t="e">
        <f>$L$35</f>
        <v>#DIV/0!</v>
      </c>
      <c r="AC35" t="e">
        <f>$M$35</f>
        <v>#DIV/0!</v>
      </c>
      <c r="AD35" t="e">
        <f>$N$35</f>
        <v>#DIV/0!</v>
      </c>
      <c r="AE35" s="95"/>
      <c r="AF35" s="95"/>
      <c r="AG35" s="95"/>
      <c r="AH35" s="95"/>
      <c r="AK35" s="11"/>
    </row>
    <row r="36" spans="1:37">
      <c r="A36" s="69" t="s">
        <v>184</v>
      </c>
      <c r="B36" s="71" t="s">
        <v>188</v>
      </c>
      <c r="C36" s="8">
        <v>73</v>
      </c>
      <c r="D36" s="8">
        <v>70</v>
      </c>
      <c r="E36" s="8">
        <v>68</v>
      </c>
      <c r="F36" t="e">
        <f t="shared" si="1"/>
        <v>#DIV/0!</v>
      </c>
      <c r="G36" t="e">
        <f t="shared" si="0"/>
        <v>#DIV/0!</v>
      </c>
      <c r="H36" t="e">
        <f t="shared" si="0"/>
        <v>#DIV/0!</v>
      </c>
      <c r="I36" t="e">
        <f t="shared" si="0"/>
        <v>#DIV/0!</v>
      </c>
      <c r="J36" t="e">
        <f t="shared" si="0"/>
        <v>#DIV/0!</v>
      </c>
      <c r="K36" t="e">
        <f t="shared" si="0"/>
        <v>#DIV/0!</v>
      </c>
      <c r="L36" t="e">
        <f t="shared" si="0"/>
        <v>#DIV/0!</v>
      </c>
      <c r="M36" t="e">
        <f t="shared" si="0"/>
        <v>#DIV/0!</v>
      </c>
      <c r="N36" t="e">
        <f t="shared" si="0"/>
        <v>#DIV/0!</v>
      </c>
      <c r="O36" s="82"/>
      <c r="P36" s="244" t="s">
        <v>394</v>
      </c>
      <c r="Q36" s="244" t="s">
        <v>450</v>
      </c>
      <c r="R36" s="82"/>
      <c r="S36">
        <f>$C$36</f>
        <v>73</v>
      </c>
      <c r="T36">
        <f>$D$36</f>
        <v>70</v>
      </c>
      <c r="U36">
        <f>$E$36</f>
        <v>68</v>
      </c>
      <c r="V36" t="e">
        <f>$F$36</f>
        <v>#DIV/0!</v>
      </c>
      <c r="W36" t="e">
        <f>$G$36</f>
        <v>#DIV/0!</v>
      </c>
      <c r="X36" t="e">
        <f>$H$36</f>
        <v>#DIV/0!</v>
      </c>
      <c r="Y36" t="e">
        <f>$I$36</f>
        <v>#DIV/0!</v>
      </c>
      <c r="Z36" t="e">
        <f>$J$36</f>
        <v>#DIV/0!</v>
      </c>
      <c r="AA36" t="e">
        <f>$K$36</f>
        <v>#DIV/0!</v>
      </c>
      <c r="AB36" t="e">
        <f>$L$36</f>
        <v>#DIV/0!</v>
      </c>
      <c r="AC36" t="e">
        <f>$M$36</f>
        <v>#DIV/0!</v>
      </c>
      <c r="AD36" t="e">
        <f>$N$36</f>
        <v>#DIV/0!</v>
      </c>
      <c r="AE36" s="95"/>
      <c r="AF36" s="95"/>
      <c r="AG36" s="95"/>
      <c r="AH36" s="95"/>
      <c r="AK36" s="11"/>
    </row>
    <row r="37" spans="1:37">
      <c r="A37" s="69" t="s">
        <v>182</v>
      </c>
      <c r="B37" s="71" t="s">
        <v>188</v>
      </c>
      <c r="C37" s="8">
        <v>65</v>
      </c>
      <c r="D37" s="8">
        <v>65</v>
      </c>
      <c r="E37" s="8">
        <v>65</v>
      </c>
      <c r="F37" t="e">
        <f t="shared" si="1"/>
        <v>#DIV/0!</v>
      </c>
      <c r="G37" t="e">
        <f t="shared" si="0"/>
        <v>#DIV/0!</v>
      </c>
      <c r="H37" t="e">
        <f t="shared" si="0"/>
        <v>#DIV/0!</v>
      </c>
      <c r="I37" t="e">
        <f t="shared" si="0"/>
        <v>#DIV/0!</v>
      </c>
      <c r="J37" t="e">
        <f t="shared" si="0"/>
        <v>#DIV/0!</v>
      </c>
      <c r="K37" t="e">
        <f t="shared" si="0"/>
        <v>#DIV/0!</v>
      </c>
      <c r="L37" t="e">
        <f t="shared" si="0"/>
        <v>#DIV/0!</v>
      </c>
      <c r="M37" t="e">
        <f t="shared" si="0"/>
        <v>#DIV/0!</v>
      </c>
      <c r="N37" t="e">
        <f t="shared" si="0"/>
        <v>#DIV/0!</v>
      </c>
      <c r="O37" s="82"/>
      <c r="P37" s="244" t="s">
        <v>434</v>
      </c>
      <c r="Q37" s="244" t="s">
        <v>451</v>
      </c>
      <c r="R37" s="82"/>
      <c r="S37">
        <f>$C$37</f>
        <v>65</v>
      </c>
      <c r="T37">
        <f>$D$37</f>
        <v>65</v>
      </c>
      <c r="U37">
        <f>$E$37</f>
        <v>65</v>
      </c>
      <c r="V37" t="e">
        <f>$F$37</f>
        <v>#DIV/0!</v>
      </c>
      <c r="W37" t="e">
        <f>$G$37</f>
        <v>#DIV/0!</v>
      </c>
      <c r="X37" t="e">
        <f>$H$37</f>
        <v>#DIV/0!</v>
      </c>
      <c r="Y37" t="e">
        <f>$I$37</f>
        <v>#DIV/0!</v>
      </c>
      <c r="Z37" t="e">
        <f>$J$37</f>
        <v>#DIV/0!</v>
      </c>
      <c r="AA37" t="e">
        <f>$K$37</f>
        <v>#DIV/0!</v>
      </c>
      <c r="AB37" t="e">
        <f>$L$37</f>
        <v>#DIV/0!</v>
      </c>
      <c r="AC37" t="e">
        <f>$M$37</f>
        <v>#DIV/0!</v>
      </c>
      <c r="AD37" t="e">
        <f>$N$37</f>
        <v>#DIV/0!</v>
      </c>
      <c r="AE37" s="95"/>
      <c r="AF37" s="95"/>
      <c r="AG37" s="95"/>
      <c r="AH37" s="95"/>
      <c r="AK37" s="11"/>
    </row>
    <row r="38" spans="1:37">
      <c r="A38" s="69" t="s">
        <v>141</v>
      </c>
      <c r="B38" t="s">
        <v>153</v>
      </c>
      <c r="C38" s="8">
        <v>72</v>
      </c>
      <c r="D38" s="8">
        <v>64</v>
      </c>
      <c r="E38" s="8">
        <v>69</v>
      </c>
      <c r="F38" t="e">
        <f t="shared" si="1"/>
        <v>#DIV/0!</v>
      </c>
      <c r="G38" t="e">
        <f t="shared" si="0"/>
        <v>#DIV/0!</v>
      </c>
      <c r="H38" t="e">
        <f t="shared" si="0"/>
        <v>#DIV/0!</v>
      </c>
      <c r="I38" t="e">
        <f t="shared" si="0"/>
        <v>#DIV/0!</v>
      </c>
      <c r="J38" t="e">
        <f t="shared" si="0"/>
        <v>#DIV/0!</v>
      </c>
      <c r="K38" t="e">
        <f t="shared" si="0"/>
        <v>#DIV/0!</v>
      </c>
      <c r="L38" t="e">
        <f t="shared" si="0"/>
        <v>#DIV/0!</v>
      </c>
      <c r="M38" t="e">
        <f t="shared" si="0"/>
        <v>#DIV/0!</v>
      </c>
      <c r="N38" t="e">
        <f t="shared" si="0"/>
        <v>#DIV/0!</v>
      </c>
      <c r="O38" s="82"/>
      <c r="P38" s="244" t="s">
        <v>435</v>
      </c>
      <c r="Q38" s="244" t="s">
        <v>452</v>
      </c>
      <c r="R38" s="82"/>
      <c r="S38">
        <f>$C$38</f>
        <v>72</v>
      </c>
      <c r="T38">
        <f>$D$38</f>
        <v>64</v>
      </c>
      <c r="U38">
        <f>$E$38</f>
        <v>69</v>
      </c>
      <c r="V38" t="e">
        <f>$F$38</f>
        <v>#DIV/0!</v>
      </c>
      <c r="W38" t="e">
        <f>$G$38</f>
        <v>#DIV/0!</v>
      </c>
      <c r="X38" t="e">
        <f>$H$38</f>
        <v>#DIV/0!</v>
      </c>
      <c r="Y38" t="e">
        <f>$I$38</f>
        <v>#DIV/0!</v>
      </c>
      <c r="Z38" t="e">
        <f>$J$38</f>
        <v>#DIV/0!</v>
      </c>
      <c r="AA38" t="e">
        <f>$K$38</f>
        <v>#DIV/0!</v>
      </c>
      <c r="AB38" t="e">
        <f>$L$38</f>
        <v>#DIV/0!</v>
      </c>
      <c r="AC38" t="e">
        <f>$M$38</f>
        <v>#DIV/0!</v>
      </c>
      <c r="AD38" t="e">
        <f>$N$38</f>
        <v>#DIV/0!</v>
      </c>
      <c r="AE38" s="95"/>
      <c r="AF38" s="95"/>
      <c r="AG38" s="95"/>
      <c r="AH38" s="95"/>
    </row>
    <row r="39" spans="1:37">
      <c r="A39" s="69" t="s">
        <v>163</v>
      </c>
      <c r="B39" s="71" t="s">
        <v>178</v>
      </c>
      <c r="C39" s="8">
        <v>52</v>
      </c>
      <c r="D39" s="8">
        <v>66</v>
      </c>
      <c r="E39" s="8">
        <v>64</v>
      </c>
      <c r="F39" t="e">
        <f t="shared" si="1"/>
        <v>#DIV/0!</v>
      </c>
      <c r="G39" t="e">
        <f t="shared" si="0"/>
        <v>#DIV/0!</v>
      </c>
      <c r="H39" t="e">
        <f t="shared" si="0"/>
        <v>#DIV/0!</v>
      </c>
      <c r="I39" t="e">
        <f t="shared" si="0"/>
        <v>#DIV/0!</v>
      </c>
      <c r="J39" t="e">
        <f t="shared" si="0"/>
        <v>#DIV/0!</v>
      </c>
      <c r="K39" t="e">
        <f t="shared" si="0"/>
        <v>#DIV/0!</v>
      </c>
      <c r="L39" t="e">
        <f t="shared" si="0"/>
        <v>#DIV/0!</v>
      </c>
      <c r="M39" t="e">
        <f t="shared" si="0"/>
        <v>#DIV/0!</v>
      </c>
      <c r="N39" t="e">
        <f t="shared" si="0"/>
        <v>#DIV/0!</v>
      </c>
      <c r="O39" s="82"/>
      <c r="P39" s="244" t="s">
        <v>436</v>
      </c>
      <c r="Q39" s="244" t="s">
        <v>453</v>
      </c>
      <c r="R39" s="82"/>
      <c r="S39">
        <f>$C$39</f>
        <v>52</v>
      </c>
      <c r="T39">
        <f>$D$39</f>
        <v>66</v>
      </c>
      <c r="U39">
        <f>$E$39</f>
        <v>64</v>
      </c>
      <c r="V39" t="e">
        <f>$F$39</f>
        <v>#DIV/0!</v>
      </c>
      <c r="W39" t="e">
        <f>$G$39</f>
        <v>#DIV/0!</v>
      </c>
      <c r="X39" t="e">
        <f>$H$39</f>
        <v>#DIV/0!</v>
      </c>
      <c r="Y39" t="e">
        <f>$I$39</f>
        <v>#DIV/0!</v>
      </c>
      <c r="Z39" t="e">
        <f>$J$39</f>
        <v>#DIV/0!</v>
      </c>
      <c r="AA39" t="e">
        <f>$K$39</f>
        <v>#DIV/0!</v>
      </c>
      <c r="AB39" t="e">
        <f>$L$39</f>
        <v>#DIV/0!</v>
      </c>
      <c r="AC39" t="e">
        <f>$M$39</f>
        <v>#DIV/0!</v>
      </c>
      <c r="AD39" t="e">
        <f>$N$39</f>
        <v>#DIV/0!</v>
      </c>
      <c r="AE39" s="95"/>
      <c r="AF39" s="95"/>
      <c r="AG39" s="95"/>
      <c r="AH39" s="95"/>
    </row>
    <row r="40" spans="1:37">
      <c r="A40" s="69" t="s">
        <v>164</v>
      </c>
      <c r="B40" s="71" t="s">
        <v>178</v>
      </c>
      <c r="C40" s="8">
        <v>63</v>
      </c>
      <c r="D40" s="8">
        <v>68</v>
      </c>
      <c r="E40" s="8">
        <v>63</v>
      </c>
      <c r="F40" t="e">
        <f t="shared" si="1"/>
        <v>#DIV/0!</v>
      </c>
      <c r="G40" t="e">
        <f t="shared" si="0"/>
        <v>#DIV/0!</v>
      </c>
      <c r="H40" t="e">
        <f t="shared" si="0"/>
        <v>#DIV/0!</v>
      </c>
      <c r="I40" t="e">
        <f t="shared" si="0"/>
        <v>#DIV/0!</v>
      </c>
      <c r="J40" t="e">
        <f t="shared" si="0"/>
        <v>#DIV/0!</v>
      </c>
      <c r="K40" t="e">
        <f t="shared" si="0"/>
        <v>#DIV/0!</v>
      </c>
      <c r="L40" t="e">
        <f t="shared" si="0"/>
        <v>#DIV/0!</v>
      </c>
      <c r="M40" t="e">
        <f t="shared" si="0"/>
        <v>#DIV/0!</v>
      </c>
      <c r="N40" t="e">
        <f t="shared" si="0"/>
        <v>#DIV/0!</v>
      </c>
      <c r="O40" s="82"/>
      <c r="P40" s="244" t="s">
        <v>437</v>
      </c>
      <c r="Q40" s="245" t="s">
        <v>454</v>
      </c>
      <c r="R40" s="82"/>
      <c r="S40">
        <f>$C$40</f>
        <v>63</v>
      </c>
      <c r="T40">
        <f>$D$40</f>
        <v>68</v>
      </c>
      <c r="U40">
        <f>$E$40</f>
        <v>63</v>
      </c>
      <c r="V40" t="e">
        <f>$F$40</f>
        <v>#DIV/0!</v>
      </c>
      <c r="W40" t="e">
        <f>$G$40</f>
        <v>#DIV/0!</v>
      </c>
      <c r="X40" t="e">
        <f>$H$40</f>
        <v>#DIV/0!</v>
      </c>
      <c r="Y40" t="e">
        <f>$I$40</f>
        <v>#DIV/0!</v>
      </c>
      <c r="Z40" t="e">
        <f>$J$40</f>
        <v>#DIV/0!</v>
      </c>
      <c r="AA40" t="e">
        <f>$K$40</f>
        <v>#DIV/0!</v>
      </c>
      <c r="AB40" t="e">
        <f>$L$40</f>
        <v>#DIV/0!</v>
      </c>
      <c r="AC40" t="e">
        <f>$M$40</f>
        <v>#DIV/0!</v>
      </c>
      <c r="AD40" t="e">
        <f>$N$40</f>
        <v>#DIV/0!</v>
      </c>
      <c r="AE40" s="95"/>
      <c r="AF40" s="95"/>
      <c r="AG40" s="95"/>
      <c r="AH40" s="95"/>
    </row>
    <row r="41" spans="1:37">
      <c r="A41" s="69" t="s">
        <v>143</v>
      </c>
      <c r="B41" t="s">
        <v>153</v>
      </c>
      <c r="C41" s="8">
        <v>41</v>
      </c>
      <c r="D41" s="8">
        <v>65</v>
      </c>
      <c r="E41" s="8">
        <v>51</v>
      </c>
      <c r="F41" t="e">
        <f t="shared" si="1"/>
        <v>#DIV/0!</v>
      </c>
      <c r="G41" t="e">
        <f t="shared" si="0"/>
        <v>#DIV/0!</v>
      </c>
      <c r="H41" t="e">
        <f t="shared" si="0"/>
        <v>#DIV/0!</v>
      </c>
      <c r="I41" t="e">
        <f t="shared" si="0"/>
        <v>#DIV/0!</v>
      </c>
      <c r="J41" t="e">
        <f t="shared" si="0"/>
        <v>#DIV/0!</v>
      </c>
      <c r="K41" t="e">
        <f t="shared" si="0"/>
        <v>#DIV/0!</v>
      </c>
      <c r="L41" t="e">
        <f t="shared" si="0"/>
        <v>#DIV/0!</v>
      </c>
      <c r="M41" t="e">
        <f t="shared" si="0"/>
        <v>#DIV/0!</v>
      </c>
      <c r="N41" t="e">
        <f t="shared" si="0"/>
        <v>#DIV/0!</v>
      </c>
      <c r="O41" s="82"/>
      <c r="P41" s="244" t="s">
        <v>438</v>
      </c>
      <c r="Q41" s="244" t="s">
        <v>455</v>
      </c>
      <c r="R41" s="82"/>
      <c r="S41">
        <f>$C$41</f>
        <v>41</v>
      </c>
      <c r="T41">
        <f>$D$41</f>
        <v>65</v>
      </c>
      <c r="U41">
        <f>$E$41</f>
        <v>51</v>
      </c>
      <c r="V41" t="e">
        <f>$F$41</f>
        <v>#DIV/0!</v>
      </c>
      <c r="W41" t="e">
        <f>$G$41</f>
        <v>#DIV/0!</v>
      </c>
      <c r="X41" t="e">
        <f>$H$41</f>
        <v>#DIV/0!</v>
      </c>
      <c r="Y41" t="e">
        <f>$I$41</f>
        <v>#DIV/0!</v>
      </c>
      <c r="Z41" t="e">
        <f>$J$41</f>
        <v>#DIV/0!</v>
      </c>
      <c r="AA41" t="e">
        <f>$K$41</f>
        <v>#DIV/0!</v>
      </c>
      <c r="AB41" t="e">
        <f>$L$41</f>
        <v>#DIV/0!</v>
      </c>
      <c r="AC41" t="e">
        <f>$M$41</f>
        <v>#DIV/0!</v>
      </c>
      <c r="AD41" t="e">
        <f>$N$41</f>
        <v>#DIV/0!</v>
      </c>
      <c r="AE41" s="95"/>
      <c r="AF41" s="95"/>
      <c r="AG41" s="95"/>
      <c r="AH41" s="95"/>
    </row>
    <row r="42" spans="1:37">
      <c r="A42" s="69" t="s">
        <v>165</v>
      </c>
      <c r="B42" s="71" t="s">
        <v>178</v>
      </c>
      <c r="C42" s="8">
        <v>69</v>
      </c>
      <c r="D42" s="8">
        <v>70</v>
      </c>
      <c r="E42" s="8">
        <v>83</v>
      </c>
      <c r="F42" t="e">
        <f t="shared" si="1"/>
        <v>#DIV/0!</v>
      </c>
      <c r="G42" t="e">
        <f t="shared" si="0"/>
        <v>#DIV/0!</v>
      </c>
      <c r="H42" t="e">
        <f t="shared" si="0"/>
        <v>#DIV/0!</v>
      </c>
      <c r="I42" t="e">
        <f t="shared" si="0"/>
        <v>#DIV/0!</v>
      </c>
      <c r="J42" t="e">
        <f t="shared" si="0"/>
        <v>#DIV/0!</v>
      </c>
      <c r="K42" t="e">
        <f t="shared" si="0"/>
        <v>#DIV/0!</v>
      </c>
      <c r="L42" t="e">
        <f t="shared" si="0"/>
        <v>#DIV/0!</v>
      </c>
      <c r="M42" t="e">
        <f t="shared" si="0"/>
        <v>#DIV/0!</v>
      </c>
      <c r="N42" t="e">
        <f t="shared" si="0"/>
        <v>#DIV/0!</v>
      </c>
      <c r="O42" s="82"/>
      <c r="P42" s="245" t="s">
        <v>439</v>
      </c>
      <c r="Q42" s="244" t="s">
        <v>456</v>
      </c>
      <c r="R42" s="82"/>
      <c r="S42">
        <f>$C$42</f>
        <v>69</v>
      </c>
      <c r="T42">
        <f>$D$42</f>
        <v>70</v>
      </c>
      <c r="U42">
        <f>$E$42</f>
        <v>83</v>
      </c>
      <c r="V42" t="e">
        <f>$F$42</f>
        <v>#DIV/0!</v>
      </c>
      <c r="W42" t="e">
        <f>$G$42</f>
        <v>#DIV/0!</v>
      </c>
      <c r="X42" t="e">
        <f>$H$42</f>
        <v>#DIV/0!</v>
      </c>
      <c r="Y42" t="e">
        <f>$I$42</f>
        <v>#DIV/0!</v>
      </c>
      <c r="Z42" t="e">
        <f>$J$42</f>
        <v>#DIV/0!</v>
      </c>
      <c r="AA42" t="e">
        <f>$K$42</f>
        <v>#DIV/0!</v>
      </c>
      <c r="AB42" t="e">
        <f>$L$42</f>
        <v>#DIV/0!</v>
      </c>
      <c r="AC42" t="e">
        <f>$M$42</f>
        <v>#DIV/0!</v>
      </c>
      <c r="AD42" t="e">
        <f>$N$42</f>
        <v>#DIV/0!</v>
      </c>
      <c r="AE42" s="95"/>
      <c r="AF42" s="95"/>
      <c r="AG42" s="95"/>
      <c r="AH42" s="95"/>
    </row>
    <row r="43" spans="1:37">
      <c r="A43" s="69" t="s">
        <v>166</v>
      </c>
      <c r="B43" s="71" t="s">
        <v>178</v>
      </c>
      <c r="C43" s="8">
        <v>65</v>
      </c>
      <c r="D43" s="8">
        <v>52</v>
      </c>
      <c r="E43" s="8">
        <v>56</v>
      </c>
      <c r="F43" t="e">
        <f t="shared" si="1"/>
        <v>#DIV/0!</v>
      </c>
      <c r="G43" t="e">
        <f t="shared" si="0"/>
        <v>#DIV/0!</v>
      </c>
      <c r="H43" t="e">
        <f t="shared" si="0"/>
        <v>#DIV/0!</v>
      </c>
      <c r="I43" t="e">
        <f t="shared" si="0"/>
        <v>#DIV/0!</v>
      </c>
      <c r="J43" t="e">
        <f t="shared" si="0"/>
        <v>#DIV/0!</v>
      </c>
      <c r="K43" t="e">
        <f t="shared" si="0"/>
        <v>#DIV/0!</v>
      </c>
      <c r="L43" t="e">
        <f t="shared" si="0"/>
        <v>#DIV/0!</v>
      </c>
      <c r="M43" t="e">
        <f t="shared" si="0"/>
        <v>#DIV/0!</v>
      </c>
      <c r="N43" t="e">
        <f t="shared" si="0"/>
        <v>#DIV/0!</v>
      </c>
      <c r="O43" s="82"/>
      <c r="P43" s="244" t="s">
        <v>440</v>
      </c>
      <c r="Q43" s="244" t="s">
        <v>457</v>
      </c>
      <c r="R43" s="82"/>
      <c r="S43">
        <f>$C$43</f>
        <v>65</v>
      </c>
      <c r="T43">
        <f>$D$43</f>
        <v>52</v>
      </c>
      <c r="U43">
        <f>$E$43</f>
        <v>56</v>
      </c>
      <c r="V43" t="e">
        <f>$F$43</f>
        <v>#DIV/0!</v>
      </c>
      <c r="W43" t="e">
        <f>$G$43</f>
        <v>#DIV/0!</v>
      </c>
      <c r="X43" t="e">
        <f>$H$43</f>
        <v>#DIV/0!</v>
      </c>
      <c r="Y43" t="e">
        <f>$I$43</f>
        <v>#DIV/0!</v>
      </c>
      <c r="Z43" t="e">
        <f>$J$43</f>
        <v>#DIV/0!</v>
      </c>
      <c r="AA43" t="e">
        <f>$K$43</f>
        <v>#DIV/0!</v>
      </c>
      <c r="AB43" t="e">
        <f>$L$43</f>
        <v>#DIV/0!</v>
      </c>
      <c r="AC43" t="e">
        <f>$M$43</f>
        <v>#DIV/0!</v>
      </c>
      <c r="AD43" t="e">
        <f>$N$43</f>
        <v>#DIV/0!</v>
      </c>
      <c r="AE43" s="95"/>
      <c r="AF43" s="95"/>
      <c r="AG43" s="95"/>
      <c r="AH43" s="95"/>
    </row>
    <row r="44" spans="1:37">
      <c r="A44" s="69" t="s">
        <v>154</v>
      </c>
      <c r="B44" s="71" t="s">
        <v>158</v>
      </c>
      <c r="C44" s="8">
        <v>57</v>
      </c>
      <c r="D44" s="8">
        <v>61</v>
      </c>
      <c r="E44" s="8">
        <v>60</v>
      </c>
      <c r="F44" t="e">
        <f t="shared" si="1"/>
        <v>#DIV/0!</v>
      </c>
      <c r="G44" t="e">
        <f t="shared" si="0"/>
        <v>#DIV/0!</v>
      </c>
      <c r="H44" t="e">
        <f t="shared" si="0"/>
        <v>#DIV/0!</v>
      </c>
      <c r="I44" t="e">
        <f t="shared" si="0"/>
        <v>#DIV/0!</v>
      </c>
      <c r="J44" t="e">
        <f t="shared" si="0"/>
        <v>#DIV/0!</v>
      </c>
      <c r="K44" t="e">
        <f t="shared" si="0"/>
        <v>#DIV/0!</v>
      </c>
      <c r="L44" t="e">
        <f t="shared" si="0"/>
        <v>#DIV/0!</v>
      </c>
      <c r="M44" t="e">
        <f t="shared" si="0"/>
        <v>#DIV/0!</v>
      </c>
      <c r="N44" t="e">
        <f t="shared" si="0"/>
        <v>#DIV/0!</v>
      </c>
      <c r="O44" s="82"/>
      <c r="P44" s="244" t="s">
        <v>441</v>
      </c>
      <c r="Q44" s="244" t="s">
        <v>458</v>
      </c>
      <c r="R44" s="82"/>
      <c r="S44">
        <f>$C$44</f>
        <v>57</v>
      </c>
      <c r="T44">
        <f>$D$44</f>
        <v>61</v>
      </c>
      <c r="U44">
        <f>$E$44</f>
        <v>60</v>
      </c>
      <c r="V44" t="e">
        <f>$F$44</f>
        <v>#DIV/0!</v>
      </c>
      <c r="W44" t="e">
        <f>$G$44</f>
        <v>#DIV/0!</v>
      </c>
      <c r="X44" t="e">
        <f>$H$44</f>
        <v>#DIV/0!</v>
      </c>
      <c r="Y44" t="e">
        <f>$I$44</f>
        <v>#DIV/0!</v>
      </c>
      <c r="Z44" t="e">
        <f>$J$44</f>
        <v>#DIV/0!</v>
      </c>
      <c r="AA44" t="e">
        <f>$K$44</f>
        <v>#DIV/0!</v>
      </c>
      <c r="AB44" t="e">
        <f>$L$44</f>
        <v>#DIV/0!</v>
      </c>
      <c r="AC44" t="e">
        <f>$M$44</f>
        <v>#DIV/0!</v>
      </c>
      <c r="AD44" t="e">
        <f>$N$44</f>
        <v>#DIV/0!</v>
      </c>
      <c r="AE44" s="95"/>
      <c r="AF44" s="95"/>
      <c r="AG44" s="95"/>
      <c r="AH44" s="95"/>
    </row>
    <row r="45" spans="1:37">
      <c r="A45" s="69" t="s">
        <v>167</v>
      </c>
      <c r="B45" s="71" t="s">
        <v>178</v>
      </c>
      <c r="C45" s="8">
        <v>69</v>
      </c>
      <c r="D45" s="8">
        <v>62</v>
      </c>
      <c r="E45" s="8">
        <v>74</v>
      </c>
      <c r="F45" t="e">
        <f t="shared" si="1"/>
        <v>#DIV/0!</v>
      </c>
      <c r="G45" t="e">
        <f t="shared" si="0"/>
        <v>#DIV/0!</v>
      </c>
      <c r="H45" t="e">
        <f t="shared" si="0"/>
        <v>#DIV/0!</v>
      </c>
      <c r="I45" t="e">
        <f t="shared" si="0"/>
        <v>#DIV/0!</v>
      </c>
      <c r="J45" t="e">
        <f t="shared" si="0"/>
        <v>#DIV/0!</v>
      </c>
      <c r="K45" t="e">
        <f t="shared" si="0"/>
        <v>#DIV/0!</v>
      </c>
      <c r="L45" t="e">
        <f t="shared" si="0"/>
        <v>#DIV/0!</v>
      </c>
      <c r="M45" t="e">
        <f t="shared" si="0"/>
        <v>#DIV/0!</v>
      </c>
      <c r="N45" t="e">
        <f t="shared" si="0"/>
        <v>#DIV/0!</v>
      </c>
      <c r="O45" s="82"/>
      <c r="P45" s="244" t="s">
        <v>442</v>
      </c>
      <c r="Q45" s="244" t="s">
        <v>459</v>
      </c>
      <c r="R45" s="96"/>
      <c r="S45">
        <f>$C$45</f>
        <v>69</v>
      </c>
      <c r="T45">
        <f>$D$45</f>
        <v>62</v>
      </c>
      <c r="U45">
        <f>$E$45</f>
        <v>74</v>
      </c>
      <c r="V45" t="e">
        <f>$F$45</f>
        <v>#DIV/0!</v>
      </c>
      <c r="W45" t="e">
        <f>$G$45</f>
        <v>#DIV/0!</v>
      </c>
      <c r="X45" t="e">
        <f>$H$45</f>
        <v>#DIV/0!</v>
      </c>
      <c r="Y45" t="e">
        <f>$I$45</f>
        <v>#DIV/0!</v>
      </c>
      <c r="Z45" t="e">
        <f>$J$45</f>
        <v>#DIV/0!</v>
      </c>
      <c r="AA45" t="e">
        <f>$K$45</f>
        <v>#DIV/0!</v>
      </c>
      <c r="AB45" t="e">
        <f>$L$45</f>
        <v>#DIV/0!</v>
      </c>
      <c r="AC45" t="e">
        <f>$M$45</f>
        <v>#DIV/0!</v>
      </c>
      <c r="AD45" t="e">
        <f>$N$45</f>
        <v>#DIV/0!</v>
      </c>
      <c r="AE45" s="95"/>
      <c r="AF45" s="95"/>
      <c r="AG45" s="95"/>
      <c r="AH45" s="95"/>
    </row>
    <row r="46" spans="1:37">
      <c r="A46" s="69" t="s">
        <v>181</v>
      </c>
      <c r="B46" s="71" t="s">
        <v>188</v>
      </c>
      <c r="C46" s="8">
        <v>73</v>
      </c>
      <c r="D46" s="8">
        <v>69</v>
      </c>
      <c r="E46" s="8">
        <v>75</v>
      </c>
      <c r="F46" t="e">
        <f t="shared" si="1"/>
        <v>#DIV/0!</v>
      </c>
      <c r="G46" t="e">
        <f t="shared" si="0"/>
        <v>#DIV/0!</v>
      </c>
      <c r="H46" t="e">
        <f t="shared" si="0"/>
        <v>#DIV/0!</v>
      </c>
      <c r="I46" t="e">
        <f t="shared" si="0"/>
        <v>#DIV/0!</v>
      </c>
      <c r="J46" t="e">
        <f t="shared" si="0"/>
        <v>#DIV/0!</v>
      </c>
      <c r="K46" t="e">
        <f t="shared" si="0"/>
        <v>#DIV/0!</v>
      </c>
      <c r="L46" t="e">
        <f t="shared" si="0"/>
        <v>#DIV/0!</v>
      </c>
      <c r="M46" t="e">
        <f t="shared" si="0"/>
        <v>#DIV/0!</v>
      </c>
      <c r="N46" t="e">
        <f t="shared" si="0"/>
        <v>#DIV/0!</v>
      </c>
      <c r="O46" s="82"/>
      <c r="P46" s="244" t="s">
        <v>443</v>
      </c>
      <c r="Q46" s="244" t="s">
        <v>460</v>
      </c>
      <c r="R46" s="96"/>
      <c r="S46">
        <f>$C$46</f>
        <v>73</v>
      </c>
      <c r="T46">
        <f>$D$46</f>
        <v>69</v>
      </c>
      <c r="U46">
        <f>$E$46</f>
        <v>75</v>
      </c>
      <c r="V46" t="e">
        <f>$F$46</f>
        <v>#DIV/0!</v>
      </c>
      <c r="W46" t="e">
        <f>$G$46</f>
        <v>#DIV/0!</v>
      </c>
      <c r="X46" t="e">
        <f>$H$46</f>
        <v>#DIV/0!</v>
      </c>
      <c r="Y46" t="e">
        <f>$I$46</f>
        <v>#DIV/0!</v>
      </c>
      <c r="Z46" t="e">
        <f>$J$46</f>
        <v>#DIV/0!</v>
      </c>
      <c r="AA46" t="e">
        <f>$K$46</f>
        <v>#DIV/0!</v>
      </c>
      <c r="AB46" t="e">
        <f>$L$46</f>
        <v>#DIV/0!</v>
      </c>
      <c r="AC46" t="e">
        <f>$M$46</f>
        <v>#DIV/0!</v>
      </c>
      <c r="AD46" t="e">
        <f>$N$46</f>
        <v>#DIV/0!</v>
      </c>
      <c r="AE46" s="95"/>
      <c r="AF46" s="95"/>
      <c r="AG46" s="95"/>
      <c r="AH46" s="95"/>
    </row>
    <row r="47" spans="1:37">
      <c r="A47" s="69" t="s">
        <v>168</v>
      </c>
      <c r="B47" s="71" t="s">
        <v>178</v>
      </c>
      <c r="C47" s="8">
        <v>65</v>
      </c>
      <c r="D47" s="8">
        <v>63</v>
      </c>
      <c r="E47" s="8">
        <v>79</v>
      </c>
      <c r="F47" t="e">
        <f t="shared" si="1"/>
        <v>#DIV/0!</v>
      </c>
      <c r="G47" t="e">
        <f t="shared" si="0"/>
        <v>#DIV/0!</v>
      </c>
      <c r="H47" t="e">
        <f t="shared" si="0"/>
        <v>#DIV/0!</v>
      </c>
      <c r="I47" t="e">
        <f t="shared" si="0"/>
        <v>#DIV/0!</v>
      </c>
      <c r="J47" t="e">
        <f t="shared" si="0"/>
        <v>#DIV/0!</v>
      </c>
      <c r="K47" t="e">
        <f t="shared" si="0"/>
        <v>#DIV/0!</v>
      </c>
      <c r="L47" t="e">
        <f t="shared" si="0"/>
        <v>#DIV/0!</v>
      </c>
      <c r="M47" t="e">
        <f t="shared" si="0"/>
        <v>#DIV/0!</v>
      </c>
      <c r="N47" t="e">
        <f t="shared" si="0"/>
        <v>#DIV/0!</v>
      </c>
      <c r="O47" s="82"/>
      <c r="P47" s="244" t="s">
        <v>444</v>
      </c>
      <c r="Q47" s="245" t="s">
        <v>461</v>
      </c>
      <c r="R47" s="96"/>
      <c r="S47">
        <f>$C$47</f>
        <v>65</v>
      </c>
      <c r="T47">
        <f>$D$47</f>
        <v>63</v>
      </c>
      <c r="U47">
        <f>$E$47</f>
        <v>79</v>
      </c>
      <c r="V47" t="e">
        <f>$F$47</f>
        <v>#DIV/0!</v>
      </c>
      <c r="W47" t="e">
        <f>$G$47</f>
        <v>#DIV/0!</v>
      </c>
      <c r="X47" t="e">
        <f>$H$47</f>
        <v>#DIV/0!</v>
      </c>
      <c r="Y47" t="e">
        <f>$I$47</f>
        <v>#DIV/0!</v>
      </c>
      <c r="Z47" t="e">
        <f>$J$47</f>
        <v>#DIV/0!</v>
      </c>
      <c r="AA47" t="e">
        <f>$K$47</f>
        <v>#DIV/0!</v>
      </c>
      <c r="AB47" t="e">
        <f>$L$47</f>
        <v>#DIV/0!</v>
      </c>
      <c r="AC47" t="e">
        <f>$M$47</f>
        <v>#DIV/0!</v>
      </c>
      <c r="AD47" t="e">
        <f>$N$47</f>
        <v>#DIV/0!</v>
      </c>
      <c r="AE47" s="95"/>
      <c r="AF47" s="95"/>
      <c r="AG47" s="95"/>
      <c r="AH47" s="95"/>
    </row>
    <row r="48" spans="1:37">
      <c r="A48" s="69" t="s">
        <v>155</v>
      </c>
      <c r="B48" s="71" t="s">
        <v>158</v>
      </c>
      <c r="C48" s="8">
        <v>70</v>
      </c>
      <c r="D48" s="8">
        <v>69</v>
      </c>
      <c r="E48" s="8">
        <v>71</v>
      </c>
      <c r="F48" t="e">
        <f t="shared" si="1"/>
        <v>#DIV/0!</v>
      </c>
      <c r="G48" t="e">
        <f t="shared" si="0"/>
        <v>#DIV/0!</v>
      </c>
      <c r="H48" t="e">
        <f t="shared" si="0"/>
        <v>#DIV/0!</v>
      </c>
      <c r="I48" t="e">
        <f t="shared" si="0"/>
        <v>#DIV/0!</v>
      </c>
      <c r="J48" t="e">
        <f t="shared" si="0"/>
        <v>#DIV/0!</v>
      </c>
      <c r="K48" t="e">
        <f t="shared" si="0"/>
        <v>#DIV/0!</v>
      </c>
      <c r="L48" t="e">
        <f t="shared" si="0"/>
        <v>#DIV/0!</v>
      </c>
      <c r="M48" t="e">
        <f t="shared" si="0"/>
        <v>#DIV/0!</v>
      </c>
      <c r="N48" t="e">
        <f t="shared" si="0"/>
        <v>#DIV/0!</v>
      </c>
      <c r="O48" s="82"/>
      <c r="P48" s="244" t="s">
        <v>445</v>
      </c>
      <c r="Q48" s="244" t="s">
        <v>462</v>
      </c>
      <c r="R48" s="96"/>
      <c r="S48">
        <f>$C$48</f>
        <v>70</v>
      </c>
      <c r="T48">
        <f>$D$48</f>
        <v>69</v>
      </c>
      <c r="U48">
        <f>$E$48</f>
        <v>71</v>
      </c>
      <c r="V48" t="e">
        <f>$F$48</f>
        <v>#DIV/0!</v>
      </c>
      <c r="W48" t="e">
        <f>$G$48</f>
        <v>#DIV/0!</v>
      </c>
      <c r="X48" t="e">
        <f>$H$48</f>
        <v>#DIV/0!</v>
      </c>
      <c r="Y48" t="e">
        <f>$I$48</f>
        <v>#DIV/0!</v>
      </c>
      <c r="Z48" t="e">
        <f>$J$48</f>
        <v>#DIV/0!</v>
      </c>
      <c r="AA48" t="e">
        <f>$K$48</f>
        <v>#DIV/0!</v>
      </c>
      <c r="AB48" t="e">
        <f>$L$48</f>
        <v>#DIV/0!</v>
      </c>
      <c r="AC48" t="e">
        <f>$M$48</f>
        <v>#DIV/0!</v>
      </c>
      <c r="AD48" t="e">
        <f>$N$48</f>
        <v>#DIV/0!</v>
      </c>
      <c r="AE48" s="95"/>
      <c r="AF48" s="95"/>
      <c r="AG48" s="95"/>
      <c r="AH48" s="95"/>
    </row>
    <row r="49" spans="1:34">
      <c r="A49" s="69" t="s">
        <v>169</v>
      </c>
      <c r="B49" s="71" t="s">
        <v>178</v>
      </c>
      <c r="C49" s="8">
        <v>75</v>
      </c>
      <c r="D49" s="8">
        <v>70</v>
      </c>
      <c r="E49" s="8">
        <v>67</v>
      </c>
      <c r="F49" t="e">
        <f t="shared" si="1"/>
        <v>#DIV/0!</v>
      </c>
      <c r="G49" t="e">
        <f t="shared" si="1"/>
        <v>#DIV/0!</v>
      </c>
      <c r="H49" t="e">
        <f t="shared" si="1"/>
        <v>#DIV/0!</v>
      </c>
      <c r="I49" t="e">
        <f t="shared" si="1"/>
        <v>#DIV/0!</v>
      </c>
      <c r="J49" t="e">
        <f t="shared" si="1"/>
        <v>#DIV/0!</v>
      </c>
      <c r="K49" t="e">
        <f t="shared" si="1"/>
        <v>#DIV/0!</v>
      </c>
      <c r="L49" t="e">
        <f t="shared" si="1"/>
        <v>#DIV/0!</v>
      </c>
      <c r="M49" t="e">
        <f t="shared" si="1"/>
        <v>#DIV/0!</v>
      </c>
      <c r="N49" t="e">
        <f t="shared" si="1"/>
        <v>#DIV/0!</v>
      </c>
      <c r="O49" s="82"/>
      <c r="P49" s="246" t="s">
        <v>446</v>
      </c>
      <c r="Q49" s="244" t="s">
        <v>463</v>
      </c>
      <c r="R49" s="96"/>
      <c r="S49">
        <f>$C$49</f>
        <v>75</v>
      </c>
      <c r="T49">
        <f>$D$49</f>
        <v>70</v>
      </c>
      <c r="U49">
        <f>$E$49</f>
        <v>67</v>
      </c>
      <c r="V49" t="e">
        <f>$F$49</f>
        <v>#DIV/0!</v>
      </c>
      <c r="W49" t="e">
        <f>$G$49</f>
        <v>#DIV/0!</v>
      </c>
      <c r="X49" t="e">
        <f>$H$49</f>
        <v>#DIV/0!</v>
      </c>
      <c r="Y49" t="e">
        <f>$I$49</f>
        <v>#DIV/0!</v>
      </c>
      <c r="Z49" t="e">
        <f>$J$49</f>
        <v>#DIV/0!</v>
      </c>
      <c r="AA49" t="e">
        <f>$K$49</f>
        <v>#DIV/0!</v>
      </c>
      <c r="AB49" t="e">
        <f>$L$49</f>
        <v>#DIV/0!</v>
      </c>
      <c r="AC49" t="e">
        <f>$M$49</f>
        <v>#DIV/0!</v>
      </c>
      <c r="AD49" t="e">
        <f>$N$49</f>
        <v>#DIV/0!</v>
      </c>
      <c r="AE49" s="95"/>
      <c r="AF49" s="95"/>
      <c r="AG49" s="95"/>
      <c r="AH49" s="95"/>
    </row>
    <row r="50" spans="1:34">
      <c r="A50" s="69" t="s">
        <v>160</v>
      </c>
      <c r="B50" s="71" t="s">
        <v>162</v>
      </c>
      <c r="C50" s="8">
        <v>65</v>
      </c>
      <c r="D50" s="8">
        <v>68</v>
      </c>
      <c r="E50" s="8">
        <v>69</v>
      </c>
      <c r="F50" t="e">
        <f t="shared" si="1"/>
        <v>#DIV/0!</v>
      </c>
      <c r="G50" t="e">
        <f t="shared" si="1"/>
        <v>#DIV/0!</v>
      </c>
      <c r="H50" t="e">
        <f t="shared" si="1"/>
        <v>#DIV/0!</v>
      </c>
      <c r="I50" t="e">
        <f t="shared" si="1"/>
        <v>#DIV/0!</v>
      </c>
      <c r="J50" t="e">
        <f t="shared" si="1"/>
        <v>#DIV/0!</v>
      </c>
      <c r="K50" t="e">
        <f t="shared" si="1"/>
        <v>#DIV/0!</v>
      </c>
      <c r="L50" t="e">
        <f t="shared" si="1"/>
        <v>#DIV/0!</v>
      </c>
      <c r="M50" t="e">
        <f t="shared" si="1"/>
        <v>#DIV/0!</v>
      </c>
      <c r="N50" t="e">
        <f t="shared" si="1"/>
        <v>#DIV/0!</v>
      </c>
      <c r="O50" s="82"/>
      <c r="P50" s="247" t="s">
        <v>447</v>
      </c>
      <c r="Q50" s="244" t="s">
        <v>464</v>
      </c>
      <c r="R50" s="96"/>
      <c r="S50">
        <f>$C$50</f>
        <v>65</v>
      </c>
      <c r="T50">
        <f>$D$50</f>
        <v>68</v>
      </c>
      <c r="U50">
        <f>$E$50</f>
        <v>69</v>
      </c>
      <c r="V50" t="e">
        <f>$F$50</f>
        <v>#DIV/0!</v>
      </c>
      <c r="W50" t="e">
        <f>$G$50</f>
        <v>#DIV/0!</v>
      </c>
      <c r="X50" t="e">
        <f>$H$50</f>
        <v>#DIV/0!</v>
      </c>
      <c r="Y50" t="e">
        <f>$I$50</f>
        <v>#DIV/0!</v>
      </c>
      <c r="Z50" t="e">
        <f>$J$50</f>
        <v>#DIV/0!</v>
      </c>
      <c r="AA50" t="e">
        <f>$K$50</f>
        <v>#DIV/0!</v>
      </c>
      <c r="AB50" t="e">
        <f>$L$50</f>
        <v>#DIV/0!</v>
      </c>
      <c r="AC50" t="e">
        <f>$M$50</f>
        <v>#DIV/0!</v>
      </c>
      <c r="AD50" t="e">
        <f>$N$50</f>
        <v>#DIV/0!</v>
      </c>
      <c r="AE50" s="95"/>
      <c r="AF50" s="95"/>
      <c r="AG50" s="95"/>
      <c r="AH50" s="95"/>
    </row>
    <row r="51" spans="1:34">
      <c r="A51" s="69" t="s">
        <v>179</v>
      </c>
      <c r="B51" s="71" t="s">
        <v>188</v>
      </c>
      <c r="C51" s="8">
        <v>71</v>
      </c>
      <c r="D51" s="8">
        <v>71</v>
      </c>
      <c r="E51" s="8">
        <v>70</v>
      </c>
      <c r="F51" t="e">
        <f t="shared" si="1"/>
        <v>#DIV/0!</v>
      </c>
      <c r="G51" t="e">
        <f t="shared" si="1"/>
        <v>#DIV/0!</v>
      </c>
      <c r="H51" t="e">
        <f t="shared" si="1"/>
        <v>#DIV/0!</v>
      </c>
      <c r="I51" t="e">
        <f t="shared" si="1"/>
        <v>#DIV/0!</v>
      </c>
      <c r="J51" t="e">
        <f t="shared" si="1"/>
        <v>#DIV/0!</v>
      </c>
      <c r="K51" t="e">
        <f t="shared" si="1"/>
        <v>#DIV/0!</v>
      </c>
      <c r="L51" t="e">
        <f t="shared" si="1"/>
        <v>#DIV/0!</v>
      </c>
      <c r="M51" t="e">
        <f t="shared" si="1"/>
        <v>#DIV/0!</v>
      </c>
      <c r="N51" t="e">
        <f t="shared" si="1"/>
        <v>#DIV/0!</v>
      </c>
      <c r="O51" s="82"/>
      <c r="P51" s="295"/>
      <c r="Q51" s="244" t="s">
        <v>465</v>
      </c>
      <c r="R51" s="96"/>
      <c r="S51">
        <f>$C$51</f>
        <v>71</v>
      </c>
      <c r="T51">
        <f>$D$51</f>
        <v>71</v>
      </c>
      <c r="U51">
        <f>$E$51</f>
        <v>70</v>
      </c>
      <c r="V51" t="e">
        <f>$F$51</f>
        <v>#DIV/0!</v>
      </c>
      <c r="W51" t="e">
        <f>$G$51</f>
        <v>#DIV/0!</v>
      </c>
      <c r="X51" t="e">
        <f>$H$51</f>
        <v>#DIV/0!</v>
      </c>
      <c r="Y51" t="e">
        <f>$I$51</f>
        <v>#DIV/0!</v>
      </c>
      <c r="Z51" t="e">
        <f>$J$51</f>
        <v>#DIV/0!</v>
      </c>
      <c r="AA51" t="e">
        <f>$K$51</f>
        <v>#DIV/0!</v>
      </c>
      <c r="AB51" t="e">
        <f>$L$51</f>
        <v>#DIV/0!</v>
      </c>
      <c r="AC51" t="e">
        <f>$M$51</f>
        <v>#DIV/0!</v>
      </c>
      <c r="AD51" t="e">
        <f>$N$51</f>
        <v>#DIV/0!</v>
      </c>
      <c r="AE51" s="95"/>
      <c r="AF51" s="95"/>
      <c r="AG51" s="95"/>
      <c r="AH51" s="95"/>
    </row>
    <row r="52" spans="1:34">
      <c r="A52" s="69" t="s">
        <v>170</v>
      </c>
      <c r="B52" s="71" t="s">
        <v>178</v>
      </c>
      <c r="C52" s="8">
        <v>67</v>
      </c>
      <c r="D52" s="8">
        <v>69</v>
      </c>
      <c r="E52" s="8">
        <v>75</v>
      </c>
      <c r="F52" t="e">
        <f t="shared" si="1"/>
        <v>#DIV/0!</v>
      </c>
      <c r="G52" t="e">
        <f t="shared" si="1"/>
        <v>#DIV/0!</v>
      </c>
      <c r="H52" t="e">
        <f t="shared" si="1"/>
        <v>#DIV/0!</v>
      </c>
      <c r="I52" t="e">
        <f t="shared" si="1"/>
        <v>#DIV/0!</v>
      </c>
      <c r="J52" t="e">
        <f t="shared" si="1"/>
        <v>#DIV/0!</v>
      </c>
      <c r="K52" t="e">
        <f t="shared" si="1"/>
        <v>#DIV/0!</v>
      </c>
      <c r="L52" t="e">
        <f t="shared" si="1"/>
        <v>#DIV/0!</v>
      </c>
      <c r="M52" t="e">
        <f t="shared" si="1"/>
        <v>#DIV/0!</v>
      </c>
      <c r="N52" t="e">
        <f t="shared" si="1"/>
        <v>#DIV/0!</v>
      </c>
      <c r="O52" s="82"/>
      <c r="P52" s="204"/>
      <c r="Q52" s="248" t="s">
        <v>466</v>
      </c>
      <c r="R52" s="96"/>
      <c r="S52">
        <f>$C$52</f>
        <v>67</v>
      </c>
      <c r="T52">
        <f>$D$52</f>
        <v>69</v>
      </c>
      <c r="U52">
        <f>$E$52</f>
        <v>75</v>
      </c>
      <c r="V52" t="e">
        <f>$F$52</f>
        <v>#DIV/0!</v>
      </c>
      <c r="W52" t="e">
        <f>$G$52</f>
        <v>#DIV/0!</v>
      </c>
      <c r="X52" t="e">
        <f>$H$52</f>
        <v>#DIV/0!</v>
      </c>
      <c r="Y52" t="e">
        <f>$I$52</f>
        <v>#DIV/0!</v>
      </c>
      <c r="Z52" t="e">
        <f>$J$52</f>
        <v>#DIV/0!</v>
      </c>
      <c r="AA52" t="e">
        <f>$K$52</f>
        <v>#DIV/0!</v>
      </c>
      <c r="AB52" t="e">
        <f>$L$52</f>
        <v>#DIV/0!</v>
      </c>
      <c r="AC52" t="e">
        <f>$M$52</f>
        <v>#DIV/0!</v>
      </c>
      <c r="AD52" t="e">
        <f>$N$52</f>
        <v>#DIV/0!</v>
      </c>
      <c r="AE52" s="95"/>
      <c r="AF52" s="95"/>
      <c r="AG52" s="95"/>
      <c r="AH52" s="95"/>
    </row>
    <row r="53" spans="1:34">
      <c r="A53" s="69" t="s">
        <v>152</v>
      </c>
      <c r="B53" t="s">
        <v>153</v>
      </c>
      <c r="C53" s="8">
        <v>62</v>
      </c>
      <c r="D53" s="8">
        <v>59</v>
      </c>
      <c r="E53" s="8">
        <v>68</v>
      </c>
      <c r="F53" t="e">
        <f t="shared" si="1"/>
        <v>#DIV/0!</v>
      </c>
      <c r="G53" t="e">
        <f t="shared" si="1"/>
        <v>#DIV/0!</v>
      </c>
      <c r="H53" t="e">
        <f t="shared" si="1"/>
        <v>#DIV/0!</v>
      </c>
      <c r="I53" t="e">
        <f t="shared" si="1"/>
        <v>#DIV/0!</v>
      </c>
      <c r="J53" t="e">
        <f t="shared" si="1"/>
        <v>#DIV/0!</v>
      </c>
      <c r="K53" t="e">
        <f t="shared" si="1"/>
        <v>#DIV/0!</v>
      </c>
      <c r="L53" t="e">
        <f t="shared" si="1"/>
        <v>#DIV/0!</v>
      </c>
      <c r="M53" t="e">
        <f t="shared" si="1"/>
        <v>#DIV/0!</v>
      </c>
      <c r="N53" t="e">
        <f t="shared" si="1"/>
        <v>#DIV/0!</v>
      </c>
      <c r="O53" s="82"/>
      <c r="P53" s="256"/>
      <c r="Q53" s="254"/>
      <c r="R53" s="96"/>
      <c r="S53">
        <f>$C$53</f>
        <v>62</v>
      </c>
      <c r="T53">
        <f>$D$53</f>
        <v>59</v>
      </c>
      <c r="U53">
        <f>$E$53</f>
        <v>68</v>
      </c>
      <c r="V53" t="e">
        <f>$F$53</f>
        <v>#DIV/0!</v>
      </c>
      <c r="W53" t="e">
        <f>$G$53</f>
        <v>#DIV/0!</v>
      </c>
      <c r="X53" t="e">
        <f>$H$53</f>
        <v>#DIV/0!</v>
      </c>
      <c r="Y53" t="e">
        <f>$I$53</f>
        <v>#DIV/0!</v>
      </c>
      <c r="Z53" t="e">
        <f>$J$53</f>
        <v>#DIV/0!</v>
      </c>
      <c r="AA53" t="e">
        <f>$K$53</f>
        <v>#DIV/0!</v>
      </c>
      <c r="AB53" t="e">
        <f>$L$53</f>
        <v>#DIV/0!</v>
      </c>
      <c r="AC53" t="e">
        <f>$M$53</f>
        <v>#DIV/0!</v>
      </c>
      <c r="AD53" t="e">
        <f>$N$53</f>
        <v>#DIV/0!</v>
      </c>
      <c r="AE53" s="95"/>
      <c r="AF53" s="95"/>
      <c r="AG53" s="95"/>
      <c r="AH53" s="95"/>
    </row>
    <row r="54" spans="1:34">
      <c r="A54" s="69" t="s">
        <v>146</v>
      </c>
      <c r="B54" t="s">
        <v>153</v>
      </c>
      <c r="C54" s="8">
        <v>56</v>
      </c>
      <c r="D54" s="8">
        <v>62</v>
      </c>
      <c r="E54" s="8">
        <v>58</v>
      </c>
      <c r="F54" t="e">
        <f t="shared" si="1"/>
        <v>#DIV/0!</v>
      </c>
      <c r="G54" t="e">
        <f t="shared" si="1"/>
        <v>#DIV/0!</v>
      </c>
      <c r="H54" t="e">
        <f t="shared" si="1"/>
        <v>#DIV/0!</v>
      </c>
      <c r="I54" t="e">
        <f t="shared" si="1"/>
        <v>#DIV/0!</v>
      </c>
      <c r="J54" t="e">
        <f t="shared" si="1"/>
        <v>#DIV/0!</v>
      </c>
      <c r="K54" t="e">
        <f t="shared" si="1"/>
        <v>#DIV/0!</v>
      </c>
      <c r="L54" t="e">
        <f t="shared" si="1"/>
        <v>#DIV/0!</v>
      </c>
      <c r="M54" t="e">
        <f t="shared" si="1"/>
        <v>#DIV/0!</v>
      </c>
      <c r="N54" t="e">
        <f t="shared" si="1"/>
        <v>#DIV/0!</v>
      </c>
      <c r="O54" s="82"/>
      <c r="P54" s="242"/>
      <c r="Q54" s="254"/>
      <c r="R54" s="96"/>
      <c r="S54">
        <f>$C$54</f>
        <v>56</v>
      </c>
      <c r="T54">
        <f>$D$54</f>
        <v>62</v>
      </c>
      <c r="U54">
        <f>$E$54</f>
        <v>58</v>
      </c>
      <c r="V54" t="e">
        <f>$F$54</f>
        <v>#DIV/0!</v>
      </c>
      <c r="W54" t="e">
        <f>$G$54</f>
        <v>#DIV/0!</v>
      </c>
      <c r="X54" t="e">
        <f>$H$54</f>
        <v>#DIV/0!</v>
      </c>
      <c r="Y54" t="e">
        <f>$I$54</f>
        <v>#DIV/0!</v>
      </c>
      <c r="Z54" t="e">
        <f>$J$54</f>
        <v>#DIV/0!</v>
      </c>
      <c r="AA54" t="e">
        <f>$K$54</f>
        <v>#DIV/0!</v>
      </c>
      <c r="AB54" t="e">
        <f>$L$54</f>
        <v>#DIV/0!</v>
      </c>
      <c r="AC54" t="e">
        <f>$M$54</f>
        <v>#DIV/0!</v>
      </c>
      <c r="AD54" t="e">
        <f>$N$54</f>
        <v>#DIV/0!</v>
      </c>
      <c r="AE54" s="95"/>
      <c r="AF54" s="95"/>
      <c r="AG54" s="95"/>
      <c r="AH54" s="95"/>
    </row>
    <row r="55" spans="1:34">
      <c r="A55" s="69" t="s">
        <v>171</v>
      </c>
      <c r="B55" s="71" t="s">
        <v>178</v>
      </c>
      <c r="C55" s="8">
        <v>69</v>
      </c>
      <c r="D55" s="8">
        <v>77</v>
      </c>
      <c r="E55" s="8">
        <v>70</v>
      </c>
      <c r="F55" t="e">
        <f t="shared" si="1"/>
        <v>#DIV/0!</v>
      </c>
      <c r="G55" t="e">
        <f t="shared" si="1"/>
        <v>#DIV/0!</v>
      </c>
      <c r="H55" t="e">
        <f t="shared" si="1"/>
        <v>#DIV/0!</v>
      </c>
      <c r="I55" t="e">
        <f t="shared" si="1"/>
        <v>#DIV/0!</v>
      </c>
      <c r="J55" t="e">
        <f t="shared" si="1"/>
        <v>#DIV/0!</v>
      </c>
      <c r="K55" t="e">
        <f t="shared" si="1"/>
        <v>#DIV/0!</v>
      </c>
      <c r="L55" t="e">
        <f t="shared" si="1"/>
        <v>#DIV/0!</v>
      </c>
      <c r="M55" t="e">
        <f t="shared" si="1"/>
        <v>#DIV/0!</v>
      </c>
      <c r="N55" t="e">
        <f t="shared" si="1"/>
        <v>#DIV/0!</v>
      </c>
      <c r="O55" s="82"/>
      <c r="R55" s="82"/>
      <c r="S55">
        <f>$C$55</f>
        <v>69</v>
      </c>
      <c r="T55">
        <f>$D$55</f>
        <v>77</v>
      </c>
      <c r="U55">
        <f>$E$55</f>
        <v>70</v>
      </c>
      <c r="V55" t="e">
        <f>$F$55</f>
        <v>#DIV/0!</v>
      </c>
      <c r="W55" t="e">
        <f>$G$55</f>
        <v>#DIV/0!</v>
      </c>
      <c r="X55" t="e">
        <f>$H$55</f>
        <v>#DIV/0!</v>
      </c>
      <c r="Y55" t="e">
        <f>$I$55</f>
        <v>#DIV/0!</v>
      </c>
      <c r="Z55" t="e">
        <f>$J$55</f>
        <v>#DIV/0!</v>
      </c>
      <c r="AA55" t="e">
        <f>$K$55</f>
        <v>#DIV/0!</v>
      </c>
      <c r="AB55" t="e">
        <f>$L$55</f>
        <v>#DIV/0!</v>
      </c>
      <c r="AC55" t="e">
        <f>$M$55</f>
        <v>#DIV/0!</v>
      </c>
      <c r="AD55" t="e">
        <f>$N$55</f>
        <v>#DIV/0!</v>
      </c>
      <c r="AE55" s="95"/>
      <c r="AF55" s="95"/>
      <c r="AG55" s="95"/>
      <c r="AH55" s="95"/>
    </row>
    <row r="56" spans="1:34" ht="23.65" thickBot="1">
      <c r="A56" s="69" t="s">
        <v>185</v>
      </c>
      <c r="B56" s="71" t="s">
        <v>188</v>
      </c>
      <c r="C56" s="8">
        <v>67</v>
      </c>
      <c r="D56" s="8">
        <v>66</v>
      </c>
      <c r="E56" s="8">
        <v>72</v>
      </c>
      <c r="F56" t="e">
        <f t="shared" si="1"/>
        <v>#DIV/0!</v>
      </c>
      <c r="G56" t="e">
        <f t="shared" si="1"/>
        <v>#DIV/0!</v>
      </c>
      <c r="H56" t="e">
        <f t="shared" si="1"/>
        <v>#DIV/0!</v>
      </c>
      <c r="I56" t="e">
        <f t="shared" si="1"/>
        <v>#DIV/0!</v>
      </c>
      <c r="J56" t="e">
        <f t="shared" si="1"/>
        <v>#DIV/0!</v>
      </c>
      <c r="K56" t="e">
        <f t="shared" si="1"/>
        <v>#DIV/0!</v>
      </c>
      <c r="L56" t="e">
        <f t="shared" si="1"/>
        <v>#DIV/0!</v>
      </c>
      <c r="M56" t="e">
        <f t="shared" si="1"/>
        <v>#DIV/0!</v>
      </c>
      <c r="N56" t="e">
        <f t="shared" si="1"/>
        <v>#DIV/0!</v>
      </c>
      <c r="O56" s="82"/>
      <c r="P56" s="318" t="s">
        <v>46</v>
      </c>
      <c r="Q56" s="318"/>
      <c r="R56" s="82"/>
      <c r="S56">
        <f>$C$56</f>
        <v>67</v>
      </c>
      <c r="T56">
        <f>$D$56</f>
        <v>66</v>
      </c>
      <c r="U56">
        <f>$E$56</f>
        <v>72</v>
      </c>
      <c r="V56" t="e">
        <f>$F$56</f>
        <v>#DIV/0!</v>
      </c>
      <c r="W56" t="e">
        <f>$G$56</f>
        <v>#DIV/0!</v>
      </c>
      <c r="X56" t="e">
        <f>$H$56</f>
        <v>#DIV/0!</v>
      </c>
      <c r="Y56" t="e">
        <f>$I$56</f>
        <v>#DIV/0!</v>
      </c>
      <c r="Z56" t="e">
        <f>$J$56</f>
        <v>#DIV/0!</v>
      </c>
      <c r="AA56" t="e">
        <f>$K$56</f>
        <v>#DIV/0!</v>
      </c>
      <c r="AB56" t="e">
        <f>$L$56</f>
        <v>#DIV/0!</v>
      </c>
      <c r="AC56" t="e">
        <f>$M$56</f>
        <v>#DIV/0!</v>
      </c>
      <c r="AD56" t="e">
        <f>$N$56</f>
        <v>#DIV/0!</v>
      </c>
      <c r="AE56" s="95"/>
      <c r="AF56" s="95"/>
      <c r="AG56" s="95"/>
      <c r="AH56" s="95"/>
    </row>
    <row r="57" spans="1:34">
      <c r="A57" s="69" t="s">
        <v>142</v>
      </c>
      <c r="B57" t="s">
        <v>153</v>
      </c>
      <c r="C57" s="8">
        <v>64</v>
      </c>
      <c r="D57" s="8">
        <v>63</v>
      </c>
      <c r="E57" s="8">
        <v>65</v>
      </c>
      <c r="F57" t="e">
        <f t="shared" si="1"/>
        <v>#DIV/0!</v>
      </c>
      <c r="G57" t="e">
        <f t="shared" si="1"/>
        <v>#DIV/0!</v>
      </c>
      <c r="H57" t="e">
        <f t="shared" si="1"/>
        <v>#DIV/0!</v>
      </c>
      <c r="I57" t="e">
        <f t="shared" si="1"/>
        <v>#DIV/0!</v>
      </c>
      <c r="J57" t="e">
        <f t="shared" si="1"/>
        <v>#DIV/0!</v>
      </c>
      <c r="K57" t="e">
        <f t="shared" si="1"/>
        <v>#DIV/0!</v>
      </c>
      <c r="L57" t="e">
        <f t="shared" si="1"/>
        <v>#DIV/0!</v>
      </c>
      <c r="M57" t="e">
        <f t="shared" si="1"/>
        <v>#DIV/0!</v>
      </c>
      <c r="N57" t="e">
        <f t="shared" si="1"/>
        <v>#DIV/0!</v>
      </c>
      <c r="O57" s="82"/>
      <c r="P57" s="319" t="s">
        <v>66</v>
      </c>
      <c r="Q57" s="320"/>
      <c r="R57" s="82"/>
      <c r="S57">
        <f>$C$57</f>
        <v>64</v>
      </c>
      <c r="T57">
        <f>$D$57</f>
        <v>63</v>
      </c>
      <c r="U57">
        <f>$E$57</f>
        <v>65</v>
      </c>
      <c r="V57" t="e">
        <f>$F$57</f>
        <v>#DIV/0!</v>
      </c>
      <c r="W57" t="e">
        <f>$G$57</f>
        <v>#DIV/0!</v>
      </c>
      <c r="X57" t="e">
        <f>$H$57</f>
        <v>#DIV/0!</v>
      </c>
      <c r="Y57" t="e">
        <f>$I$57</f>
        <v>#DIV/0!</v>
      </c>
      <c r="Z57" t="e">
        <f>$J$57</f>
        <v>#DIV/0!</v>
      </c>
      <c r="AA57" t="e">
        <f>$K$57</f>
        <v>#DIV/0!</v>
      </c>
      <c r="AB57" t="e">
        <f>$L$57</f>
        <v>#DIV/0!</v>
      </c>
      <c r="AC57" t="e">
        <f>$M$57</f>
        <v>#DIV/0!</v>
      </c>
      <c r="AD57" t="e">
        <f>$N$57</f>
        <v>#DIV/0!</v>
      </c>
      <c r="AE57" s="95"/>
      <c r="AF57" s="95"/>
      <c r="AG57" s="95"/>
      <c r="AH57" s="95"/>
    </row>
    <row r="58" spans="1:34">
      <c r="A58" s="69" t="s">
        <v>148</v>
      </c>
      <c r="B58" t="s">
        <v>153</v>
      </c>
      <c r="C58" s="8">
        <v>66</v>
      </c>
      <c r="D58" s="8">
        <v>68</v>
      </c>
      <c r="E58" s="8">
        <v>67</v>
      </c>
      <c r="F58" t="e">
        <f t="shared" si="1"/>
        <v>#DIV/0!</v>
      </c>
      <c r="G58" t="e">
        <f t="shared" si="1"/>
        <v>#DIV/0!</v>
      </c>
      <c r="H58" t="e">
        <f t="shared" si="1"/>
        <v>#DIV/0!</v>
      </c>
      <c r="I58" t="e">
        <f t="shared" si="1"/>
        <v>#DIV/0!</v>
      </c>
      <c r="J58" t="e">
        <f t="shared" si="1"/>
        <v>#DIV/0!</v>
      </c>
      <c r="K58" t="e">
        <f t="shared" si="1"/>
        <v>#DIV/0!</v>
      </c>
      <c r="L58" t="e">
        <f t="shared" si="1"/>
        <v>#DIV/0!</v>
      </c>
      <c r="M58" t="e">
        <f t="shared" si="1"/>
        <v>#DIV/0!</v>
      </c>
      <c r="N58" t="e">
        <f t="shared" si="1"/>
        <v>#DIV/0!</v>
      </c>
      <c r="O58" s="82"/>
      <c r="P58" s="56" t="s">
        <v>61</v>
      </c>
      <c r="Q58" s="56" t="s">
        <v>62</v>
      </c>
      <c r="R58" s="82"/>
      <c r="S58">
        <f>$C$58</f>
        <v>66</v>
      </c>
      <c r="T58">
        <f>$D$58</f>
        <v>68</v>
      </c>
      <c r="U58">
        <f>$E$58</f>
        <v>67</v>
      </c>
      <c r="V58" t="e">
        <f>$F$58</f>
        <v>#DIV/0!</v>
      </c>
      <c r="W58" t="e">
        <f>$G$58</f>
        <v>#DIV/0!</v>
      </c>
      <c r="X58" t="e">
        <f>$H$58</f>
        <v>#DIV/0!</v>
      </c>
      <c r="Y58" t="e">
        <f>$I$58</f>
        <v>#DIV/0!</v>
      </c>
      <c r="Z58" t="e">
        <f>$J$58</f>
        <v>#DIV/0!</v>
      </c>
      <c r="AA58" t="e">
        <f>$K$58</f>
        <v>#DIV/0!</v>
      </c>
      <c r="AB58" t="e">
        <f>$L$58</f>
        <v>#DIV/0!</v>
      </c>
      <c r="AC58" t="e">
        <f>$M$58</f>
        <v>#DIV/0!</v>
      </c>
      <c r="AD58" t="e">
        <f>$N$58</f>
        <v>#DIV/0!</v>
      </c>
      <c r="AE58" s="95"/>
      <c r="AF58" s="95"/>
      <c r="AG58" s="95"/>
      <c r="AH58" s="95"/>
    </row>
    <row r="59" spans="1:34">
      <c r="A59" s="69" t="s">
        <v>156</v>
      </c>
      <c r="B59" s="71" t="s">
        <v>158</v>
      </c>
      <c r="C59" s="8">
        <v>68</v>
      </c>
      <c r="D59" s="8">
        <v>67</v>
      </c>
      <c r="E59" s="8">
        <v>68</v>
      </c>
      <c r="F59" t="e">
        <f t="shared" si="1"/>
        <v>#DIV/0!</v>
      </c>
      <c r="G59" t="e">
        <f t="shared" si="1"/>
        <v>#DIV/0!</v>
      </c>
      <c r="H59" t="e">
        <f t="shared" si="1"/>
        <v>#DIV/0!</v>
      </c>
      <c r="I59" t="e">
        <f t="shared" si="1"/>
        <v>#DIV/0!</v>
      </c>
      <c r="J59" t="e">
        <f t="shared" si="1"/>
        <v>#DIV/0!</v>
      </c>
      <c r="K59" t="e">
        <f t="shared" si="1"/>
        <v>#DIV/0!</v>
      </c>
      <c r="L59" t="e">
        <f t="shared" si="1"/>
        <v>#DIV/0!</v>
      </c>
      <c r="M59" t="e">
        <f t="shared" si="1"/>
        <v>#DIV/0!</v>
      </c>
      <c r="N59" t="e">
        <f t="shared" si="1"/>
        <v>#DIV/0!</v>
      </c>
      <c r="O59" s="82"/>
      <c r="P59" s="244" t="s">
        <v>392</v>
      </c>
      <c r="Q59" s="244" t="s">
        <v>448</v>
      </c>
      <c r="R59" s="82"/>
      <c r="S59">
        <f>$C$59</f>
        <v>68</v>
      </c>
      <c r="T59">
        <f>$D$59</f>
        <v>67</v>
      </c>
      <c r="U59">
        <f>$E$59</f>
        <v>68</v>
      </c>
      <c r="V59" t="e">
        <f>$F$59</f>
        <v>#DIV/0!</v>
      </c>
      <c r="W59" t="e">
        <f>$G$59</f>
        <v>#DIV/0!</v>
      </c>
      <c r="X59" t="e">
        <f>$H$59</f>
        <v>#DIV/0!</v>
      </c>
      <c r="Y59" t="e">
        <f>$I$59</f>
        <v>#DIV/0!</v>
      </c>
      <c r="Z59" t="e">
        <f>$J$59</f>
        <v>#DIV/0!</v>
      </c>
      <c r="AA59" t="e">
        <f>$K$59</f>
        <v>#DIV/0!</v>
      </c>
      <c r="AB59" t="e">
        <f>$L$59</f>
        <v>#DIV/0!</v>
      </c>
      <c r="AC59" t="e">
        <f>$M$59</f>
        <v>#DIV/0!</v>
      </c>
      <c r="AD59" t="e">
        <f>$N$59</f>
        <v>#DIV/0!</v>
      </c>
      <c r="AE59" s="95"/>
      <c r="AF59" s="95"/>
      <c r="AG59" s="95"/>
      <c r="AH59" s="95"/>
    </row>
    <row r="60" spans="1:34">
      <c r="A60" s="69" t="s">
        <v>149</v>
      </c>
      <c r="B60" t="s">
        <v>153</v>
      </c>
      <c r="C60" s="8">
        <v>71</v>
      </c>
      <c r="D60" s="8">
        <v>71</v>
      </c>
      <c r="E60" s="8">
        <v>69</v>
      </c>
      <c r="F60" t="e">
        <f t="shared" si="1"/>
        <v>#DIV/0!</v>
      </c>
      <c r="G60" t="e">
        <f t="shared" si="1"/>
        <v>#DIV/0!</v>
      </c>
      <c r="H60" t="e">
        <f t="shared" si="1"/>
        <v>#DIV/0!</v>
      </c>
      <c r="I60" t="e">
        <f t="shared" si="1"/>
        <v>#DIV/0!</v>
      </c>
      <c r="J60" t="e">
        <f t="shared" si="1"/>
        <v>#DIV/0!</v>
      </c>
      <c r="K60" t="e">
        <f t="shared" si="1"/>
        <v>#DIV/0!</v>
      </c>
      <c r="L60" t="e">
        <f t="shared" si="1"/>
        <v>#DIV/0!</v>
      </c>
      <c r="M60" t="e">
        <f t="shared" si="1"/>
        <v>#DIV/0!</v>
      </c>
      <c r="N60" t="e">
        <f t="shared" si="1"/>
        <v>#DIV/0!</v>
      </c>
      <c r="O60" s="82"/>
      <c r="P60" s="244" t="s">
        <v>393</v>
      </c>
      <c r="Q60" s="244" t="s">
        <v>449</v>
      </c>
      <c r="R60" s="82"/>
      <c r="S60">
        <f>$C$60</f>
        <v>71</v>
      </c>
      <c r="T60">
        <f>$D$60</f>
        <v>71</v>
      </c>
      <c r="U60">
        <f>$E$60</f>
        <v>69</v>
      </c>
      <c r="V60" t="e">
        <f>$F$60</f>
        <v>#DIV/0!</v>
      </c>
      <c r="W60" t="e">
        <f>$G$60</f>
        <v>#DIV/0!</v>
      </c>
      <c r="X60" t="e">
        <f>$H$60</f>
        <v>#DIV/0!</v>
      </c>
      <c r="Y60" t="e">
        <f>$I$60</f>
        <v>#DIV/0!</v>
      </c>
      <c r="Z60" t="e">
        <f>$J$60</f>
        <v>#DIV/0!</v>
      </c>
      <c r="AA60" t="e">
        <f>$K$60</f>
        <v>#DIV/0!</v>
      </c>
      <c r="AB60" t="e">
        <f>$L$60</f>
        <v>#DIV/0!</v>
      </c>
      <c r="AC60" t="e">
        <f>$M$60</f>
        <v>#DIV/0!</v>
      </c>
      <c r="AD60" t="e">
        <f>$N$60</f>
        <v>#DIV/0!</v>
      </c>
      <c r="AE60" s="95"/>
      <c r="AF60" s="95"/>
      <c r="AG60" s="95"/>
      <c r="AH60" s="95"/>
    </row>
    <row r="61" spans="1:34">
      <c r="A61" s="69" t="s">
        <v>157</v>
      </c>
      <c r="B61" s="71" t="s">
        <v>158</v>
      </c>
      <c r="C61" s="8">
        <v>68</v>
      </c>
      <c r="D61" s="8">
        <v>73</v>
      </c>
      <c r="E61" s="8">
        <v>72</v>
      </c>
      <c r="F61" t="e">
        <f t="shared" si="1"/>
        <v>#DIV/0!</v>
      </c>
      <c r="G61" t="e">
        <f t="shared" si="1"/>
        <v>#DIV/0!</v>
      </c>
      <c r="H61" t="e">
        <f t="shared" si="1"/>
        <v>#DIV/0!</v>
      </c>
      <c r="I61" t="e">
        <f t="shared" si="1"/>
        <v>#DIV/0!</v>
      </c>
      <c r="J61" t="e">
        <f t="shared" si="1"/>
        <v>#DIV/0!</v>
      </c>
      <c r="K61" t="e">
        <f t="shared" si="1"/>
        <v>#DIV/0!</v>
      </c>
      <c r="L61" t="e">
        <f t="shared" si="1"/>
        <v>#DIV/0!</v>
      </c>
      <c r="M61" t="e">
        <f t="shared" si="1"/>
        <v>#DIV/0!</v>
      </c>
      <c r="N61" t="e">
        <f t="shared" si="1"/>
        <v>#DIV/0!</v>
      </c>
      <c r="O61" s="82"/>
      <c r="P61" s="244" t="s">
        <v>394</v>
      </c>
      <c r="Q61" s="244" t="s">
        <v>450</v>
      </c>
      <c r="R61" s="82"/>
      <c r="S61">
        <f>$C$61</f>
        <v>68</v>
      </c>
      <c r="T61">
        <f>$D$61</f>
        <v>73</v>
      </c>
      <c r="U61">
        <f>$E$61</f>
        <v>72</v>
      </c>
      <c r="V61" t="e">
        <f>$F$61</f>
        <v>#DIV/0!</v>
      </c>
      <c r="W61" t="e">
        <f>$G$61</f>
        <v>#DIV/0!</v>
      </c>
      <c r="X61" t="e">
        <f>$H$61</f>
        <v>#DIV/0!</v>
      </c>
      <c r="Y61" t="e">
        <f>$I$61</f>
        <v>#DIV/0!</v>
      </c>
      <c r="Z61" t="e">
        <f>$J$61</f>
        <v>#DIV/0!</v>
      </c>
      <c r="AA61" t="e">
        <f>$K$61</f>
        <v>#DIV/0!</v>
      </c>
      <c r="AB61" t="e">
        <f>$L$61</f>
        <v>#DIV/0!</v>
      </c>
      <c r="AC61" t="e">
        <f>$M$61</f>
        <v>#DIV/0!</v>
      </c>
      <c r="AD61" t="e">
        <f>$N$61</f>
        <v>#DIV/0!</v>
      </c>
      <c r="AE61" s="95"/>
      <c r="AF61" s="95"/>
      <c r="AG61" s="95"/>
      <c r="AH61" s="95"/>
    </row>
    <row r="62" spans="1:34">
      <c r="A62" s="69" t="s">
        <v>172</v>
      </c>
      <c r="B62" s="71" t="s">
        <v>178</v>
      </c>
      <c r="C62" s="8">
        <v>65</v>
      </c>
      <c r="D62" s="8">
        <v>66</v>
      </c>
      <c r="E62" s="8">
        <v>72</v>
      </c>
      <c r="F62" t="e">
        <f t="shared" si="1"/>
        <v>#DIV/0!</v>
      </c>
      <c r="G62" t="e">
        <f t="shared" si="1"/>
        <v>#DIV/0!</v>
      </c>
      <c r="H62" t="e">
        <f t="shared" si="1"/>
        <v>#DIV/0!</v>
      </c>
      <c r="I62" t="e">
        <f t="shared" si="1"/>
        <v>#DIV/0!</v>
      </c>
      <c r="J62" t="e">
        <f t="shared" si="1"/>
        <v>#DIV/0!</v>
      </c>
      <c r="K62" t="e">
        <f t="shared" si="1"/>
        <v>#DIV/0!</v>
      </c>
      <c r="L62" t="e">
        <f t="shared" si="1"/>
        <v>#DIV/0!</v>
      </c>
      <c r="M62" t="e">
        <f t="shared" si="1"/>
        <v>#DIV/0!</v>
      </c>
      <c r="N62" t="e">
        <f t="shared" si="1"/>
        <v>#DIV/0!</v>
      </c>
      <c r="O62" s="82"/>
      <c r="P62" s="244" t="s">
        <v>434</v>
      </c>
      <c r="Q62" s="244" t="s">
        <v>451</v>
      </c>
      <c r="R62" s="82"/>
      <c r="S62">
        <f>$C$62</f>
        <v>65</v>
      </c>
      <c r="T62">
        <f>$D$62</f>
        <v>66</v>
      </c>
      <c r="U62">
        <f>$E$62</f>
        <v>72</v>
      </c>
      <c r="V62" t="e">
        <f>$F$62</f>
        <v>#DIV/0!</v>
      </c>
      <c r="W62" t="e">
        <f>$G$62</f>
        <v>#DIV/0!</v>
      </c>
      <c r="X62" t="e">
        <f>$H$62</f>
        <v>#DIV/0!</v>
      </c>
      <c r="Y62" t="e">
        <f>$I$62</f>
        <v>#DIV/0!</v>
      </c>
      <c r="Z62" t="e">
        <f>$J$62</f>
        <v>#DIV/0!</v>
      </c>
      <c r="AA62" t="e">
        <f>$K$62</f>
        <v>#DIV/0!</v>
      </c>
      <c r="AB62" t="e">
        <f>$L$62</f>
        <v>#DIV/0!</v>
      </c>
      <c r="AC62" t="e">
        <f>$M$62</f>
        <v>#DIV/0!</v>
      </c>
      <c r="AD62" t="e">
        <f>$N$62</f>
        <v>#DIV/0!</v>
      </c>
      <c r="AE62" s="95"/>
      <c r="AF62" s="95"/>
      <c r="AG62" s="95"/>
      <c r="AH62" s="95"/>
    </row>
    <row r="63" spans="1:34">
      <c r="A63" s="69" t="s">
        <v>173</v>
      </c>
      <c r="B63" s="71" t="s">
        <v>178</v>
      </c>
      <c r="C63" s="8">
        <v>68</v>
      </c>
      <c r="D63" s="8">
        <v>76</v>
      </c>
      <c r="E63" s="8">
        <v>70</v>
      </c>
      <c r="F63" t="e">
        <f t="shared" si="1"/>
        <v>#DIV/0!</v>
      </c>
      <c r="G63" t="e">
        <f t="shared" si="1"/>
        <v>#DIV/0!</v>
      </c>
      <c r="H63" t="e">
        <f t="shared" si="1"/>
        <v>#DIV/0!</v>
      </c>
      <c r="I63" t="e">
        <f t="shared" si="1"/>
        <v>#DIV/0!</v>
      </c>
      <c r="J63" t="e">
        <f t="shared" si="1"/>
        <v>#DIV/0!</v>
      </c>
      <c r="K63" t="e">
        <f t="shared" si="1"/>
        <v>#DIV/0!</v>
      </c>
      <c r="L63" t="e">
        <f t="shared" si="1"/>
        <v>#DIV/0!</v>
      </c>
      <c r="M63" t="e">
        <f t="shared" si="1"/>
        <v>#DIV/0!</v>
      </c>
      <c r="N63" t="e">
        <f t="shared" si="1"/>
        <v>#DIV/0!</v>
      </c>
      <c r="O63" s="82"/>
      <c r="P63" s="244" t="s">
        <v>435</v>
      </c>
      <c r="Q63" s="244" t="s">
        <v>452</v>
      </c>
      <c r="R63" s="82"/>
      <c r="S63">
        <f>$C$63</f>
        <v>68</v>
      </c>
      <c r="T63">
        <f>$D$63</f>
        <v>76</v>
      </c>
      <c r="U63">
        <f>$E$63</f>
        <v>70</v>
      </c>
      <c r="V63" t="e">
        <f>$F$63</f>
        <v>#DIV/0!</v>
      </c>
      <c r="W63" t="e">
        <f>$G$63</f>
        <v>#DIV/0!</v>
      </c>
      <c r="X63" t="e">
        <f>$H$63</f>
        <v>#DIV/0!</v>
      </c>
      <c r="Y63" t="e">
        <f>$I$63</f>
        <v>#DIV/0!</v>
      </c>
      <c r="Z63" t="e">
        <f>$J$63</f>
        <v>#DIV/0!</v>
      </c>
      <c r="AA63" t="e">
        <f>$K$63</f>
        <v>#DIV/0!</v>
      </c>
      <c r="AB63" t="e">
        <f>$L$63</f>
        <v>#DIV/0!</v>
      </c>
      <c r="AC63" t="e">
        <f>$M$63</f>
        <v>#DIV/0!</v>
      </c>
      <c r="AD63" t="e">
        <f>$N$63</f>
        <v>#DIV/0!</v>
      </c>
      <c r="AE63" s="95"/>
      <c r="AF63" s="95"/>
      <c r="AG63" s="95"/>
      <c r="AH63" s="95"/>
    </row>
    <row r="64" spans="1:34">
      <c r="A64" s="69" t="s">
        <v>147</v>
      </c>
      <c r="B64" t="s">
        <v>153</v>
      </c>
      <c r="C64" s="8">
        <v>67</v>
      </c>
      <c r="D64" s="8">
        <v>62</v>
      </c>
      <c r="E64" s="8">
        <v>77</v>
      </c>
      <c r="F64" t="e">
        <f t="shared" si="1"/>
        <v>#DIV/0!</v>
      </c>
      <c r="G64" t="e">
        <f t="shared" si="1"/>
        <v>#DIV/0!</v>
      </c>
      <c r="H64" t="e">
        <f t="shared" si="1"/>
        <v>#DIV/0!</v>
      </c>
      <c r="I64" t="e">
        <f t="shared" si="1"/>
        <v>#DIV/0!</v>
      </c>
      <c r="J64" t="e">
        <f t="shared" si="1"/>
        <v>#DIV/0!</v>
      </c>
      <c r="K64" t="e">
        <f t="shared" si="1"/>
        <v>#DIV/0!</v>
      </c>
      <c r="L64" t="e">
        <f t="shared" si="1"/>
        <v>#DIV/0!</v>
      </c>
      <c r="M64" t="e">
        <f t="shared" si="1"/>
        <v>#DIV/0!</v>
      </c>
      <c r="N64" t="e">
        <f t="shared" si="1"/>
        <v>#DIV/0!</v>
      </c>
      <c r="O64" s="82"/>
      <c r="P64" s="244" t="s">
        <v>436</v>
      </c>
      <c r="Q64" s="244" t="s">
        <v>453</v>
      </c>
      <c r="R64" s="82"/>
      <c r="S64">
        <f>$C$64</f>
        <v>67</v>
      </c>
      <c r="T64">
        <f>$D$64</f>
        <v>62</v>
      </c>
      <c r="U64">
        <f>$E$64</f>
        <v>77</v>
      </c>
      <c r="V64" t="e">
        <f>$F$64</f>
        <v>#DIV/0!</v>
      </c>
      <c r="W64" t="e">
        <f>$G$64</f>
        <v>#DIV/0!</v>
      </c>
      <c r="X64" t="e">
        <f>$H$64</f>
        <v>#DIV/0!</v>
      </c>
      <c r="Y64" t="e">
        <f>$I$64</f>
        <v>#DIV/0!</v>
      </c>
      <c r="Z64" t="e">
        <f>$J$64</f>
        <v>#DIV/0!</v>
      </c>
      <c r="AA64" t="e">
        <f>$K$64</f>
        <v>#DIV/0!</v>
      </c>
      <c r="AB64" t="e">
        <f>$L$64</f>
        <v>#DIV/0!</v>
      </c>
      <c r="AC64" t="e">
        <f>$M$64</f>
        <v>#DIV/0!</v>
      </c>
      <c r="AD64" t="e">
        <f>$N$64</f>
        <v>#DIV/0!</v>
      </c>
      <c r="AE64" s="95"/>
      <c r="AF64" s="95"/>
      <c r="AG64" s="95"/>
      <c r="AH64" s="95"/>
    </row>
    <row r="65" spans="1:34">
      <c r="A65" s="68" t="s">
        <v>193</v>
      </c>
      <c r="B65" s="71" t="s">
        <v>162</v>
      </c>
      <c r="C65" s="8">
        <v>64</v>
      </c>
      <c r="D65" s="8">
        <v>69</v>
      </c>
      <c r="E65" s="8">
        <v>66</v>
      </c>
      <c r="F65" t="e">
        <f t="shared" si="1"/>
        <v>#DIV/0!</v>
      </c>
      <c r="G65" t="e">
        <f t="shared" si="1"/>
        <v>#DIV/0!</v>
      </c>
      <c r="H65" t="e">
        <f t="shared" si="1"/>
        <v>#DIV/0!</v>
      </c>
      <c r="I65" t="e">
        <f t="shared" si="1"/>
        <v>#DIV/0!</v>
      </c>
      <c r="J65" t="e">
        <f t="shared" si="1"/>
        <v>#DIV/0!</v>
      </c>
      <c r="K65" t="e">
        <f t="shared" si="1"/>
        <v>#DIV/0!</v>
      </c>
      <c r="L65" t="e">
        <f t="shared" si="1"/>
        <v>#DIV/0!</v>
      </c>
      <c r="M65" t="e">
        <f t="shared" si="1"/>
        <v>#DIV/0!</v>
      </c>
      <c r="N65" t="e">
        <f t="shared" si="1"/>
        <v>#DIV/0!</v>
      </c>
      <c r="O65" s="82"/>
      <c r="P65" s="244" t="s">
        <v>437</v>
      </c>
      <c r="Q65" s="245" t="s">
        <v>454</v>
      </c>
      <c r="R65" s="82"/>
      <c r="S65">
        <f>$C$65</f>
        <v>64</v>
      </c>
      <c r="T65">
        <f>$D$65</f>
        <v>69</v>
      </c>
      <c r="U65">
        <f>$E$65</f>
        <v>66</v>
      </c>
      <c r="V65" t="e">
        <f>$F$65</f>
        <v>#DIV/0!</v>
      </c>
      <c r="W65" t="e">
        <f>$G$65</f>
        <v>#DIV/0!</v>
      </c>
      <c r="X65" t="e">
        <f>$H$65</f>
        <v>#DIV/0!</v>
      </c>
      <c r="Y65" t="e">
        <f>$I$65</f>
        <v>#DIV/0!</v>
      </c>
      <c r="Z65" t="e">
        <f>$J$65</f>
        <v>#DIV/0!</v>
      </c>
      <c r="AA65" t="e">
        <f>$K$65</f>
        <v>#DIV/0!</v>
      </c>
      <c r="AB65" t="e">
        <f>$L$65</f>
        <v>#DIV/0!</v>
      </c>
      <c r="AC65" t="e">
        <f>$M$65</f>
        <v>#DIV/0!</v>
      </c>
      <c r="AD65" t="e">
        <f>$N$65</f>
        <v>#DIV/0!</v>
      </c>
      <c r="AE65" s="95"/>
      <c r="AF65" s="95"/>
      <c r="AG65" s="95"/>
      <c r="AH65" s="95"/>
    </row>
    <row r="66" spans="1:34">
      <c r="A66" s="68" t="s">
        <v>190</v>
      </c>
      <c r="B66" t="s">
        <v>153</v>
      </c>
      <c r="C66" s="8">
        <v>59</v>
      </c>
      <c r="D66" s="8">
        <v>63</v>
      </c>
      <c r="E66" s="8">
        <v>59</v>
      </c>
      <c r="F66" t="e">
        <f t="shared" si="1"/>
        <v>#DIV/0!</v>
      </c>
      <c r="G66" t="e">
        <f t="shared" si="1"/>
        <v>#DIV/0!</v>
      </c>
      <c r="H66" t="e">
        <f t="shared" si="1"/>
        <v>#DIV/0!</v>
      </c>
      <c r="I66" t="e">
        <f t="shared" si="1"/>
        <v>#DIV/0!</v>
      </c>
      <c r="J66" t="e">
        <f t="shared" si="1"/>
        <v>#DIV/0!</v>
      </c>
      <c r="K66" t="e">
        <f t="shared" si="1"/>
        <v>#DIV/0!</v>
      </c>
      <c r="L66" t="e">
        <f t="shared" si="1"/>
        <v>#DIV/0!</v>
      </c>
      <c r="M66" t="e">
        <f t="shared" si="1"/>
        <v>#DIV/0!</v>
      </c>
      <c r="N66" t="e">
        <f t="shared" si="1"/>
        <v>#DIV/0!</v>
      </c>
      <c r="O66" s="82"/>
      <c r="P66" s="244" t="s">
        <v>438</v>
      </c>
      <c r="Q66" s="244" t="s">
        <v>455</v>
      </c>
      <c r="R66" s="82"/>
      <c r="S66">
        <f>$C$66</f>
        <v>59</v>
      </c>
      <c r="T66">
        <f>$D$66</f>
        <v>63</v>
      </c>
      <c r="U66">
        <f>$E$66</f>
        <v>59</v>
      </c>
      <c r="V66" t="e">
        <f>$F$66</f>
        <v>#DIV/0!</v>
      </c>
      <c r="W66" t="e">
        <f>$G$66</f>
        <v>#DIV/0!</v>
      </c>
      <c r="X66" t="e">
        <f>$H$66</f>
        <v>#DIV/0!</v>
      </c>
      <c r="Y66" t="e">
        <f>$I$66</f>
        <v>#DIV/0!</v>
      </c>
      <c r="Z66" t="e">
        <f>$J$66</f>
        <v>#DIV/0!</v>
      </c>
      <c r="AA66" t="e">
        <f>$K$66</f>
        <v>#DIV/0!</v>
      </c>
      <c r="AB66" t="e">
        <f>$L$66</f>
        <v>#DIV/0!</v>
      </c>
      <c r="AC66" t="e">
        <f>$M$66</f>
        <v>#DIV/0!</v>
      </c>
      <c r="AD66" t="e">
        <f>$N$66</f>
        <v>#DIV/0!</v>
      </c>
      <c r="AE66" s="95"/>
      <c r="AF66" s="95"/>
      <c r="AG66" s="95"/>
      <c r="AH66" s="95"/>
    </row>
    <row r="67" spans="1:34">
      <c r="A67" s="70" t="s">
        <v>187</v>
      </c>
      <c r="B67" s="71" t="s">
        <v>188</v>
      </c>
      <c r="C67" s="8">
        <v>78</v>
      </c>
      <c r="D67" s="8">
        <v>62</v>
      </c>
      <c r="E67" s="8">
        <v>61</v>
      </c>
      <c r="F67" t="e">
        <f t="shared" si="1"/>
        <v>#DIV/0!</v>
      </c>
      <c r="G67" t="e">
        <f t="shared" si="1"/>
        <v>#DIV/0!</v>
      </c>
      <c r="H67" t="e">
        <f t="shared" si="1"/>
        <v>#DIV/0!</v>
      </c>
      <c r="I67" t="e">
        <f t="shared" si="1"/>
        <v>#DIV/0!</v>
      </c>
      <c r="J67" t="e">
        <f t="shared" si="1"/>
        <v>#DIV/0!</v>
      </c>
      <c r="K67" t="e">
        <f t="shared" si="1"/>
        <v>#DIV/0!</v>
      </c>
      <c r="L67" t="e">
        <f t="shared" si="1"/>
        <v>#DIV/0!</v>
      </c>
      <c r="M67" t="e">
        <f t="shared" si="1"/>
        <v>#DIV/0!</v>
      </c>
      <c r="N67" t="e">
        <f t="shared" si="1"/>
        <v>#DIV/0!</v>
      </c>
      <c r="O67" s="82"/>
      <c r="P67" s="244" t="s">
        <v>439</v>
      </c>
      <c r="Q67" s="244" t="s">
        <v>456</v>
      </c>
      <c r="R67" s="82"/>
      <c r="S67">
        <f>$C$67</f>
        <v>78</v>
      </c>
      <c r="T67">
        <f>$D$67</f>
        <v>62</v>
      </c>
      <c r="U67">
        <f>$E$67</f>
        <v>61</v>
      </c>
      <c r="V67" t="e">
        <f>$F$67</f>
        <v>#DIV/0!</v>
      </c>
      <c r="W67" t="e">
        <f>$G$67</f>
        <v>#DIV/0!</v>
      </c>
      <c r="X67" t="e">
        <f>$H$67</f>
        <v>#DIV/0!</v>
      </c>
      <c r="Y67" t="e">
        <f>$I$67</f>
        <v>#DIV/0!</v>
      </c>
      <c r="Z67" t="e">
        <f>$J$67</f>
        <v>#DIV/0!</v>
      </c>
      <c r="AA67" t="e">
        <f>$K$67</f>
        <v>#DIV/0!</v>
      </c>
      <c r="AB67" t="e">
        <f>$L$67</f>
        <v>#DIV/0!</v>
      </c>
      <c r="AC67" t="e">
        <f>$M$67</f>
        <v>#DIV/0!</v>
      </c>
      <c r="AD67" t="e">
        <f>$N$67</f>
        <v>#DIV/0!</v>
      </c>
      <c r="AE67" s="95"/>
      <c r="AF67" s="95"/>
      <c r="AG67" s="95"/>
      <c r="AH67" s="95"/>
    </row>
    <row r="68" spans="1:34">
      <c r="A68" s="69" t="s">
        <v>145</v>
      </c>
      <c r="B68" t="s">
        <v>153</v>
      </c>
      <c r="C68" s="8">
        <v>66</v>
      </c>
      <c r="D68" s="8">
        <v>71</v>
      </c>
      <c r="E68" s="8">
        <v>71</v>
      </c>
      <c r="F68" t="e">
        <f t="shared" si="1"/>
        <v>#DIV/0!</v>
      </c>
      <c r="G68" t="e">
        <f t="shared" si="1"/>
        <v>#DIV/0!</v>
      </c>
      <c r="H68" t="e">
        <f t="shared" si="1"/>
        <v>#DIV/0!</v>
      </c>
      <c r="I68" t="e">
        <f t="shared" si="1"/>
        <v>#DIV/0!</v>
      </c>
      <c r="J68" t="e">
        <f t="shared" si="1"/>
        <v>#DIV/0!</v>
      </c>
      <c r="K68" t="e">
        <f t="shared" si="1"/>
        <v>#DIV/0!</v>
      </c>
      <c r="L68" t="e">
        <f t="shared" si="1"/>
        <v>#DIV/0!</v>
      </c>
      <c r="M68" t="e">
        <f t="shared" si="1"/>
        <v>#DIV/0!</v>
      </c>
      <c r="N68" t="e">
        <f t="shared" si="1"/>
        <v>#DIV/0!</v>
      </c>
      <c r="O68" s="82"/>
      <c r="P68" s="244" t="s">
        <v>440</v>
      </c>
      <c r="Q68" s="244" t="s">
        <v>457</v>
      </c>
      <c r="R68" s="82"/>
      <c r="S68">
        <f>$C$68</f>
        <v>66</v>
      </c>
      <c r="T68">
        <f>$D$68</f>
        <v>71</v>
      </c>
      <c r="U68">
        <f>$E$68</f>
        <v>71</v>
      </c>
      <c r="V68" t="e">
        <f>$F$68</f>
        <v>#DIV/0!</v>
      </c>
      <c r="W68" t="e">
        <f>$G$68</f>
        <v>#DIV/0!</v>
      </c>
      <c r="X68" t="e">
        <f>$H$68</f>
        <v>#DIV/0!</v>
      </c>
      <c r="Y68" t="e">
        <f>$I$68</f>
        <v>#DIV/0!</v>
      </c>
      <c r="Z68" t="e">
        <f>$J$68</f>
        <v>#DIV/0!</v>
      </c>
      <c r="AA68" t="e">
        <f>$K$68</f>
        <v>#DIV/0!</v>
      </c>
      <c r="AB68" t="e">
        <f>$L$68</f>
        <v>#DIV/0!</v>
      </c>
      <c r="AC68" t="e">
        <f>$M$68</f>
        <v>#DIV/0!</v>
      </c>
      <c r="AD68" t="e">
        <f>$N$68</f>
        <v>#DIV/0!</v>
      </c>
      <c r="AE68" s="95"/>
      <c r="AF68" s="95"/>
      <c r="AG68" s="95"/>
      <c r="AH68" s="95"/>
    </row>
    <row r="69" spans="1:34">
      <c r="A69" s="69" t="s">
        <v>174</v>
      </c>
      <c r="B69" s="71" t="s">
        <v>178</v>
      </c>
      <c r="C69" s="8">
        <v>79</v>
      </c>
      <c r="D69" s="8">
        <v>62</v>
      </c>
      <c r="E69" s="8">
        <v>73</v>
      </c>
      <c r="F69" t="e">
        <f t="shared" si="1"/>
        <v>#DIV/0!</v>
      </c>
      <c r="G69" t="e">
        <f t="shared" si="1"/>
        <v>#DIV/0!</v>
      </c>
      <c r="H69" t="e">
        <f t="shared" si="1"/>
        <v>#DIV/0!</v>
      </c>
      <c r="I69" t="e">
        <f t="shared" si="1"/>
        <v>#DIV/0!</v>
      </c>
      <c r="J69" t="e">
        <f t="shared" si="1"/>
        <v>#DIV/0!</v>
      </c>
      <c r="K69" t="e">
        <f t="shared" si="1"/>
        <v>#DIV/0!</v>
      </c>
      <c r="L69" t="e">
        <f t="shared" si="1"/>
        <v>#DIV/0!</v>
      </c>
      <c r="M69" t="e">
        <f t="shared" si="1"/>
        <v>#DIV/0!</v>
      </c>
      <c r="N69" t="e">
        <f t="shared" si="1"/>
        <v>#DIV/0!</v>
      </c>
      <c r="O69" s="82"/>
      <c r="P69" s="244" t="s">
        <v>441</v>
      </c>
      <c r="Q69" s="244" t="s">
        <v>458</v>
      </c>
      <c r="R69" s="82"/>
      <c r="S69">
        <f>$C$69</f>
        <v>79</v>
      </c>
      <c r="T69">
        <f>$D$69</f>
        <v>62</v>
      </c>
      <c r="U69">
        <f>$E$69</f>
        <v>73</v>
      </c>
      <c r="V69" t="e">
        <f>$F$69</f>
        <v>#DIV/0!</v>
      </c>
      <c r="W69" t="e">
        <f>$G$69</f>
        <v>#DIV/0!</v>
      </c>
      <c r="X69" t="e">
        <f>$H$69</f>
        <v>#DIV/0!</v>
      </c>
      <c r="Y69" t="e">
        <f>$I$69</f>
        <v>#DIV/0!</v>
      </c>
      <c r="Z69" t="e">
        <f>$J$69</f>
        <v>#DIV/0!</v>
      </c>
      <c r="AA69" t="e">
        <f>$K$69</f>
        <v>#DIV/0!</v>
      </c>
      <c r="AB69" t="e">
        <f>$L$69</f>
        <v>#DIV/0!</v>
      </c>
      <c r="AC69" t="e">
        <f>$M$69</f>
        <v>#DIV/0!</v>
      </c>
      <c r="AD69" t="e">
        <f>$N$69</f>
        <v>#DIV/0!</v>
      </c>
      <c r="AE69" s="95"/>
      <c r="AF69" s="95"/>
      <c r="AG69" s="95"/>
      <c r="AH69" s="95"/>
    </row>
    <row r="70" spans="1:34">
      <c r="A70" s="69" t="s">
        <v>175</v>
      </c>
      <c r="B70" s="71" t="s">
        <v>178</v>
      </c>
      <c r="C70" s="8">
        <v>67</v>
      </c>
      <c r="D70" s="8">
        <v>65</v>
      </c>
      <c r="E70" s="8">
        <v>67</v>
      </c>
      <c r="F70" t="e">
        <f t="shared" si="1"/>
        <v>#DIV/0!</v>
      </c>
      <c r="G70" t="e">
        <f t="shared" si="1"/>
        <v>#DIV/0!</v>
      </c>
      <c r="H70" t="e">
        <f t="shared" si="1"/>
        <v>#DIV/0!</v>
      </c>
      <c r="I70" t="e">
        <f t="shared" si="1"/>
        <v>#DIV/0!</v>
      </c>
      <c r="J70" t="e">
        <f t="shared" si="1"/>
        <v>#DIV/0!</v>
      </c>
      <c r="K70" t="e">
        <f t="shared" si="1"/>
        <v>#DIV/0!</v>
      </c>
      <c r="L70" t="e">
        <f t="shared" si="1"/>
        <v>#DIV/0!</v>
      </c>
      <c r="M70" t="e">
        <f t="shared" si="1"/>
        <v>#DIV/0!</v>
      </c>
      <c r="N70" t="e">
        <f t="shared" si="1"/>
        <v>#DIV/0!</v>
      </c>
      <c r="O70" s="82"/>
      <c r="P70" s="244" t="s">
        <v>442</v>
      </c>
      <c r="Q70" s="244" t="s">
        <v>459</v>
      </c>
      <c r="R70" s="82"/>
      <c r="S70">
        <f>$C$70</f>
        <v>67</v>
      </c>
      <c r="T70">
        <f>$D$70</f>
        <v>65</v>
      </c>
      <c r="U70">
        <f>$E$70</f>
        <v>67</v>
      </c>
      <c r="V70" t="e">
        <f>$F$70</f>
        <v>#DIV/0!</v>
      </c>
      <c r="W70" t="e">
        <f>$G$70</f>
        <v>#DIV/0!</v>
      </c>
      <c r="X70" t="e">
        <f>$H$70</f>
        <v>#DIV/0!</v>
      </c>
      <c r="Y70" t="e">
        <f>$I$70</f>
        <v>#DIV/0!</v>
      </c>
      <c r="Z70" t="e">
        <f>$J$70</f>
        <v>#DIV/0!</v>
      </c>
      <c r="AA70" t="e">
        <f>$K$70</f>
        <v>#DIV/0!</v>
      </c>
      <c r="AB70" t="e">
        <f>$L$70</f>
        <v>#DIV/0!</v>
      </c>
      <c r="AC70" t="e">
        <f>$M$70</f>
        <v>#DIV/0!</v>
      </c>
      <c r="AD70" t="e">
        <f>$N$70</f>
        <v>#DIV/0!</v>
      </c>
      <c r="AE70" s="95"/>
      <c r="AF70" s="95"/>
      <c r="AG70" s="95"/>
      <c r="AH70" s="95"/>
    </row>
    <row r="71" spans="1:34">
      <c r="A71" s="69" t="s">
        <v>161</v>
      </c>
      <c r="B71" s="71" t="s">
        <v>162</v>
      </c>
      <c r="C71" s="8">
        <v>66</v>
      </c>
      <c r="D71" s="8">
        <v>66</v>
      </c>
      <c r="E71" s="8">
        <v>71</v>
      </c>
      <c r="F71" t="e">
        <f t="shared" si="1"/>
        <v>#DIV/0!</v>
      </c>
      <c r="G71" t="e">
        <f t="shared" si="1"/>
        <v>#DIV/0!</v>
      </c>
      <c r="H71" t="e">
        <f t="shared" si="1"/>
        <v>#DIV/0!</v>
      </c>
      <c r="I71" t="e">
        <f t="shared" si="1"/>
        <v>#DIV/0!</v>
      </c>
      <c r="J71" t="e">
        <f t="shared" si="1"/>
        <v>#DIV/0!</v>
      </c>
      <c r="K71" t="e">
        <f t="shared" si="1"/>
        <v>#DIV/0!</v>
      </c>
      <c r="L71" t="e">
        <f t="shared" si="1"/>
        <v>#DIV/0!</v>
      </c>
      <c r="M71" t="e">
        <f t="shared" si="1"/>
        <v>#DIV/0!</v>
      </c>
      <c r="N71" t="e">
        <f t="shared" si="1"/>
        <v>#DIV/0!</v>
      </c>
      <c r="O71" s="82"/>
      <c r="P71" s="244" t="s">
        <v>443</v>
      </c>
      <c r="Q71" s="244" t="s">
        <v>460</v>
      </c>
      <c r="R71" s="82"/>
      <c r="S71">
        <f>$C$71</f>
        <v>66</v>
      </c>
      <c r="T71">
        <f>$D$71</f>
        <v>66</v>
      </c>
      <c r="U71">
        <f>$E$71</f>
        <v>71</v>
      </c>
      <c r="V71" t="e">
        <f>$F$71</f>
        <v>#DIV/0!</v>
      </c>
      <c r="W71" t="e">
        <f>$G$71</f>
        <v>#DIV/0!</v>
      </c>
      <c r="X71" t="e">
        <f>$H$71</f>
        <v>#DIV/0!</v>
      </c>
      <c r="Y71" t="e">
        <f>$I$71</f>
        <v>#DIV/0!</v>
      </c>
      <c r="Z71" t="e">
        <f>$J$71</f>
        <v>#DIV/0!</v>
      </c>
      <c r="AA71" t="e">
        <f>$K$71</f>
        <v>#DIV/0!</v>
      </c>
      <c r="AB71" t="e">
        <f>$L$71</f>
        <v>#DIV/0!</v>
      </c>
      <c r="AC71" t="e">
        <f>$M$71</f>
        <v>#DIV/0!</v>
      </c>
      <c r="AD71" t="e">
        <f>$N$71</f>
        <v>#DIV/0!</v>
      </c>
      <c r="AE71" s="95"/>
      <c r="AF71" s="95"/>
      <c r="AG71" s="95"/>
      <c r="AH71" s="95"/>
    </row>
    <row r="72" spans="1:34">
      <c r="A72" s="69" t="s">
        <v>186</v>
      </c>
      <c r="B72" s="71" t="s">
        <v>188</v>
      </c>
      <c r="C72" s="8">
        <v>71</v>
      </c>
      <c r="D72" s="8">
        <v>68</v>
      </c>
      <c r="E72" s="8">
        <v>79</v>
      </c>
      <c r="F72" t="e">
        <f t="shared" si="1"/>
        <v>#DIV/0!</v>
      </c>
      <c r="G72" t="e">
        <f t="shared" si="1"/>
        <v>#DIV/0!</v>
      </c>
      <c r="H72" t="e">
        <f t="shared" si="1"/>
        <v>#DIV/0!</v>
      </c>
      <c r="I72" t="e">
        <f t="shared" si="1"/>
        <v>#DIV/0!</v>
      </c>
      <c r="J72" t="e">
        <f t="shared" si="1"/>
        <v>#DIV/0!</v>
      </c>
      <c r="K72" t="e">
        <f t="shared" si="1"/>
        <v>#DIV/0!</v>
      </c>
      <c r="L72" t="e">
        <f t="shared" si="1"/>
        <v>#DIV/0!</v>
      </c>
      <c r="M72" t="e">
        <f t="shared" si="1"/>
        <v>#DIV/0!</v>
      </c>
      <c r="N72" t="e">
        <f t="shared" si="1"/>
        <v>#DIV/0!</v>
      </c>
      <c r="O72" s="82"/>
      <c r="P72" s="244" t="s">
        <v>444</v>
      </c>
      <c r="Q72" s="245" t="s">
        <v>461</v>
      </c>
      <c r="R72" s="82"/>
      <c r="S72">
        <f>$C$72</f>
        <v>71</v>
      </c>
      <c r="T72">
        <f>$D$72</f>
        <v>68</v>
      </c>
      <c r="U72">
        <f>$E$72</f>
        <v>79</v>
      </c>
      <c r="V72" t="e">
        <f>$F$72</f>
        <v>#DIV/0!</v>
      </c>
      <c r="W72" t="e">
        <f>$G$72</f>
        <v>#DIV/0!</v>
      </c>
      <c r="X72" t="e">
        <f>$H$72</f>
        <v>#DIV/0!</v>
      </c>
      <c r="Y72" t="e">
        <f>$I$72</f>
        <v>#DIV/0!</v>
      </c>
      <c r="Z72" t="e">
        <f>$J$72</f>
        <v>#DIV/0!</v>
      </c>
      <c r="AA72" t="e">
        <f>$K$72</f>
        <v>#DIV/0!</v>
      </c>
      <c r="AB72" t="e">
        <f>$L$72</f>
        <v>#DIV/0!</v>
      </c>
      <c r="AC72" t="e">
        <f>$M$72</f>
        <v>#DIV/0!</v>
      </c>
      <c r="AD72" t="e">
        <f>$N$72</f>
        <v>#DIV/0!</v>
      </c>
      <c r="AE72" s="95"/>
      <c r="AF72" s="95"/>
      <c r="AG72" s="95"/>
      <c r="AH72" s="95"/>
    </row>
    <row r="73" spans="1:34">
      <c r="A73" s="68" t="s">
        <v>191</v>
      </c>
      <c r="B73" t="s">
        <v>153</v>
      </c>
      <c r="C73" s="8">
        <v>68</v>
      </c>
      <c r="D73" s="8">
        <v>67</v>
      </c>
      <c r="E73" s="8">
        <v>62</v>
      </c>
      <c r="F73" t="e">
        <f t="shared" si="1"/>
        <v>#DIV/0!</v>
      </c>
      <c r="G73" t="e">
        <f t="shared" si="1"/>
        <v>#DIV/0!</v>
      </c>
      <c r="H73" t="e">
        <f t="shared" si="1"/>
        <v>#DIV/0!</v>
      </c>
      <c r="I73" t="e">
        <f t="shared" si="1"/>
        <v>#DIV/0!</v>
      </c>
      <c r="J73" t="e">
        <f t="shared" si="1"/>
        <v>#DIV/0!</v>
      </c>
      <c r="K73" t="e">
        <f t="shared" si="1"/>
        <v>#DIV/0!</v>
      </c>
      <c r="L73" t="e">
        <f t="shared" si="1"/>
        <v>#DIV/0!</v>
      </c>
      <c r="M73" t="e">
        <f t="shared" si="1"/>
        <v>#DIV/0!</v>
      </c>
      <c r="N73" t="e">
        <f t="shared" si="1"/>
        <v>#DIV/0!</v>
      </c>
      <c r="O73" s="82"/>
      <c r="P73" s="244" t="s">
        <v>445</v>
      </c>
      <c r="Q73" s="244" t="s">
        <v>462</v>
      </c>
      <c r="R73" s="82"/>
      <c r="S73">
        <f>$C$73</f>
        <v>68</v>
      </c>
      <c r="T73">
        <f>$D$73</f>
        <v>67</v>
      </c>
      <c r="U73">
        <f>$E$73</f>
        <v>62</v>
      </c>
      <c r="V73" t="e">
        <f>$F$73</f>
        <v>#DIV/0!</v>
      </c>
      <c r="W73" t="e">
        <f>$G$73</f>
        <v>#DIV/0!</v>
      </c>
      <c r="X73" t="e">
        <f>$H$73</f>
        <v>#DIV/0!</v>
      </c>
      <c r="Y73" t="e">
        <f>$I$73</f>
        <v>#DIV/0!</v>
      </c>
      <c r="Z73" t="e">
        <f>$J$73</f>
        <v>#DIV/0!</v>
      </c>
      <c r="AA73" t="e">
        <f>$K$73</f>
        <v>#DIV/0!</v>
      </c>
      <c r="AB73" t="e">
        <f>$L$73</f>
        <v>#DIV/0!</v>
      </c>
      <c r="AC73" t="e">
        <f>$M$73</f>
        <v>#DIV/0!</v>
      </c>
      <c r="AD73" t="e">
        <f>$N$73</f>
        <v>#DIV/0!</v>
      </c>
      <c r="AE73" s="95"/>
      <c r="AF73" s="95"/>
      <c r="AG73" s="95"/>
      <c r="AH73" s="95"/>
    </row>
    <row r="74" spans="1:34">
      <c r="A74" s="69" t="s">
        <v>176</v>
      </c>
      <c r="B74" s="71" t="s">
        <v>178</v>
      </c>
      <c r="C74" s="8">
        <v>70</v>
      </c>
      <c r="D74" s="8">
        <v>77</v>
      </c>
      <c r="E74" s="8">
        <v>75</v>
      </c>
      <c r="F74" t="e">
        <f t="shared" si="1"/>
        <v>#DIV/0!</v>
      </c>
      <c r="G74" t="e">
        <f t="shared" si="1"/>
        <v>#DIV/0!</v>
      </c>
      <c r="H74" t="e">
        <f t="shared" si="1"/>
        <v>#DIV/0!</v>
      </c>
      <c r="I74" t="e">
        <f t="shared" si="1"/>
        <v>#DIV/0!</v>
      </c>
      <c r="J74" t="e">
        <f t="shared" si="1"/>
        <v>#DIV/0!</v>
      </c>
      <c r="K74" t="e">
        <f t="shared" si="1"/>
        <v>#DIV/0!</v>
      </c>
      <c r="L74" t="e">
        <f t="shared" si="1"/>
        <v>#DIV/0!</v>
      </c>
      <c r="M74" t="e">
        <f t="shared" si="1"/>
        <v>#DIV/0!</v>
      </c>
      <c r="N74" t="e">
        <f t="shared" si="1"/>
        <v>#DIV/0!</v>
      </c>
      <c r="O74" s="82"/>
      <c r="P74" s="246" t="s">
        <v>446</v>
      </c>
      <c r="Q74" s="244" t="s">
        <v>463</v>
      </c>
      <c r="R74" s="82"/>
      <c r="S74">
        <f>$C$74</f>
        <v>70</v>
      </c>
      <c r="T74">
        <f>$D$74</f>
        <v>77</v>
      </c>
      <c r="U74">
        <f>$E$74</f>
        <v>75</v>
      </c>
      <c r="V74" t="e">
        <f>$F$74</f>
        <v>#DIV/0!</v>
      </c>
      <c r="W74" t="e">
        <f>$G$74</f>
        <v>#DIV/0!</v>
      </c>
      <c r="X74" t="e">
        <f>$H$74</f>
        <v>#DIV/0!</v>
      </c>
      <c r="Y74" t="e">
        <f>$I$74</f>
        <v>#DIV/0!</v>
      </c>
      <c r="Z74" t="e">
        <f>$J$74</f>
        <v>#DIV/0!</v>
      </c>
      <c r="AA74" t="e">
        <f>$K$74</f>
        <v>#DIV/0!</v>
      </c>
      <c r="AB74" t="e">
        <f>$L$74</f>
        <v>#DIV/0!</v>
      </c>
      <c r="AC74" t="e">
        <f>$M$74</f>
        <v>#DIV/0!</v>
      </c>
      <c r="AD74" t="e">
        <f>$N$74</f>
        <v>#DIV/0!</v>
      </c>
      <c r="AE74" s="95"/>
      <c r="AF74" s="95"/>
      <c r="AG74" s="95"/>
      <c r="AH74" s="95"/>
    </row>
    <row r="75" spans="1:34">
      <c r="A75" s="69" t="s">
        <v>150</v>
      </c>
      <c r="B75" t="s">
        <v>153</v>
      </c>
      <c r="C75" s="8">
        <v>64</v>
      </c>
      <c r="D75" s="8">
        <v>65</v>
      </c>
      <c r="E75" s="8">
        <v>65</v>
      </c>
      <c r="F75" t="e">
        <f t="shared" si="1"/>
        <v>#DIV/0!</v>
      </c>
      <c r="G75" t="e">
        <f t="shared" si="1"/>
        <v>#DIV/0!</v>
      </c>
      <c r="H75" t="e">
        <f t="shared" si="1"/>
        <v>#DIV/0!</v>
      </c>
      <c r="I75" t="e">
        <f t="shared" si="1"/>
        <v>#DIV/0!</v>
      </c>
      <c r="J75" t="e">
        <f t="shared" si="1"/>
        <v>#DIV/0!</v>
      </c>
      <c r="K75" t="e">
        <f t="shared" si="1"/>
        <v>#DIV/0!</v>
      </c>
      <c r="L75" t="e">
        <f t="shared" ref="G75:N81" si="2">1/0</f>
        <v>#DIV/0!</v>
      </c>
      <c r="M75" t="e">
        <f t="shared" si="2"/>
        <v>#DIV/0!</v>
      </c>
      <c r="N75" t="e">
        <f t="shared" si="2"/>
        <v>#DIV/0!</v>
      </c>
      <c r="O75" s="82"/>
      <c r="P75" s="247" t="s">
        <v>447</v>
      </c>
      <c r="Q75" s="244" t="s">
        <v>464</v>
      </c>
      <c r="R75" s="82"/>
      <c r="S75">
        <f>$C$75</f>
        <v>64</v>
      </c>
      <c r="T75">
        <f>$D$75</f>
        <v>65</v>
      </c>
      <c r="U75">
        <f>$E$75</f>
        <v>65</v>
      </c>
      <c r="V75" t="e">
        <f>$F$75</f>
        <v>#DIV/0!</v>
      </c>
      <c r="W75" t="e">
        <f>$G$75</f>
        <v>#DIV/0!</v>
      </c>
      <c r="X75" t="e">
        <f>$H$75</f>
        <v>#DIV/0!</v>
      </c>
      <c r="Y75" t="e">
        <f>$I$75</f>
        <v>#DIV/0!</v>
      </c>
      <c r="Z75" t="e">
        <f>$J$75</f>
        <v>#DIV/0!</v>
      </c>
      <c r="AA75" t="e">
        <f>$K$75</f>
        <v>#DIV/0!</v>
      </c>
      <c r="AB75" t="e">
        <f>$L$75</f>
        <v>#DIV/0!</v>
      </c>
      <c r="AC75" t="e">
        <f>$M$75</f>
        <v>#DIV/0!</v>
      </c>
      <c r="AD75" t="e">
        <f>$N$75</f>
        <v>#DIV/0!</v>
      </c>
      <c r="AE75" s="95"/>
      <c r="AF75" s="95"/>
      <c r="AG75" s="95"/>
      <c r="AH75" s="95"/>
    </row>
    <row r="76" spans="1:34">
      <c r="A76" s="69" t="s">
        <v>183</v>
      </c>
      <c r="B76" s="71" t="s">
        <v>188</v>
      </c>
      <c r="C76" s="8">
        <v>68</v>
      </c>
      <c r="D76" s="8">
        <v>72</v>
      </c>
      <c r="E76" s="8">
        <v>75</v>
      </c>
      <c r="F76" t="e">
        <f t="shared" ref="F76:F81" si="3">1/0</f>
        <v>#DIV/0!</v>
      </c>
      <c r="G76" t="e">
        <f t="shared" si="2"/>
        <v>#DIV/0!</v>
      </c>
      <c r="H76" t="e">
        <f t="shared" si="2"/>
        <v>#DIV/0!</v>
      </c>
      <c r="I76" t="e">
        <f t="shared" si="2"/>
        <v>#DIV/0!</v>
      </c>
      <c r="J76" t="e">
        <f t="shared" si="2"/>
        <v>#DIV/0!</v>
      </c>
      <c r="K76" t="e">
        <f t="shared" si="2"/>
        <v>#DIV/0!</v>
      </c>
      <c r="L76" t="e">
        <f t="shared" si="2"/>
        <v>#DIV/0!</v>
      </c>
      <c r="M76" t="e">
        <f t="shared" si="2"/>
        <v>#DIV/0!</v>
      </c>
      <c r="N76" t="e">
        <f t="shared" si="2"/>
        <v>#DIV/0!</v>
      </c>
      <c r="O76" s="82"/>
      <c r="P76" s="284"/>
      <c r="Q76" s="244" t="s">
        <v>465</v>
      </c>
      <c r="R76" s="82"/>
      <c r="S76">
        <f>$C$76</f>
        <v>68</v>
      </c>
      <c r="T76">
        <f>$D$76</f>
        <v>72</v>
      </c>
      <c r="U76">
        <f>$E$76</f>
        <v>75</v>
      </c>
      <c r="V76" t="e">
        <f>$F$76</f>
        <v>#DIV/0!</v>
      </c>
      <c r="W76" t="e">
        <f>$G$76</f>
        <v>#DIV/0!</v>
      </c>
      <c r="X76" t="e">
        <f>$H$76</f>
        <v>#DIV/0!</v>
      </c>
      <c r="Y76" t="e">
        <f>$I$76</f>
        <v>#DIV/0!</v>
      </c>
      <c r="Z76" t="e">
        <f>$J$76</f>
        <v>#DIV/0!</v>
      </c>
      <c r="AA76" t="e">
        <f>$K$76</f>
        <v>#DIV/0!</v>
      </c>
      <c r="AB76" t="e">
        <f>$L$76</f>
        <v>#DIV/0!</v>
      </c>
      <c r="AC76" t="e">
        <f>$M$76</f>
        <v>#DIV/0!</v>
      </c>
      <c r="AD76" t="e">
        <f>$N$76</f>
        <v>#DIV/0!</v>
      </c>
      <c r="AE76" s="95"/>
      <c r="AF76" s="95"/>
      <c r="AG76" s="95"/>
      <c r="AH76" s="95"/>
    </row>
    <row r="77" spans="1:34">
      <c r="A77" s="69" t="s">
        <v>177</v>
      </c>
      <c r="B77" s="71" t="s">
        <v>178</v>
      </c>
      <c r="C77" s="8">
        <v>60</v>
      </c>
      <c r="D77" s="8">
        <v>60</v>
      </c>
      <c r="E77" s="8">
        <v>68</v>
      </c>
      <c r="F77" t="e">
        <f t="shared" si="3"/>
        <v>#DIV/0!</v>
      </c>
      <c r="G77" t="e">
        <f t="shared" si="2"/>
        <v>#DIV/0!</v>
      </c>
      <c r="H77" t="e">
        <f t="shared" si="2"/>
        <v>#DIV/0!</v>
      </c>
      <c r="I77" t="e">
        <f t="shared" si="2"/>
        <v>#DIV/0!</v>
      </c>
      <c r="J77" t="e">
        <f t="shared" si="2"/>
        <v>#DIV/0!</v>
      </c>
      <c r="K77" t="e">
        <f t="shared" si="2"/>
        <v>#DIV/0!</v>
      </c>
      <c r="L77" t="e">
        <f t="shared" si="2"/>
        <v>#DIV/0!</v>
      </c>
      <c r="M77" t="e">
        <f t="shared" si="2"/>
        <v>#DIV/0!</v>
      </c>
      <c r="N77" t="e">
        <f t="shared" si="2"/>
        <v>#DIV/0!</v>
      </c>
      <c r="O77" s="82"/>
      <c r="P77" s="257"/>
      <c r="Q77" s="258" t="s">
        <v>466</v>
      </c>
      <c r="R77" s="82"/>
      <c r="S77">
        <f>$C$77</f>
        <v>60</v>
      </c>
      <c r="T77">
        <f>$D$77</f>
        <v>60</v>
      </c>
      <c r="U77">
        <f>$E$77</f>
        <v>68</v>
      </c>
      <c r="V77" t="e">
        <f>$F$77</f>
        <v>#DIV/0!</v>
      </c>
      <c r="W77" t="e">
        <f>$G$77</f>
        <v>#DIV/0!</v>
      </c>
      <c r="X77" t="e">
        <f>$H$77</f>
        <v>#DIV/0!</v>
      </c>
      <c r="Y77" t="e">
        <f>$I$77</f>
        <v>#DIV/0!</v>
      </c>
      <c r="Z77" t="e">
        <f>$J$77</f>
        <v>#DIV/0!</v>
      </c>
      <c r="AA77" t="e">
        <f>$K$77</f>
        <v>#DIV/0!</v>
      </c>
      <c r="AB77" t="e">
        <f>$L$77</f>
        <v>#DIV/0!</v>
      </c>
      <c r="AC77" t="e">
        <f>$M$77</f>
        <v>#DIV/0!</v>
      </c>
      <c r="AD77" t="e">
        <f>$N$77</f>
        <v>#DIV/0!</v>
      </c>
      <c r="AE77" s="95"/>
      <c r="AF77" s="95"/>
      <c r="AG77" s="95"/>
      <c r="AH77" s="95"/>
    </row>
    <row r="78" spans="1:34">
      <c r="A78" s="69" t="s">
        <v>180</v>
      </c>
      <c r="B78" s="71" t="s">
        <v>188</v>
      </c>
      <c r="C78" s="8">
        <v>61</v>
      </c>
      <c r="D78" s="8">
        <v>56</v>
      </c>
      <c r="E78" s="8">
        <v>69</v>
      </c>
      <c r="F78" t="e">
        <f t="shared" si="3"/>
        <v>#DIV/0!</v>
      </c>
      <c r="G78" t="e">
        <f t="shared" si="2"/>
        <v>#DIV/0!</v>
      </c>
      <c r="H78" t="e">
        <f t="shared" si="2"/>
        <v>#DIV/0!</v>
      </c>
      <c r="I78" t="e">
        <f t="shared" si="2"/>
        <v>#DIV/0!</v>
      </c>
      <c r="J78" t="e">
        <f t="shared" si="2"/>
        <v>#DIV/0!</v>
      </c>
      <c r="K78" t="e">
        <f t="shared" si="2"/>
        <v>#DIV/0!</v>
      </c>
      <c r="L78" t="e">
        <f t="shared" si="2"/>
        <v>#DIV/0!</v>
      </c>
      <c r="M78" t="e">
        <f t="shared" si="2"/>
        <v>#DIV/0!</v>
      </c>
      <c r="N78" t="e">
        <f t="shared" si="2"/>
        <v>#DIV/0!</v>
      </c>
      <c r="O78" s="82"/>
      <c r="P78" s="256"/>
      <c r="Q78" s="254"/>
      <c r="R78" s="82"/>
      <c r="S78">
        <f>$C$78</f>
        <v>61</v>
      </c>
      <c r="T78">
        <f>$D$78</f>
        <v>56</v>
      </c>
      <c r="U78">
        <f>$E$78</f>
        <v>69</v>
      </c>
      <c r="V78" t="e">
        <f>$F$78</f>
        <v>#DIV/0!</v>
      </c>
      <c r="W78" t="e">
        <f>$G$78</f>
        <v>#DIV/0!</v>
      </c>
      <c r="X78" t="e">
        <f>$H$78</f>
        <v>#DIV/0!</v>
      </c>
      <c r="Y78" t="e">
        <f>$I$78</f>
        <v>#DIV/0!</v>
      </c>
      <c r="Z78" t="e">
        <f>$J$78</f>
        <v>#DIV/0!</v>
      </c>
      <c r="AA78" t="e">
        <f>$K$78</f>
        <v>#DIV/0!</v>
      </c>
      <c r="AB78" t="e">
        <f>$L$78</f>
        <v>#DIV/0!</v>
      </c>
      <c r="AC78" t="e">
        <f>$M$78</f>
        <v>#DIV/0!</v>
      </c>
      <c r="AD78" t="e">
        <f>$N$78</f>
        <v>#DIV/0!</v>
      </c>
      <c r="AE78" s="95"/>
      <c r="AF78" s="95"/>
      <c r="AG78" s="95"/>
      <c r="AH78" s="95"/>
    </row>
    <row r="79" spans="1:34">
      <c r="A79" s="69" t="s">
        <v>151</v>
      </c>
      <c r="B79" t="s">
        <v>153</v>
      </c>
      <c r="C79" s="8">
        <v>73</v>
      </c>
      <c r="D79" s="8">
        <v>71</v>
      </c>
      <c r="E79" s="8">
        <v>68</v>
      </c>
      <c r="F79" t="e">
        <f t="shared" si="3"/>
        <v>#DIV/0!</v>
      </c>
      <c r="G79" t="e">
        <f t="shared" si="2"/>
        <v>#DIV/0!</v>
      </c>
      <c r="H79" t="e">
        <f t="shared" si="2"/>
        <v>#DIV/0!</v>
      </c>
      <c r="I79" t="e">
        <f t="shared" si="2"/>
        <v>#DIV/0!</v>
      </c>
      <c r="J79" t="e">
        <f t="shared" si="2"/>
        <v>#DIV/0!</v>
      </c>
      <c r="K79" t="e">
        <f t="shared" si="2"/>
        <v>#DIV/0!</v>
      </c>
      <c r="L79" t="e">
        <f t="shared" si="2"/>
        <v>#DIV/0!</v>
      </c>
      <c r="M79" t="e">
        <f t="shared" si="2"/>
        <v>#DIV/0!</v>
      </c>
      <c r="N79" t="e">
        <f t="shared" si="2"/>
        <v>#DIV/0!</v>
      </c>
      <c r="O79" s="82"/>
      <c r="P79" s="242"/>
      <c r="Q79" s="254"/>
      <c r="R79" s="82"/>
      <c r="S79">
        <f>$C$79</f>
        <v>73</v>
      </c>
      <c r="T79">
        <f>$D$79</f>
        <v>71</v>
      </c>
      <c r="U79">
        <f>$E$79</f>
        <v>68</v>
      </c>
      <c r="V79" t="e">
        <f>$F$79</f>
        <v>#DIV/0!</v>
      </c>
      <c r="W79" t="e">
        <f>$G$79</f>
        <v>#DIV/0!</v>
      </c>
      <c r="X79" t="e">
        <f>$H$79</f>
        <v>#DIV/0!</v>
      </c>
      <c r="Y79" t="e">
        <f>$I$79</f>
        <v>#DIV/0!</v>
      </c>
      <c r="Z79" t="e">
        <f>$J$79</f>
        <v>#DIV/0!</v>
      </c>
      <c r="AA79" t="e">
        <f>$K$79</f>
        <v>#DIV/0!</v>
      </c>
      <c r="AB79" t="e">
        <f>$L$79</f>
        <v>#DIV/0!</v>
      </c>
      <c r="AC79" t="e">
        <f>$M$79</f>
        <v>#DIV/0!</v>
      </c>
      <c r="AD79" t="e">
        <f>$N$79</f>
        <v>#DIV/0!</v>
      </c>
      <c r="AE79" s="95"/>
      <c r="AF79" s="95"/>
      <c r="AG79" s="95"/>
      <c r="AH79" s="95"/>
    </row>
    <row r="80" spans="1:34">
      <c r="A80" s="69" t="s">
        <v>144</v>
      </c>
      <c r="B80" t="s">
        <v>153</v>
      </c>
      <c r="C80" s="8">
        <v>72</v>
      </c>
      <c r="D80" s="8">
        <v>66</v>
      </c>
      <c r="E80" s="8">
        <v>69</v>
      </c>
      <c r="F80" t="e">
        <f t="shared" si="3"/>
        <v>#DIV/0!</v>
      </c>
      <c r="G80" t="e">
        <f t="shared" si="2"/>
        <v>#DIV/0!</v>
      </c>
      <c r="H80" t="e">
        <f t="shared" si="2"/>
        <v>#DIV/0!</v>
      </c>
      <c r="I80" t="e">
        <f t="shared" si="2"/>
        <v>#DIV/0!</v>
      </c>
      <c r="J80" t="e">
        <f t="shared" si="2"/>
        <v>#DIV/0!</v>
      </c>
      <c r="K80" t="e">
        <f t="shared" si="2"/>
        <v>#DIV/0!</v>
      </c>
      <c r="L80" t="e">
        <f t="shared" si="2"/>
        <v>#DIV/0!</v>
      </c>
      <c r="M80" t="e">
        <f t="shared" si="2"/>
        <v>#DIV/0!</v>
      </c>
      <c r="N80" t="e">
        <f t="shared" si="2"/>
        <v>#DIV/0!</v>
      </c>
      <c r="O80" s="82"/>
      <c r="P80" s="96"/>
      <c r="Q80" s="96"/>
      <c r="R80" s="82"/>
      <c r="S80">
        <f>$C$80</f>
        <v>72</v>
      </c>
      <c r="T80">
        <f>$D$80</f>
        <v>66</v>
      </c>
      <c r="U80">
        <f>$E$80</f>
        <v>69</v>
      </c>
      <c r="V80" t="e">
        <f>$F$80</f>
        <v>#DIV/0!</v>
      </c>
      <c r="W80" t="e">
        <f>$G$80</f>
        <v>#DIV/0!</v>
      </c>
      <c r="X80" t="e">
        <f>$H$80</f>
        <v>#DIV/0!</v>
      </c>
      <c r="Y80" t="e">
        <f>$I$80</f>
        <v>#DIV/0!</v>
      </c>
      <c r="Z80" t="e">
        <f>$J$80</f>
        <v>#DIV/0!</v>
      </c>
      <c r="AA80" t="e">
        <f>$K$80</f>
        <v>#DIV/0!</v>
      </c>
      <c r="AB80" t="e">
        <f>$L$80</f>
        <v>#DIV/0!</v>
      </c>
      <c r="AC80" t="e">
        <f>$M$80</f>
        <v>#DIV/0!</v>
      </c>
      <c r="AD80" t="e">
        <f>$N$80</f>
        <v>#DIV/0!</v>
      </c>
      <c r="AE80" s="95"/>
      <c r="AF80" s="95"/>
      <c r="AG80" s="95"/>
      <c r="AH80" s="95"/>
    </row>
    <row r="81" spans="1:34">
      <c r="A81" s="68" t="s">
        <v>192</v>
      </c>
      <c r="B81" s="71" t="s">
        <v>158</v>
      </c>
      <c r="C81" s="8">
        <v>71</v>
      </c>
      <c r="D81" s="8">
        <v>64</v>
      </c>
      <c r="E81" s="8">
        <v>79</v>
      </c>
      <c r="F81" t="e">
        <f t="shared" si="3"/>
        <v>#DIV/0!</v>
      </c>
      <c r="G81" t="e">
        <f t="shared" si="2"/>
        <v>#DIV/0!</v>
      </c>
      <c r="H81" t="e">
        <f t="shared" si="2"/>
        <v>#DIV/0!</v>
      </c>
      <c r="I81" t="e">
        <f t="shared" si="2"/>
        <v>#DIV/0!</v>
      </c>
      <c r="J81" t="e">
        <f t="shared" si="2"/>
        <v>#DIV/0!</v>
      </c>
      <c r="K81" t="e">
        <f t="shared" si="2"/>
        <v>#DIV/0!</v>
      </c>
      <c r="L81" t="e">
        <f t="shared" si="2"/>
        <v>#DIV/0!</v>
      </c>
      <c r="M81" t="e">
        <f t="shared" si="2"/>
        <v>#DIV/0!</v>
      </c>
      <c r="N81" t="e">
        <f t="shared" si="2"/>
        <v>#DIV/0!</v>
      </c>
      <c r="O81" s="82"/>
      <c r="P81" s="82"/>
      <c r="Q81" s="82"/>
      <c r="R81" s="82"/>
      <c r="S81">
        <f>$C$81</f>
        <v>71</v>
      </c>
      <c r="T81">
        <f>$D$81</f>
        <v>64</v>
      </c>
      <c r="U81">
        <f>$E$81</f>
        <v>79</v>
      </c>
      <c r="V81" t="e">
        <f>$F$81</f>
        <v>#DIV/0!</v>
      </c>
      <c r="W81" t="e">
        <f>$G$81</f>
        <v>#DIV/0!</v>
      </c>
      <c r="X81" t="e">
        <f>$H$81</f>
        <v>#DIV/0!</v>
      </c>
      <c r="Y81" t="e">
        <f>$I$81</f>
        <v>#DIV/0!</v>
      </c>
      <c r="Z81" t="e">
        <f>$J$81</f>
        <v>#DIV/0!</v>
      </c>
      <c r="AA81" t="e">
        <f>$K$81</f>
        <v>#DIV/0!</v>
      </c>
      <c r="AB81" t="e">
        <f>$L$81</f>
        <v>#DIV/0!</v>
      </c>
      <c r="AC81" t="e">
        <f>$M$81</f>
        <v>#DIV/0!</v>
      </c>
      <c r="AD81" t="e">
        <f>$N$81</f>
        <v>#DIV/0!</v>
      </c>
      <c r="AE81" s="95"/>
      <c r="AF81" s="95"/>
      <c r="AG81" s="95"/>
      <c r="AH81" s="95"/>
    </row>
    <row r="82" spans="1:34">
      <c r="C82" s="82"/>
      <c r="D82" s="82"/>
      <c r="E82" s="82"/>
      <c r="F82" s="82"/>
      <c r="G82" s="82"/>
      <c r="H82" s="82"/>
      <c r="I82" s="82"/>
      <c r="J82" s="82"/>
      <c r="K82" s="82"/>
      <c r="L82" s="82"/>
      <c r="M82" s="82"/>
      <c r="N82" s="82"/>
      <c r="O82" s="82"/>
      <c r="P82" s="82"/>
      <c r="Q82" s="82"/>
      <c r="R82" s="82"/>
      <c r="AE82" s="96"/>
      <c r="AF82" s="96"/>
      <c r="AG82" s="96"/>
      <c r="AH82" s="96"/>
    </row>
    <row r="83" spans="1:34">
      <c r="A83" s="69" t="s">
        <v>209</v>
      </c>
      <c r="C83" s="8">
        <v>64</v>
      </c>
      <c r="D83" s="8">
        <v>66</v>
      </c>
      <c r="E83" s="8">
        <v>66</v>
      </c>
      <c r="F83" s="8" t="e">
        <f>1/0</f>
        <v>#DIV/0!</v>
      </c>
      <c r="G83" s="8" t="e">
        <f t="shared" ref="G83:N83" si="4">1/0</f>
        <v>#DIV/0!</v>
      </c>
      <c r="H83" s="8" t="e">
        <f t="shared" si="4"/>
        <v>#DIV/0!</v>
      </c>
      <c r="I83" s="8" t="e">
        <f t="shared" si="4"/>
        <v>#DIV/0!</v>
      </c>
      <c r="J83" s="8" t="e">
        <f t="shared" si="4"/>
        <v>#DIV/0!</v>
      </c>
      <c r="K83" s="8" t="e">
        <f t="shared" si="4"/>
        <v>#DIV/0!</v>
      </c>
      <c r="L83" s="8" t="e">
        <f t="shared" si="4"/>
        <v>#DIV/0!</v>
      </c>
      <c r="M83" s="8" t="e">
        <f t="shared" si="4"/>
        <v>#DIV/0!</v>
      </c>
      <c r="N83" s="8" t="e">
        <f t="shared" si="4"/>
        <v>#DIV/0!</v>
      </c>
      <c r="O83" s="82"/>
      <c r="P83" s="82"/>
      <c r="Q83" s="82"/>
      <c r="R83" s="82"/>
      <c r="S83">
        <f>$C$83</f>
        <v>64</v>
      </c>
      <c r="T83">
        <f>$D$83</f>
        <v>66</v>
      </c>
      <c r="U83">
        <f>$E$83</f>
        <v>66</v>
      </c>
      <c r="V83" t="e">
        <f>$F$83</f>
        <v>#DIV/0!</v>
      </c>
      <c r="W83" t="e">
        <f>$G$83</f>
        <v>#DIV/0!</v>
      </c>
      <c r="X83" t="e">
        <f>$H$83</f>
        <v>#DIV/0!</v>
      </c>
      <c r="Y83" t="e">
        <f>$I$83</f>
        <v>#DIV/0!</v>
      </c>
      <c r="Z83" t="e">
        <f>$J$83</f>
        <v>#DIV/0!</v>
      </c>
      <c r="AA83" t="e">
        <f>$K$83</f>
        <v>#DIV/0!</v>
      </c>
      <c r="AB83" t="e">
        <f>$L$83</f>
        <v>#DIV/0!</v>
      </c>
      <c r="AC83" t="e">
        <f>$M$83</f>
        <v>#DIV/0!</v>
      </c>
      <c r="AD83" t="e">
        <f>$N$83</f>
        <v>#DIV/0!</v>
      </c>
      <c r="AE83" s="95"/>
      <c r="AF83" s="95"/>
      <c r="AG83" s="95"/>
      <c r="AH83" s="95"/>
    </row>
    <row r="84" spans="1:34" ht="15.75">
      <c r="C84" s="154"/>
      <c r="D84" s="154"/>
      <c r="E84" s="154"/>
      <c r="F84" s="154"/>
      <c r="G84" s="154"/>
      <c r="H84" s="154"/>
      <c r="I84" s="8"/>
      <c r="J84" s="82"/>
      <c r="K84" s="82"/>
      <c r="L84" s="82"/>
      <c r="M84" s="82"/>
      <c r="N84" s="82"/>
      <c r="O84" s="82"/>
      <c r="P84" s="8"/>
      <c r="Q84" s="8"/>
      <c r="R84" s="8"/>
      <c r="AE84" s="9"/>
      <c r="AF84" s="9"/>
      <c r="AG84" s="9"/>
      <c r="AH84" s="9"/>
    </row>
    <row r="85" spans="1:34">
      <c r="C85" s="8"/>
      <c r="D85" s="8"/>
      <c r="E85" s="8"/>
      <c r="F85" s="152"/>
      <c r="G85" s="8"/>
      <c r="H85" s="8"/>
      <c r="I85" s="8"/>
      <c r="J85" s="82"/>
      <c r="K85" s="82"/>
      <c r="L85" s="82"/>
      <c r="M85" s="82"/>
      <c r="N85" s="82"/>
      <c r="O85" s="82"/>
      <c r="P85" s="8"/>
      <c r="Q85" s="8"/>
      <c r="R85" s="8"/>
      <c r="AE85" s="9"/>
      <c r="AF85" s="9"/>
      <c r="AG85" s="9"/>
      <c r="AH85" s="9"/>
    </row>
    <row r="86" spans="1:34">
      <c r="C86" s="8"/>
      <c r="D86" s="8"/>
      <c r="E86" s="8"/>
      <c r="F86" s="82"/>
      <c r="G86" s="8"/>
      <c r="H86" s="8"/>
      <c r="I86" s="8"/>
      <c r="J86" s="82"/>
      <c r="K86" s="82"/>
      <c r="L86" s="82"/>
      <c r="M86" s="82"/>
      <c r="N86" s="82"/>
      <c r="O86" s="82"/>
      <c r="P86" s="8"/>
      <c r="Q86" s="8"/>
      <c r="R86" s="8"/>
      <c r="AE86" s="9"/>
      <c r="AF86" s="9"/>
      <c r="AG86" s="9"/>
      <c r="AH86" s="9"/>
    </row>
    <row r="87" spans="1:34">
      <c r="C87" s="8"/>
      <c r="D87" s="8"/>
      <c r="E87" s="8"/>
      <c r="F87" s="82"/>
      <c r="G87" s="8"/>
      <c r="H87" s="8"/>
      <c r="I87" s="8"/>
      <c r="J87" s="82"/>
      <c r="K87" s="82"/>
      <c r="L87" s="82"/>
      <c r="M87" s="82"/>
      <c r="N87" s="82"/>
      <c r="O87" s="82"/>
      <c r="P87" s="8"/>
      <c r="Q87" s="8"/>
      <c r="R87" s="8"/>
      <c r="S87" s="8"/>
      <c r="T87" s="8"/>
      <c r="U87" s="8"/>
      <c r="V87" s="8"/>
      <c r="AE87" s="9"/>
      <c r="AF87" s="9"/>
      <c r="AG87" s="9"/>
      <c r="AH87" s="9"/>
    </row>
    <row r="88" spans="1:34">
      <c r="C88" s="8"/>
      <c r="D88" s="8"/>
      <c r="E88" s="8"/>
      <c r="F88" s="82"/>
      <c r="G88" s="8"/>
      <c r="H88" s="8"/>
      <c r="I88" s="8"/>
      <c r="J88" s="82"/>
      <c r="K88" s="82"/>
      <c r="L88" s="82"/>
      <c r="M88" s="82"/>
      <c r="N88" s="82"/>
      <c r="O88" s="82"/>
      <c r="P88" s="82"/>
      <c r="Q88" s="82"/>
      <c r="R88" s="82"/>
      <c r="S88" s="82"/>
      <c r="T88" s="8"/>
      <c r="U88" s="8"/>
      <c r="V88" s="8"/>
      <c r="AE88" s="9"/>
      <c r="AF88" s="9"/>
      <c r="AG88" s="9"/>
      <c r="AH88" s="9"/>
    </row>
    <row r="89" spans="1:34">
      <c r="C89" s="8"/>
      <c r="D89" s="8"/>
      <c r="E89" s="8"/>
      <c r="F89" s="82"/>
      <c r="G89" s="8"/>
      <c r="H89" s="8"/>
      <c r="I89" s="8"/>
      <c r="J89" s="82"/>
      <c r="K89" s="82"/>
      <c r="L89" s="82"/>
      <c r="M89" s="82"/>
      <c r="N89" s="82"/>
      <c r="O89" s="82"/>
      <c r="P89" s="82"/>
      <c r="Q89" s="82"/>
      <c r="R89" s="82"/>
      <c r="S89" s="82"/>
      <c r="T89" s="8"/>
      <c r="U89" s="8"/>
      <c r="V89" s="8"/>
      <c r="AE89" s="9"/>
      <c r="AF89" s="9"/>
      <c r="AG89" s="9"/>
      <c r="AH89" s="9"/>
    </row>
    <row r="90" spans="1:34">
      <c r="C90" s="8"/>
      <c r="D90" s="8"/>
      <c r="E90" s="8"/>
      <c r="F90" s="82"/>
      <c r="G90" s="8"/>
      <c r="H90" s="8"/>
      <c r="I90" s="8"/>
      <c r="J90" s="82"/>
      <c r="K90" s="82"/>
      <c r="L90" s="82"/>
      <c r="M90" s="82"/>
      <c r="N90" s="82"/>
      <c r="O90" s="82"/>
      <c r="P90" s="82"/>
      <c r="Q90" s="82"/>
      <c r="R90" s="82"/>
      <c r="S90" s="82"/>
      <c r="T90" s="8"/>
      <c r="U90" s="8"/>
      <c r="V90" s="8"/>
      <c r="AE90" s="9"/>
      <c r="AF90" s="9"/>
      <c r="AG90" s="9"/>
      <c r="AH90" s="9"/>
    </row>
    <row r="91" spans="1:34">
      <c r="C91" s="8"/>
      <c r="D91" s="8"/>
      <c r="E91" s="8"/>
      <c r="F91" s="82"/>
      <c r="G91" s="8"/>
      <c r="H91" s="8"/>
      <c r="I91" s="8"/>
      <c r="J91" s="8"/>
      <c r="K91" s="8"/>
      <c r="L91" s="8"/>
      <c r="M91" s="8"/>
      <c r="N91" s="8"/>
      <c r="O91" s="8"/>
      <c r="P91" s="8"/>
      <c r="Q91" s="8"/>
      <c r="R91" s="8"/>
      <c r="S91" s="8"/>
      <c r="T91" s="8"/>
      <c r="U91" s="8"/>
      <c r="V91" s="8"/>
      <c r="AE91" s="9"/>
      <c r="AF91" s="9"/>
      <c r="AG91" s="9"/>
      <c r="AH91" s="9"/>
    </row>
    <row r="92" spans="1:34">
      <c r="C92" s="8"/>
      <c r="D92" s="8"/>
      <c r="E92" s="8"/>
      <c r="F92" s="8"/>
      <c r="G92" s="8"/>
      <c r="H92" s="8"/>
      <c r="I92" s="8"/>
      <c r="J92" s="8"/>
      <c r="K92" s="8"/>
      <c r="L92" s="8"/>
      <c r="M92" s="8"/>
      <c r="N92" s="8"/>
      <c r="O92" s="8"/>
      <c r="P92" s="8"/>
      <c r="Q92" s="8"/>
      <c r="R92" s="8"/>
      <c r="S92" s="8"/>
      <c r="T92" s="8"/>
      <c r="U92" s="8"/>
      <c r="V92" s="8"/>
    </row>
    <row r="93" spans="1:34">
      <c r="C93" s="8"/>
      <c r="D93" s="8"/>
      <c r="E93" s="8"/>
      <c r="F93" s="8"/>
      <c r="G93" s="8"/>
      <c r="H93" s="8"/>
      <c r="I93" s="8"/>
      <c r="J93" s="8"/>
      <c r="K93" s="8"/>
      <c r="L93" s="8"/>
      <c r="M93" s="8"/>
      <c r="N93" s="8"/>
      <c r="O93" s="8"/>
      <c r="P93" s="8"/>
      <c r="Q93" s="8"/>
      <c r="R93" s="8"/>
      <c r="S93" s="8"/>
      <c r="T93" s="8"/>
      <c r="U93" s="8"/>
      <c r="V93" s="8"/>
    </row>
    <row r="94" spans="1:34">
      <c r="C94" s="8"/>
      <c r="D94" s="8"/>
      <c r="E94" s="8"/>
      <c r="F94" s="8"/>
      <c r="G94" s="8"/>
      <c r="H94" s="8"/>
      <c r="I94" s="8"/>
      <c r="J94" s="8"/>
      <c r="N94" s="8"/>
      <c r="O94" s="8"/>
      <c r="P94" s="8"/>
      <c r="Q94" s="8"/>
      <c r="R94" s="8"/>
      <c r="S94" s="8"/>
      <c r="T94" s="8"/>
      <c r="U94" s="8"/>
      <c r="V94" s="8"/>
    </row>
    <row r="95" spans="1:34">
      <c r="C95" s="8"/>
      <c r="D95" s="8"/>
      <c r="E95" s="8"/>
      <c r="F95" s="8"/>
      <c r="G95" s="8"/>
      <c r="H95" s="8"/>
      <c r="I95" s="8"/>
      <c r="J95" s="8"/>
      <c r="N95" s="8"/>
      <c r="O95" s="8"/>
      <c r="P95" s="8"/>
      <c r="Q95" s="8"/>
      <c r="R95" s="8"/>
      <c r="S95" s="8"/>
      <c r="T95" s="8"/>
      <c r="U95" s="8"/>
      <c r="V95" s="8"/>
    </row>
    <row r="96" spans="1:34">
      <c r="C96" s="8"/>
      <c r="D96" s="8"/>
      <c r="E96" s="8"/>
      <c r="F96" s="8"/>
      <c r="G96" s="8"/>
      <c r="H96" s="8"/>
      <c r="I96" s="8"/>
      <c r="J96" s="8"/>
    </row>
    <row r="97" spans="3:10">
      <c r="C97" s="8"/>
      <c r="D97" s="8"/>
      <c r="E97" s="8"/>
      <c r="F97" s="8"/>
      <c r="G97" s="8"/>
      <c r="H97" s="8"/>
      <c r="I97" s="8"/>
      <c r="J97" s="8"/>
    </row>
    <row r="98" spans="3:10">
      <c r="C98" s="8"/>
      <c r="D98" s="8"/>
      <c r="E98" s="8"/>
      <c r="F98" s="8"/>
      <c r="G98" s="8"/>
      <c r="H98" s="8"/>
      <c r="I98" s="8"/>
      <c r="J98" s="8"/>
    </row>
  </sheetData>
  <mergeCells count="13">
    <mergeCell ref="S31:AD31"/>
    <mergeCell ref="A31:B31"/>
    <mergeCell ref="P32:Q32"/>
    <mergeCell ref="P57:Q57"/>
    <mergeCell ref="B8:L8"/>
    <mergeCell ref="B9:L9"/>
    <mergeCell ref="K2:M2"/>
    <mergeCell ref="P31:Q31"/>
    <mergeCell ref="P56:Q56"/>
    <mergeCell ref="A3:H3"/>
    <mergeCell ref="B5:L5"/>
    <mergeCell ref="B6:L6"/>
    <mergeCell ref="B7:L7"/>
  </mergeCells>
  <conditionalFormatting sqref="C24:H29">
    <cfRule type="expression" dxfId="75" priority="4">
      <formula>ISERROR(C24)</formula>
    </cfRule>
  </conditionalFormatting>
  <conditionalFormatting sqref="C12:AZ23">
    <cfRule type="expression" dxfId="74" priority="3">
      <formula>ISERROR(C12)</formula>
    </cfRule>
  </conditionalFormatting>
  <conditionalFormatting sqref="C33:N83">
    <cfRule type="expression" dxfId="73" priority="2">
      <formula>ISERROR(C33)</formula>
    </cfRule>
  </conditionalFormatting>
  <conditionalFormatting sqref="V33:AD83">
    <cfRule type="expression" dxfId="72" priority="1">
      <formula>ISERROR(V33)</formula>
    </cfRule>
  </conditionalFormatting>
  <hyperlinks>
    <hyperlink ref="K2" location="'Information och Innehåll'!A1" display="Tillbaka till Information och Innehåll"/>
    <hyperlink ref="P34" location="V1.1.1!A1" display="V1.1.1"/>
    <hyperlink ref="P35" location="V1.1.2!A1" display="V1.1.2"/>
    <hyperlink ref="P36" location="V1.1.3!A1" display="V1.1.3"/>
    <hyperlink ref="P37" location="V2.1.1!A1" display="V2.1.1"/>
    <hyperlink ref="P38" location="V2.1.2!A1" display="V2.1.2"/>
    <hyperlink ref="P40" location="V3.1.2!A1" display="V3.1.2"/>
    <hyperlink ref="P39" location="V3.1.1!A1" display="V3.1.1"/>
    <hyperlink ref="P41" location="V3.1.3!A1" display="V3.1.3"/>
    <hyperlink ref="P43" location="V4.1.1!A1" display="V4.1.1"/>
    <hyperlink ref="P44" location="V4.2.1!A1" display="V4.2.1"/>
    <hyperlink ref="P45" location="V4.2.2!A1" display="V4.2.2"/>
    <hyperlink ref="P46" location="V4.2.3!A1" display="V4.2.3"/>
    <hyperlink ref="P47" location="V4.2.4!A1" display="V4.2.4"/>
    <hyperlink ref="P48" location="V5.1.1!A1" display="V5.1.1"/>
    <hyperlink ref="P49" location="V5.1.2!A1" display="V5.1.2"/>
    <hyperlink ref="Q34" location="B1.1.1!A1" display="B1.1.1"/>
    <hyperlink ref="Q35" location="B1.1.2!A1" display="B1.1.2"/>
    <hyperlink ref="Q36" location="B1.2.1!A1" display="B1.2.1"/>
    <hyperlink ref="Q37" location="B1.2.2!A1" display="B1.2.2"/>
    <hyperlink ref="Q38" location="B1.2.3!A1" display="B1.2.3"/>
    <hyperlink ref="Q39" location="B2.1.1!A1" display="B2.1.1"/>
    <hyperlink ref="Q41" location="B2.2.1!A1" display="B2.2.1"/>
    <hyperlink ref="Q42" location="B2.2.2!A1" display="B2.2.2"/>
    <hyperlink ref="Q43" location="B2.2.3!A1" display="B2.2.3"/>
    <hyperlink ref="Q44" location="B2.2.4!A1" display="B2.2.4"/>
    <hyperlink ref="Q45" location="B3.1.1!A1" display="B3.1.1"/>
    <hyperlink ref="Q46" location="B3.1.2!A1" display="B3.1.2"/>
    <hyperlink ref="Q49" location="B4.1.1!A1" display="B4.1.1"/>
    <hyperlink ref="Q50" location="B5.1.1!A1" display="B5.1.1"/>
    <hyperlink ref="Q51" location="B5.1.2!A1" display="B5.1.2"/>
    <hyperlink ref="Q52" location="B5.1.3!A1" display="B5.1.3"/>
    <hyperlink ref="Q47" location="B3.1.3!A1" display="B3.1.3"/>
    <hyperlink ref="Q40" location="B2.1.2!A1" display="B2.1.2"/>
    <hyperlink ref="P50" location="V5.1.3!A1" display="V5.1.3"/>
    <hyperlink ref="Q48" location="B3.2.1!A1" display="B3.2.1"/>
    <hyperlink ref="P42" location="B3.2.1!A1" display="V3.2.1"/>
    <hyperlink ref="P59" location="'V1.1.1 DATA'!A1" display="V1.1.1"/>
    <hyperlink ref="P60" location="'V1.1.2 DATA'!A1" display="V1.1.2"/>
    <hyperlink ref="P61" location="'V1.1.3 Data'!A1" display="V1.1.3"/>
    <hyperlink ref="P62" location="'V2.1.1 DATA'!A1" display="V2.1.1"/>
    <hyperlink ref="P63" location="'V2.1.2 DATA'!A1" display="V2.1.2"/>
    <hyperlink ref="P65" location="'V3.1.2 DATA'!A1" display="V3.1.2"/>
    <hyperlink ref="P64" location="'V3.1.1 DATA'!A1" display="V3.1.1"/>
    <hyperlink ref="P66" location="'V3.1.3 DATA'!A1" display="V3.1.3"/>
    <hyperlink ref="P67" location="'V3.2.1 DATA'!A1" display="V3.2.1"/>
    <hyperlink ref="P68" location="'V4.1.1 DATA'!A1" display="V4.1.1"/>
    <hyperlink ref="P69" location="'V4.2.1 DATA'!A1" display="V4.2.1"/>
    <hyperlink ref="P71" location="'V4.2.3 DATA'!A1" display="V4.2.3"/>
    <hyperlink ref="P72" location="'V4.2.4 DATA'!A1" display="V4.2.4"/>
    <hyperlink ref="P73" location="'V5.1.1 DATA'!A1" display="V5.1.1"/>
    <hyperlink ref="P74" location="'V5.1.2 DATA'!A1" display="V5.1.2"/>
    <hyperlink ref="Q59" location="'B1.1.1 DATA'!A1" display="B1.1.1"/>
    <hyperlink ref="Q60" location="'B1.1.2 DATA'!A1" display="B1.1.2"/>
    <hyperlink ref="Q61" location="'B1.2.1 DATA'!A1" display="B1.2.1"/>
    <hyperlink ref="Q62" location="'B1.2.2 DATA'!A1" display="B1.2.2"/>
    <hyperlink ref="Q63" location="'B1.2.3 DATA'!A1" display="B1.2.3"/>
    <hyperlink ref="Q64" location="'B2.1.1 DATA'!A1" display="B2.1.1"/>
    <hyperlink ref="Q66" location="'B2.2.1 DATA'!A1" display="B2.2.1"/>
    <hyperlink ref="Q67" location="'B2.2.2 DATA'!A1" display="B2.2.2"/>
    <hyperlink ref="Q68" location="'B2.2.3 DATA'!A1" display="B2.2.3"/>
    <hyperlink ref="Q69" location="'B2.2.4 DATA'!A1" display="B2.2.4"/>
    <hyperlink ref="Q70" location="'B3.1.1 DATA'!A1" display="B3.1.1"/>
    <hyperlink ref="Q71" location="'B3.1.2 DATA'!A1" display="B3.1.2"/>
    <hyperlink ref="Q73" location="'B3.2.1 DATA'!A1" display="B3.2.1"/>
    <hyperlink ref="Q74" location="'B4.1.1 DATA'!A1" display="B4.1.1"/>
    <hyperlink ref="Q75" location="'B5.1.1 DATA'!A1" display="B5.1.1"/>
    <hyperlink ref="Q76" location="'B5.1.2 DATA'!A1" display="B5.1.2"/>
    <hyperlink ref="Q77" location="'B5.1.3 DATA'!A1" display="B5.1.3"/>
    <hyperlink ref="Q65" location="'B2.1.2 DATA'!A1" display="B2.1.2"/>
    <hyperlink ref="P75" location="'V5.1.3 DATA'!A1" display="V5.1.3"/>
    <hyperlink ref="Q72" location="'B3.1.3 DATA'!A1" display="B3.1.3"/>
    <hyperlink ref="P70" location="'V4.2.2 DATA'!A1" display="V4.2.2"/>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18366"/>
  </sheetPr>
  <dimension ref="A2:AA57"/>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406</v>
      </c>
      <c r="C3" s="338"/>
      <c r="D3" s="338"/>
      <c r="E3" s="338"/>
      <c r="F3" s="338"/>
      <c r="G3" s="338"/>
      <c r="H3" s="338"/>
      <c r="I3" s="338"/>
      <c r="J3" s="338"/>
      <c r="K3" s="338"/>
      <c r="L3" s="338"/>
      <c r="M3" s="338"/>
      <c r="N3" s="338"/>
      <c r="O3" s="338"/>
      <c r="P3" s="338"/>
      <c r="Q3" s="338"/>
      <c r="R3" s="338"/>
      <c r="S3" s="338"/>
      <c r="T3" s="338"/>
    </row>
    <row r="4" spans="1:20" ht="30.75">
      <c r="B4" s="366" t="s">
        <v>502</v>
      </c>
      <c r="C4" s="366"/>
      <c r="D4" s="366"/>
      <c r="E4" s="366"/>
      <c r="F4" s="366"/>
      <c r="G4" s="366"/>
      <c r="H4" s="366"/>
      <c r="I4" s="366"/>
      <c r="J4" s="366"/>
      <c r="K4" s="366"/>
      <c r="L4" s="366"/>
      <c r="M4" s="366"/>
      <c r="N4" s="366"/>
      <c r="O4" s="366"/>
      <c r="P4" s="366"/>
      <c r="Q4" s="366"/>
      <c r="R4" s="366"/>
      <c r="S4" s="366"/>
      <c r="T4" s="366"/>
    </row>
    <row r="5" spans="1:20" ht="18">
      <c r="B5" s="340" t="s">
        <v>8</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31"/>
      <c r="O10" s="31"/>
      <c r="P10" s="31"/>
      <c r="Q10" s="31"/>
      <c r="R10" s="31"/>
      <c r="S10" s="31"/>
      <c r="T10" s="31"/>
    </row>
    <row r="11" spans="1:20">
      <c r="B11" s="336" t="s">
        <v>40</v>
      </c>
      <c r="C11" s="336"/>
      <c r="D11" s="336"/>
      <c r="E11" s="336"/>
      <c r="F11" s="336"/>
      <c r="G11" s="336"/>
      <c r="H11" s="336"/>
      <c r="I11" s="336"/>
      <c r="J11" s="336"/>
      <c r="K11" s="336"/>
      <c r="L11" s="336"/>
      <c r="N11" s="111" t="s">
        <v>211</v>
      </c>
      <c r="O11" s="111" t="s">
        <v>286</v>
      </c>
    </row>
    <row r="12" spans="1:20">
      <c r="B12" s="1"/>
      <c r="C12" s="337" t="s">
        <v>574</v>
      </c>
      <c r="D12" s="337"/>
      <c r="E12" s="337"/>
      <c r="F12" s="337"/>
      <c r="G12" s="337"/>
      <c r="H12" s="337"/>
      <c r="I12" s="337"/>
      <c r="J12" s="337"/>
      <c r="K12" s="337"/>
      <c r="L12" s="337"/>
      <c r="N12" s="111" t="s">
        <v>287</v>
      </c>
      <c r="O12" s="111" t="s">
        <v>244</v>
      </c>
    </row>
    <row r="13" spans="1:20">
      <c r="B13" s="32"/>
      <c r="C13" s="332" t="s">
        <v>575</v>
      </c>
      <c r="D13" s="332"/>
      <c r="E13" s="332"/>
      <c r="F13" s="332"/>
      <c r="G13" s="332"/>
      <c r="H13" s="332"/>
      <c r="I13" s="332"/>
      <c r="J13" s="332"/>
      <c r="K13" s="332"/>
      <c r="L13" s="332"/>
      <c r="N13" s="112">
        <v>2010</v>
      </c>
      <c r="O13" s="111">
        <v>0.24</v>
      </c>
    </row>
    <row r="14" spans="1:20">
      <c r="B14" s="32"/>
      <c r="C14" s="333" t="s">
        <v>292</v>
      </c>
      <c r="D14" s="333"/>
      <c r="E14" s="333"/>
      <c r="F14" s="333"/>
      <c r="G14" s="333"/>
      <c r="H14" s="333"/>
      <c r="I14" s="333"/>
      <c r="J14" s="333"/>
      <c r="K14" s="333"/>
      <c r="L14" s="333"/>
      <c r="N14" s="112">
        <v>2011</v>
      </c>
      <c r="O14" s="111">
        <v>0.23100000000000001</v>
      </c>
    </row>
    <row r="15" spans="1:20">
      <c r="B15" s="32"/>
      <c r="C15" s="333" t="s">
        <v>573</v>
      </c>
      <c r="D15" s="333"/>
      <c r="E15" s="333"/>
      <c r="F15" s="333"/>
      <c r="G15" s="333"/>
      <c r="H15" s="333"/>
      <c r="I15" s="333"/>
      <c r="J15" s="333"/>
      <c r="K15" s="333"/>
      <c r="L15" s="333"/>
      <c r="N15" s="112">
        <v>2012</v>
      </c>
      <c r="O15" s="111">
        <v>0.249</v>
      </c>
    </row>
    <row r="16" spans="1:20">
      <c r="A16" s="3"/>
      <c r="B16" s="32"/>
      <c r="C16" s="47"/>
      <c r="D16" s="47"/>
      <c r="E16" s="47"/>
      <c r="F16" s="47"/>
      <c r="G16" s="47"/>
      <c r="H16" s="47"/>
      <c r="I16" s="47"/>
      <c r="J16" s="47"/>
      <c r="K16" s="47"/>
      <c r="L16" s="32"/>
      <c r="N16" s="112">
        <v>2013</v>
      </c>
      <c r="O16" s="111">
        <v>0.25600000000000001</v>
      </c>
    </row>
    <row r="17" spans="1:26">
      <c r="A17" s="3"/>
      <c r="B17" s="336" t="s">
        <v>41</v>
      </c>
      <c r="C17" s="336"/>
      <c r="D17" s="336"/>
      <c r="E17" s="336"/>
      <c r="F17" s="336"/>
      <c r="G17" s="336"/>
      <c r="H17" s="336"/>
      <c r="I17" s="336"/>
      <c r="J17" s="336"/>
      <c r="K17" s="336"/>
      <c r="L17" s="336"/>
      <c r="N17" s="112">
        <v>2014</v>
      </c>
      <c r="O17" s="111">
        <v>0.253</v>
      </c>
    </row>
    <row r="18" spans="1:26">
      <c r="A18" s="3"/>
      <c r="B18" s="1"/>
      <c r="C18" s="333" t="s">
        <v>295</v>
      </c>
      <c r="D18" s="333"/>
      <c r="E18" s="333"/>
      <c r="F18" s="333"/>
      <c r="G18" s="333"/>
      <c r="H18" s="333"/>
      <c r="I18" s="333"/>
      <c r="J18" s="333"/>
      <c r="K18" s="333"/>
      <c r="L18" s="333"/>
      <c r="N18" s="112">
        <v>2015</v>
      </c>
      <c r="O18" s="111">
        <v>0.26300000000000001</v>
      </c>
    </row>
    <row r="19" spans="1:26">
      <c r="A19" s="3"/>
      <c r="B19" s="32"/>
      <c r="C19" s="333" t="s">
        <v>318</v>
      </c>
      <c r="D19" s="333"/>
      <c r="E19" s="333"/>
      <c r="F19" s="333"/>
      <c r="G19" s="333"/>
      <c r="H19" s="333"/>
      <c r="I19" s="333"/>
      <c r="J19" s="333"/>
      <c r="K19" s="333"/>
      <c r="L19" s="333"/>
      <c r="N19" s="112">
        <v>2016</v>
      </c>
      <c r="O19" s="111"/>
    </row>
    <row r="20" spans="1:26">
      <c r="A20" s="3"/>
      <c r="B20" s="32"/>
      <c r="C20" s="333" t="s">
        <v>369</v>
      </c>
      <c r="D20" s="333"/>
      <c r="E20" s="333"/>
      <c r="F20" s="333"/>
      <c r="G20" s="333"/>
      <c r="H20" s="333"/>
      <c r="I20" s="333"/>
      <c r="J20" s="333"/>
      <c r="K20" s="333"/>
      <c r="L20" s="333"/>
      <c r="N20" s="112">
        <v>2017</v>
      </c>
      <c r="O20" s="111"/>
    </row>
    <row r="21" spans="1:26">
      <c r="A21" s="3"/>
      <c r="B21" s="32"/>
      <c r="C21" s="58" t="str">
        <f>"--&gt;"</f>
        <v>--&gt;</v>
      </c>
      <c r="D21" s="334" t="s">
        <v>284</v>
      </c>
      <c r="E21" s="334"/>
      <c r="F21" s="334"/>
      <c r="G21" s="334"/>
      <c r="H21" s="334"/>
      <c r="I21" s="334"/>
      <c r="J21" s="334"/>
      <c r="K21" s="334"/>
      <c r="L21" s="334"/>
      <c r="N21" s="112">
        <v>2018</v>
      </c>
      <c r="O21" s="111"/>
    </row>
    <row r="22" spans="1:26">
      <c r="A22" s="3"/>
      <c r="B22" s="32"/>
      <c r="C22" s="32"/>
      <c r="D22" s="334"/>
      <c r="E22" s="334"/>
      <c r="F22" s="334"/>
      <c r="G22" s="334"/>
      <c r="H22" s="334"/>
      <c r="I22" s="334"/>
      <c r="J22" s="334"/>
      <c r="K22" s="334"/>
      <c r="L22" s="334"/>
      <c r="N22" s="112">
        <v>2019</v>
      </c>
      <c r="O22" s="111"/>
    </row>
    <row r="23" spans="1:26">
      <c r="A23" s="3"/>
      <c r="B23" s="32"/>
      <c r="C23" s="333" t="s">
        <v>356</v>
      </c>
      <c r="D23" s="333"/>
      <c r="E23" s="333"/>
      <c r="F23" s="333"/>
      <c r="G23" s="333"/>
      <c r="H23" s="333"/>
      <c r="I23" s="333"/>
      <c r="J23" s="333"/>
      <c r="K23" s="333"/>
      <c r="L23" s="333"/>
      <c r="N23" s="112">
        <v>2020</v>
      </c>
      <c r="O23" s="111"/>
    </row>
    <row r="24" spans="1:26">
      <c r="A24" s="3"/>
      <c r="B24" s="32"/>
      <c r="C24" s="333"/>
      <c r="D24" s="333"/>
      <c r="E24" s="333"/>
      <c r="F24" s="333"/>
      <c r="G24" s="333"/>
      <c r="H24" s="333"/>
      <c r="I24" s="333"/>
      <c r="J24" s="333"/>
      <c r="K24" s="333"/>
      <c r="L24" s="333"/>
      <c r="N24" s="112">
        <v>2021</v>
      </c>
      <c r="O24" s="111"/>
      <c r="S24" s="11"/>
      <c r="T24" s="11"/>
    </row>
    <row r="25" spans="1:26">
      <c r="A25" s="3"/>
      <c r="B25" s="32"/>
      <c r="C25" s="333"/>
      <c r="D25" s="333"/>
      <c r="E25" s="333"/>
      <c r="F25" s="333"/>
      <c r="G25" s="333"/>
      <c r="H25" s="333"/>
      <c r="I25" s="333"/>
      <c r="J25" s="333"/>
      <c r="K25" s="333"/>
      <c r="L25" s="333"/>
      <c r="N25" s="112">
        <v>2022</v>
      </c>
      <c r="O25" s="111"/>
      <c r="Q25" s="2"/>
      <c r="S25" s="11"/>
      <c r="T25" s="11"/>
    </row>
    <row r="26" spans="1:26">
      <c r="A26" s="3"/>
      <c r="B26" s="32"/>
      <c r="C26" s="335" t="s">
        <v>320</v>
      </c>
      <c r="D26" s="335"/>
      <c r="E26" s="335"/>
      <c r="F26" s="335"/>
      <c r="G26" s="335"/>
      <c r="H26" s="335"/>
      <c r="I26" s="335"/>
      <c r="J26" s="335"/>
      <c r="K26" s="335"/>
      <c r="L26" s="335"/>
      <c r="N26" s="112">
        <v>2023</v>
      </c>
      <c r="O26" s="111"/>
      <c r="Q26" s="2"/>
      <c r="S26" s="11"/>
      <c r="T26" s="11"/>
    </row>
    <row r="27" spans="1:26">
      <c r="B27" s="47"/>
      <c r="C27" s="335"/>
      <c r="D27" s="335"/>
      <c r="E27" s="335"/>
      <c r="F27" s="335"/>
      <c r="G27" s="335"/>
      <c r="H27" s="335"/>
      <c r="I27" s="335"/>
      <c r="J27" s="335"/>
      <c r="K27" s="335"/>
      <c r="L27" s="335"/>
      <c r="N27" s="112">
        <v>2024</v>
      </c>
      <c r="O27" s="111"/>
      <c r="Q27" s="2"/>
      <c r="S27" s="11"/>
      <c r="T27" s="11"/>
    </row>
    <row r="28" spans="1:26">
      <c r="B28" s="83"/>
      <c r="C28" s="351"/>
      <c r="D28" s="351"/>
      <c r="E28" s="351"/>
      <c r="F28" s="351"/>
      <c r="G28" s="351"/>
      <c r="H28" s="351"/>
      <c r="I28" s="351"/>
      <c r="J28" s="351"/>
      <c r="K28" s="351"/>
      <c r="L28" s="351"/>
      <c r="N28" s="112">
        <v>2025</v>
      </c>
      <c r="O28" s="111"/>
      <c r="Q28" s="2"/>
      <c r="S28" s="11"/>
      <c r="T28" s="11"/>
    </row>
    <row r="29" spans="1:26">
      <c r="B29" s="54"/>
      <c r="C29" s="351"/>
      <c r="D29" s="351"/>
      <c r="E29" s="351"/>
      <c r="F29" s="351"/>
      <c r="G29" s="351"/>
      <c r="H29" s="351"/>
      <c r="I29" s="351"/>
      <c r="J29" s="351"/>
      <c r="K29" s="351"/>
      <c r="L29" s="351"/>
      <c r="S29" s="11"/>
      <c r="T29" s="11"/>
    </row>
    <row r="30" spans="1:26">
      <c r="B30" s="54"/>
      <c r="C30" s="77"/>
      <c r="D30" s="77"/>
      <c r="E30" s="77"/>
      <c r="F30" s="77"/>
      <c r="G30" s="77"/>
      <c r="H30" s="77"/>
      <c r="I30" s="77"/>
      <c r="J30" s="77"/>
      <c r="K30" s="77"/>
      <c r="L30" s="77"/>
      <c r="M30" s="9"/>
      <c r="N30" s="31"/>
      <c r="O30" s="34"/>
      <c r="P30" s="35"/>
      <c r="Q30" s="35"/>
      <c r="R30" s="35"/>
      <c r="S30" s="35"/>
      <c r="T30" s="31"/>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6">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6">
      <c r="B34" s="1"/>
      <c r="C34" s="1"/>
      <c r="D34" s="1"/>
      <c r="E34" s="1"/>
      <c r="F34" s="1"/>
      <c r="G34" s="1"/>
      <c r="H34" s="1"/>
      <c r="I34" s="1"/>
      <c r="J34" s="1"/>
      <c r="K34" s="1"/>
      <c r="L34" s="1"/>
      <c r="M34" s="1"/>
      <c r="N34" s="1"/>
      <c r="O34" s="1"/>
      <c r="P34" s="1"/>
      <c r="Q34" s="1"/>
      <c r="R34" s="1"/>
      <c r="S34" s="1"/>
      <c r="T34" s="1"/>
      <c r="V34" s="56" t="s">
        <v>61</v>
      </c>
      <c r="W34" s="56" t="s">
        <v>62</v>
      </c>
      <c r="X34" s="11"/>
      <c r="Y34" s="56" t="s">
        <v>61</v>
      </c>
      <c r="Z34" s="56" t="s">
        <v>62</v>
      </c>
    </row>
    <row r="35" spans="1:26">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6">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6">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6">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6">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6">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6">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6">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6">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6">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6">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6">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row>
    <row r="47" spans="1:26">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row>
    <row r="48" spans="1:26">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row>
    <row r="49" spans="2:27">
      <c r="B49" s="1"/>
      <c r="C49" s="1"/>
      <c r="D49" s="1"/>
      <c r="E49" s="1"/>
      <c r="F49" s="1"/>
      <c r="G49" s="1"/>
      <c r="H49" s="1"/>
      <c r="I49" s="1"/>
      <c r="J49" s="1"/>
      <c r="K49" s="1"/>
      <c r="L49" s="1"/>
      <c r="M49" s="1"/>
      <c r="N49" s="1"/>
      <c r="O49" s="1"/>
      <c r="P49" s="1"/>
      <c r="Q49" s="1"/>
      <c r="R49" s="1"/>
      <c r="S49" s="1"/>
      <c r="T49" s="1"/>
      <c r="V49" s="244" t="s">
        <v>445</v>
      </c>
      <c r="W49" s="244" t="s">
        <v>462</v>
      </c>
      <c r="X49" s="9"/>
      <c r="Y49" s="244" t="s">
        <v>445</v>
      </c>
      <c r="Z49" s="244" t="s">
        <v>462</v>
      </c>
      <c r="AA49" s="9"/>
    </row>
    <row r="50" spans="2:27">
      <c r="B50" s="1"/>
      <c r="C50" s="1"/>
      <c r="D50" s="1"/>
      <c r="E50" s="1"/>
      <c r="F50" s="1"/>
      <c r="G50" s="1"/>
      <c r="H50" s="1"/>
      <c r="I50" s="1"/>
      <c r="J50" s="1"/>
      <c r="K50" s="1"/>
      <c r="L50" s="1"/>
      <c r="M50" s="1"/>
      <c r="N50" s="1"/>
      <c r="O50" s="1"/>
      <c r="P50" s="1"/>
      <c r="Q50" s="1"/>
      <c r="R50" s="1"/>
      <c r="S50" s="1"/>
      <c r="T50" s="1"/>
      <c r="V50" s="246" t="s">
        <v>446</v>
      </c>
      <c r="W50" s="244" t="s">
        <v>463</v>
      </c>
      <c r="X50" s="9"/>
      <c r="Y50" s="246" t="s">
        <v>446</v>
      </c>
      <c r="Z50" s="244" t="s">
        <v>463</v>
      </c>
      <c r="AA50" s="9"/>
    </row>
    <row r="51" spans="2:27">
      <c r="B51" s="1"/>
      <c r="C51" s="1"/>
      <c r="D51" s="1"/>
      <c r="E51" s="1"/>
      <c r="F51" s="1"/>
      <c r="G51" s="1"/>
      <c r="H51" s="1"/>
      <c r="I51" s="1"/>
      <c r="J51" s="1"/>
      <c r="K51" s="1"/>
      <c r="L51" s="1"/>
      <c r="M51" s="1"/>
      <c r="N51" s="1"/>
      <c r="O51" s="1"/>
      <c r="P51" s="1"/>
      <c r="Q51" s="1"/>
      <c r="R51" s="1"/>
      <c r="S51" s="1"/>
      <c r="T51" s="1"/>
      <c r="V51" s="247" t="s">
        <v>447</v>
      </c>
      <c r="W51" s="244" t="s">
        <v>464</v>
      </c>
      <c r="X51" s="9"/>
      <c r="Y51" s="247" t="s">
        <v>447</v>
      </c>
      <c r="Z51" s="244" t="s">
        <v>464</v>
      </c>
      <c r="AA51" s="9"/>
    </row>
    <row r="52" spans="2:27">
      <c r="B52" s="1"/>
      <c r="C52" s="1"/>
      <c r="D52" s="1"/>
      <c r="E52" s="1"/>
      <c r="F52" s="1"/>
      <c r="G52" s="1"/>
      <c r="H52" s="1"/>
      <c r="I52" s="1"/>
      <c r="J52" s="1"/>
      <c r="K52" s="1"/>
      <c r="L52" s="1"/>
      <c r="M52" s="1"/>
      <c r="N52" s="1"/>
      <c r="O52" s="1"/>
      <c r="P52" s="1"/>
      <c r="Q52" s="1"/>
      <c r="R52" s="1"/>
      <c r="S52" s="1"/>
      <c r="T52" s="1"/>
      <c r="V52" s="295"/>
      <c r="W52" s="244" t="s">
        <v>465</v>
      </c>
      <c r="X52" s="9"/>
      <c r="Y52" s="284"/>
      <c r="Z52" s="244" t="s">
        <v>465</v>
      </c>
      <c r="AA52" s="9"/>
    </row>
    <row r="53" spans="2:27">
      <c r="B53" s="1"/>
      <c r="C53" s="1"/>
      <c r="D53" s="1"/>
      <c r="E53" s="1"/>
      <c r="F53" s="1"/>
      <c r="G53" s="1"/>
      <c r="H53" s="1"/>
      <c r="I53" s="1"/>
      <c r="J53" s="1"/>
      <c r="K53" s="1"/>
      <c r="L53" s="1"/>
      <c r="M53" s="1"/>
      <c r="N53" s="1"/>
      <c r="O53" s="1"/>
      <c r="P53" s="1"/>
      <c r="Q53" s="1"/>
      <c r="R53" s="1"/>
      <c r="S53" s="1"/>
      <c r="T53" s="1"/>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row r="56" spans="2:27">
      <c r="V56" s="9"/>
      <c r="W56" s="9"/>
      <c r="X56" s="9"/>
      <c r="Y56" s="9"/>
      <c r="Z56" s="9"/>
      <c r="AA56" s="9"/>
    </row>
    <row r="57" spans="2:27">
      <c r="V57" s="9"/>
      <c r="W57" s="9"/>
      <c r="X57" s="9"/>
      <c r="Y57" s="9"/>
      <c r="Z57" s="9"/>
      <c r="AA57" s="9"/>
    </row>
  </sheetData>
  <mergeCells count="24">
    <mergeCell ref="B11:L11"/>
    <mergeCell ref="C12:L12"/>
    <mergeCell ref="C13:L13"/>
    <mergeCell ref="C14:L14"/>
    <mergeCell ref="B3:T3"/>
    <mergeCell ref="B4:T4"/>
    <mergeCell ref="B5:T5"/>
    <mergeCell ref="R7:T7"/>
    <mergeCell ref="B9:L9"/>
    <mergeCell ref="N9:T9"/>
    <mergeCell ref="Y32:Z32"/>
    <mergeCell ref="Y33:Z33"/>
    <mergeCell ref="V33:W33"/>
    <mergeCell ref="C15:L15"/>
    <mergeCell ref="B17:L17"/>
    <mergeCell ref="C18:L18"/>
    <mergeCell ref="C19:L19"/>
    <mergeCell ref="C20:L20"/>
    <mergeCell ref="D21:L22"/>
    <mergeCell ref="C26:L27"/>
    <mergeCell ref="C28:L29"/>
    <mergeCell ref="C23:L25"/>
    <mergeCell ref="B32:T32"/>
    <mergeCell ref="V32:W32"/>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B49073"/>
  </sheetPr>
  <dimension ref="A1:BM95"/>
  <sheetViews>
    <sheetView showGridLines="0" showRowColHeaders="0" zoomScale="70" zoomScaleNormal="70" workbookViewId="0"/>
  </sheetViews>
  <sheetFormatPr defaultRowHeight="14.25"/>
  <cols>
    <col min="1" max="1" width="15.796875" customWidth="1"/>
    <col min="2" max="2" width="26.796875" customWidth="1"/>
    <col min="3" max="52" width="12.796875" customWidth="1"/>
  </cols>
  <sheetData>
    <row r="1" spans="1:59" ht="15.75">
      <c r="A1" s="16" t="s">
        <v>243</v>
      </c>
      <c r="B1" s="84"/>
      <c r="C1" s="84"/>
      <c r="D1" s="84"/>
      <c r="E1" s="84"/>
      <c r="F1" s="84"/>
      <c r="G1" s="84"/>
    </row>
    <row r="2" spans="1:59" ht="15.75">
      <c r="A2" s="26" t="s">
        <v>34</v>
      </c>
      <c r="C2" s="27">
        <v>42977</v>
      </c>
      <c r="K2" s="342" t="s">
        <v>44</v>
      </c>
      <c r="L2" s="342"/>
      <c r="M2" s="342"/>
    </row>
    <row r="3" spans="1:59" ht="23.25">
      <c r="A3" s="354" t="s">
        <v>7</v>
      </c>
      <c r="B3" s="354"/>
      <c r="C3" s="354"/>
      <c r="D3" s="354"/>
      <c r="E3" s="354"/>
      <c r="F3" s="354"/>
      <c r="G3" s="354"/>
      <c r="H3" s="354"/>
      <c r="I3" s="198"/>
      <c r="J3" s="198"/>
      <c r="K3" s="198"/>
      <c r="L3" s="198"/>
      <c r="M3" s="198"/>
    </row>
    <row r="4" spans="1:59">
      <c r="A4" s="119"/>
      <c r="B4" s="119"/>
      <c r="C4" s="119"/>
      <c r="D4" s="119"/>
      <c r="E4" s="119"/>
      <c r="F4" s="119"/>
      <c r="G4" s="119"/>
      <c r="H4" s="119"/>
      <c r="I4" s="119"/>
      <c r="J4" s="119"/>
      <c r="K4" s="119"/>
      <c r="L4" s="119"/>
      <c r="M4" s="119"/>
    </row>
    <row r="5" spans="1:59">
      <c r="A5" s="119"/>
      <c r="B5" s="352" t="s">
        <v>374</v>
      </c>
      <c r="C5" s="352"/>
      <c r="D5" s="352"/>
      <c r="E5" s="352"/>
      <c r="F5" s="352"/>
      <c r="G5" s="352"/>
      <c r="H5" s="352"/>
      <c r="I5" s="352"/>
      <c r="J5" s="352"/>
      <c r="K5" s="352"/>
      <c r="L5" s="352"/>
      <c r="M5" s="119"/>
    </row>
    <row r="6" spans="1:59">
      <c r="A6" s="119"/>
      <c r="B6" s="352" t="s">
        <v>331</v>
      </c>
      <c r="C6" s="352"/>
      <c r="D6" s="352"/>
      <c r="E6" s="352"/>
      <c r="F6" s="352"/>
      <c r="G6" s="352"/>
      <c r="H6" s="352"/>
      <c r="I6" s="352"/>
      <c r="J6" s="352"/>
      <c r="K6" s="352"/>
      <c r="L6" s="352"/>
      <c r="M6" s="119"/>
    </row>
    <row r="7" spans="1:59">
      <c r="A7" s="119"/>
      <c r="B7" s="353" t="s">
        <v>576</v>
      </c>
      <c r="C7" s="353"/>
      <c r="D7" s="353"/>
      <c r="E7" s="353"/>
      <c r="F7" s="353"/>
      <c r="G7" s="353"/>
      <c r="H7" s="353"/>
      <c r="I7" s="353"/>
      <c r="J7" s="353"/>
      <c r="K7" s="353"/>
      <c r="L7" s="353"/>
      <c r="M7" s="119"/>
    </row>
    <row r="8" spans="1:59">
      <c r="A8" s="119"/>
      <c r="B8" s="353" t="s">
        <v>577</v>
      </c>
      <c r="C8" s="353"/>
      <c r="D8" s="353"/>
      <c r="E8" s="353"/>
      <c r="F8" s="353"/>
      <c r="G8" s="353"/>
      <c r="H8" s="353"/>
      <c r="I8" s="353"/>
      <c r="J8" s="353"/>
      <c r="K8" s="353"/>
      <c r="L8" s="353"/>
      <c r="M8" s="119"/>
    </row>
    <row r="9" spans="1:59">
      <c r="A9" s="119"/>
      <c r="B9" s="353"/>
      <c r="C9" s="353"/>
      <c r="D9" s="353"/>
      <c r="E9" s="353"/>
      <c r="F9" s="353"/>
      <c r="G9" s="353"/>
      <c r="H9" s="353"/>
      <c r="I9" s="353"/>
      <c r="J9" s="353"/>
      <c r="K9" s="353"/>
      <c r="L9" s="353"/>
      <c r="M9" s="119"/>
    </row>
    <row r="10" spans="1:59" ht="15.75">
      <c r="A10" s="26"/>
      <c r="C10" s="27"/>
    </row>
    <row r="11" spans="1:59">
      <c r="A11" s="133" t="s">
        <v>2</v>
      </c>
      <c r="B11" s="133" t="s">
        <v>203</v>
      </c>
      <c r="C11" s="141" t="s">
        <v>159</v>
      </c>
      <c r="D11" s="142" t="s">
        <v>194</v>
      </c>
      <c r="E11" s="142" t="s">
        <v>189</v>
      </c>
      <c r="F11" s="141" t="s">
        <v>184</v>
      </c>
      <c r="G11" s="141" t="s">
        <v>182</v>
      </c>
      <c r="H11" s="141" t="s">
        <v>141</v>
      </c>
      <c r="I11" s="141" t="s">
        <v>163</v>
      </c>
      <c r="J11" s="141" t="s">
        <v>164</v>
      </c>
      <c r="K11" s="141" t="s">
        <v>143</v>
      </c>
      <c r="L11" s="141" t="s">
        <v>165</v>
      </c>
      <c r="M11" s="141" t="s">
        <v>166</v>
      </c>
      <c r="N11" s="141" t="s">
        <v>154</v>
      </c>
      <c r="O11" s="141" t="s">
        <v>167</v>
      </c>
      <c r="P11" s="141" t="s">
        <v>181</v>
      </c>
      <c r="Q11" s="141" t="s">
        <v>168</v>
      </c>
      <c r="R11" s="141" t="s">
        <v>155</v>
      </c>
      <c r="S11" s="141" t="s">
        <v>169</v>
      </c>
      <c r="T11" s="141" t="s">
        <v>160</v>
      </c>
      <c r="U11" s="141" t="s">
        <v>179</v>
      </c>
      <c r="V11" s="141" t="s">
        <v>170</v>
      </c>
      <c r="W11" s="141" t="s">
        <v>152</v>
      </c>
      <c r="X11" s="141" t="s">
        <v>146</v>
      </c>
      <c r="Y11" s="141" t="s">
        <v>171</v>
      </c>
      <c r="Z11" s="141" t="s">
        <v>185</v>
      </c>
      <c r="AA11" s="141" t="s">
        <v>142</v>
      </c>
      <c r="AB11" s="141" t="s">
        <v>148</v>
      </c>
      <c r="AC11" s="141" t="s">
        <v>156</v>
      </c>
      <c r="AD11" s="141" t="s">
        <v>149</v>
      </c>
      <c r="AE11" s="141" t="s">
        <v>157</v>
      </c>
      <c r="AF11" s="141" t="s">
        <v>172</v>
      </c>
      <c r="AG11" s="141" t="s">
        <v>173</v>
      </c>
      <c r="AH11" s="141" t="s">
        <v>147</v>
      </c>
      <c r="AI11" s="142" t="s">
        <v>193</v>
      </c>
      <c r="AJ11" s="142" t="s">
        <v>190</v>
      </c>
      <c r="AK11" s="143" t="s">
        <v>187</v>
      </c>
      <c r="AL11" s="141" t="s">
        <v>145</v>
      </c>
      <c r="AM11" s="141" t="s">
        <v>174</v>
      </c>
      <c r="AN11" s="141" t="s">
        <v>175</v>
      </c>
      <c r="AO11" s="141" t="s">
        <v>161</v>
      </c>
      <c r="AP11" s="141" t="s">
        <v>186</v>
      </c>
      <c r="AQ11" s="142" t="s">
        <v>191</v>
      </c>
      <c r="AR11" s="141" t="s">
        <v>176</v>
      </c>
      <c r="AS11" s="141" t="s">
        <v>150</v>
      </c>
      <c r="AT11" s="141" t="s">
        <v>183</v>
      </c>
      <c r="AU11" s="141" t="s">
        <v>177</v>
      </c>
      <c r="AV11" s="141" t="s">
        <v>180</v>
      </c>
      <c r="AW11" s="141" t="s">
        <v>151</v>
      </c>
      <c r="AX11" s="141" t="s">
        <v>144</v>
      </c>
      <c r="AY11" s="144" t="s">
        <v>192</v>
      </c>
      <c r="AZ11" s="142" t="s">
        <v>209</v>
      </c>
      <c r="BA11" s="152"/>
      <c r="BB11" s="152"/>
      <c r="BC11" s="152"/>
      <c r="BD11" s="152"/>
      <c r="BE11" s="152"/>
      <c r="BF11" s="8"/>
      <c r="BG11" s="8"/>
    </row>
    <row r="12" spans="1:59">
      <c r="A12" s="2">
        <v>2010</v>
      </c>
      <c r="B12" t="s">
        <v>244</v>
      </c>
      <c r="C12" s="79">
        <f>0.01*$C$37</f>
        <v>0.32600000000000001</v>
      </c>
      <c r="D12" s="79">
        <f>0.01*$C$38</f>
        <v>0.19600000000000001</v>
      </c>
      <c r="E12" s="79">
        <f>0.01*$C$39</f>
        <v>0.311</v>
      </c>
      <c r="F12" s="79">
        <f>0.01*$C$40</f>
        <v>0.193</v>
      </c>
      <c r="G12" s="79">
        <f>0.01*$C$41</f>
        <v>0.26200000000000001</v>
      </c>
      <c r="H12" s="79">
        <f>0.01*$C$42</f>
        <v>0.436</v>
      </c>
      <c r="I12" s="79">
        <f>0.01*$C$43</f>
        <v>3.7000000000000005E-2</v>
      </c>
      <c r="J12" s="79">
        <f>0.01*$C$44</f>
        <v>0.26200000000000001</v>
      </c>
      <c r="K12" s="79">
        <f>0.01*$C$45</f>
        <v>0.33</v>
      </c>
      <c r="L12" s="79">
        <f>0.01*$C$46</f>
        <v>0.21300000000000002</v>
      </c>
      <c r="M12" s="79">
        <f>0.01*$C$47</f>
        <v>0.29100000000000004</v>
      </c>
      <c r="N12" s="79">
        <f>0.01*$C$48</f>
        <v>0.27500000000000002</v>
      </c>
      <c r="O12" s="79">
        <f>0.01*$C$49</f>
        <v>0.13200000000000001</v>
      </c>
      <c r="P12" s="79">
        <f>0.01*$C$50</f>
        <v>0.23100000000000001</v>
      </c>
      <c r="Q12" s="79">
        <f>0.01*$C$51</f>
        <v>0.158</v>
      </c>
      <c r="R12" s="79">
        <f>0.01*$C$52</f>
        <v>0.11699999999999999</v>
      </c>
      <c r="S12" s="79">
        <f>0.01*$C$53</f>
        <v>0.16</v>
      </c>
      <c r="T12" s="79">
        <f>0.01*$C$54</f>
        <v>0.19899999999999998</v>
      </c>
      <c r="U12" s="79">
        <f>0.01*$C$55</f>
        <v>0.22600000000000001</v>
      </c>
      <c r="V12" s="79">
        <f>0.01*$C$56</f>
        <v>0.23</v>
      </c>
      <c r="W12" s="79">
        <f>0.01*$C$57</f>
        <v>0.379</v>
      </c>
      <c r="X12" s="79">
        <f>0.01*$C$58</f>
        <v>0.19800000000000001</v>
      </c>
      <c r="Y12" s="79">
        <f>0.01*$C$59</f>
        <v>0.222</v>
      </c>
      <c r="Z12" s="79">
        <f>0.01*$C$60</f>
        <v>0.22100000000000003</v>
      </c>
      <c r="AA12" s="79">
        <f>0.01*$C$61</f>
        <v>0.34899999999999998</v>
      </c>
      <c r="AB12" s="79">
        <f>0.01*$C$62</f>
        <v>0.18100000000000002</v>
      </c>
      <c r="AC12" s="79">
        <f>0.01*$C$63</f>
        <v>0.18300000000000002</v>
      </c>
      <c r="AD12" s="79">
        <f>0.01*$C$64</f>
        <v>0.22</v>
      </c>
      <c r="AE12" s="79">
        <f>0.01*$C$65</f>
        <v>0.15</v>
      </c>
      <c r="AF12" s="79">
        <f>0.01*$C$66</f>
        <v>0.223</v>
      </c>
      <c r="AG12" s="79">
        <f>0.01*$C$67</f>
        <v>0.20500000000000002</v>
      </c>
      <c r="AH12" s="79">
        <f>0.01*$C$68</f>
        <v>8.199999999999999E-2</v>
      </c>
      <c r="AI12" s="79">
        <f>0.01*$C$69</f>
        <v>0.13400000000000001</v>
      </c>
      <c r="AJ12" s="79">
        <f>0.01*$C$70</f>
        <v>0.25700000000000001</v>
      </c>
      <c r="AK12" s="79">
        <f>0.01*$C$71</f>
        <v>0.255</v>
      </c>
      <c r="AL12" s="79">
        <f>0.01*$C$72</f>
        <v>0.28899999999999998</v>
      </c>
      <c r="AM12" s="79">
        <f>0.01*$C$73</f>
        <v>0.26200000000000001</v>
      </c>
      <c r="AN12" s="79">
        <f>0.01*$C$74</f>
        <v>0.28000000000000003</v>
      </c>
      <c r="AO12" s="79">
        <f>0.01*$C$75</f>
        <v>0.13699999999999998</v>
      </c>
      <c r="AP12" s="79">
        <f>0.01*$C$76</f>
        <v>0.28899999999999998</v>
      </c>
      <c r="AQ12" s="79">
        <f>0.01*$C$77</f>
        <v>0.33200000000000002</v>
      </c>
      <c r="AR12" s="79">
        <f>0.01*$C$78</f>
        <v>0.23500000000000001</v>
      </c>
      <c r="AS12" s="79">
        <f>0.01*$C$79</f>
        <v>0.20399999999999999</v>
      </c>
      <c r="AT12" s="79">
        <f>0.01*$C$80</f>
        <v>0.31900000000000001</v>
      </c>
      <c r="AU12" s="79">
        <f>0.01*$C$81</f>
        <v>0.215</v>
      </c>
      <c r="AV12" s="79">
        <f>0.01*$C$82</f>
        <v>0.26900000000000002</v>
      </c>
      <c r="AW12" s="79">
        <f>0.01*$C$83</f>
        <v>0.29899999999999999</v>
      </c>
      <c r="AX12" s="79">
        <f>0.01*$C$84</f>
        <v>0.30199999999999999</v>
      </c>
      <c r="AY12" s="79">
        <f>0.01*$C$85</f>
        <v>0.19700000000000001</v>
      </c>
      <c r="AZ12" s="79">
        <f>0.01*$C$87</f>
        <v>0.24</v>
      </c>
      <c r="BA12" s="82"/>
      <c r="BB12" s="82"/>
      <c r="BC12" s="82"/>
      <c r="BD12" s="82"/>
      <c r="BE12" s="153"/>
      <c r="BF12" s="8"/>
      <c r="BG12" s="8"/>
    </row>
    <row r="13" spans="1:59">
      <c r="A13">
        <v>2011</v>
      </c>
      <c r="B13" t="s">
        <v>244</v>
      </c>
      <c r="C13" s="79">
        <f>0.01*$D$37</f>
        <v>0.29399999999999998</v>
      </c>
      <c r="D13" s="79">
        <f>0.01*$D$38</f>
        <v>0.115</v>
      </c>
      <c r="E13" s="79">
        <f>0.01*$D$39</f>
        <v>0.379</v>
      </c>
      <c r="F13" s="79">
        <f>0.01*$D$40</f>
        <v>0.18300000000000002</v>
      </c>
      <c r="G13" s="79">
        <f>0.01*$D$41</f>
        <v>0.22</v>
      </c>
      <c r="H13" s="79">
        <f>0.01*$D$42</f>
        <v>0.105</v>
      </c>
      <c r="I13" s="79">
        <f>0.01*$D$43</f>
        <v>0.106</v>
      </c>
      <c r="J13" s="79">
        <f>0.01*$D$44</f>
        <v>0.25800000000000001</v>
      </c>
      <c r="K13" s="79">
        <f>0.01*$D$45</f>
        <v>0.4</v>
      </c>
      <c r="L13" s="79">
        <f>0.01*$D$46</f>
        <v>0.24199999999999999</v>
      </c>
      <c r="M13" s="79">
        <f>0.01*$D$47</f>
        <v>0.41700000000000004</v>
      </c>
      <c r="N13" s="79">
        <f>0.01*$D$48</f>
        <v>0.3</v>
      </c>
      <c r="O13" s="79">
        <f>0.01*$D$49</f>
        <v>0.17399999999999999</v>
      </c>
      <c r="P13" s="79">
        <f>0.01*$D$50</f>
        <v>0.16300000000000001</v>
      </c>
      <c r="Q13" s="79">
        <f>0.01*$D$51</f>
        <v>0.26100000000000001</v>
      </c>
      <c r="R13" s="79">
        <f>0.01*$D$52</f>
        <v>0.11</v>
      </c>
      <c r="S13" s="79">
        <f>0.01*$D$53</f>
        <v>8.6999999999999994E-2</v>
      </c>
      <c r="T13" s="79">
        <f>0.01*$D$54</f>
        <v>0.22800000000000001</v>
      </c>
      <c r="U13" s="79">
        <f>0.01*$D$55</f>
        <v>0.13300000000000001</v>
      </c>
      <c r="V13" s="79">
        <f>0.01*$D$56</f>
        <v>0.187</v>
      </c>
      <c r="W13" s="79">
        <f>0.01*$D$57</f>
        <v>0.34200000000000003</v>
      </c>
      <c r="X13" s="79">
        <f>0.01*$D$58</f>
        <v>0.18300000000000002</v>
      </c>
      <c r="Y13" s="79">
        <f>0.01*$D$59</f>
        <v>0.27</v>
      </c>
      <c r="Z13" s="79">
        <f>0.01*$D$60</f>
        <v>0.25600000000000001</v>
      </c>
      <c r="AA13" s="79">
        <f>0.01*$D$61</f>
        <v>0.43200000000000005</v>
      </c>
      <c r="AB13" s="79">
        <f>0.01*$D$62</f>
        <v>0.30199999999999999</v>
      </c>
      <c r="AC13" s="79">
        <f>0.01*$D$63</f>
        <v>0.17</v>
      </c>
      <c r="AD13" s="79">
        <f>0.01*$D$64</f>
        <v>0.159</v>
      </c>
      <c r="AE13" s="79">
        <f>0.01*$D$65</f>
        <v>0.13500000000000001</v>
      </c>
      <c r="AF13" s="79">
        <f>0.01*$D$66</f>
        <v>0.21199999999999999</v>
      </c>
      <c r="AG13" s="79">
        <f>0.01*$D$67</f>
        <v>0.222</v>
      </c>
      <c r="AH13" s="79">
        <f>0.01*$D$68</f>
        <v>0.02</v>
      </c>
      <c r="AI13" s="79">
        <f>0.01*$D$69</f>
        <v>0.13100000000000001</v>
      </c>
      <c r="AJ13" s="79">
        <f>0.01*$D$70</f>
        <v>0.2</v>
      </c>
      <c r="AK13" s="79">
        <f>0.01*$D$71</f>
        <v>0.127</v>
      </c>
      <c r="AL13" s="79">
        <f>0.01*$D$72</f>
        <v>0.26500000000000001</v>
      </c>
      <c r="AM13" s="79">
        <f>0.01*$D$73</f>
        <v>0.20300000000000001</v>
      </c>
      <c r="AN13" s="79">
        <f>0.01*$D$74</f>
        <v>0.27</v>
      </c>
      <c r="AO13" s="79">
        <f>0.01*$D$75</f>
        <v>0.14599999999999999</v>
      </c>
      <c r="AP13" s="79">
        <f>0.01*$D$76</f>
        <v>0.34299999999999997</v>
      </c>
      <c r="AQ13" s="79">
        <f>0.01*$D$77</f>
        <v>0.25600000000000001</v>
      </c>
      <c r="AR13" s="79">
        <f>0.01*$D$78</f>
        <v>0.20800000000000002</v>
      </c>
      <c r="AS13" s="79">
        <f>0.01*$D$79</f>
        <v>0.223</v>
      </c>
      <c r="AT13" s="79">
        <f>0.01*$D$80</f>
        <v>0.27100000000000002</v>
      </c>
      <c r="AU13" s="79">
        <f>0.01*$D$81</f>
        <v>0.21600000000000003</v>
      </c>
      <c r="AV13" s="79">
        <f>0.01*$D$82</f>
        <v>0.22399999999999998</v>
      </c>
      <c r="AW13" s="79">
        <f>0.01*$D$83</f>
        <v>0.26900000000000002</v>
      </c>
      <c r="AX13" s="79">
        <f>0.01*$D$84</f>
        <v>0.23199999999999998</v>
      </c>
      <c r="AY13" s="79">
        <f>0.01*$D$85</f>
        <v>0.122</v>
      </c>
      <c r="AZ13" s="79">
        <f>0.01*$D$87</f>
        <v>0.23100000000000001</v>
      </c>
      <c r="BA13" s="82"/>
      <c r="BB13" s="82"/>
      <c r="BC13" s="82"/>
      <c r="BD13" s="82"/>
      <c r="BE13" s="153"/>
      <c r="BF13" s="8"/>
      <c r="BG13" s="8"/>
    </row>
    <row r="14" spans="1:59">
      <c r="A14" s="2">
        <v>2012</v>
      </c>
      <c r="B14" t="s">
        <v>244</v>
      </c>
      <c r="C14" s="79">
        <f>0.01*$E$37</f>
        <v>0.28399999999999997</v>
      </c>
      <c r="D14" s="79">
        <f>0.01*$E$38</f>
        <v>0.18300000000000002</v>
      </c>
      <c r="E14" s="79">
        <f>0.01*$E$39</f>
        <v>0.33</v>
      </c>
      <c r="F14" s="79">
        <f>0.01*$E$40</f>
        <v>0.129</v>
      </c>
      <c r="G14" s="79">
        <f>0.01*$E$41</f>
        <v>0.222</v>
      </c>
      <c r="H14" s="79">
        <f>0.01*$E$42</f>
        <v>0.24399999999999999</v>
      </c>
      <c r="I14" s="79">
        <f>0.01*$E$43</f>
        <v>0.155</v>
      </c>
      <c r="J14" s="79">
        <f>0.01*$E$44</f>
        <v>0.255</v>
      </c>
      <c r="K14" s="79">
        <f>0.01*$E$45</f>
        <v>0.36100000000000004</v>
      </c>
      <c r="L14" s="79">
        <f>0.01*$E$46</f>
        <v>0.28399999999999997</v>
      </c>
      <c r="M14" s="79">
        <f>0.01*$E$47</f>
        <v>0.43100000000000005</v>
      </c>
      <c r="N14" s="79">
        <f>0.01*$E$48</f>
        <v>0.32</v>
      </c>
      <c r="O14" s="79">
        <f>0.01*$E$49</f>
        <v>0.25900000000000001</v>
      </c>
      <c r="P14" s="79">
        <f>0.01*$E$50</f>
        <v>0.23100000000000001</v>
      </c>
      <c r="Q14" s="79">
        <f>0.01*$E$51</f>
        <v>0.32</v>
      </c>
      <c r="R14" s="79">
        <f>0.01*$E$52</f>
        <v>0.14099999999999999</v>
      </c>
      <c r="S14" s="79">
        <f>0.01*$E$53</f>
        <v>0.10800000000000001</v>
      </c>
      <c r="T14" s="79">
        <f>0.01*$E$54</f>
        <v>0.23399999999999999</v>
      </c>
      <c r="U14" s="79">
        <f>0.01*$E$55</f>
        <v>0.17600000000000002</v>
      </c>
      <c r="V14" s="79">
        <f>0.01*$E$56</f>
        <v>0.21100000000000002</v>
      </c>
      <c r="W14" s="79">
        <f>0.01*$E$57</f>
        <v>0.35499999999999998</v>
      </c>
      <c r="X14" s="79">
        <f>0.01*$E$58</f>
        <v>0.20899999999999999</v>
      </c>
      <c r="Y14" s="79">
        <f>0.01*$E$59</f>
        <v>0.20399999999999999</v>
      </c>
      <c r="Z14" s="79">
        <f>0.01*$E$60</f>
        <v>0.25900000000000001</v>
      </c>
      <c r="AA14" s="79">
        <f>0.01*$E$61</f>
        <v>0.39700000000000002</v>
      </c>
      <c r="AB14" s="79">
        <f>0.01*$E$62</f>
        <v>0.33899999999999997</v>
      </c>
      <c r="AC14" s="79">
        <f>0.01*$E$63</f>
        <v>0.19500000000000001</v>
      </c>
      <c r="AD14" s="79">
        <f>0.01*$E$64</f>
        <v>0.215</v>
      </c>
      <c r="AE14" s="79">
        <f>0.01*$E$65</f>
        <v>0.187</v>
      </c>
      <c r="AF14" s="79">
        <f>0.01*$E$66</f>
        <v>0.19800000000000001</v>
      </c>
      <c r="AG14" s="79">
        <f>0.01*$E$67</f>
        <v>0.22800000000000001</v>
      </c>
      <c r="AH14" s="79">
        <f>0.01*$E$68</f>
        <v>0.17699999999999999</v>
      </c>
      <c r="AI14" s="79">
        <f>0.01*$E$69</f>
        <v>0.111</v>
      </c>
      <c r="AJ14" s="79">
        <f>0.01*$E$70</f>
        <v>0.17500000000000002</v>
      </c>
      <c r="AK14" s="79">
        <f>0.01*$E$71</f>
        <v>0.32700000000000001</v>
      </c>
      <c r="AL14" s="79">
        <f>0.01*$E$72</f>
        <v>0.22800000000000001</v>
      </c>
      <c r="AM14" s="79">
        <f>0.01*$E$73</f>
        <v>0.28199999999999997</v>
      </c>
      <c r="AN14" s="79">
        <f>0.01*$E$74</f>
        <v>0.29699999999999999</v>
      </c>
      <c r="AO14" s="79">
        <f>0.01*$E$75</f>
        <v>9.1999999999999998E-2</v>
      </c>
      <c r="AP14" s="79">
        <f>0.01*$E$76</f>
        <v>0.36200000000000004</v>
      </c>
      <c r="AQ14" s="79">
        <f>0.01*$E$77</f>
        <v>0.28500000000000003</v>
      </c>
      <c r="AR14" s="79">
        <f>0.01*$E$78</f>
        <v>0.24</v>
      </c>
      <c r="AS14" s="79">
        <f>0.01*$E$79</f>
        <v>0.23600000000000002</v>
      </c>
      <c r="AT14" s="79">
        <f>0.01*$E$80</f>
        <v>0.29699999999999999</v>
      </c>
      <c r="AU14" s="79">
        <f>0.01*$E$81</f>
        <v>0.20800000000000002</v>
      </c>
      <c r="AV14" s="79">
        <f>0.01*$E$82</f>
        <v>0.20199999999999999</v>
      </c>
      <c r="AW14" s="79">
        <f>0.01*$E$83</f>
        <v>0.245</v>
      </c>
      <c r="AX14" s="79">
        <f>0.01*$E$84</f>
        <v>0.30599999999999999</v>
      </c>
      <c r="AY14" s="79">
        <f>0.01*$E$85</f>
        <v>0.17300000000000001</v>
      </c>
      <c r="AZ14" s="79">
        <f>0.01*$E$87</f>
        <v>0.249</v>
      </c>
      <c r="BA14" s="82"/>
      <c r="BB14" s="82"/>
      <c r="BC14" s="82"/>
      <c r="BD14" s="82"/>
      <c r="BE14" s="153"/>
      <c r="BF14" s="8"/>
      <c r="BG14" s="8"/>
    </row>
    <row r="15" spans="1:59">
      <c r="A15">
        <v>2013</v>
      </c>
      <c r="B15" t="s">
        <v>244</v>
      </c>
      <c r="C15" s="79">
        <f>0.01*$F$37</f>
        <v>0.39200000000000002</v>
      </c>
      <c r="D15" s="79">
        <f>0.01*$F$38</f>
        <v>0.18600000000000003</v>
      </c>
      <c r="E15" s="79">
        <f>0.01*$F$39</f>
        <v>0.27200000000000002</v>
      </c>
      <c r="F15" s="79">
        <f>0.01*$F$40</f>
        <v>0.18</v>
      </c>
      <c r="G15" s="79">
        <f>0.01*$F$41</f>
        <v>0.25600000000000001</v>
      </c>
      <c r="H15" s="79">
        <f>0.01*$F$42</f>
        <v>0.26</v>
      </c>
      <c r="I15" s="79">
        <f>0.01*$F$43</f>
        <v>0.28600000000000003</v>
      </c>
      <c r="J15" s="79">
        <f>0.01*$F$44</f>
        <v>0.26400000000000001</v>
      </c>
      <c r="K15" s="79">
        <f>0.01*$F$45</f>
        <v>0.317</v>
      </c>
      <c r="L15" s="79">
        <f>0.01*$F$46</f>
        <v>0.22600000000000001</v>
      </c>
      <c r="M15" s="79">
        <f>0.01*$F$47</f>
        <v>0.375</v>
      </c>
      <c r="N15" s="79">
        <f>0.01*$F$48</f>
        <v>0.34600000000000003</v>
      </c>
      <c r="O15" s="79">
        <f>0.01*$F$49</f>
        <v>0.21199999999999999</v>
      </c>
      <c r="P15" s="79">
        <f>0.01*$F$50</f>
        <v>0.21199999999999999</v>
      </c>
      <c r="Q15" s="79">
        <f>0.01*$F$51</f>
        <v>0.14800000000000002</v>
      </c>
      <c r="R15" s="79">
        <f>0.01*$F$52</f>
        <v>0.12400000000000001</v>
      </c>
      <c r="S15" s="79">
        <f>0.01*$F$53</f>
        <v>8.199999999999999E-2</v>
      </c>
      <c r="T15" s="79">
        <f>0.01*$F$54</f>
        <v>0.20399999999999999</v>
      </c>
      <c r="U15" s="79">
        <f>0.01*$F$55</f>
        <v>0.158</v>
      </c>
      <c r="V15" s="79">
        <f>0.01*$F$56</f>
        <v>0.187</v>
      </c>
      <c r="W15" s="79">
        <f>0.01*$F$57</f>
        <v>0.29799999999999999</v>
      </c>
      <c r="X15" s="79">
        <f>0.01*$F$58</f>
        <v>0.185</v>
      </c>
      <c r="Y15" s="79">
        <f>0.01*$F$59</f>
        <v>0.218</v>
      </c>
      <c r="Z15" s="79">
        <f>0.01*$F$60</f>
        <v>0.27100000000000002</v>
      </c>
      <c r="AA15" s="79">
        <f>0.01*$F$61</f>
        <v>0.29699999999999999</v>
      </c>
      <c r="AB15" s="79">
        <f>0.01*$F$62</f>
        <v>0.27</v>
      </c>
      <c r="AC15" s="79">
        <f>0.01*$F$63</f>
        <v>0.18600000000000003</v>
      </c>
      <c r="AD15" s="79">
        <f>0.01*$F$64</f>
        <v>0.19600000000000001</v>
      </c>
      <c r="AE15" s="79">
        <f>0.01*$F$65</f>
        <v>0.192</v>
      </c>
      <c r="AF15" s="79">
        <f>0.01*$F$66</f>
        <v>0.17699999999999999</v>
      </c>
      <c r="AG15" s="79">
        <f>0.01*$F$67</f>
        <v>0.27200000000000002</v>
      </c>
      <c r="AH15" s="79">
        <f>0.01*$F$68</f>
        <v>0.11800000000000001</v>
      </c>
      <c r="AI15" s="79">
        <f>0.01*$F$69</f>
        <v>0.152</v>
      </c>
      <c r="AJ15" s="79">
        <f>0.01*$F$70</f>
        <v>0.23899999999999999</v>
      </c>
      <c r="AK15" s="79">
        <f>0.01*$F$71</f>
        <v>0.31900000000000001</v>
      </c>
      <c r="AL15" s="79">
        <f>0.01*$F$72</f>
        <v>0.19700000000000001</v>
      </c>
      <c r="AM15" s="79">
        <f>0.01*$F$73</f>
        <v>0.26300000000000001</v>
      </c>
      <c r="AN15" s="79">
        <f>0.01*$F$74</f>
        <v>0.28999999999999998</v>
      </c>
      <c r="AO15" s="79">
        <f>0.01*$F$75</f>
        <v>0.129</v>
      </c>
      <c r="AP15" s="79">
        <f>0.01*$F$76</f>
        <v>0.24300000000000002</v>
      </c>
      <c r="AQ15" s="79">
        <f>0.01*$F$77</f>
        <v>0.31</v>
      </c>
      <c r="AR15" s="79">
        <f>0.01*$F$78</f>
        <v>0.28399999999999997</v>
      </c>
      <c r="AS15" s="79">
        <f>0.01*$F$79</f>
        <v>0.20600000000000002</v>
      </c>
      <c r="AT15" s="79">
        <f>0.01*$F$80</f>
        <v>0.27800000000000002</v>
      </c>
      <c r="AU15" s="79">
        <f>0.01*$F$81</f>
        <v>0.23100000000000001</v>
      </c>
      <c r="AV15" s="79">
        <f>0.01*$F$82</f>
        <v>0.17800000000000002</v>
      </c>
      <c r="AW15" s="79">
        <f>0.01*$F$83</f>
        <v>0.308</v>
      </c>
      <c r="AX15" s="79">
        <f>0.01*$F$84</f>
        <v>0.28600000000000003</v>
      </c>
      <c r="AY15" s="79">
        <f>0.01*$F$85</f>
        <v>0.107</v>
      </c>
      <c r="AZ15" s="79">
        <f>0.01*$F$87</f>
        <v>0.25600000000000001</v>
      </c>
      <c r="BA15" s="82"/>
      <c r="BB15" s="153"/>
      <c r="BC15" s="82"/>
      <c r="BD15" s="82"/>
      <c r="BE15" s="153"/>
      <c r="BF15" s="8"/>
      <c r="BG15" s="8"/>
    </row>
    <row r="16" spans="1:59">
      <c r="A16" s="2">
        <v>2014</v>
      </c>
      <c r="B16" t="s">
        <v>244</v>
      </c>
      <c r="C16" s="79">
        <f>0.01*$G$37</f>
        <v>0.40700000000000003</v>
      </c>
      <c r="D16" s="79">
        <f>0.01*$G$38</f>
        <v>0.192</v>
      </c>
      <c r="E16" s="79">
        <f>0.01*$G$39</f>
        <v>0.29499999999999998</v>
      </c>
      <c r="F16" s="79">
        <f>0.01*$G$40</f>
        <v>0.26700000000000002</v>
      </c>
      <c r="G16" s="79">
        <f>0.01*$G$41</f>
        <v>0.22700000000000001</v>
      </c>
      <c r="H16" s="79">
        <f>0.01*$G$42</f>
        <v>0.27300000000000002</v>
      </c>
      <c r="I16" s="79">
        <f>0.01*$G$43</f>
        <v>0.14499999999999999</v>
      </c>
      <c r="J16" s="79">
        <f>0.01*$G$44</f>
        <v>0.33200000000000002</v>
      </c>
      <c r="K16" s="79">
        <f>0.01*$G$45</f>
        <v>0.314</v>
      </c>
      <c r="L16" s="79">
        <f>0.01*$G$46</f>
        <v>0.222</v>
      </c>
      <c r="M16" s="79">
        <f>0.01*$G$47</f>
        <v>0.35499999999999998</v>
      </c>
      <c r="N16" s="79">
        <f>0.01*$G$48</f>
        <v>0.312</v>
      </c>
      <c r="O16" s="79">
        <f>0.01*$G$49</f>
        <v>0.185</v>
      </c>
      <c r="P16" s="79">
        <f>0.01*$G$50</f>
        <v>0.23300000000000001</v>
      </c>
      <c r="Q16" s="79">
        <f>0.01*$G$51</f>
        <v>0.14899999999999999</v>
      </c>
      <c r="R16" s="79">
        <f>0.01*$G$52</f>
        <v>0.14099999999999999</v>
      </c>
      <c r="S16" s="79">
        <f>0.01*$G$53</f>
        <v>8.199999999999999E-2</v>
      </c>
      <c r="T16" s="79">
        <f>0.01*$G$54</f>
        <v>0.184</v>
      </c>
      <c r="U16" s="79">
        <f>0.01*$G$55</f>
        <v>0.16399999999999998</v>
      </c>
      <c r="V16" s="79">
        <f>0.01*$G$56</f>
        <v>0.154</v>
      </c>
      <c r="W16" s="79">
        <f>0.01*$G$57</f>
        <v>0.35899999999999999</v>
      </c>
      <c r="X16" s="79">
        <f>0.01*$G$58</f>
        <v>0.28899999999999998</v>
      </c>
      <c r="Y16" s="79">
        <f>0.01*$G$59</f>
        <v>0.26200000000000001</v>
      </c>
      <c r="Z16" s="79">
        <f>0.01*$G$60</f>
        <v>0.23</v>
      </c>
      <c r="AA16" s="79">
        <f>0.01*$G$61</f>
        <v>0.223</v>
      </c>
      <c r="AB16" s="79">
        <f>0.01*$G$62</f>
        <v>0.28000000000000003</v>
      </c>
      <c r="AC16" s="79">
        <f>0.01*$G$63</f>
        <v>0.21100000000000002</v>
      </c>
      <c r="AD16" s="79">
        <f>0.01*$G$64</f>
        <v>0.308</v>
      </c>
      <c r="AE16" s="79">
        <f>0.01*$G$65</f>
        <v>0.14699999999999999</v>
      </c>
      <c r="AF16" s="79">
        <f>0.01*$G$66</f>
        <v>0.19</v>
      </c>
      <c r="AG16" s="79">
        <f>0.01*$G$67</f>
        <v>0.22700000000000001</v>
      </c>
      <c r="AH16" s="79">
        <f>0.01*$G$68</f>
        <v>9.6000000000000002E-2</v>
      </c>
      <c r="AI16" s="79">
        <f>0.01*$G$69</f>
        <v>0.17100000000000001</v>
      </c>
      <c r="AJ16" s="79">
        <f>0.01*$G$70</f>
        <v>0.14300000000000002</v>
      </c>
      <c r="AK16" s="79">
        <f>0.01*$G$71</f>
        <v>0.34299999999999997</v>
      </c>
      <c r="AL16" s="79">
        <f>0.01*$G$72</f>
        <v>0.153</v>
      </c>
      <c r="AM16" s="79">
        <f>0.01*$G$73</f>
        <v>0.4</v>
      </c>
      <c r="AN16" s="79">
        <f>0.01*$G$74</f>
        <v>0.23699999999999999</v>
      </c>
      <c r="AO16" s="79">
        <f>0.01*$G$75</f>
        <v>0.11699999999999999</v>
      </c>
      <c r="AP16" s="79">
        <f>0.01*$G$76</f>
        <v>0.32</v>
      </c>
      <c r="AQ16" s="79">
        <f>0.01*$G$77</f>
        <v>0.3</v>
      </c>
      <c r="AR16" s="79">
        <f>0.01*$G$78</f>
        <v>0.28100000000000003</v>
      </c>
      <c r="AS16" s="79">
        <f>0.01*$G$79</f>
        <v>0.30199999999999999</v>
      </c>
      <c r="AT16" s="79">
        <f>0.01*$G$80</f>
        <v>0.312</v>
      </c>
      <c r="AU16" s="79">
        <f>0.01*$G$81</f>
        <v>0.23699999999999999</v>
      </c>
      <c r="AV16" s="79">
        <f>0.01*$G$82</f>
        <v>0.19500000000000001</v>
      </c>
      <c r="AW16" s="79">
        <f>0.01*$G$83</f>
        <v>0.29300000000000004</v>
      </c>
      <c r="AX16" s="79">
        <f>0.01*$G$84</f>
        <v>0.25900000000000001</v>
      </c>
      <c r="AY16" s="79">
        <f>0.01*$G$85</f>
        <v>0.185</v>
      </c>
      <c r="AZ16" s="79">
        <f>0.01*$G$87</f>
        <v>0.253</v>
      </c>
      <c r="BA16" s="82"/>
      <c r="BB16" s="153"/>
      <c r="BC16" s="82"/>
      <c r="BD16" s="82"/>
      <c r="BE16" s="153"/>
      <c r="BF16" s="8"/>
      <c r="BG16" s="8"/>
    </row>
    <row r="17" spans="1:59">
      <c r="A17">
        <v>2015</v>
      </c>
      <c r="B17" t="s">
        <v>244</v>
      </c>
      <c r="C17" s="79">
        <f>0.01*$H$37</f>
        <v>0.34700000000000003</v>
      </c>
      <c r="D17" s="79">
        <f>0.01*$H$38</f>
        <v>0.23500000000000001</v>
      </c>
      <c r="E17" s="79">
        <f>0.01*$H$39</f>
        <v>0.41200000000000003</v>
      </c>
      <c r="F17" s="79">
        <f>0.01*$H$40</f>
        <v>0.152</v>
      </c>
      <c r="G17" s="79">
        <f>0.01*$H$41</f>
        <v>0.245</v>
      </c>
      <c r="H17" s="79">
        <f>0.01*$H$42</f>
        <v>0.35399999999999998</v>
      </c>
      <c r="I17" s="79">
        <f>0.01*$H$43</f>
        <v>0.214</v>
      </c>
      <c r="J17" s="79">
        <f>0.01*$H$44</f>
        <v>0.32200000000000001</v>
      </c>
      <c r="K17" s="79">
        <f>0.01*$H$45</f>
        <v>0.53200000000000003</v>
      </c>
      <c r="L17" s="79">
        <f>0.01*$H$46</f>
        <v>0.19399999999999998</v>
      </c>
      <c r="M17" s="79">
        <f>0.01*$H$47</f>
        <v>0.217</v>
      </c>
      <c r="N17" s="79">
        <f>0.01*$H$48</f>
        <v>0.33400000000000002</v>
      </c>
      <c r="O17" s="79">
        <f>0.01*$H$49</f>
        <v>0.21300000000000002</v>
      </c>
      <c r="P17" s="79">
        <f>0.01*$H$50</f>
        <v>0.19800000000000001</v>
      </c>
      <c r="Q17" s="79">
        <f>0.01*$H$51</f>
        <v>0.19100000000000003</v>
      </c>
      <c r="R17" s="79">
        <f>0.01*$H$52</f>
        <v>0.13200000000000001</v>
      </c>
      <c r="S17" s="79">
        <f>0.01*$H$53</f>
        <v>5.2999999999999999E-2</v>
      </c>
      <c r="T17" s="79">
        <f>0.01*$H$54</f>
        <v>0.14199999999999999</v>
      </c>
      <c r="U17" s="79">
        <f>0.01*$H$55</f>
        <v>0.2</v>
      </c>
      <c r="V17" s="79">
        <f>0.01*$H$56</f>
        <v>0.25800000000000001</v>
      </c>
      <c r="W17" s="79">
        <f>0.01*$H$57</f>
        <v>0.29600000000000004</v>
      </c>
      <c r="X17" s="79">
        <f>0.01*$H$58</f>
        <v>0.25</v>
      </c>
      <c r="Y17" s="79">
        <f>0.01*$H$59</f>
        <v>0.218</v>
      </c>
      <c r="Z17" s="79">
        <f>0.01*$H$60</f>
        <v>0.27300000000000002</v>
      </c>
      <c r="AA17" s="79">
        <f>0.01*$H$61</f>
        <v>0.20699999999999999</v>
      </c>
      <c r="AB17" s="79">
        <f>0.01*$H$62</f>
        <v>0.252</v>
      </c>
      <c r="AC17" s="79">
        <f>0.01*$H$63</f>
        <v>0.22</v>
      </c>
      <c r="AD17" s="79">
        <f>0.01*$H$64</f>
        <v>0.24300000000000002</v>
      </c>
      <c r="AE17" s="79">
        <f>0.01*$H$65</f>
        <v>0.17199999999999999</v>
      </c>
      <c r="AF17" s="79">
        <f>0.01*$H$66</f>
        <v>0.23300000000000001</v>
      </c>
      <c r="AG17" s="79">
        <f>0.01*$H$67</f>
        <v>0.17</v>
      </c>
      <c r="AH17" s="79">
        <f>0.01*$H$68</f>
        <v>0.192</v>
      </c>
      <c r="AI17" s="79">
        <f>0.01*$H$69</f>
        <v>0.18100000000000002</v>
      </c>
      <c r="AJ17" s="79">
        <f>0.01*$H$70</f>
        <v>0.33</v>
      </c>
      <c r="AK17" s="79">
        <f>0.01*$H$71</f>
        <v>0.39</v>
      </c>
      <c r="AL17" s="79">
        <f>0.01*$H$72</f>
        <v>0.21300000000000002</v>
      </c>
      <c r="AM17" s="79">
        <f>0.01*$H$73</f>
        <v>0.35299999999999998</v>
      </c>
      <c r="AN17" s="79">
        <f>0.01*$H$74</f>
        <v>0.214</v>
      </c>
      <c r="AO17" s="79">
        <f>0.01*$H$75</f>
        <v>0.14300000000000002</v>
      </c>
      <c r="AP17" s="79">
        <f>0.01*$H$76</f>
        <v>0.32</v>
      </c>
      <c r="AQ17" s="79">
        <f>0.01*$H$77</f>
        <v>0.35399999999999998</v>
      </c>
      <c r="AR17" s="79">
        <f>0.01*$H$78</f>
        <v>0.26</v>
      </c>
      <c r="AS17" s="79">
        <f>0.01*$H$79</f>
        <v>0.27700000000000002</v>
      </c>
      <c r="AT17" s="79">
        <f>0.01*$H$80</f>
        <v>0.30599999999999999</v>
      </c>
      <c r="AU17" s="79">
        <f>0.01*$H$81</f>
        <v>0.20600000000000002</v>
      </c>
      <c r="AV17" s="79">
        <f>0.01*$H$82</f>
        <v>0.29499999999999998</v>
      </c>
      <c r="AW17" s="79">
        <f>0.01*$H$83</f>
        <v>0.27800000000000002</v>
      </c>
      <c r="AX17" s="79">
        <f>0.01*$H$84</f>
        <v>0.16899999999999998</v>
      </c>
      <c r="AY17" s="79">
        <f>0.01*$H$85</f>
        <v>0.16700000000000001</v>
      </c>
      <c r="AZ17" s="79">
        <f>0.01*$H$87</f>
        <v>0.26300000000000001</v>
      </c>
      <c r="BA17" s="153"/>
      <c r="BB17" s="153"/>
      <c r="BC17" s="82"/>
      <c r="BD17" s="82"/>
      <c r="BE17" s="153"/>
      <c r="BF17" s="8"/>
      <c r="BG17" s="8"/>
    </row>
    <row r="18" spans="1:59">
      <c r="A18" s="2">
        <v>2016</v>
      </c>
      <c r="B18" t="s">
        <v>244</v>
      </c>
      <c r="C18" s="79" t="e">
        <f>0.01*$I$37</f>
        <v>#DIV/0!</v>
      </c>
      <c r="D18" s="79" t="e">
        <f>0.01*$I$38</f>
        <v>#DIV/0!</v>
      </c>
      <c r="E18" s="79" t="e">
        <f>0.01*$I$39</f>
        <v>#DIV/0!</v>
      </c>
      <c r="F18" s="79" t="e">
        <f>0.01*$I$40</f>
        <v>#DIV/0!</v>
      </c>
      <c r="G18" s="79" t="e">
        <f>0.01*$I$41</f>
        <v>#DIV/0!</v>
      </c>
      <c r="H18" s="79" t="e">
        <f>0.01*$I$42</f>
        <v>#DIV/0!</v>
      </c>
      <c r="I18" s="79" t="e">
        <f>0.01*$I$43</f>
        <v>#DIV/0!</v>
      </c>
      <c r="J18" s="79" t="e">
        <f>0.01*$I$44</f>
        <v>#DIV/0!</v>
      </c>
      <c r="K18" s="79" t="e">
        <f>0.01*$I$45</f>
        <v>#DIV/0!</v>
      </c>
      <c r="L18" s="79" t="e">
        <f>0.01*$I$46</f>
        <v>#DIV/0!</v>
      </c>
      <c r="M18" s="79" t="e">
        <f>0.01*$I$47</f>
        <v>#DIV/0!</v>
      </c>
      <c r="N18" s="79" t="e">
        <f>0.01*$I$48</f>
        <v>#DIV/0!</v>
      </c>
      <c r="O18" s="79" t="e">
        <f>0.01*$I$49</f>
        <v>#DIV/0!</v>
      </c>
      <c r="P18" s="79" t="e">
        <f>0.01*$I$50</f>
        <v>#DIV/0!</v>
      </c>
      <c r="Q18" s="79" t="e">
        <f>0.01*$I$51</f>
        <v>#DIV/0!</v>
      </c>
      <c r="R18" s="79" t="e">
        <f>0.01*$I$52</f>
        <v>#DIV/0!</v>
      </c>
      <c r="S18" s="79" t="e">
        <f>0.01*$I$53</f>
        <v>#DIV/0!</v>
      </c>
      <c r="T18" s="79" t="e">
        <f>0.01*$I$54</f>
        <v>#DIV/0!</v>
      </c>
      <c r="U18" s="79" t="e">
        <f>0.01*$I$55</f>
        <v>#DIV/0!</v>
      </c>
      <c r="V18" s="79" t="e">
        <f>0.01*$I$56</f>
        <v>#DIV/0!</v>
      </c>
      <c r="W18" s="79" t="e">
        <f>0.01*$I$57</f>
        <v>#DIV/0!</v>
      </c>
      <c r="X18" s="79" t="e">
        <f>0.01*$I$58</f>
        <v>#DIV/0!</v>
      </c>
      <c r="Y18" s="79" t="e">
        <f>0.01*$I$59</f>
        <v>#DIV/0!</v>
      </c>
      <c r="Z18" s="79" t="e">
        <f>0.01*$I$60</f>
        <v>#DIV/0!</v>
      </c>
      <c r="AA18" s="79" t="e">
        <f>0.01*$I$61</f>
        <v>#DIV/0!</v>
      </c>
      <c r="AB18" s="79" t="e">
        <f>0.01*$I$62</f>
        <v>#DIV/0!</v>
      </c>
      <c r="AC18" s="79" t="e">
        <f>0.01*$I$63</f>
        <v>#DIV/0!</v>
      </c>
      <c r="AD18" s="79" t="e">
        <f>0.01*$I$64</f>
        <v>#DIV/0!</v>
      </c>
      <c r="AE18" s="79" t="e">
        <f>0.01*$I$65</f>
        <v>#DIV/0!</v>
      </c>
      <c r="AF18" s="79" t="e">
        <f>0.01*$I$66</f>
        <v>#DIV/0!</v>
      </c>
      <c r="AG18" s="79" t="e">
        <f>0.01*$I$67</f>
        <v>#DIV/0!</v>
      </c>
      <c r="AH18" s="79" t="e">
        <f>0.01*$I$68</f>
        <v>#DIV/0!</v>
      </c>
      <c r="AI18" s="79" t="e">
        <f>0.01*$I$69</f>
        <v>#DIV/0!</v>
      </c>
      <c r="AJ18" s="79" t="e">
        <f>0.01*$I$70</f>
        <v>#DIV/0!</v>
      </c>
      <c r="AK18" s="79" t="e">
        <f>0.01*$I$71</f>
        <v>#DIV/0!</v>
      </c>
      <c r="AL18" s="79" t="e">
        <f>0.01*$I$72</f>
        <v>#DIV/0!</v>
      </c>
      <c r="AM18" s="79" t="e">
        <f>0.01*$I$73</f>
        <v>#DIV/0!</v>
      </c>
      <c r="AN18" s="79" t="e">
        <f>0.01*$I$74</f>
        <v>#DIV/0!</v>
      </c>
      <c r="AO18" s="79" t="e">
        <f>0.01*$I$75</f>
        <v>#DIV/0!</v>
      </c>
      <c r="AP18" s="79" t="e">
        <f>0.01*$I$76</f>
        <v>#DIV/0!</v>
      </c>
      <c r="AQ18" s="79" t="e">
        <f>0.01*$I$77</f>
        <v>#DIV/0!</v>
      </c>
      <c r="AR18" s="79" t="e">
        <f>0.01*$I$78</f>
        <v>#DIV/0!</v>
      </c>
      <c r="AS18" s="79" t="e">
        <f>0.01*$I$79</f>
        <v>#DIV/0!</v>
      </c>
      <c r="AT18" s="79" t="e">
        <f>0.01*$I$80</f>
        <v>#DIV/0!</v>
      </c>
      <c r="AU18" s="79" t="e">
        <f>0.01*$I$81</f>
        <v>#DIV/0!</v>
      </c>
      <c r="AV18" s="79" t="e">
        <f>0.01*$I$82</f>
        <v>#DIV/0!</v>
      </c>
      <c r="AW18" s="79" t="e">
        <f>0.01*$I$83</f>
        <v>#DIV/0!</v>
      </c>
      <c r="AX18" s="79" t="e">
        <f>0.01*$I$84</f>
        <v>#DIV/0!</v>
      </c>
      <c r="AY18" s="79" t="e">
        <f>0.01*$I$85</f>
        <v>#DIV/0!</v>
      </c>
      <c r="AZ18" s="79" t="e">
        <f>0.01*$I$87</f>
        <v>#DIV/0!</v>
      </c>
      <c r="BA18" s="8"/>
      <c r="BB18" s="8"/>
      <c r="BC18" s="8"/>
      <c r="BD18" s="8"/>
      <c r="BE18" s="8"/>
      <c r="BF18" s="8"/>
      <c r="BG18" s="8"/>
    </row>
    <row r="19" spans="1:59">
      <c r="A19">
        <v>2017</v>
      </c>
      <c r="B19" t="s">
        <v>244</v>
      </c>
      <c r="C19" s="79" t="e">
        <f>0.01*$J$37</f>
        <v>#DIV/0!</v>
      </c>
      <c r="D19" s="79" t="e">
        <f>0.01*$J$38</f>
        <v>#DIV/0!</v>
      </c>
      <c r="E19" s="79" t="e">
        <f>0.01*$J$39</f>
        <v>#DIV/0!</v>
      </c>
      <c r="F19" s="79" t="e">
        <f>0.01*$J$40</f>
        <v>#DIV/0!</v>
      </c>
      <c r="G19" s="79" t="e">
        <f>0.01*$J$41</f>
        <v>#DIV/0!</v>
      </c>
      <c r="H19" s="79" t="e">
        <f>0.01*$J$42</f>
        <v>#DIV/0!</v>
      </c>
      <c r="I19" s="79" t="e">
        <f>0.01*$J$43</f>
        <v>#DIV/0!</v>
      </c>
      <c r="J19" s="79" t="e">
        <f>0.01*$J$44</f>
        <v>#DIV/0!</v>
      </c>
      <c r="K19" s="79" t="e">
        <f>0.01*$J$45</f>
        <v>#DIV/0!</v>
      </c>
      <c r="L19" s="79" t="e">
        <f>0.01*$J$46</f>
        <v>#DIV/0!</v>
      </c>
      <c r="M19" s="79" t="e">
        <f>0.01*$J$47</f>
        <v>#DIV/0!</v>
      </c>
      <c r="N19" s="79" t="e">
        <f>0.01*$J$48</f>
        <v>#DIV/0!</v>
      </c>
      <c r="O19" s="79" t="e">
        <f>0.01*$J$49</f>
        <v>#DIV/0!</v>
      </c>
      <c r="P19" s="79" t="e">
        <f>0.01*$J$50</f>
        <v>#DIV/0!</v>
      </c>
      <c r="Q19" s="79" t="e">
        <f>0.01*$J$51</f>
        <v>#DIV/0!</v>
      </c>
      <c r="R19" s="79" t="e">
        <f>0.01*$J$52</f>
        <v>#DIV/0!</v>
      </c>
      <c r="S19" s="79" t="e">
        <f>0.01*$J$53</f>
        <v>#DIV/0!</v>
      </c>
      <c r="T19" s="79" t="e">
        <f>0.01*$J$54</f>
        <v>#DIV/0!</v>
      </c>
      <c r="U19" s="79" t="e">
        <f>0.01*$J$55</f>
        <v>#DIV/0!</v>
      </c>
      <c r="V19" s="79" t="e">
        <f>0.01*$J$56</f>
        <v>#DIV/0!</v>
      </c>
      <c r="W19" s="79" t="e">
        <f>0.01*$J$57</f>
        <v>#DIV/0!</v>
      </c>
      <c r="X19" s="79" t="e">
        <f>0.01*$J$58</f>
        <v>#DIV/0!</v>
      </c>
      <c r="Y19" s="79" t="e">
        <f>0.01*$J$59</f>
        <v>#DIV/0!</v>
      </c>
      <c r="Z19" s="79" t="e">
        <f>0.01*$J$60</f>
        <v>#DIV/0!</v>
      </c>
      <c r="AA19" s="79" t="e">
        <f>0.01*$J$61</f>
        <v>#DIV/0!</v>
      </c>
      <c r="AB19" s="79" t="e">
        <f>0.01*$J$62</f>
        <v>#DIV/0!</v>
      </c>
      <c r="AC19" s="79" t="e">
        <f>0.01*$J$63</f>
        <v>#DIV/0!</v>
      </c>
      <c r="AD19" s="79" t="e">
        <f>0.01*$J$64</f>
        <v>#DIV/0!</v>
      </c>
      <c r="AE19" s="79" t="e">
        <f>0.01*$J$65</f>
        <v>#DIV/0!</v>
      </c>
      <c r="AF19" s="79" t="e">
        <f>0.01*$J$66</f>
        <v>#DIV/0!</v>
      </c>
      <c r="AG19" s="79" t="e">
        <f>0.01*$J$67</f>
        <v>#DIV/0!</v>
      </c>
      <c r="AH19" s="79" t="e">
        <f>0.01*$J$68</f>
        <v>#DIV/0!</v>
      </c>
      <c r="AI19" s="79" t="e">
        <f>0.01*$J$69</f>
        <v>#DIV/0!</v>
      </c>
      <c r="AJ19" s="79" t="e">
        <f>0.01*$J$70</f>
        <v>#DIV/0!</v>
      </c>
      <c r="AK19" s="79" t="e">
        <f>0.01*$J$71</f>
        <v>#DIV/0!</v>
      </c>
      <c r="AL19" s="79" t="e">
        <f>0.01*$J$72</f>
        <v>#DIV/0!</v>
      </c>
      <c r="AM19" s="79" t="e">
        <f>0.01*$J$73</f>
        <v>#DIV/0!</v>
      </c>
      <c r="AN19" s="79" t="e">
        <f>0.01*$J$74</f>
        <v>#DIV/0!</v>
      </c>
      <c r="AO19" s="79" t="e">
        <f>0.01*$J$75</f>
        <v>#DIV/0!</v>
      </c>
      <c r="AP19" s="79" t="e">
        <f>0.01*$J$76</f>
        <v>#DIV/0!</v>
      </c>
      <c r="AQ19" s="79" t="e">
        <f>0.01*$J$77</f>
        <v>#DIV/0!</v>
      </c>
      <c r="AR19" s="79" t="e">
        <f>0.01*$J$78</f>
        <v>#DIV/0!</v>
      </c>
      <c r="AS19" s="79" t="e">
        <f>0.01*$J$79</f>
        <v>#DIV/0!</v>
      </c>
      <c r="AT19" s="79" t="e">
        <f>0.01*$J$80</f>
        <v>#DIV/0!</v>
      </c>
      <c r="AU19" s="79" t="e">
        <f>0.01*$J$81</f>
        <v>#DIV/0!</v>
      </c>
      <c r="AV19" s="79" t="e">
        <f>0.01*$J$82</f>
        <v>#DIV/0!</v>
      </c>
      <c r="AW19" s="79" t="e">
        <f>0.01*$J$83</f>
        <v>#DIV/0!</v>
      </c>
      <c r="AX19" s="79" t="e">
        <f>0.01*$J$84</f>
        <v>#DIV/0!</v>
      </c>
      <c r="AY19" s="79" t="e">
        <f>0.01*$J$85</f>
        <v>#DIV/0!</v>
      </c>
      <c r="AZ19" s="79" t="e">
        <f>0.01*$J$87</f>
        <v>#DIV/0!</v>
      </c>
      <c r="BA19" s="8"/>
      <c r="BB19" s="8"/>
      <c r="BC19" s="8"/>
      <c r="BD19" s="8"/>
      <c r="BE19" s="8"/>
      <c r="BF19" s="8"/>
      <c r="BG19" s="8"/>
    </row>
    <row r="20" spans="1:59">
      <c r="A20" s="2">
        <v>2018</v>
      </c>
      <c r="B20" t="s">
        <v>244</v>
      </c>
      <c r="C20" s="79" t="e">
        <f>0.01*$K$37</f>
        <v>#DIV/0!</v>
      </c>
      <c r="D20" s="79" t="e">
        <f>0.01*$K$38</f>
        <v>#DIV/0!</v>
      </c>
      <c r="E20" s="79" t="e">
        <f>0.01*$K$39</f>
        <v>#DIV/0!</v>
      </c>
      <c r="F20" s="79" t="e">
        <f>0.01*$K$40</f>
        <v>#DIV/0!</v>
      </c>
      <c r="G20" s="79" t="e">
        <f>0.01*$K$41</f>
        <v>#DIV/0!</v>
      </c>
      <c r="H20" s="79" t="e">
        <f>0.01*$K$42</f>
        <v>#DIV/0!</v>
      </c>
      <c r="I20" s="79" t="e">
        <f>0.01*$K$43</f>
        <v>#DIV/0!</v>
      </c>
      <c r="J20" s="79" t="e">
        <f>0.01*$K$44</f>
        <v>#DIV/0!</v>
      </c>
      <c r="K20" s="79" t="e">
        <f>0.01*$K$45</f>
        <v>#DIV/0!</v>
      </c>
      <c r="L20" s="79" t="e">
        <f>0.01*$K$46</f>
        <v>#DIV/0!</v>
      </c>
      <c r="M20" s="79" t="e">
        <f>0.01*$K$47</f>
        <v>#DIV/0!</v>
      </c>
      <c r="N20" s="79" t="e">
        <f>0.01*$K$48</f>
        <v>#DIV/0!</v>
      </c>
      <c r="O20" s="79" t="e">
        <f>0.01*$K$49</f>
        <v>#DIV/0!</v>
      </c>
      <c r="P20" s="79" t="e">
        <f>0.01*$K$50</f>
        <v>#DIV/0!</v>
      </c>
      <c r="Q20" s="79" t="e">
        <f>0.01*$K$51</f>
        <v>#DIV/0!</v>
      </c>
      <c r="R20" s="79" t="e">
        <f>0.01*$K$52</f>
        <v>#DIV/0!</v>
      </c>
      <c r="S20" s="79" t="e">
        <f>0.01*$K$53</f>
        <v>#DIV/0!</v>
      </c>
      <c r="T20" s="79" t="e">
        <f>0.01*$K$54</f>
        <v>#DIV/0!</v>
      </c>
      <c r="U20" s="79" t="e">
        <f>0.01*$K$55</f>
        <v>#DIV/0!</v>
      </c>
      <c r="V20" s="79" t="e">
        <f>0.01*$K$56</f>
        <v>#DIV/0!</v>
      </c>
      <c r="W20" s="79" t="e">
        <f>0.01*$K$57</f>
        <v>#DIV/0!</v>
      </c>
      <c r="X20" s="79" t="e">
        <f>0.01*$K$58</f>
        <v>#DIV/0!</v>
      </c>
      <c r="Y20" s="79" t="e">
        <f>0.01*$K$59</f>
        <v>#DIV/0!</v>
      </c>
      <c r="Z20" s="79" t="e">
        <f>0.01*$K$60</f>
        <v>#DIV/0!</v>
      </c>
      <c r="AA20" s="79" t="e">
        <f>0.01*$K$61</f>
        <v>#DIV/0!</v>
      </c>
      <c r="AB20" s="79" t="e">
        <f>0.01*$K$62</f>
        <v>#DIV/0!</v>
      </c>
      <c r="AC20" s="79" t="e">
        <f>0.01*$K$63</f>
        <v>#DIV/0!</v>
      </c>
      <c r="AD20" s="79" t="e">
        <f>0.01*$K$64</f>
        <v>#DIV/0!</v>
      </c>
      <c r="AE20" s="79" t="e">
        <f>0.01*$K$65</f>
        <v>#DIV/0!</v>
      </c>
      <c r="AF20" s="79" t="e">
        <f>0.01*$K$66</f>
        <v>#DIV/0!</v>
      </c>
      <c r="AG20" s="79" t="e">
        <f>0.01*$K$67</f>
        <v>#DIV/0!</v>
      </c>
      <c r="AH20" s="79" t="e">
        <f>0.01*$K$68</f>
        <v>#DIV/0!</v>
      </c>
      <c r="AI20" s="79" t="e">
        <f>0.01*$K$69</f>
        <v>#DIV/0!</v>
      </c>
      <c r="AJ20" s="79" t="e">
        <f>0.01*$K$70</f>
        <v>#DIV/0!</v>
      </c>
      <c r="AK20" s="79" t="e">
        <f>0.01*$K$71</f>
        <v>#DIV/0!</v>
      </c>
      <c r="AL20" s="79" t="e">
        <f>0.01*$K$72</f>
        <v>#DIV/0!</v>
      </c>
      <c r="AM20" s="79" t="e">
        <f>0.01*$K$73</f>
        <v>#DIV/0!</v>
      </c>
      <c r="AN20" s="79" t="e">
        <f>0.01*$K$74</f>
        <v>#DIV/0!</v>
      </c>
      <c r="AO20" s="79" t="e">
        <f>0.01*$K$75</f>
        <v>#DIV/0!</v>
      </c>
      <c r="AP20" s="79" t="e">
        <f>0.01*$K$76</f>
        <v>#DIV/0!</v>
      </c>
      <c r="AQ20" s="79" t="e">
        <f>0.01*$K$77</f>
        <v>#DIV/0!</v>
      </c>
      <c r="AR20" s="79" t="e">
        <f>0.01*$K$78</f>
        <v>#DIV/0!</v>
      </c>
      <c r="AS20" s="79" t="e">
        <f>0.01*$K$79</f>
        <v>#DIV/0!</v>
      </c>
      <c r="AT20" s="79" t="e">
        <f>0.01*$K$80</f>
        <v>#DIV/0!</v>
      </c>
      <c r="AU20" s="79" t="e">
        <f>0.01*$K$81</f>
        <v>#DIV/0!</v>
      </c>
      <c r="AV20" s="79" t="e">
        <f>0.01*$K$82</f>
        <v>#DIV/0!</v>
      </c>
      <c r="AW20" s="79" t="e">
        <f>0.01*$K$83</f>
        <v>#DIV/0!</v>
      </c>
      <c r="AX20" s="79" t="e">
        <f>0.01*$K$84</f>
        <v>#DIV/0!</v>
      </c>
      <c r="AY20" s="79" t="e">
        <f>0.01*$K$85</f>
        <v>#DIV/0!</v>
      </c>
      <c r="AZ20" s="79" t="e">
        <f>0.01*$K$87</f>
        <v>#DIV/0!</v>
      </c>
      <c r="BA20" s="8"/>
    </row>
    <row r="21" spans="1:59">
      <c r="A21">
        <v>2019</v>
      </c>
      <c r="B21" t="s">
        <v>244</v>
      </c>
      <c r="C21" s="79" t="e">
        <f>0.01*$L$37</f>
        <v>#DIV/0!</v>
      </c>
      <c r="D21" s="79" t="e">
        <f>0.01*$L$38</f>
        <v>#DIV/0!</v>
      </c>
      <c r="E21" s="79" t="e">
        <f>0.01*$L$39</f>
        <v>#DIV/0!</v>
      </c>
      <c r="F21" s="79" t="e">
        <f>0.01*$L$40</f>
        <v>#DIV/0!</v>
      </c>
      <c r="G21" s="79" t="e">
        <f>0.01*$L$41</f>
        <v>#DIV/0!</v>
      </c>
      <c r="H21" s="79" t="e">
        <f>0.01*$L$42</f>
        <v>#DIV/0!</v>
      </c>
      <c r="I21" s="79" t="e">
        <f>0.01*$L$43</f>
        <v>#DIV/0!</v>
      </c>
      <c r="J21" s="79" t="e">
        <f>0.01*$L$44</f>
        <v>#DIV/0!</v>
      </c>
      <c r="K21" s="79" t="e">
        <f>0.01*$L$45</f>
        <v>#DIV/0!</v>
      </c>
      <c r="L21" s="79" t="e">
        <f>0.01*$L$46</f>
        <v>#DIV/0!</v>
      </c>
      <c r="M21" s="79" t="e">
        <f>0.01*$L$47</f>
        <v>#DIV/0!</v>
      </c>
      <c r="N21" s="79" t="e">
        <f>0.01*$L$48</f>
        <v>#DIV/0!</v>
      </c>
      <c r="O21" s="79" t="e">
        <f>0.01*$L$49</f>
        <v>#DIV/0!</v>
      </c>
      <c r="P21" s="79" t="e">
        <f>0.01*$L$50</f>
        <v>#DIV/0!</v>
      </c>
      <c r="Q21" s="79" t="e">
        <f>0.01*$L$51</f>
        <v>#DIV/0!</v>
      </c>
      <c r="R21" s="79" t="e">
        <f>0.01*$L$52</f>
        <v>#DIV/0!</v>
      </c>
      <c r="S21" s="79" t="e">
        <f>0.01*$L$53</f>
        <v>#DIV/0!</v>
      </c>
      <c r="T21" s="79" t="e">
        <f>0.01*$L$54</f>
        <v>#DIV/0!</v>
      </c>
      <c r="U21" s="79" t="e">
        <f>0.01*$L$55</f>
        <v>#DIV/0!</v>
      </c>
      <c r="V21" s="79" t="e">
        <f>0.01*$L$56</f>
        <v>#DIV/0!</v>
      </c>
      <c r="W21" s="79" t="e">
        <f>0.01*$L$57</f>
        <v>#DIV/0!</v>
      </c>
      <c r="X21" s="79" t="e">
        <f>0.01*$L$58</f>
        <v>#DIV/0!</v>
      </c>
      <c r="Y21" s="79" t="e">
        <f>0.01*$L$59</f>
        <v>#DIV/0!</v>
      </c>
      <c r="Z21" s="79" t="e">
        <f>0.01*$L$60</f>
        <v>#DIV/0!</v>
      </c>
      <c r="AA21" s="79" t="e">
        <f>0.01*$L$61</f>
        <v>#DIV/0!</v>
      </c>
      <c r="AB21" s="79" t="e">
        <f>0.01*$L$62</f>
        <v>#DIV/0!</v>
      </c>
      <c r="AC21" s="79" t="e">
        <f>0.01*$L$63</f>
        <v>#DIV/0!</v>
      </c>
      <c r="AD21" s="79" t="e">
        <f>0.01*$L$64</f>
        <v>#DIV/0!</v>
      </c>
      <c r="AE21" s="79" t="e">
        <f>0.01*$L$65</f>
        <v>#DIV/0!</v>
      </c>
      <c r="AF21" s="79" t="e">
        <f>0.01*$L$66</f>
        <v>#DIV/0!</v>
      </c>
      <c r="AG21" s="79" t="e">
        <f>0.01*$L$67</f>
        <v>#DIV/0!</v>
      </c>
      <c r="AH21" s="79" t="e">
        <f>0.01*$L$68</f>
        <v>#DIV/0!</v>
      </c>
      <c r="AI21" s="79" t="e">
        <f>0.01*$L$69</f>
        <v>#DIV/0!</v>
      </c>
      <c r="AJ21" s="79" t="e">
        <f>0.01*$L$70</f>
        <v>#DIV/0!</v>
      </c>
      <c r="AK21" s="79" t="e">
        <f>0.01*$L$71</f>
        <v>#DIV/0!</v>
      </c>
      <c r="AL21" s="79" t="e">
        <f>0.01*$L$72</f>
        <v>#DIV/0!</v>
      </c>
      <c r="AM21" s="79" t="e">
        <f>0.01*$L$73</f>
        <v>#DIV/0!</v>
      </c>
      <c r="AN21" s="79" t="e">
        <f>0.01*$L$74</f>
        <v>#DIV/0!</v>
      </c>
      <c r="AO21" s="79" t="e">
        <f>0.01*$L$75</f>
        <v>#DIV/0!</v>
      </c>
      <c r="AP21" s="79" t="e">
        <f>0.01*$L$76</f>
        <v>#DIV/0!</v>
      </c>
      <c r="AQ21" s="79" t="e">
        <f>0.01*$L$77</f>
        <v>#DIV/0!</v>
      </c>
      <c r="AR21" s="79" t="e">
        <f>0.01*$L$78</f>
        <v>#DIV/0!</v>
      </c>
      <c r="AS21" s="79" t="e">
        <f>0.01*$L$79</f>
        <v>#DIV/0!</v>
      </c>
      <c r="AT21" s="79" t="e">
        <f>0.01*$L$80</f>
        <v>#DIV/0!</v>
      </c>
      <c r="AU21" s="79" t="e">
        <f>0.01*$L$81</f>
        <v>#DIV/0!</v>
      </c>
      <c r="AV21" s="79" t="e">
        <f>0.01*$L$82</f>
        <v>#DIV/0!</v>
      </c>
      <c r="AW21" s="79" t="e">
        <f>0.01*$L$83</f>
        <v>#DIV/0!</v>
      </c>
      <c r="AX21" s="79" t="e">
        <f>0.01*$L$84</f>
        <v>#DIV/0!</v>
      </c>
      <c r="AY21" s="79" t="e">
        <f>0.01*$L$85</f>
        <v>#DIV/0!</v>
      </c>
      <c r="AZ21" s="79" t="e">
        <f>0.01*$L$87</f>
        <v>#DIV/0!</v>
      </c>
      <c r="BA21" s="8"/>
    </row>
    <row r="22" spans="1:59">
      <c r="A22" s="2">
        <v>2020</v>
      </c>
      <c r="B22" t="s">
        <v>244</v>
      </c>
      <c r="C22" s="79" t="e">
        <f>0.01*$M$37</f>
        <v>#DIV/0!</v>
      </c>
      <c r="D22" s="79" t="e">
        <f>0.01*$M$38</f>
        <v>#DIV/0!</v>
      </c>
      <c r="E22" s="79" t="e">
        <f>0.01*$M$39</f>
        <v>#DIV/0!</v>
      </c>
      <c r="F22" s="79" t="e">
        <f>0.01*$M$40</f>
        <v>#DIV/0!</v>
      </c>
      <c r="G22" s="79" t="e">
        <f>0.01*$M$41</f>
        <v>#DIV/0!</v>
      </c>
      <c r="H22" s="79" t="e">
        <f>0.01*$M$42</f>
        <v>#DIV/0!</v>
      </c>
      <c r="I22" s="79" t="e">
        <f>0.01*$M$43</f>
        <v>#DIV/0!</v>
      </c>
      <c r="J22" s="79" t="e">
        <f>0.01*$M$44</f>
        <v>#DIV/0!</v>
      </c>
      <c r="K22" s="79" t="e">
        <f>0.01*$M$45</f>
        <v>#DIV/0!</v>
      </c>
      <c r="L22" s="79" t="e">
        <f>0.01*$M$46</f>
        <v>#DIV/0!</v>
      </c>
      <c r="M22" s="79" t="e">
        <f>0.01*$M$47</f>
        <v>#DIV/0!</v>
      </c>
      <c r="N22" s="79" t="e">
        <f>0.01*$M$48</f>
        <v>#DIV/0!</v>
      </c>
      <c r="O22" s="79" t="e">
        <f>0.01*$M$49</f>
        <v>#DIV/0!</v>
      </c>
      <c r="P22" s="79" t="e">
        <f>0.01*$M$50</f>
        <v>#DIV/0!</v>
      </c>
      <c r="Q22" s="79" t="e">
        <f>0.01*$M$51</f>
        <v>#DIV/0!</v>
      </c>
      <c r="R22" s="79" t="e">
        <f>0.01*$M$52</f>
        <v>#DIV/0!</v>
      </c>
      <c r="S22" s="79" t="e">
        <f>0.01*$M$53</f>
        <v>#DIV/0!</v>
      </c>
      <c r="T22" s="79" t="e">
        <f>0.01*$M$54</f>
        <v>#DIV/0!</v>
      </c>
      <c r="U22" s="79" t="e">
        <f>0.01*$M$55</f>
        <v>#DIV/0!</v>
      </c>
      <c r="V22" s="79" t="e">
        <f>0.01*$M$56</f>
        <v>#DIV/0!</v>
      </c>
      <c r="W22" s="79" t="e">
        <f>0.01*$M$57</f>
        <v>#DIV/0!</v>
      </c>
      <c r="X22" s="79" t="e">
        <f>0.01*$M$58</f>
        <v>#DIV/0!</v>
      </c>
      <c r="Y22" s="79" t="e">
        <f>0.01*$M$59</f>
        <v>#DIV/0!</v>
      </c>
      <c r="Z22" s="79" t="e">
        <f>0.01*$M$60</f>
        <v>#DIV/0!</v>
      </c>
      <c r="AA22" s="79" t="e">
        <f>0.01*$M$61</f>
        <v>#DIV/0!</v>
      </c>
      <c r="AB22" s="79" t="e">
        <f>0.01*$M$62</f>
        <v>#DIV/0!</v>
      </c>
      <c r="AC22" s="79" t="e">
        <f>0.01*$M$63</f>
        <v>#DIV/0!</v>
      </c>
      <c r="AD22" s="79" t="e">
        <f>0.01*$M$64</f>
        <v>#DIV/0!</v>
      </c>
      <c r="AE22" s="79" t="e">
        <f>0.01*$M$65</f>
        <v>#DIV/0!</v>
      </c>
      <c r="AF22" s="79" t="e">
        <f>0.01*$M$66</f>
        <v>#DIV/0!</v>
      </c>
      <c r="AG22" s="79" t="e">
        <f>0.01*$M$67</f>
        <v>#DIV/0!</v>
      </c>
      <c r="AH22" s="79" t="e">
        <f>0.01*$M$68</f>
        <v>#DIV/0!</v>
      </c>
      <c r="AI22" s="79" t="e">
        <f>0.01*$M$69</f>
        <v>#DIV/0!</v>
      </c>
      <c r="AJ22" s="79" t="e">
        <f>0.01*$M$70</f>
        <v>#DIV/0!</v>
      </c>
      <c r="AK22" s="79" t="e">
        <f>0.01*$M$71</f>
        <v>#DIV/0!</v>
      </c>
      <c r="AL22" s="79" t="e">
        <f>0.01*$M$72</f>
        <v>#DIV/0!</v>
      </c>
      <c r="AM22" s="79" t="e">
        <f>0.01*$M$73</f>
        <v>#DIV/0!</v>
      </c>
      <c r="AN22" s="79" t="e">
        <f>0.01*$M$74</f>
        <v>#DIV/0!</v>
      </c>
      <c r="AO22" s="79" t="e">
        <f>0.01*$M$75</f>
        <v>#DIV/0!</v>
      </c>
      <c r="AP22" s="79" t="e">
        <f>0.01*$M$76</f>
        <v>#DIV/0!</v>
      </c>
      <c r="AQ22" s="79" t="e">
        <f>0.01*$M$77</f>
        <v>#DIV/0!</v>
      </c>
      <c r="AR22" s="79" t="e">
        <f>0.01*$M$78</f>
        <v>#DIV/0!</v>
      </c>
      <c r="AS22" s="79" t="e">
        <f>0.01*$M$79</f>
        <v>#DIV/0!</v>
      </c>
      <c r="AT22" s="79" t="e">
        <f>0.01*$M$80</f>
        <v>#DIV/0!</v>
      </c>
      <c r="AU22" s="79" t="e">
        <f>0.01*$M$81</f>
        <v>#DIV/0!</v>
      </c>
      <c r="AV22" s="79" t="e">
        <f>0.01*$M$82</f>
        <v>#DIV/0!</v>
      </c>
      <c r="AW22" s="79" t="e">
        <f>0.01*$M$83</f>
        <v>#DIV/0!</v>
      </c>
      <c r="AX22" s="79" t="e">
        <f>0.01*$M$84</f>
        <v>#DIV/0!</v>
      </c>
      <c r="AY22" s="79" t="e">
        <f>0.01*$M$85</f>
        <v>#DIV/0!</v>
      </c>
      <c r="AZ22" s="79" t="e">
        <f>0.01*$M$87</f>
        <v>#DIV/0!</v>
      </c>
      <c r="BA22" s="8"/>
    </row>
    <row r="23" spans="1:59">
      <c r="A23">
        <v>2021</v>
      </c>
      <c r="B23" t="s">
        <v>244</v>
      </c>
      <c r="C23" s="79" t="e">
        <f>0.01*$N$37</f>
        <v>#DIV/0!</v>
      </c>
      <c r="D23" s="79" t="e">
        <f>0.01*$N$38</f>
        <v>#DIV/0!</v>
      </c>
      <c r="E23" s="79" t="e">
        <f>0.01*$N$39</f>
        <v>#DIV/0!</v>
      </c>
      <c r="F23" s="79" t="e">
        <f>0.01*$N$40</f>
        <v>#DIV/0!</v>
      </c>
      <c r="G23" s="79" t="e">
        <f>0.01*$N$41</f>
        <v>#DIV/0!</v>
      </c>
      <c r="H23" s="79" t="e">
        <f>0.01*$N$42</f>
        <v>#DIV/0!</v>
      </c>
      <c r="I23" s="79" t="e">
        <f>0.01*$N$43</f>
        <v>#DIV/0!</v>
      </c>
      <c r="J23" s="79" t="e">
        <f>0.01*$N$44</f>
        <v>#DIV/0!</v>
      </c>
      <c r="K23" s="79" t="e">
        <f>0.01*$N$45</f>
        <v>#DIV/0!</v>
      </c>
      <c r="L23" s="79" t="e">
        <f>0.01*$N$46</f>
        <v>#DIV/0!</v>
      </c>
      <c r="M23" s="79" t="e">
        <f>0.01*$N$47</f>
        <v>#DIV/0!</v>
      </c>
      <c r="N23" s="79" t="e">
        <f>0.01*$N$48</f>
        <v>#DIV/0!</v>
      </c>
      <c r="O23" s="79" t="e">
        <f>0.01*$N$49</f>
        <v>#DIV/0!</v>
      </c>
      <c r="P23" s="79" t="e">
        <f>0.01*$N$50</f>
        <v>#DIV/0!</v>
      </c>
      <c r="Q23" s="79" t="e">
        <f>0.01*$N$51</f>
        <v>#DIV/0!</v>
      </c>
      <c r="R23" s="79" t="e">
        <f>0.01*$N$52</f>
        <v>#DIV/0!</v>
      </c>
      <c r="S23" s="79" t="e">
        <f>0.01*$N$53</f>
        <v>#DIV/0!</v>
      </c>
      <c r="T23" s="79" t="e">
        <f>0.01*$N$54</f>
        <v>#DIV/0!</v>
      </c>
      <c r="U23" s="79" t="e">
        <f>0.01*$N$55</f>
        <v>#DIV/0!</v>
      </c>
      <c r="V23" s="79" t="e">
        <f>0.01*$N$56</f>
        <v>#DIV/0!</v>
      </c>
      <c r="W23" s="79" t="e">
        <f>0.01*$N$57</f>
        <v>#DIV/0!</v>
      </c>
      <c r="X23" s="79" t="e">
        <f>0.01*$N$58</f>
        <v>#DIV/0!</v>
      </c>
      <c r="Y23" s="79" t="e">
        <f>0.01*$N$59</f>
        <v>#DIV/0!</v>
      </c>
      <c r="Z23" s="79" t="e">
        <f>0.01*$N$60</f>
        <v>#DIV/0!</v>
      </c>
      <c r="AA23" s="79" t="e">
        <f>0.01*$N$61</f>
        <v>#DIV/0!</v>
      </c>
      <c r="AB23" s="79" t="e">
        <f>0.01*$N$62</f>
        <v>#DIV/0!</v>
      </c>
      <c r="AC23" s="79" t="e">
        <f>0.01*$N$63</f>
        <v>#DIV/0!</v>
      </c>
      <c r="AD23" s="79" t="e">
        <f>0.01*$N$64</f>
        <v>#DIV/0!</v>
      </c>
      <c r="AE23" s="79" t="e">
        <f>0.01*$N$65</f>
        <v>#DIV/0!</v>
      </c>
      <c r="AF23" s="79" t="e">
        <f>0.01*$N$66</f>
        <v>#DIV/0!</v>
      </c>
      <c r="AG23" s="79" t="e">
        <f>0.01*$N$67</f>
        <v>#DIV/0!</v>
      </c>
      <c r="AH23" s="79" t="e">
        <f>0.01*$N$68</f>
        <v>#DIV/0!</v>
      </c>
      <c r="AI23" s="79" t="e">
        <f>0.01*$N$69</f>
        <v>#DIV/0!</v>
      </c>
      <c r="AJ23" s="79" t="e">
        <f>0.01*$N$70</f>
        <v>#DIV/0!</v>
      </c>
      <c r="AK23" s="79" t="e">
        <f>0.01*$N$71</f>
        <v>#DIV/0!</v>
      </c>
      <c r="AL23" s="79" t="e">
        <f>0.01*$N$72</f>
        <v>#DIV/0!</v>
      </c>
      <c r="AM23" s="79" t="e">
        <f>0.01*$N$73</f>
        <v>#DIV/0!</v>
      </c>
      <c r="AN23" s="79" t="e">
        <f>0.01*$N$74</f>
        <v>#DIV/0!</v>
      </c>
      <c r="AO23" s="79" t="e">
        <f>0.01*$N$75</f>
        <v>#DIV/0!</v>
      </c>
      <c r="AP23" s="79" t="e">
        <f>0.01*$N$76</f>
        <v>#DIV/0!</v>
      </c>
      <c r="AQ23" s="79" t="e">
        <f>0.01*$N$77</f>
        <v>#DIV/0!</v>
      </c>
      <c r="AR23" s="79" t="e">
        <f>0.01*$N$78</f>
        <v>#DIV/0!</v>
      </c>
      <c r="AS23" s="79" t="e">
        <f>0.01*$N$79</f>
        <v>#DIV/0!</v>
      </c>
      <c r="AT23" s="79" t="e">
        <f>0.01*$N$80</f>
        <v>#DIV/0!</v>
      </c>
      <c r="AU23" s="79" t="e">
        <f>0.01*$N$81</f>
        <v>#DIV/0!</v>
      </c>
      <c r="AV23" s="79" t="e">
        <f>0.01*$N$82</f>
        <v>#DIV/0!</v>
      </c>
      <c r="AW23" s="79" t="e">
        <f>0.01*$N$83</f>
        <v>#DIV/0!</v>
      </c>
      <c r="AX23" s="79" t="e">
        <f>0.01*$N$84</f>
        <v>#DIV/0!</v>
      </c>
      <c r="AY23" s="79" t="e">
        <f>0.01*$N$85</f>
        <v>#DIV/0!</v>
      </c>
      <c r="AZ23" s="79" t="e">
        <f>0.01*$N$87</f>
        <v>#DIV/0!</v>
      </c>
      <c r="BA23" s="8"/>
    </row>
    <row r="24" spans="1:59">
      <c r="A24" s="2">
        <v>2022</v>
      </c>
      <c r="B24" t="s">
        <v>244</v>
      </c>
      <c r="C24" s="79" t="e">
        <f>0.01*$O$37</f>
        <v>#DIV/0!</v>
      </c>
      <c r="D24" s="79" t="e">
        <f>0.01*$O$38</f>
        <v>#DIV/0!</v>
      </c>
      <c r="E24" s="79" t="e">
        <f>0.01*$O$39</f>
        <v>#DIV/0!</v>
      </c>
      <c r="F24" s="79" t="e">
        <f>0.01*$O$40</f>
        <v>#DIV/0!</v>
      </c>
      <c r="G24" s="79" t="e">
        <f>0.01*$O$41</f>
        <v>#DIV/0!</v>
      </c>
      <c r="H24" s="79" t="e">
        <f>0.01*$O$42</f>
        <v>#DIV/0!</v>
      </c>
      <c r="I24" s="79" t="e">
        <f>0.01*$O$43</f>
        <v>#DIV/0!</v>
      </c>
      <c r="J24" s="79" t="e">
        <f>0.01*$O$44</f>
        <v>#DIV/0!</v>
      </c>
      <c r="K24" s="79" t="e">
        <f>0.01*$O$45</f>
        <v>#DIV/0!</v>
      </c>
      <c r="L24" s="79" t="e">
        <f>0.01*$O$46</f>
        <v>#DIV/0!</v>
      </c>
      <c r="M24" s="79" t="e">
        <f>0.01*$O$47</f>
        <v>#DIV/0!</v>
      </c>
      <c r="N24" s="79" t="e">
        <f>0.01*$O$48</f>
        <v>#DIV/0!</v>
      </c>
      <c r="O24" s="79" t="e">
        <f>0.01*$O$49</f>
        <v>#DIV/0!</v>
      </c>
      <c r="P24" s="79" t="e">
        <f>0.01*$O$50</f>
        <v>#DIV/0!</v>
      </c>
      <c r="Q24" s="79" t="e">
        <f>0.01*$O$51</f>
        <v>#DIV/0!</v>
      </c>
      <c r="R24" s="79" t="e">
        <f>0.01*$O$52</f>
        <v>#DIV/0!</v>
      </c>
      <c r="S24" s="79" t="e">
        <f>0.01*$O$53</f>
        <v>#DIV/0!</v>
      </c>
      <c r="T24" s="79" t="e">
        <f>0.01*$O$54</f>
        <v>#DIV/0!</v>
      </c>
      <c r="U24" s="79" t="e">
        <f>0.01*$O$55</f>
        <v>#DIV/0!</v>
      </c>
      <c r="V24" s="79" t="e">
        <f>0.01*$O$56</f>
        <v>#DIV/0!</v>
      </c>
      <c r="W24" s="79" t="e">
        <f>0.01*$O$57</f>
        <v>#DIV/0!</v>
      </c>
      <c r="X24" s="79" t="e">
        <f>0.01*$O$58</f>
        <v>#DIV/0!</v>
      </c>
      <c r="Y24" s="79" t="e">
        <f>0.01*$O$59</f>
        <v>#DIV/0!</v>
      </c>
      <c r="Z24" s="79" t="e">
        <f>0.01*$O$60</f>
        <v>#DIV/0!</v>
      </c>
      <c r="AA24" s="79" t="e">
        <f>0.01*$O$61</f>
        <v>#DIV/0!</v>
      </c>
      <c r="AB24" s="79" t="e">
        <f>0.01*$O$62</f>
        <v>#DIV/0!</v>
      </c>
      <c r="AC24" s="79" t="e">
        <f>0.01*$O$63</f>
        <v>#DIV/0!</v>
      </c>
      <c r="AD24" s="79" t="e">
        <f>0.01*$O$64</f>
        <v>#DIV/0!</v>
      </c>
      <c r="AE24" s="79" t="e">
        <f>0.01*$O$65</f>
        <v>#DIV/0!</v>
      </c>
      <c r="AF24" s="79" t="e">
        <f>0.01*$O$66</f>
        <v>#DIV/0!</v>
      </c>
      <c r="AG24" s="79" t="e">
        <f>0.01*$O$67</f>
        <v>#DIV/0!</v>
      </c>
      <c r="AH24" s="79" t="e">
        <f>0.01*$O$68</f>
        <v>#DIV/0!</v>
      </c>
      <c r="AI24" s="79" t="e">
        <f>0.01*$O$69</f>
        <v>#DIV/0!</v>
      </c>
      <c r="AJ24" s="79" t="e">
        <f>0.01*$O$70</f>
        <v>#DIV/0!</v>
      </c>
      <c r="AK24" s="79" t="e">
        <f>0.01*$O$71</f>
        <v>#DIV/0!</v>
      </c>
      <c r="AL24" s="79" t="e">
        <f>0.01*$O$72</f>
        <v>#DIV/0!</v>
      </c>
      <c r="AM24" s="79" t="e">
        <f>0.01*$O$73</f>
        <v>#DIV/0!</v>
      </c>
      <c r="AN24" s="79" t="e">
        <f>0.01*$O$74</f>
        <v>#DIV/0!</v>
      </c>
      <c r="AO24" s="79" t="e">
        <f>0.01*$O$75</f>
        <v>#DIV/0!</v>
      </c>
      <c r="AP24" s="79" t="e">
        <f>0.01*$O$76</f>
        <v>#DIV/0!</v>
      </c>
      <c r="AQ24" s="79" t="e">
        <f>0.01*$O$77</f>
        <v>#DIV/0!</v>
      </c>
      <c r="AR24" s="79" t="e">
        <f>0.01*$O$78</f>
        <v>#DIV/0!</v>
      </c>
      <c r="AS24" s="79" t="e">
        <f>0.01*$O$79</f>
        <v>#DIV/0!</v>
      </c>
      <c r="AT24" s="79" t="e">
        <f>0.01*$O$80</f>
        <v>#DIV/0!</v>
      </c>
      <c r="AU24" s="79" t="e">
        <f>0.01*$O$81</f>
        <v>#DIV/0!</v>
      </c>
      <c r="AV24" s="79" t="e">
        <f>0.01*$O$82</f>
        <v>#DIV/0!</v>
      </c>
      <c r="AW24" s="79" t="e">
        <f>0.01*$O$83</f>
        <v>#DIV/0!</v>
      </c>
      <c r="AX24" s="79" t="e">
        <f>0.01*$O$84</f>
        <v>#DIV/0!</v>
      </c>
      <c r="AY24" s="79" t="e">
        <f>0.01*$O$85</f>
        <v>#DIV/0!</v>
      </c>
      <c r="AZ24" s="79" t="e">
        <f>0.01*$O$87</f>
        <v>#DIV/0!</v>
      </c>
      <c r="BA24" s="8"/>
    </row>
    <row r="25" spans="1:59">
      <c r="A25">
        <v>2023</v>
      </c>
      <c r="B25" t="s">
        <v>244</v>
      </c>
      <c r="C25" s="79" t="e">
        <f>0.01*$P$37</f>
        <v>#DIV/0!</v>
      </c>
      <c r="D25" s="79" t="e">
        <f>0.01*$P$38</f>
        <v>#DIV/0!</v>
      </c>
      <c r="E25" s="79" t="e">
        <f>0.01*$P$39</f>
        <v>#DIV/0!</v>
      </c>
      <c r="F25" s="79" t="e">
        <f>0.01*$P$40</f>
        <v>#DIV/0!</v>
      </c>
      <c r="G25" s="79" t="e">
        <f>0.01*$P$41</f>
        <v>#DIV/0!</v>
      </c>
      <c r="H25" s="79" t="e">
        <f>0.01*$P$42</f>
        <v>#DIV/0!</v>
      </c>
      <c r="I25" s="79" t="e">
        <f>0.01*$P$43</f>
        <v>#DIV/0!</v>
      </c>
      <c r="J25" s="79" t="e">
        <f>0.01*$P$44</f>
        <v>#DIV/0!</v>
      </c>
      <c r="K25" s="79" t="e">
        <f>0.01*$P$45</f>
        <v>#DIV/0!</v>
      </c>
      <c r="L25" s="79" t="e">
        <f>0.01*$P$46</f>
        <v>#DIV/0!</v>
      </c>
      <c r="M25" s="79" t="e">
        <f>0.01*$P$47</f>
        <v>#DIV/0!</v>
      </c>
      <c r="N25" s="79" t="e">
        <f>0.01*$P$48</f>
        <v>#DIV/0!</v>
      </c>
      <c r="O25" s="79" t="e">
        <f>0.01*$P$49</f>
        <v>#DIV/0!</v>
      </c>
      <c r="P25" s="79" t="e">
        <f>0.01*$P$50</f>
        <v>#DIV/0!</v>
      </c>
      <c r="Q25" s="79" t="e">
        <f>0.01*$P$51</f>
        <v>#DIV/0!</v>
      </c>
      <c r="R25" s="79" t="e">
        <f>0.01*$P$52</f>
        <v>#DIV/0!</v>
      </c>
      <c r="S25" s="79" t="e">
        <f>0.01*$P$53</f>
        <v>#DIV/0!</v>
      </c>
      <c r="T25" s="79" t="e">
        <f>0.01*$P$54</f>
        <v>#DIV/0!</v>
      </c>
      <c r="U25" s="79" t="e">
        <f>0.01*$P$55</f>
        <v>#DIV/0!</v>
      </c>
      <c r="V25" s="79" t="e">
        <f>0.01*$P$56</f>
        <v>#DIV/0!</v>
      </c>
      <c r="W25" s="79" t="e">
        <f>0.01*$P$57</f>
        <v>#DIV/0!</v>
      </c>
      <c r="X25" s="79" t="e">
        <f>0.01*$P$58</f>
        <v>#DIV/0!</v>
      </c>
      <c r="Y25" s="79" t="e">
        <f>0.01*$P$59</f>
        <v>#DIV/0!</v>
      </c>
      <c r="Z25" s="79" t="e">
        <f>0.01*$P$60</f>
        <v>#DIV/0!</v>
      </c>
      <c r="AA25" s="79" t="e">
        <f>0.01*$P$61</f>
        <v>#DIV/0!</v>
      </c>
      <c r="AB25" s="79" t="e">
        <f>0.01*$P$62</f>
        <v>#DIV/0!</v>
      </c>
      <c r="AC25" s="79" t="e">
        <f>0.01*$P$63</f>
        <v>#DIV/0!</v>
      </c>
      <c r="AD25" s="79" t="e">
        <f>0.01*$P$64</f>
        <v>#DIV/0!</v>
      </c>
      <c r="AE25" s="79" t="e">
        <f>0.01*$P$65</f>
        <v>#DIV/0!</v>
      </c>
      <c r="AF25" s="79" t="e">
        <f>0.01*$P$66</f>
        <v>#DIV/0!</v>
      </c>
      <c r="AG25" s="79" t="e">
        <f>0.01*$P$67</f>
        <v>#DIV/0!</v>
      </c>
      <c r="AH25" s="79" t="e">
        <f>0.01*$P$68</f>
        <v>#DIV/0!</v>
      </c>
      <c r="AI25" s="79" t="e">
        <f>0.01*$P$69</f>
        <v>#DIV/0!</v>
      </c>
      <c r="AJ25" s="79" t="e">
        <f>0.01*$P$70</f>
        <v>#DIV/0!</v>
      </c>
      <c r="AK25" s="79" t="e">
        <f>0.01*$P$71</f>
        <v>#DIV/0!</v>
      </c>
      <c r="AL25" s="79" t="e">
        <f>0.01*$P$72</f>
        <v>#DIV/0!</v>
      </c>
      <c r="AM25" s="79" t="e">
        <f>0.01*$P$73</f>
        <v>#DIV/0!</v>
      </c>
      <c r="AN25" s="79" t="e">
        <f>0.01*$P$74</f>
        <v>#DIV/0!</v>
      </c>
      <c r="AO25" s="79" t="e">
        <f>0.01*$P$75</f>
        <v>#DIV/0!</v>
      </c>
      <c r="AP25" s="79" t="e">
        <f>0.01*$P$76</f>
        <v>#DIV/0!</v>
      </c>
      <c r="AQ25" s="79" t="e">
        <f>0.01*$P$77</f>
        <v>#DIV/0!</v>
      </c>
      <c r="AR25" s="79" t="e">
        <f>0.01*$P$78</f>
        <v>#DIV/0!</v>
      </c>
      <c r="AS25" s="79" t="e">
        <f>0.01*$P$79</f>
        <v>#DIV/0!</v>
      </c>
      <c r="AT25" s="79" t="e">
        <f>0.01*$P$80</f>
        <v>#DIV/0!</v>
      </c>
      <c r="AU25" s="79" t="e">
        <f>0.01*$P$81</f>
        <v>#DIV/0!</v>
      </c>
      <c r="AV25" s="79" t="e">
        <f>0.01*$P$82</f>
        <v>#DIV/0!</v>
      </c>
      <c r="AW25" s="79" t="e">
        <f>0.01*$P$83</f>
        <v>#DIV/0!</v>
      </c>
      <c r="AX25" s="79" t="e">
        <f>0.01*$P$84</f>
        <v>#DIV/0!</v>
      </c>
      <c r="AY25" s="79" t="e">
        <f>0.01*$P$85</f>
        <v>#DIV/0!</v>
      </c>
      <c r="AZ25" s="79" t="e">
        <f>0.01*$P$87</f>
        <v>#DIV/0!</v>
      </c>
      <c r="BA25" s="8"/>
    </row>
    <row r="26" spans="1:59">
      <c r="A26" s="2">
        <v>2024</v>
      </c>
      <c r="B26" t="s">
        <v>244</v>
      </c>
      <c r="C26" s="79" t="e">
        <f>0.01*$Q$37</f>
        <v>#DIV/0!</v>
      </c>
      <c r="D26" s="79" t="e">
        <f>0.01*$Q$38</f>
        <v>#DIV/0!</v>
      </c>
      <c r="E26" s="79" t="e">
        <f>0.01*$Q$39</f>
        <v>#DIV/0!</v>
      </c>
      <c r="F26" s="79" t="e">
        <f>0.01*$Q$40</f>
        <v>#DIV/0!</v>
      </c>
      <c r="G26" s="79" t="e">
        <f>0.01*$Q$41</f>
        <v>#DIV/0!</v>
      </c>
      <c r="H26" s="79" t="e">
        <f>0.01*$Q$42</f>
        <v>#DIV/0!</v>
      </c>
      <c r="I26" s="79" t="e">
        <f>0.01*$Q$43</f>
        <v>#DIV/0!</v>
      </c>
      <c r="J26" s="79" t="e">
        <f>0.01*$Q$44</f>
        <v>#DIV/0!</v>
      </c>
      <c r="K26" s="79" t="e">
        <f>0.01*$Q$45</f>
        <v>#DIV/0!</v>
      </c>
      <c r="L26" s="79" t="e">
        <f>0.01*$Q$46</f>
        <v>#DIV/0!</v>
      </c>
      <c r="M26" s="79" t="e">
        <f>0.01*$Q$47</f>
        <v>#DIV/0!</v>
      </c>
      <c r="N26" s="79" t="e">
        <f>0.01*$Q$48</f>
        <v>#DIV/0!</v>
      </c>
      <c r="O26" s="79" t="e">
        <f>0.01*$Q$49</f>
        <v>#DIV/0!</v>
      </c>
      <c r="P26" s="79" t="e">
        <f>0.01*$Q$50</f>
        <v>#DIV/0!</v>
      </c>
      <c r="Q26" s="79" t="e">
        <f>0.01*$Q$51</f>
        <v>#DIV/0!</v>
      </c>
      <c r="R26" s="79" t="e">
        <f>0.01*$Q$52</f>
        <v>#DIV/0!</v>
      </c>
      <c r="S26" s="79" t="e">
        <f>0.01*$Q$53</f>
        <v>#DIV/0!</v>
      </c>
      <c r="T26" s="79" t="e">
        <f>0.01*$Q$54</f>
        <v>#DIV/0!</v>
      </c>
      <c r="U26" s="79" t="e">
        <f>0.01*$Q$55</f>
        <v>#DIV/0!</v>
      </c>
      <c r="V26" s="79" t="e">
        <f>0.01*$Q$56</f>
        <v>#DIV/0!</v>
      </c>
      <c r="W26" s="79" t="e">
        <f>0.01*$Q$57</f>
        <v>#DIV/0!</v>
      </c>
      <c r="X26" s="79" t="e">
        <f>0.01*$Q$58</f>
        <v>#DIV/0!</v>
      </c>
      <c r="Y26" s="79" t="e">
        <f>0.01*$Q$59</f>
        <v>#DIV/0!</v>
      </c>
      <c r="Z26" s="79" t="e">
        <f>0.01*$Q$60</f>
        <v>#DIV/0!</v>
      </c>
      <c r="AA26" s="79" t="e">
        <f>0.01*$Q$61</f>
        <v>#DIV/0!</v>
      </c>
      <c r="AB26" s="79" t="e">
        <f>0.01*$Q$62</f>
        <v>#DIV/0!</v>
      </c>
      <c r="AC26" s="79" t="e">
        <f>0.01*$Q$63</f>
        <v>#DIV/0!</v>
      </c>
      <c r="AD26" s="79" t="e">
        <f>0.01*$Q$64</f>
        <v>#DIV/0!</v>
      </c>
      <c r="AE26" s="79" t="e">
        <f>0.01*$Q$65</f>
        <v>#DIV/0!</v>
      </c>
      <c r="AF26" s="79" t="e">
        <f>0.01*$Q$66</f>
        <v>#DIV/0!</v>
      </c>
      <c r="AG26" s="79" t="e">
        <f>0.01*$Q$67</f>
        <v>#DIV/0!</v>
      </c>
      <c r="AH26" s="79" t="e">
        <f>0.01*$Q$68</f>
        <v>#DIV/0!</v>
      </c>
      <c r="AI26" s="79" t="e">
        <f>0.01*$Q$69</f>
        <v>#DIV/0!</v>
      </c>
      <c r="AJ26" s="79" t="e">
        <f>0.01*$Q$70</f>
        <v>#DIV/0!</v>
      </c>
      <c r="AK26" s="79" t="e">
        <f>0.01*$Q$71</f>
        <v>#DIV/0!</v>
      </c>
      <c r="AL26" s="79" t="e">
        <f>0.01*$Q$72</f>
        <v>#DIV/0!</v>
      </c>
      <c r="AM26" s="79" t="e">
        <f>0.01*$Q$73</f>
        <v>#DIV/0!</v>
      </c>
      <c r="AN26" s="79" t="e">
        <f>0.01*$Q$74</f>
        <v>#DIV/0!</v>
      </c>
      <c r="AO26" s="79" t="e">
        <f>0.01*$Q$75</f>
        <v>#DIV/0!</v>
      </c>
      <c r="AP26" s="79" t="e">
        <f>0.01*$Q$76</f>
        <v>#DIV/0!</v>
      </c>
      <c r="AQ26" s="79" t="e">
        <f>0.01*$Q$77</f>
        <v>#DIV/0!</v>
      </c>
      <c r="AR26" s="79" t="e">
        <f>0.01*$Q$78</f>
        <v>#DIV/0!</v>
      </c>
      <c r="AS26" s="79" t="e">
        <f>0.01*$Q$79</f>
        <v>#DIV/0!</v>
      </c>
      <c r="AT26" s="79" t="e">
        <f>0.01*$Q$80</f>
        <v>#DIV/0!</v>
      </c>
      <c r="AU26" s="79" t="e">
        <f>0.01*$Q$81</f>
        <v>#DIV/0!</v>
      </c>
      <c r="AV26" s="79" t="e">
        <f>0.01*$Q$82</f>
        <v>#DIV/0!</v>
      </c>
      <c r="AW26" s="79" t="e">
        <f>0.01*$Q$83</f>
        <v>#DIV/0!</v>
      </c>
      <c r="AX26" s="79" t="e">
        <f>0.01*$Q$84</f>
        <v>#DIV/0!</v>
      </c>
      <c r="AY26" s="79" t="e">
        <f>0.01*$Q$85</f>
        <v>#DIV/0!</v>
      </c>
      <c r="AZ26" s="79" t="e">
        <f>0.01*$Q$87</f>
        <v>#DIV/0!</v>
      </c>
      <c r="BA26" s="8"/>
    </row>
    <row r="27" spans="1:59">
      <c r="A27">
        <v>2025</v>
      </c>
      <c r="B27" t="s">
        <v>244</v>
      </c>
      <c r="C27" s="79" t="e">
        <f>0.01*$R$37</f>
        <v>#DIV/0!</v>
      </c>
      <c r="D27" s="79" t="e">
        <f>0.01*$R$38</f>
        <v>#DIV/0!</v>
      </c>
      <c r="E27" s="79" t="e">
        <f>0.01*$R$39</f>
        <v>#DIV/0!</v>
      </c>
      <c r="F27" s="79" t="e">
        <f>0.01*$R$40</f>
        <v>#DIV/0!</v>
      </c>
      <c r="G27" s="79" t="e">
        <f>0.01*$R$41</f>
        <v>#DIV/0!</v>
      </c>
      <c r="H27" s="79" t="e">
        <f>0.01*$R$42</f>
        <v>#DIV/0!</v>
      </c>
      <c r="I27" s="79" t="e">
        <f>0.01*$R$43</f>
        <v>#DIV/0!</v>
      </c>
      <c r="J27" s="79" t="e">
        <f>0.01*$R$44</f>
        <v>#DIV/0!</v>
      </c>
      <c r="K27" s="79" t="e">
        <f>0.01*$R$45</f>
        <v>#DIV/0!</v>
      </c>
      <c r="L27" s="79" t="e">
        <f>0.01*$R$46</f>
        <v>#DIV/0!</v>
      </c>
      <c r="M27" s="79" t="e">
        <f>0.01*$R$47</f>
        <v>#DIV/0!</v>
      </c>
      <c r="N27" s="79" t="e">
        <f>0.01*$R$48</f>
        <v>#DIV/0!</v>
      </c>
      <c r="O27" s="79" t="e">
        <f>0.01*$R$49</f>
        <v>#DIV/0!</v>
      </c>
      <c r="P27" s="79" t="e">
        <f>0.01*$R$50</f>
        <v>#DIV/0!</v>
      </c>
      <c r="Q27" s="79" t="e">
        <f>0.01*$R$51</f>
        <v>#DIV/0!</v>
      </c>
      <c r="R27" s="79" t="e">
        <f>0.01*$R$52</f>
        <v>#DIV/0!</v>
      </c>
      <c r="S27" s="79" t="e">
        <f>0.01*$R$53</f>
        <v>#DIV/0!</v>
      </c>
      <c r="T27" s="79" t="e">
        <f>0.01*$R$54</f>
        <v>#DIV/0!</v>
      </c>
      <c r="U27" s="79" t="e">
        <f>0.01*$R$55</f>
        <v>#DIV/0!</v>
      </c>
      <c r="V27" s="79" t="e">
        <f>0.01*$R$56</f>
        <v>#DIV/0!</v>
      </c>
      <c r="W27" s="79" t="e">
        <f>0.01*$R$57</f>
        <v>#DIV/0!</v>
      </c>
      <c r="X27" s="79" t="e">
        <f>0.01*$R$58</f>
        <v>#DIV/0!</v>
      </c>
      <c r="Y27" s="79" t="e">
        <f>0.01*$R$59</f>
        <v>#DIV/0!</v>
      </c>
      <c r="Z27" s="79" t="e">
        <f>0.01*$R$60</f>
        <v>#DIV/0!</v>
      </c>
      <c r="AA27" s="79" t="e">
        <f>0.01*$R$61</f>
        <v>#DIV/0!</v>
      </c>
      <c r="AB27" s="79" t="e">
        <f>0.01*$R$62</f>
        <v>#DIV/0!</v>
      </c>
      <c r="AC27" s="79" t="e">
        <f>0.01*$R$63</f>
        <v>#DIV/0!</v>
      </c>
      <c r="AD27" s="79" t="e">
        <f>0.01*$R$64</f>
        <v>#DIV/0!</v>
      </c>
      <c r="AE27" s="79" t="e">
        <f>0.01*$R$65</f>
        <v>#DIV/0!</v>
      </c>
      <c r="AF27" s="79" t="e">
        <f>0.01*$R$66</f>
        <v>#DIV/0!</v>
      </c>
      <c r="AG27" s="79" t="e">
        <f>0.01*$R$67</f>
        <v>#DIV/0!</v>
      </c>
      <c r="AH27" s="79" t="e">
        <f>0.01*$R$68</f>
        <v>#DIV/0!</v>
      </c>
      <c r="AI27" s="79" t="e">
        <f>0.01*$R$69</f>
        <v>#DIV/0!</v>
      </c>
      <c r="AJ27" s="79" t="e">
        <f>0.01*$R$70</f>
        <v>#DIV/0!</v>
      </c>
      <c r="AK27" s="79" t="e">
        <f>0.01*$R$71</f>
        <v>#DIV/0!</v>
      </c>
      <c r="AL27" s="79" t="e">
        <f>0.01*$R$72</f>
        <v>#DIV/0!</v>
      </c>
      <c r="AM27" s="79" t="e">
        <f>0.01*$R$73</f>
        <v>#DIV/0!</v>
      </c>
      <c r="AN27" s="79" t="e">
        <f>0.01*$R$74</f>
        <v>#DIV/0!</v>
      </c>
      <c r="AO27" s="79" t="e">
        <f>0.01*$R$75</f>
        <v>#DIV/0!</v>
      </c>
      <c r="AP27" s="79" t="e">
        <f>0.01*$R$76</f>
        <v>#DIV/0!</v>
      </c>
      <c r="AQ27" s="79" t="e">
        <f>0.01*$R$77</f>
        <v>#DIV/0!</v>
      </c>
      <c r="AR27" s="79" t="e">
        <f>0.01*$R$78</f>
        <v>#DIV/0!</v>
      </c>
      <c r="AS27" s="79" t="e">
        <f>0.01*$R$79</f>
        <v>#DIV/0!</v>
      </c>
      <c r="AT27" s="79" t="e">
        <f>0.01*$R$80</f>
        <v>#DIV/0!</v>
      </c>
      <c r="AU27" s="79" t="e">
        <f>0.01*$R$81</f>
        <v>#DIV/0!</v>
      </c>
      <c r="AV27" s="79" t="e">
        <f>0.01*$R$82</f>
        <v>#DIV/0!</v>
      </c>
      <c r="AW27" s="79" t="e">
        <f>0.01*$R$83</f>
        <v>#DIV/0!</v>
      </c>
      <c r="AX27" s="79" t="e">
        <f>0.01*$R$84</f>
        <v>#DIV/0!</v>
      </c>
      <c r="AY27" s="79" t="e">
        <f>0.01*$R$85</f>
        <v>#DIV/0!</v>
      </c>
      <c r="AZ27" s="79" t="e">
        <f>0.01*$R$87</f>
        <v>#DIV/0!</v>
      </c>
      <c r="BA27" s="8"/>
    </row>
    <row r="28" spans="1:59">
      <c r="A28" s="2"/>
      <c r="C28" s="79"/>
      <c r="D28" s="79"/>
      <c r="E28" s="79"/>
      <c r="F28" s="79"/>
      <c r="G28" s="79"/>
      <c r="H28" s="79"/>
    </row>
    <row r="29" spans="1:59">
      <c r="C29" s="79"/>
      <c r="D29" s="79"/>
      <c r="E29" s="79"/>
      <c r="F29" s="79"/>
      <c r="G29" s="79"/>
      <c r="H29" s="79"/>
    </row>
    <row r="30" spans="1:59">
      <c r="A30" s="2"/>
      <c r="C30" s="79"/>
      <c r="D30" s="79"/>
      <c r="E30" s="79"/>
      <c r="F30" s="79"/>
      <c r="G30" s="79"/>
      <c r="H30" s="79"/>
    </row>
    <row r="31" spans="1:59">
      <c r="C31" s="79"/>
      <c r="D31" s="79"/>
      <c r="E31" s="79"/>
      <c r="F31" s="79"/>
      <c r="G31" s="79"/>
      <c r="H31" s="79"/>
    </row>
    <row r="32" spans="1:59">
      <c r="A32" s="2"/>
      <c r="C32" s="79"/>
      <c r="D32" s="79"/>
      <c r="E32" s="79"/>
      <c r="F32" s="79"/>
      <c r="G32" s="79"/>
      <c r="H32" s="79"/>
    </row>
    <row r="33" spans="1:65">
      <c r="C33" s="79"/>
      <c r="D33" s="79"/>
      <c r="E33" s="79"/>
      <c r="F33" s="79"/>
      <c r="G33" s="79"/>
      <c r="H33" s="79"/>
      <c r="Q33" s="82"/>
      <c r="R33" s="82"/>
      <c r="S33" s="8"/>
      <c r="T33" s="8"/>
      <c r="U33" s="8"/>
      <c r="V33" s="8"/>
      <c r="BG33" s="57"/>
      <c r="BH33" s="57"/>
    </row>
    <row r="34" spans="1:65">
      <c r="Q34" s="82"/>
      <c r="R34" s="82"/>
      <c r="S34" s="82"/>
      <c r="T34" s="82"/>
      <c r="U34" s="82"/>
      <c r="V34" s="82"/>
    </row>
    <row r="35" spans="1:65" ht="23.65" thickBot="1">
      <c r="A35" s="355" t="s">
        <v>195</v>
      </c>
      <c r="B35" s="355"/>
      <c r="C35" s="59"/>
      <c r="D35" s="59"/>
      <c r="E35" s="59"/>
      <c r="F35" s="59"/>
      <c r="G35" s="59"/>
      <c r="H35" s="59"/>
      <c r="I35" s="59"/>
      <c r="J35" s="59"/>
      <c r="K35" s="59"/>
      <c r="L35" s="59"/>
      <c r="M35" s="59"/>
      <c r="N35" s="59"/>
      <c r="O35" s="59"/>
      <c r="P35" s="59"/>
      <c r="Q35" s="59"/>
      <c r="R35" s="59"/>
      <c r="S35" s="155"/>
      <c r="T35" s="321" t="s">
        <v>46</v>
      </c>
      <c r="U35" s="321"/>
      <c r="V35" s="155"/>
      <c r="W35" s="368" t="s">
        <v>245</v>
      </c>
      <c r="X35" s="368"/>
      <c r="Y35" s="368"/>
      <c r="Z35" s="368"/>
      <c r="AA35" s="368"/>
      <c r="AB35" s="368"/>
      <c r="AC35" s="368"/>
      <c r="AD35" s="368"/>
      <c r="AE35" s="368"/>
      <c r="AF35" s="368"/>
      <c r="AG35" s="368"/>
      <c r="AH35" s="368"/>
      <c r="AI35" s="368"/>
      <c r="AJ35" s="368"/>
      <c r="AK35" s="368"/>
      <c r="AL35" s="368"/>
      <c r="AM35" s="90"/>
      <c r="AN35" s="90"/>
      <c r="AQ35" s="11"/>
      <c r="AT35" s="90"/>
      <c r="AU35" s="90"/>
      <c r="AV35" s="90"/>
      <c r="AW35" s="90"/>
      <c r="AX35" s="90"/>
      <c r="AY35" s="90"/>
      <c r="AZ35" s="90"/>
      <c r="BA35" s="90"/>
      <c r="BB35" s="90"/>
      <c r="BC35" s="90"/>
      <c r="BD35" s="90"/>
      <c r="BE35" s="90"/>
      <c r="BF35" s="90"/>
      <c r="BG35" s="90"/>
      <c r="BH35" s="90"/>
      <c r="BI35" s="90"/>
      <c r="BJ35" s="90"/>
      <c r="BK35" s="90"/>
      <c r="BL35" s="90"/>
      <c r="BM35" s="90"/>
    </row>
    <row r="36" spans="1:65" ht="18">
      <c r="A36" s="81" t="s">
        <v>199</v>
      </c>
      <c r="B36" s="80" t="s">
        <v>210</v>
      </c>
      <c r="C36" s="150">
        <v>2010</v>
      </c>
      <c r="D36" s="150">
        <v>2011</v>
      </c>
      <c r="E36" s="150">
        <v>2012</v>
      </c>
      <c r="F36" s="150">
        <v>2013</v>
      </c>
      <c r="G36" s="150">
        <v>2014</v>
      </c>
      <c r="H36" s="150">
        <v>2015</v>
      </c>
      <c r="I36" s="150">
        <v>2016</v>
      </c>
      <c r="J36" s="150">
        <v>2017</v>
      </c>
      <c r="K36" s="150">
        <v>2018</v>
      </c>
      <c r="L36" s="150">
        <v>2019</v>
      </c>
      <c r="M36" s="150">
        <v>2020</v>
      </c>
      <c r="N36" s="150">
        <v>2021</v>
      </c>
      <c r="O36" s="150">
        <v>2022</v>
      </c>
      <c r="P36" s="150">
        <v>2023</v>
      </c>
      <c r="Q36" s="150">
        <v>2024</v>
      </c>
      <c r="R36" s="150">
        <v>2025</v>
      </c>
      <c r="S36" s="82"/>
      <c r="T36" s="319" t="s">
        <v>65</v>
      </c>
      <c r="U36" s="320"/>
      <c r="V36" s="82"/>
      <c r="W36" s="156">
        <v>2010</v>
      </c>
      <c r="X36" s="91">
        <v>2011</v>
      </c>
      <c r="Y36" s="91">
        <v>2012</v>
      </c>
      <c r="Z36" s="91">
        <v>2013</v>
      </c>
      <c r="AA36" s="91">
        <v>2014</v>
      </c>
      <c r="AB36" s="91">
        <v>2015</v>
      </c>
      <c r="AC36" s="91">
        <v>2016</v>
      </c>
      <c r="AD36" s="91">
        <v>2017</v>
      </c>
      <c r="AE36" s="91">
        <v>2018</v>
      </c>
      <c r="AF36" s="91">
        <v>2019</v>
      </c>
      <c r="AG36" s="91">
        <v>2020</v>
      </c>
      <c r="AH36" s="91">
        <v>2021</v>
      </c>
      <c r="AI36" s="91">
        <v>2022</v>
      </c>
      <c r="AJ36" s="91">
        <v>2023</v>
      </c>
      <c r="AK36" s="91">
        <v>2024</v>
      </c>
      <c r="AL36" s="91">
        <v>2025</v>
      </c>
      <c r="AM36" s="85"/>
      <c r="AN36" s="85"/>
      <c r="AQ36" s="11"/>
      <c r="AT36" s="85"/>
      <c r="AU36" s="85"/>
      <c r="AV36" s="85"/>
      <c r="AW36" s="85"/>
      <c r="AX36" s="85"/>
      <c r="AY36" s="85"/>
      <c r="AZ36" s="85"/>
      <c r="BA36" s="85"/>
      <c r="BB36" s="85"/>
      <c r="BC36" s="85"/>
      <c r="BD36" s="85"/>
      <c r="BE36" s="85"/>
      <c r="BF36" s="85"/>
      <c r="BG36" s="85"/>
      <c r="BH36" s="85"/>
      <c r="BI36" s="85"/>
      <c r="BJ36" s="85"/>
      <c r="BK36" s="85"/>
      <c r="BL36" s="85"/>
      <c r="BM36" s="85"/>
    </row>
    <row r="37" spans="1:65">
      <c r="A37" s="69" t="s">
        <v>159</v>
      </c>
      <c r="B37" s="71" t="s">
        <v>162</v>
      </c>
      <c r="C37" s="8">
        <v>32.6</v>
      </c>
      <c r="D37" s="8">
        <v>29.4</v>
      </c>
      <c r="E37" s="8">
        <v>28.4</v>
      </c>
      <c r="F37" s="8">
        <v>39.200000000000003</v>
      </c>
      <c r="G37" s="8">
        <v>40.700000000000003</v>
      </c>
      <c r="H37" s="8">
        <v>34.700000000000003</v>
      </c>
      <c r="I37" s="82" t="e">
        <f>1/0</f>
        <v>#DIV/0!</v>
      </c>
      <c r="J37" s="82" t="e">
        <f t="shared" ref="J37:R52" si="0">1/0</f>
        <v>#DIV/0!</v>
      </c>
      <c r="K37" s="82" t="e">
        <f t="shared" si="0"/>
        <v>#DIV/0!</v>
      </c>
      <c r="L37" s="82" t="e">
        <f t="shared" si="0"/>
        <v>#DIV/0!</v>
      </c>
      <c r="M37" s="82" t="e">
        <f t="shared" si="0"/>
        <v>#DIV/0!</v>
      </c>
      <c r="N37" s="82" t="e">
        <f t="shared" si="0"/>
        <v>#DIV/0!</v>
      </c>
      <c r="O37" s="82" t="e">
        <f t="shared" si="0"/>
        <v>#DIV/0!</v>
      </c>
      <c r="P37" s="82" t="e">
        <f t="shared" si="0"/>
        <v>#DIV/0!</v>
      </c>
      <c r="Q37" s="82" t="e">
        <f t="shared" si="0"/>
        <v>#DIV/0!</v>
      </c>
      <c r="R37" s="82" t="e">
        <f t="shared" si="0"/>
        <v>#DIV/0!</v>
      </c>
      <c r="S37" s="82"/>
      <c r="T37" s="56" t="s">
        <v>61</v>
      </c>
      <c r="U37" s="56" t="s">
        <v>62</v>
      </c>
      <c r="V37" s="82"/>
      <c r="W37" s="82">
        <f>$C$37</f>
        <v>32.6</v>
      </c>
      <c r="X37" s="82">
        <f>$D$37</f>
        <v>29.4</v>
      </c>
      <c r="Y37" s="82">
        <f>$E$37</f>
        <v>28.4</v>
      </c>
      <c r="Z37" s="82">
        <f>$F$37</f>
        <v>39.200000000000003</v>
      </c>
      <c r="AA37" s="82">
        <f>$G$37</f>
        <v>40.700000000000003</v>
      </c>
      <c r="AB37" s="82">
        <f>$H$37</f>
        <v>34.700000000000003</v>
      </c>
      <c r="AC37" s="82" t="e">
        <f>$I$37</f>
        <v>#DIV/0!</v>
      </c>
      <c r="AD37" s="82" t="e">
        <f>$J$37</f>
        <v>#DIV/0!</v>
      </c>
      <c r="AE37" s="82" t="e">
        <f>$K$37</f>
        <v>#DIV/0!</v>
      </c>
      <c r="AF37" s="82" t="e">
        <f>$L$37</f>
        <v>#DIV/0!</v>
      </c>
      <c r="AG37" s="82" t="e">
        <f>$M$37</f>
        <v>#DIV/0!</v>
      </c>
      <c r="AH37" s="82" t="e">
        <f>$N$37</f>
        <v>#DIV/0!</v>
      </c>
      <c r="AI37" s="82" t="e">
        <f>$O$37</f>
        <v>#DIV/0!</v>
      </c>
      <c r="AJ37" s="82" t="e">
        <f>$P$37</f>
        <v>#DIV/0!</v>
      </c>
      <c r="AK37" s="82" t="e">
        <f>$Q$37</f>
        <v>#DIV/0!</v>
      </c>
      <c r="AL37" s="82" t="e">
        <f>$R$37</f>
        <v>#DIV/0!</v>
      </c>
      <c r="AQ37" s="11"/>
    </row>
    <row r="38" spans="1:65">
      <c r="A38" s="68" t="s">
        <v>194</v>
      </c>
      <c r="B38" s="71" t="s">
        <v>188</v>
      </c>
      <c r="C38" s="8">
        <v>19.600000000000001</v>
      </c>
      <c r="D38" s="8">
        <v>11.5</v>
      </c>
      <c r="E38" s="8">
        <v>18.3</v>
      </c>
      <c r="F38" s="8">
        <v>18.600000000000001</v>
      </c>
      <c r="G38" s="8">
        <v>19.2</v>
      </c>
      <c r="H38" s="8">
        <v>23.5</v>
      </c>
      <c r="I38" s="82" t="e">
        <f t="shared" ref="I38:R76" si="1">1/0</f>
        <v>#DIV/0!</v>
      </c>
      <c r="J38" s="82" t="e">
        <f t="shared" si="0"/>
        <v>#DIV/0!</v>
      </c>
      <c r="K38" s="82" t="e">
        <f t="shared" si="0"/>
        <v>#DIV/0!</v>
      </c>
      <c r="L38" s="82" t="e">
        <f t="shared" si="0"/>
        <v>#DIV/0!</v>
      </c>
      <c r="M38" s="82" t="e">
        <f t="shared" si="0"/>
        <v>#DIV/0!</v>
      </c>
      <c r="N38" s="82" t="e">
        <f t="shared" si="0"/>
        <v>#DIV/0!</v>
      </c>
      <c r="O38" s="82" t="e">
        <f t="shared" si="0"/>
        <v>#DIV/0!</v>
      </c>
      <c r="P38" s="82" t="e">
        <f t="shared" si="0"/>
        <v>#DIV/0!</v>
      </c>
      <c r="Q38" s="82" t="e">
        <f t="shared" si="0"/>
        <v>#DIV/0!</v>
      </c>
      <c r="R38" s="82" t="e">
        <f t="shared" si="0"/>
        <v>#DIV/0!</v>
      </c>
      <c r="S38" s="82"/>
      <c r="T38" s="244" t="s">
        <v>392</v>
      </c>
      <c r="U38" s="244" t="s">
        <v>448</v>
      </c>
      <c r="V38" s="82"/>
      <c r="W38" s="82">
        <f>$C$38</f>
        <v>19.600000000000001</v>
      </c>
      <c r="X38" s="82">
        <f>$D$38</f>
        <v>11.5</v>
      </c>
      <c r="Y38" s="82">
        <f>$E$38</f>
        <v>18.3</v>
      </c>
      <c r="Z38" s="82">
        <f>$F$38</f>
        <v>18.600000000000001</v>
      </c>
      <c r="AA38" s="82">
        <f>$G$38</f>
        <v>19.2</v>
      </c>
      <c r="AB38" s="82">
        <f>$H$38</f>
        <v>23.5</v>
      </c>
      <c r="AC38" s="82" t="e">
        <f>$I$38</f>
        <v>#DIV/0!</v>
      </c>
      <c r="AD38" s="82" t="e">
        <f>$J$38</f>
        <v>#DIV/0!</v>
      </c>
      <c r="AE38" s="82" t="e">
        <f>$K$38</f>
        <v>#DIV/0!</v>
      </c>
      <c r="AF38" s="82" t="e">
        <f>$L$38</f>
        <v>#DIV/0!</v>
      </c>
      <c r="AG38" s="82" t="e">
        <f>$M$38</f>
        <v>#DIV/0!</v>
      </c>
      <c r="AH38" s="82" t="e">
        <f>$N$38</f>
        <v>#DIV/0!</v>
      </c>
      <c r="AI38" s="82" t="e">
        <f>$O$38</f>
        <v>#DIV/0!</v>
      </c>
      <c r="AJ38" s="82" t="e">
        <f>$P$38</f>
        <v>#DIV/0!</v>
      </c>
      <c r="AK38" s="82" t="e">
        <f>$Q$38</f>
        <v>#DIV/0!</v>
      </c>
      <c r="AL38" s="82" t="e">
        <f>$R$38</f>
        <v>#DIV/0!</v>
      </c>
      <c r="AQ38" s="11"/>
    </row>
    <row r="39" spans="1:65">
      <c r="A39" s="68" t="s">
        <v>189</v>
      </c>
      <c r="B39" t="s">
        <v>153</v>
      </c>
      <c r="C39" s="8">
        <v>31.1</v>
      </c>
      <c r="D39" s="8">
        <v>37.9</v>
      </c>
      <c r="E39" s="8">
        <v>33</v>
      </c>
      <c r="F39" s="8">
        <v>27.2</v>
      </c>
      <c r="G39" s="8">
        <v>29.5</v>
      </c>
      <c r="H39" s="8">
        <v>41.2</v>
      </c>
      <c r="I39" s="82" t="e">
        <f t="shared" si="1"/>
        <v>#DIV/0!</v>
      </c>
      <c r="J39" s="82" t="e">
        <f t="shared" si="0"/>
        <v>#DIV/0!</v>
      </c>
      <c r="K39" s="82" t="e">
        <f t="shared" si="0"/>
        <v>#DIV/0!</v>
      </c>
      <c r="L39" s="82" t="e">
        <f t="shared" si="0"/>
        <v>#DIV/0!</v>
      </c>
      <c r="M39" s="82" t="e">
        <f t="shared" si="0"/>
        <v>#DIV/0!</v>
      </c>
      <c r="N39" s="82" t="e">
        <f t="shared" si="0"/>
        <v>#DIV/0!</v>
      </c>
      <c r="O39" s="82" t="e">
        <f t="shared" si="0"/>
        <v>#DIV/0!</v>
      </c>
      <c r="P39" s="82" t="e">
        <f t="shared" si="0"/>
        <v>#DIV/0!</v>
      </c>
      <c r="Q39" s="82" t="e">
        <f t="shared" si="0"/>
        <v>#DIV/0!</v>
      </c>
      <c r="R39" s="82" t="e">
        <f t="shared" si="0"/>
        <v>#DIV/0!</v>
      </c>
      <c r="S39" s="82"/>
      <c r="T39" s="244" t="s">
        <v>393</v>
      </c>
      <c r="U39" s="244" t="s">
        <v>449</v>
      </c>
      <c r="V39" s="82"/>
      <c r="W39" s="82">
        <f>$C$39</f>
        <v>31.1</v>
      </c>
      <c r="X39" s="82">
        <f>$D$39</f>
        <v>37.9</v>
      </c>
      <c r="Y39" s="82">
        <f>$E$39</f>
        <v>33</v>
      </c>
      <c r="Z39" s="82">
        <f>$F$39</f>
        <v>27.2</v>
      </c>
      <c r="AA39" s="82">
        <f>$G$39</f>
        <v>29.5</v>
      </c>
      <c r="AB39" s="82">
        <f>$H$39</f>
        <v>41.2</v>
      </c>
      <c r="AC39" s="82" t="e">
        <f>$I$39</f>
        <v>#DIV/0!</v>
      </c>
      <c r="AD39" s="82" t="e">
        <f>$J$39</f>
        <v>#DIV/0!</v>
      </c>
      <c r="AE39" s="82" t="e">
        <f>$K$39</f>
        <v>#DIV/0!</v>
      </c>
      <c r="AF39" s="82" t="e">
        <f>$L$39</f>
        <v>#DIV/0!</v>
      </c>
      <c r="AG39" s="82" t="e">
        <f>$M$39</f>
        <v>#DIV/0!</v>
      </c>
      <c r="AH39" s="82" t="e">
        <f>$N$39</f>
        <v>#DIV/0!</v>
      </c>
      <c r="AI39" s="82" t="e">
        <f>$O$39</f>
        <v>#DIV/0!</v>
      </c>
      <c r="AJ39" s="82" t="e">
        <f>$P$39</f>
        <v>#DIV/0!</v>
      </c>
      <c r="AK39" s="82" t="e">
        <f>$Q$39</f>
        <v>#DIV/0!</v>
      </c>
      <c r="AL39" s="82" t="e">
        <f>$R$39</f>
        <v>#DIV/0!</v>
      </c>
      <c r="AQ39" s="11"/>
    </row>
    <row r="40" spans="1:65">
      <c r="A40" s="69" t="s">
        <v>184</v>
      </c>
      <c r="B40" s="71" t="s">
        <v>188</v>
      </c>
      <c r="C40" s="8">
        <v>19.3</v>
      </c>
      <c r="D40" s="8">
        <v>18.3</v>
      </c>
      <c r="E40" s="8">
        <v>12.9</v>
      </c>
      <c r="F40" s="8">
        <v>18</v>
      </c>
      <c r="G40" s="8">
        <v>26.7</v>
      </c>
      <c r="H40" s="8">
        <v>15.2</v>
      </c>
      <c r="I40" s="82" t="e">
        <f t="shared" si="1"/>
        <v>#DIV/0!</v>
      </c>
      <c r="J40" s="82" t="e">
        <f t="shared" si="0"/>
        <v>#DIV/0!</v>
      </c>
      <c r="K40" s="82" t="e">
        <f t="shared" si="0"/>
        <v>#DIV/0!</v>
      </c>
      <c r="L40" s="82" t="e">
        <f t="shared" si="0"/>
        <v>#DIV/0!</v>
      </c>
      <c r="M40" s="82" t="e">
        <f t="shared" si="0"/>
        <v>#DIV/0!</v>
      </c>
      <c r="N40" s="82" t="e">
        <f t="shared" si="0"/>
        <v>#DIV/0!</v>
      </c>
      <c r="O40" s="82" t="e">
        <f t="shared" si="0"/>
        <v>#DIV/0!</v>
      </c>
      <c r="P40" s="82" t="e">
        <f t="shared" si="0"/>
        <v>#DIV/0!</v>
      </c>
      <c r="Q40" s="82" t="e">
        <f t="shared" si="0"/>
        <v>#DIV/0!</v>
      </c>
      <c r="R40" s="82" t="e">
        <f t="shared" si="0"/>
        <v>#DIV/0!</v>
      </c>
      <c r="S40" s="82"/>
      <c r="T40" s="244" t="s">
        <v>394</v>
      </c>
      <c r="U40" s="244" t="s">
        <v>450</v>
      </c>
      <c r="V40" s="82"/>
      <c r="W40" s="82">
        <f>$C$40</f>
        <v>19.3</v>
      </c>
      <c r="X40" s="82">
        <f>$D$40</f>
        <v>18.3</v>
      </c>
      <c r="Y40" s="82">
        <f>$E$40</f>
        <v>12.9</v>
      </c>
      <c r="Z40" s="82">
        <f>$F$40</f>
        <v>18</v>
      </c>
      <c r="AA40" s="82">
        <f>$G$40</f>
        <v>26.7</v>
      </c>
      <c r="AB40" s="82">
        <f>$H$40</f>
        <v>15.2</v>
      </c>
      <c r="AC40" s="82" t="e">
        <f>$I$40</f>
        <v>#DIV/0!</v>
      </c>
      <c r="AD40" s="82" t="e">
        <f>$J$40</f>
        <v>#DIV/0!</v>
      </c>
      <c r="AE40" s="82" t="e">
        <f>$K$40</f>
        <v>#DIV/0!</v>
      </c>
      <c r="AF40" s="82" t="e">
        <f>$L$40</f>
        <v>#DIV/0!</v>
      </c>
      <c r="AG40" s="82" t="e">
        <f>$M$40</f>
        <v>#DIV/0!</v>
      </c>
      <c r="AH40" s="82" t="e">
        <f>$N$40</f>
        <v>#DIV/0!</v>
      </c>
      <c r="AI40" s="82" t="e">
        <f>$O$40</f>
        <v>#DIV/0!</v>
      </c>
      <c r="AJ40" s="82" t="e">
        <f>$P$40</f>
        <v>#DIV/0!</v>
      </c>
      <c r="AK40" s="82" t="e">
        <f>$Q$40</f>
        <v>#DIV/0!</v>
      </c>
      <c r="AL40" s="82" t="e">
        <f>$R$40</f>
        <v>#DIV/0!</v>
      </c>
      <c r="AQ40" s="11"/>
    </row>
    <row r="41" spans="1:65">
      <c r="A41" s="69" t="s">
        <v>182</v>
      </c>
      <c r="B41" s="71" t="s">
        <v>188</v>
      </c>
      <c r="C41" s="8">
        <v>26.2</v>
      </c>
      <c r="D41" s="8">
        <v>22</v>
      </c>
      <c r="E41" s="8">
        <v>22.2</v>
      </c>
      <c r="F41" s="8">
        <v>25.6</v>
      </c>
      <c r="G41" s="8">
        <v>22.7</v>
      </c>
      <c r="H41" s="8">
        <v>24.5</v>
      </c>
      <c r="I41" s="82" t="e">
        <f t="shared" si="1"/>
        <v>#DIV/0!</v>
      </c>
      <c r="J41" s="82" t="e">
        <f t="shared" si="0"/>
        <v>#DIV/0!</v>
      </c>
      <c r="K41" s="82" t="e">
        <f t="shared" si="0"/>
        <v>#DIV/0!</v>
      </c>
      <c r="L41" s="82" t="e">
        <f t="shared" si="0"/>
        <v>#DIV/0!</v>
      </c>
      <c r="M41" s="82" t="e">
        <f t="shared" si="0"/>
        <v>#DIV/0!</v>
      </c>
      <c r="N41" s="82" t="e">
        <f t="shared" si="0"/>
        <v>#DIV/0!</v>
      </c>
      <c r="O41" s="82" t="e">
        <f t="shared" si="0"/>
        <v>#DIV/0!</v>
      </c>
      <c r="P41" s="82" t="e">
        <f t="shared" si="0"/>
        <v>#DIV/0!</v>
      </c>
      <c r="Q41" s="82" t="e">
        <f t="shared" si="0"/>
        <v>#DIV/0!</v>
      </c>
      <c r="R41" s="82" t="e">
        <f t="shared" si="0"/>
        <v>#DIV/0!</v>
      </c>
      <c r="S41" s="82"/>
      <c r="T41" s="244" t="s">
        <v>434</v>
      </c>
      <c r="U41" s="244" t="s">
        <v>451</v>
      </c>
      <c r="V41" s="82"/>
      <c r="W41" s="82">
        <f>$C$41</f>
        <v>26.2</v>
      </c>
      <c r="X41" s="82">
        <f>$D$41</f>
        <v>22</v>
      </c>
      <c r="Y41" s="82">
        <f>$E$41</f>
        <v>22.2</v>
      </c>
      <c r="Z41" s="82">
        <f>$F$41</f>
        <v>25.6</v>
      </c>
      <c r="AA41" s="82">
        <f>$G$41</f>
        <v>22.7</v>
      </c>
      <c r="AB41" s="82">
        <f>$H$41</f>
        <v>24.5</v>
      </c>
      <c r="AC41" s="82" t="e">
        <f>$I$41</f>
        <v>#DIV/0!</v>
      </c>
      <c r="AD41" s="82" t="e">
        <f>$J$41</f>
        <v>#DIV/0!</v>
      </c>
      <c r="AE41" s="82" t="e">
        <f>$K$41</f>
        <v>#DIV/0!</v>
      </c>
      <c r="AF41" s="82" t="e">
        <f>$L$41</f>
        <v>#DIV/0!</v>
      </c>
      <c r="AG41" s="82" t="e">
        <f>$M$41</f>
        <v>#DIV/0!</v>
      </c>
      <c r="AH41" s="82" t="e">
        <f>$N$41</f>
        <v>#DIV/0!</v>
      </c>
      <c r="AI41" s="82" t="e">
        <f>$O$41</f>
        <v>#DIV/0!</v>
      </c>
      <c r="AJ41" s="82" t="e">
        <f>$P$41</f>
        <v>#DIV/0!</v>
      </c>
      <c r="AK41" s="82" t="e">
        <f>$Q$41</f>
        <v>#DIV/0!</v>
      </c>
      <c r="AL41" s="82" t="e">
        <f>$R$41</f>
        <v>#DIV/0!</v>
      </c>
      <c r="AQ41" s="11"/>
    </row>
    <row r="42" spans="1:65">
      <c r="A42" s="69" t="s">
        <v>141</v>
      </c>
      <c r="B42" t="s">
        <v>153</v>
      </c>
      <c r="C42" s="8">
        <v>43.6</v>
      </c>
      <c r="D42" s="8">
        <v>10.5</v>
      </c>
      <c r="E42" s="8">
        <v>24.4</v>
      </c>
      <c r="F42" s="8">
        <v>26</v>
      </c>
      <c r="G42" s="8">
        <v>27.3</v>
      </c>
      <c r="H42" s="8">
        <v>35.4</v>
      </c>
      <c r="I42" s="82" t="e">
        <f t="shared" si="1"/>
        <v>#DIV/0!</v>
      </c>
      <c r="J42" s="82" t="e">
        <f t="shared" si="0"/>
        <v>#DIV/0!</v>
      </c>
      <c r="K42" s="82" t="e">
        <f t="shared" si="0"/>
        <v>#DIV/0!</v>
      </c>
      <c r="L42" s="82" t="e">
        <f t="shared" si="0"/>
        <v>#DIV/0!</v>
      </c>
      <c r="M42" s="82" t="e">
        <f t="shared" si="0"/>
        <v>#DIV/0!</v>
      </c>
      <c r="N42" s="82" t="e">
        <f t="shared" si="0"/>
        <v>#DIV/0!</v>
      </c>
      <c r="O42" s="82" t="e">
        <f t="shared" si="0"/>
        <v>#DIV/0!</v>
      </c>
      <c r="P42" s="82" t="e">
        <f t="shared" si="0"/>
        <v>#DIV/0!</v>
      </c>
      <c r="Q42" s="82" t="e">
        <f t="shared" si="0"/>
        <v>#DIV/0!</v>
      </c>
      <c r="R42" s="82" t="e">
        <f t="shared" si="0"/>
        <v>#DIV/0!</v>
      </c>
      <c r="S42" s="82"/>
      <c r="T42" s="244" t="s">
        <v>435</v>
      </c>
      <c r="U42" s="244" t="s">
        <v>452</v>
      </c>
      <c r="V42" s="82"/>
      <c r="W42" s="82">
        <f>$C$42</f>
        <v>43.6</v>
      </c>
      <c r="X42" s="82">
        <f>$D$42</f>
        <v>10.5</v>
      </c>
      <c r="Y42" s="82">
        <f>$E$42</f>
        <v>24.4</v>
      </c>
      <c r="Z42" s="82">
        <f>$F$42</f>
        <v>26</v>
      </c>
      <c r="AA42" s="82">
        <f>$G$42</f>
        <v>27.3</v>
      </c>
      <c r="AB42" s="82">
        <f>$H$42</f>
        <v>35.4</v>
      </c>
      <c r="AC42" s="82" t="e">
        <f>$I$42</f>
        <v>#DIV/0!</v>
      </c>
      <c r="AD42" s="82" t="e">
        <f>$J$42</f>
        <v>#DIV/0!</v>
      </c>
      <c r="AE42" s="82" t="e">
        <f>$K$42</f>
        <v>#DIV/0!</v>
      </c>
      <c r="AF42" s="82" t="e">
        <f>$L$42</f>
        <v>#DIV/0!</v>
      </c>
      <c r="AG42" s="82" t="e">
        <f>$M$42</f>
        <v>#DIV/0!</v>
      </c>
      <c r="AH42" s="82" t="e">
        <f>$N$42</f>
        <v>#DIV/0!</v>
      </c>
      <c r="AI42" s="82" t="e">
        <f>$O$42</f>
        <v>#DIV/0!</v>
      </c>
      <c r="AJ42" s="82" t="e">
        <f>$P$42</f>
        <v>#DIV/0!</v>
      </c>
      <c r="AK42" s="82" t="e">
        <f>$Q$42</f>
        <v>#DIV/0!</v>
      </c>
      <c r="AL42" s="82" t="e">
        <f>$R$42</f>
        <v>#DIV/0!</v>
      </c>
    </row>
    <row r="43" spans="1:65">
      <c r="A43" s="69" t="s">
        <v>163</v>
      </c>
      <c r="B43" s="71" t="s">
        <v>178</v>
      </c>
      <c r="C43" s="8">
        <v>3.7</v>
      </c>
      <c r="D43" s="8">
        <v>10.6</v>
      </c>
      <c r="E43" s="8">
        <v>15.5</v>
      </c>
      <c r="F43" s="8">
        <v>28.6</v>
      </c>
      <c r="G43" s="8">
        <v>14.5</v>
      </c>
      <c r="H43" s="8">
        <v>21.4</v>
      </c>
      <c r="I43" s="82" t="e">
        <f t="shared" si="1"/>
        <v>#DIV/0!</v>
      </c>
      <c r="J43" s="82" t="e">
        <f t="shared" si="0"/>
        <v>#DIV/0!</v>
      </c>
      <c r="K43" s="82" t="e">
        <f t="shared" si="0"/>
        <v>#DIV/0!</v>
      </c>
      <c r="L43" s="82" t="e">
        <f t="shared" si="0"/>
        <v>#DIV/0!</v>
      </c>
      <c r="M43" s="82" t="e">
        <f t="shared" si="0"/>
        <v>#DIV/0!</v>
      </c>
      <c r="N43" s="82" t="e">
        <f t="shared" si="0"/>
        <v>#DIV/0!</v>
      </c>
      <c r="O43" s="82" t="e">
        <f t="shared" si="0"/>
        <v>#DIV/0!</v>
      </c>
      <c r="P43" s="82" t="e">
        <f t="shared" si="0"/>
        <v>#DIV/0!</v>
      </c>
      <c r="Q43" s="82" t="e">
        <f t="shared" si="0"/>
        <v>#DIV/0!</v>
      </c>
      <c r="R43" s="82" t="e">
        <f t="shared" si="0"/>
        <v>#DIV/0!</v>
      </c>
      <c r="S43" s="82"/>
      <c r="T43" s="244" t="s">
        <v>436</v>
      </c>
      <c r="U43" s="244" t="s">
        <v>453</v>
      </c>
      <c r="V43" s="82"/>
      <c r="W43" s="82">
        <f>$C$43</f>
        <v>3.7</v>
      </c>
      <c r="X43" s="82">
        <f>$D$43</f>
        <v>10.6</v>
      </c>
      <c r="Y43" s="82">
        <f>$E$43</f>
        <v>15.5</v>
      </c>
      <c r="Z43" s="82">
        <f>$F$43</f>
        <v>28.6</v>
      </c>
      <c r="AA43" s="82">
        <f>$G$43</f>
        <v>14.5</v>
      </c>
      <c r="AB43" s="82">
        <f>$H$43</f>
        <v>21.4</v>
      </c>
      <c r="AC43" s="82" t="e">
        <f>$I$43</f>
        <v>#DIV/0!</v>
      </c>
      <c r="AD43" s="82" t="e">
        <f>$J$43</f>
        <v>#DIV/0!</v>
      </c>
      <c r="AE43" s="82" t="e">
        <f>$K$43</f>
        <v>#DIV/0!</v>
      </c>
      <c r="AF43" s="82" t="e">
        <f>$L$43</f>
        <v>#DIV/0!</v>
      </c>
      <c r="AG43" s="82" t="e">
        <f>$M$43</f>
        <v>#DIV/0!</v>
      </c>
      <c r="AH43" s="82" t="e">
        <f>$N$43</f>
        <v>#DIV/0!</v>
      </c>
      <c r="AI43" s="82" t="e">
        <f>$O$43</f>
        <v>#DIV/0!</v>
      </c>
      <c r="AJ43" s="82" t="e">
        <f>$P$43</f>
        <v>#DIV/0!</v>
      </c>
      <c r="AK43" s="82" t="e">
        <f>$Q$43</f>
        <v>#DIV/0!</v>
      </c>
      <c r="AL43" s="82" t="e">
        <f>$R$43</f>
        <v>#DIV/0!</v>
      </c>
    </row>
    <row r="44" spans="1:65">
      <c r="A44" s="69" t="s">
        <v>164</v>
      </c>
      <c r="B44" s="71" t="s">
        <v>178</v>
      </c>
      <c r="C44" s="8">
        <v>26.2</v>
      </c>
      <c r="D44" s="8">
        <v>25.8</v>
      </c>
      <c r="E44" s="8">
        <v>25.5</v>
      </c>
      <c r="F44" s="8">
        <v>26.4</v>
      </c>
      <c r="G44" s="8">
        <v>33.200000000000003</v>
      </c>
      <c r="H44" s="8">
        <v>32.200000000000003</v>
      </c>
      <c r="I44" s="82" t="e">
        <f t="shared" si="1"/>
        <v>#DIV/0!</v>
      </c>
      <c r="J44" s="82" t="e">
        <f t="shared" si="0"/>
        <v>#DIV/0!</v>
      </c>
      <c r="K44" s="82" t="e">
        <f t="shared" si="0"/>
        <v>#DIV/0!</v>
      </c>
      <c r="L44" s="82" t="e">
        <f t="shared" si="0"/>
        <v>#DIV/0!</v>
      </c>
      <c r="M44" s="82" t="e">
        <f t="shared" si="0"/>
        <v>#DIV/0!</v>
      </c>
      <c r="N44" s="82" t="e">
        <f t="shared" si="0"/>
        <v>#DIV/0!</v>
      </c>
      <c r="O44" s="82" t="e">
        <f t="shared" si="0"/>
        <v>#DIV/0!</v>
      </c>
      <c r="P44" s="82" t="e">
        <f t="shared" si="0"/>
        <v>#DIV/0!</v>
      </c>
      <c r="Q44" s="82" t="e">
        <f t="shared" si="0"/>
        <v>#DIV/0!</v>
      </c>
      <c r="R44" s="82" t="e">
        <f t="shared" si="0"/>
        <v>#DIV/0!</v>
      </c>
      <c r="S44" s="82"/>
      <c r="T44" s="244" t="s">
        <v>437</v>
      </c>
      <c r="U44" s="245" t="s">
        <v>454</v>
      </c>
      <c r="V44" s="82"/>
      <c r="W44" s="82">
        <f>$C$44</f>
        <v>26.2</v>
      </c>
      <c r="X44" s="82">
        <f>$D$44</f>
        <v>25.8</v>
      </c>
      <c r="Y44" s="82">
        <f>$E$44</f>
        <v>25.5</v>
      </c>
      <c r="Z44" s="82">
        <f>$F$44</f>
        <v>26.4</v>
      </c>
      <c r="AA44" s="82">
        <f>$G$44</f>
        <v>33.200000000000003</v>
      </c>
      <c r="AB44" s="82">
        <f>$H$44</f>
        <v>32.200000000000003</v>
      </c>
      <c r="AC44" s="82" t="e">
        <f>$I$44</f>
        <v>#DIV/0!</v>
      </c>
      <c r="AD44" s="82" t="e">
        <f>$J$44</f>
        <v>#DIV/0!</v>
      </c>
      <c r="AE44" s="82" t="e">
        <f>$K$44</f>
        <v>#DIV/0!</v>
      </c>
      <c r="AF44" s="82" t="e">
        <f>$L$44</f>
        <v>#DIV/0!</v>
      </c>
      <c r="AG44" s="82" t="e">
        <f>$M$44</f>
        <v>#DIV/0!</v>
      </c>
      <c r="AH44" s="82" t="e">
        <f>$N$44</f>
        <v>#DIV/0!</v>
      </c>
      <c r="AI44" s="82" t="e">
        <f>$O$44</f>
        <v>#DIV/0!</v>
      </c>
      <c r="AJ44" s="82" t="e">
        <f>$P$44</f>
        <v>#DIV/0!</v>
      </c>
      <c r="AK44" s="82" t="e">
        <f>$Q$44</f>
        <v>#DIV/0!</v>
      </c>
      <c r="AL44" s="82" t="e">
        <f>$R$44</f>
        <v>#DIV/0!</v>
      </c>
    </row>
    <row r="45" spans="1:65">
      <c r="A45" s="69" t="s">
        <v>143</v>
      </c>
      <c r="B45" t="s">
        <v>153</v>
      </c>
      <c r="C45" s="8">
        <v>33</v>
      </c>
      <c r="D45" s="8">
        <v>40</v>
      </c>
      <c r="E45" s="8">
        <v>36.1</v>
      </c>
      <c r="F45" s="8">
        <v>31.7</v>
      </c>
      <c r="G45" s="8">
        <v>31.4</v>
      </c>
      <c r="H45" s="8">
        <v>53.2</v>
      </c>
      <c r="I45" s="82" t="e">
        <f t="shared" si="1"/>
        <v>#DIV/0!</v>
      </c>
      <c r="J45" s="82" t="e">
        <f t="shared" si="0"/>
        <v>#DIV/0!</v>
      </c>
      <c r="K45" s="82" t="e">
        <f t="shared" si="0"/>
        <v>#DIV/0!</v>
      </c>
      <c r="L45" s="82" t="e">
        <f t="shared" si="0"/>
        <v>#DIV/0!</v>
      </c>
      <c r="M45" s="82" t="e">
        <f t="shared" si="0"/>
        <v>#DIV/0!</v>
      </c>
      <c r="N45" s="82" t="e">
        <f t="shared" si="0"/>
        <v>#DIV/0!</v>
      </c>
      <c r="O45" s="82" t="e">
        <f t="shared" si="0"/>
        <v>#DIV/0!</v>
      </c>
      <c r="P45" s="82" t="e">
        <f t="shared" si="0"/>
        <v>#DIV/0!</v>
      </c>
      <c r="Q45" s="82" t="e">
        <f t="shared" si="0"/>
        <v>#DIV/0!</v>
      </c>
      <c r="R45" s="82" t="e">
        <f t="shared" si="0"/>
        <v>#DIV/0!</v>
      </c>
      <c r="S45" s="82"/>
      <c r="T45" s="244" t="s">
        <v>438</v>
      </c>
      <c r="U45" s="244" t="s">
        <v>455</v>
      </c>
      <c r="V45" s="82"/>
      <c r="W45" s="82">
        <f>$C$45</f>
        <v>33</v>
      </c>
      <c r="X45" s="82">
        <f>$D$45</f>
        <v>40</v>
      </c>
      <c r="Y45" s="82">
        <f>$E$45</f>
        <v>36.1</v>
      </c>
      <c r="Z45" s="82">
        <f>$F$45</f>
        <v>31.7</v>
      </c>
      <c r="AA45" s="82">
        <f>$G$45</f>
        <v>31.4</v>
      </c>
      <c r="AB45" s="82">
        <f>$H$45</f>
        <v>53.2</v>
      </c>
      <c r="AC45" s="82" t="e">
        <f>$I$45</f>
        <v>#DIV/0!</v>
      </c>
      <c r="AD45" s="82" t="e">
        <f>$J$45</f>
        <v>#DIV/0!</v>
      </c>
      <c r="AE45" s="82" t="e">
        <f>$K$45</f>
        <v>#DIV/0!</v>
      </c>
      <c r="AF45" s="82" t="e">
        <f>$L$45</f>
        <v>#DIV/0!</v>
      </c>
      <c r="AG45" s="82" t="e">
        <f>$M$45</f>
        <v>#DIV/0!</v>
      </c>
      <c r="AH45" s="82" t="e">
        <f>$N$45</f>
        <v>#DIV/0!</v>
      </c>
      <c r="AI45" s="82" t="e">
        <f>$O$45</f>
        <v>#DIV/0!</v>
      </c>
      <c r="AJ45" s="82" t="e">
        <f>$P$45</f>
        <v>#DIV/0!</v>
      </c>
      <c r="AK45" s="82" t="e">
        <f>$Q$45</f>
        <v>#DIV/0!</v>
      </c>
      <c r="AL45" s="82" t="e">
        <f>$R$45</f>
        <v>#DIV/0!</v>
      </c>
    </row>
    <row r="46" spans="1:65">
      <c r="A46" s="69" t="s">
        <v>165</v>
      </c>
      <c r="B46" s="71" t="s">
        <v>178</v>
      </c>
      <c r="C46" s="8">
        <v>21.3</v>
      </c>
      <c r="D46" s="8">
        <v>24.2</v>
      </c>
      <c r="E46" s="8">
        <v>28.4</v>
      </c>
      <c r="F46" s="8">
        <v>22.6</v>
      </c>
      <c r="G46" s="8">
        <v>22.2</v>
      </c>
      <c r="H46" s="8">
        <v>19.399999999999999</v>
      </c>
      <c r="I46" s="82" t="e">
        <f t="shared" si="1"/>
        <v>#DIV/0!</v>
      </c>
      <c r="J46" s="82" t="e">
        <f t="shared" si="0"/>
        <v>#DIV/0!</v>
      </c>
      <c r="K46" s="82" t="e">
        <f t="shared" si="0"/>
        <v>#DIV/0!</v>
      </c>
      <c r="L46" s="82" t="e">
        <f t="shared" si="0"/>
        <v>#DIV/0!</v>
      </c>
      <c r="M46" s="82" t="e">
        <f t="shared" si="0"/>
        <v>#DIV/0!</v>
      </c>
      <c r="N46" s="82" t="e">
        <f t="shared" si="0"/>
        <v>#DIV/0!</v>
      </c>
      <c r="O46" s="82" t="e">
        <f t="shared" si="0"/>
        <v>#DIV/0!</v>
      </c>
      <c r="P46" s="82" t="e">
        <f t="shared" si="0"/>
        <v>#DIV/0!</v>
      </c>
      <c r="Q46" s="82" t="e">
        <f t="shared" si="0"/>
        <v>#DIV/0!</v>
      </c>
      <c r="R46" s="82" t="e">
        <f t="shared" si="0"/>
        <v>#DIV/0!</v>
      </c>
      <c r="S46" s="82"/>
      <c r="T46" s="245" t="s">
        <v>439</v>
      </c>
      <c r="U46" s="244" t="s">
        <v>456</v>
      </c>
      <c r="V46" s="96"/>
      <c r="W46" s="82">
        <f>$C$46</f>
        <v>21.3</v>
      </c>
      <c r="X46" s="82">
        <f>$D$46</f>
        <v>24.2</v>
      </c>
      <c r="Y46" s="82">
        <f>$E$46</f>
        <v>28.4</v>
      </c>
      <c r="Z46" s="82">
        <f>$F$46</f>
        <v>22.6</v>
      </c>
      <c r="AA46" s="82">
        <f>$G$46</f>
        <v>22.2</v>
      </c>
      <c r="AB46" s="82">
        <f>$H$46</f>
        <v>19.399999999999999</v>
      </c>
      <c r="AC46" s="82" t="e">
        <f>$I$46</f>
        <v>#DIV/0!</v>
      </c>
      <c r="AD46" s="82" t="e">
        <f>$J$46</f>
        <v>#DIV/0!</v>
      </c>
      <c r="AE46" s="82" t="e">
        <f>$K$46</f>
        <v>#DIV/0!</v>
      </c>
      <c r="AF46" s="82" t="e">
        <f>$L$46</f>
        <v>#DIV/0!</v>
      </c>
      <c r="AG46" s="82" t="e">
        <f>$M$46</f>
        <v>#DIV/0!</v>
      </c>
      <c r="AH46" s="82" t="e">
        <f>$N$46</f>
        <v>#DIV/0!</v>
      </c>
      <c r="AI46" s="82" t="e">
        <f>$O$46</f>
        <v>#DIV/0!</v>
      </c>
      <c r="AJ46" s="82" t="e">
        <f>$P$46</f>
        <v>#DIV/0!</v>
      </c>
      <c r="AK46" s="82" t="e">
        <f>$Q$46</f>
        <v>#DIV/0!</v>
      </c>
      <c r="AL46" s="82" t="e">
        <f>$R$46</f>
        <v>#DIV/0!</v>
      </c>
    </row>
    <row r="47" spans="1:65">
      <c r="A47" s="69" t="s">
        <v>166</v>
      </c>
      <c r="B47" s="71" t="s">
        <v>178</v>
      </c>
      <c r="C47" s="8">
        <v>29.1</v>
      </c>
      <c r="D47" s="8">
        <v>41.7</v>
      </c>
      <c r="E47" s="8">
        <v>43.1</v>
      </c>
      <c r="F47" s="8">
        <v>37.5</v>
      </c>
      <c r="G47" s="8">
        <v>35.5</v>
      </c>
      <c r="H47" s="8">
        <v>21.7</v>
      </c>
      <c r="I47" s="82" t="e">
        <f t="shared" si="1"/>
        <v>#DIV/0!</v>
      </c>
      <c r="J47" s="82" t="e">
        <f t="shared" si="0"/>
        <v>#DIV/0!</v>
      </c>
      <c r="K47" s="82" t="e">
        <f>1/0</f>
        <v>#DIV/0!</v>
      </c>
      <c r="L47" s="82" t="e">
        <f t="shared" si="0"/>
        <v>#DIV/0!</v>
      </c>
      <c r="M47" s="82" t="e">
        <f t="shared" si="0"/>
        <v>#DIV/0!</v>
      </c>
      <c r="N47" s="82" t="e">
        <f t="shared" si="0"/>
        <v>#DIV/0!</v>
      </c>
      <c r="O47" s="82" t="e">
        <f t="shared" si="0"/>
        <v>#DIV/0!</v>
      </c>
      <c r="P47" s="82" t="e">
        <f t="shared" si="0"/>
        <v>#DIV/0!</v>
      </c>
      <c r="Q47" s="82" t="e">
        <f t="shared" si="0"/>
        <v>#DIV/0!</v>
      </c>
      <c r="R47" s="82" t="e">
        <f t="shared" si="0"/>
        <v>#DIV/0!</v>
      </c>
      <c r="S47" s="82"/>
      <c r="T47" s="244" t="s">
        <v>440</v>
      </c>
      <c r="U47" s="244" t="s">
        <v>457</v>
      </c>
      <c r="V47" s="96"/>
      <c r="W47" s="82">
        <f>$C$47</f>
        <v>29.1</v>
      </c>
      <c r="X47" s="82">
        <f>$D$47</f>
        <v>41.7</v>
      </c>
      <c r="Y47" s="82">
        <f>$E$47</f>
        <v>43.1</v>
      </c>
      <c r="Z47" s="82">
        <f>$F$47</f>
        <v>37.5</v>
      </c>
      <c r="AA47" s="82">
        <f>$G$47</f>
        <v>35.5</v>
      </c>
      <c r="AB47" s="82">
        <f>$H$47</f>
        <v>21.7</v>
      </c>
      <c r="AC47" s="82" t="e">
        <f>$I$47</f>
        <v>#DIV/0!</v>
      </c>
      <c r="AD47" s="82" t="e">
        <f>$J$47</f>
        <v>#DIV/0!</v>
      </c>
      <c r="AE47" s="82" t="e">
        <f>$K$47</f>
        <v>#DIV/0!</v>
      </c>
      <c r="AF47" s="82" t="e">
        <f>$L$47</f>
        <v>#DIV/0!</v>
      </c>
      <c r="AG47" s="82" t="e">
        <f>$M$47</f>
        <v>#DIV/0!</v>
      </c>
      <c r="AH47" s="82" t="e">
        <f>$N$47</f>
        <v>#DIV/0!</v>
      </c>
      <c r="AI47" s="82" t="e">
        <f>$O$47</f>
        <v>#DIV/0!</v>
      </c>
      <c r="AJ47" s="82" t="e">
        <f>$P$47</f>
        <v>#DIV/0!</v>
      </c>
      <c r="AK47" s="82" t="e">
        <f>$Q$47</f>
        <v>#DIV/0!</v>
      </c>
      <c r="AL47" s="82" t="e">
        <f>$R$47</f>
        <v>#DIV/0!</v>
      </c>
    </row>
    <row r="48" spans="1:65">
      <c r="A48" s="69" t="s">
        <v>154</v>
      </c>
      <c r="B48" s="71" t="s">
        <v>158</v>
      </c>
      <c r="C48" s="8">
        <v>27.5</v>
      </c>
      <c r="D48" s="8">
        <v>30</v>
      </c>
      <c r="E48" s="8">
        <v>32</v>
      </c>
      <c r="F48" s="8">
        <v>34.6</v>
      </c>
      <c r="G48" s="8">
        <v>31.2</v>
      </c>
      <c r="H48" s="8">
        <v>33.4</v>
      </c>
      <c r="I48" s="82" t="e">
        <f t="shared" si="1"/>
        <v>#DIV/0!</v>
      </c>
      <c r="J48" s="82" t="e">
        <f t="shared" si="0"/>
        <v>#DIV/0!</v>
      </c>
      <c r="K48" s="82" t="e">
        <f t="shared" si="0"/>
        <v>#DIV/0!</v>
      </c>
      <c r="L48" s="82" t="e">
        <f t="shared" si="0"/>
        <v>#DIV/0!</v>
      </c>
      <c r="M48" s="82" t="e">
        <f t="shared" si="0"/>
        <v>#DIV/0!</v>
      </c>
      <c r="N48" s="82" t="e">
        <f t="shared" si="0"/>
        <v>#DIV/0!</v>
      </c>
      <c r="O48" s="82" t="e">
        <f t="shared" si="0"/>
        <v>#DIV/0!</v>
      </c>
      <c r="P48" s="82" t="e">
        <f t="shared" si="0"/>
        <v>#DIV/0!</v>
      </c>
      <c r="Q48" s="82" t="e">
        <f t="shared" si="0"/>
        <v>#DIV/0!</v>
      </c>
      <c r="R48" s="82" t="e">
        <f t="shared" si="0"/>
        <v>#DIV/0!</v>
      </c>
      <c r="S48" s="82"/>
      <c r="T48" s="244" t="s">
        <v>441</v>
      </c>
      <c r="U48" s="244" t="s">
        <v>458</v>
      </c>
      <c r="V48" s="96"/>
      <c r="W48" s="82">
        <f>$C$48</f>
        <v>27.5</v>
      </c>
      <c r="X48" s="82">
        <f>$D$48</f>
        <v>30</v>
      </c>
      <c r="Y48" s="82">
        <f>$E$48</f>
        <v>32</v>
      </c>
      <c r="Z48" s="82">
        <f>$F$48</f>
        <v>34.6</v>
      </c>
      <c r="AA48" s="82">
        <f>$G$48</f>
        <v>31.2</v>
      </c>
      <c r="AB48" s="82">
        <f>$H$48</f>
        <v>33.4</v>
      </c>
      <c r="AC48" s="82" t="e">
        <f>$I$48</f>
        <v>#DIV/0!</v>
      </c>
      <c r="AD48" s="82" t="e">
        <f>$J$48</f>
        <v>#DIV/0!</v>
      </c>
      <c r="AE48" s="82" t="e">
        <f>$K$48</f>
        <v>#DIV/0!</v>
      </c>
      <c r="AF48" s="82" t="e">
        <f>$L$48</f>
        <v>#DIV/0!</v>
      </c>
      <c r="AG48" s="82" t="e">
        <f>$M$48</f>
        <v>#DIV/0!</v>
      </c>
      <c r="AH48" s="82" t="e">
        <f>$N$48</f>
        <v>#DIV/0!</v>
      </c>
      <c r="AI48" s="82" t="e">
        <f>$O$48</f>
        <v>#DIV/0!</v>
      </c>
      <c r="AJ48" s="82" t="e">
        <f>$P$48</f>
        <v>#DIV/0!</v>
      </c>
      <c r="AK48" s="82" t="e">
        <f>$Q$48</f>
        <v>#DIV/0!</v>
      </c>
      <c r="AL48" s="82" t="e">
        <f>$R$48</f>
        <v>#DIV/0!</v>
      </c>
    </row>
    <row r="49" spans="1:38">
      <c r="A49" s="69" t="s">
        <v>167</v>
      </c>
      <c r="B49" s="71" t="s">
        <v>178</v>
      </c>
      <c r="C49" s="8">
        <v>13.2</v>
      </c>
      <c r="D49" s="8">
        <v>17.399999999999999</v>
      </c>
      <c r="E49" s="8">
        <v>25.9</v>
      </c>
      <c r="F49" s="8">
        <v>21.2</v>
      </c>
      <c r="G49" s="8">
        <v>18.5</v>
      </c>
      <c r="H49" s="8">
        <v>21.3</v>
      </c>
      <c r="I49" s="82" t="e">
        <f t="shared" si="1"/>
        <v>#DIV/0!</v>
      </c>
      <c r="J49" s="82" t="e">
        <f t="shared" si="0"/>
        <v>#DIV/0!</v>
      </c>
      <c r="K49" s="82" t="e">
        <f t="shared" si="0"/>
        <v>#DIV/0!</v>
      </c>
      <c r="L49" s="82" t="e">
        <f t="shared" si="0"/>
        <v>#DIV/0!</v>
      </c>
      <c r="M49" s="82" t="e">
        <f t="shared" si="0"/>
        <v>#DIV/0!</v>
      </c>
      <c r="N49" s="82" t="e">
        <f t="shared" si="0"/>
        <v>#DIV/0!</v>
      </c>
      <c r="O49" s="82" t="e">
        <f t="shared" si="0"/>
        <v>#DIV/0!</v>
      </c>
      <c r="P49" s="82" t="e">
        <f t="shared" si="0"/>
        <v>#DIV/0!</v>
      </c>
      <c r="Q49" s="82" t="e">
        <f t="shared" si="0"/>
        <v>#DIV/0!</v>
      </c>
      <c r="R49" s="82" t="e">
        <f t="shared" si="0"/>
        <v>#DIV/0!</v>
      </c>
      <c r="S49" s="82"/>
      <c r="T49" s="244" t="s">
        <v>442</v>
      </c>
      <c r="U49" s="244" t="s">
        <v>459</v>
      </c>
      <c r="V49" s="96"/>
      <c r="W49" s="82">
        <f>$C$49</f>
        <v>13.2</v>
      </c>
      <c r="X49" s="82">
        <f>$D$49</f>
        <v>17.399999999999999</v>
      </c>
      <c r="Y49" s="82">
        <f>$E$49</f>
        <v>25.9</v>
      </c>
      <c r="Z49" s="82">
        <f>$F$49</f>
        <v>21.2</v>
      </c>
      <c r="AA49" s="82">
        <f>$G$49</f>
        <v>18.5</v>
      </c>
      <c r="AB49" s="82">
        <f>$H$49</f>
        <v>21.3</v>
      </c>
      <c r="AC49" s="82" t="e">
        <f>$I$49</f>
        <v>#DIV/0!</v>
      </c>
      <c r="AD49" s="82" t="e">
        <f>$J$49</f>
        <v>#DIV/0!</v>
      </c>
      <c r="AE49" s="82" t="e">
        <f>$K$49</f>
        <v>#DIV/0!</v>
      </c>
      <c r="AF49" s="82" t="e">
        <f>$L$49</f>
        <v>#DIV/0!</v>
      </c>
      <c r="AG49" s="82" t="e">
        <f>$M$49</f>
        <v>#DIV/0!</v>
      </c>
      <c r="AH49" s="82" t="e">
        <f>$N$49</f>
        <v>#DIV/0!</v>
      </c>
      <c r="AI49" s="82" t="e">
        <f>$O$49</f>
        <v>#DIV/0!</v>
      </c>
      <c r="AJ49" s="82" t="e">
        <f>$P$49</f>
        <v>#DIV/0!</v>
      </c>
      <c r="AK49" s="82" t="e">
        <f>$Q$49</f>
        <v>#DIV/0!</v>
      </c>
      <c r="AL49" s="82" t="e">
        <f>$R$49</f>
        <v>#DIV/0!</v>
      </c>
    </row>
    <row r="50" spans="1:38">
      <c r="A50" s="69" t="s">
        <v>181</v>
      </c>
      <c r="B50" s="71" t="s">
        <v>188</v>
      </c>
      <c r="C50" s="8">
        <v>23.1</v>
      </c>
      <c r="D50" s="8">
        <v>16.3</v>
      </c>
      <c r="E50" s="8">
        <v>23.1</v>
      </c>
      <c r="F50" s="8">
        <v>21.2</v>
      </c>
      <c r="G50" s="8">
        <v>23.3</v>
      </c>
      <c r="H50" s="8">
        <v>19.8</v>
      </c>
      <c r="I50" s="82" t="e">
        <f t="shared" si="1"/>
        <v>#DIV/0!</v>
      </c>
      <c r="J50" s="82" t="e">
        <f t="shared" si="0"/>
        <v>#DIV/0!</v>
      </c>
      <c r="K50" s="82" t="e">
        <f t="shared" si="0"/>
        <v>#DIV/0!</v>
      </c>
      <c r="L50" s="82" t="e">
        <f t="shared" si="0"/>
        <v>#DIV/0!</v>
      </c>
      <c r="M50" s="82" t="e">
        <f t="shared" si="0"/>
        <v>#DIV/0!</v>
      </c>
      <c r="N50" s="82" t="e">
        <f t="shared" si="0"/>
        <v>#DIV/0!</v>
      </c>
      <c r="O50" s="82" t="e">
        <f t="shared" si="0"/>
        <v>#DIV/0!</v>
      </c>
      <c r="P50" s="82" t="e">
        <f t="shared" si="0"/>
        <v>#DIV/0!</v>
      </c>
      <c r="Q50" s="82" t="e">
        <f t="shared" si="0"/>
        <v>#DIV/0!</v>
      </c>
      <c r="R50" s="82" t="e">
        <f t="shared" si="0"/>
        <v>#DIV/0!</v>
      </c>
      <c r="S50" s="82"/>
      <c r="T50" s="244" t="s">
        <v>443</v>
      </c>
      <c r="U50" s="244" t="s">
        <v>460</v>
      </c>
      <c r="V50" s="96"/>
      <c r="W50" s="82">
        <f>$C$50</f>
        <v>23.1</v>
      </c>
      <c r="X50" s="82">
        <f>$D$50</f>
        <v>16.3</v>
      </c>
      <c r="Y50" s="82">
        <f>$E$50</f>
        <v>23.1</v>
      </c>
      <c r="Z50" s="82">
        <f>$F$50</f>
        <v>21.2</v>
      </c>
      <c r="AA50" s="82">
        <f>$G$50</f>
        <v>23.3</v>
      </c>
      <c r="AB50" s="82">
        <f>$H$50</f>
        <v>19.8</v>
      </c>
      <c r="AC50" s="82" t="e">
        <f>$I$50</f>
        <v>#DIV/0!</v>
      </c>
      <c r="AD50" s="82" t="e">
        <f>$J$50</f>
        <v>#DIV/0!</v>
      </c>
      <c r="AE50" s="82" t="e">
        <f>$K$50</f>
        <v>#DIV/0!</v>
      </c>
      <c r="AF50" s="82" t="e">
        <f>$L$50</f>
        <v>#DIV/0!</v>
      </c>
      <c r="AG50" s="82" t="e">
        <f>$M$50</f>
        <v>#DIV/0!</v>
      </c>
      <c r="AH50" s="82" t="e">
        <f>$N$50</f>
        <v>#DIV/0!</v>
      </c>
      <c r="AI50" s="82" t="e">
        <f>$O$50</f>
        <v>#DIV/0!</v>
      </c>
      <c r="AJ50" s="82" t="e">
        <f>$P$50</f>
        <v>#DIV/0!</v>
      </c>
      <c r="AK50" s="82" t="e">
        <f>$Q$50</f>
        <v>#DIV/0!</v>
      </c>
      <c r="AL50" s="82" t="e">
        <f>$R$50</f>
        <v>#DIV/0!</v>
      </c>
    </row>
    <row r="51" spans="1:38">
      <c r="A51" s="69" t="s">
        <v>168</v>
      </c>
      <c r="B51" s="71" t="s">
        <v>178</v>
      </c>
      <c r="C51" s="8">
        <v>15.8</v>
      </c>
      <c r="D51" s="8">
        <v>26.1</v>
      </c>
      <c r="E51" s="8">
        <v>32</v>
      </c>
      <c r="F51" s="8">
        <v>14.8</v>
      </c>
      <c r="G51" s="8">
        <v>14.9</v>
      </c>
      <c r="H51" s="8">
        <v>19.100000000000001</v>
      </c>
      <c r="I51" s="82" t="e">
        <f t="shared" si="1"/>
        <v>#DIV/0!</v>
      </c>
      <c r="J51" s="82" t="e">
        <f t="shared" si="0"/>
        <v>#DIV/0!</v>
      </c>
      <c r="K51" s="82" t="e">
        <f t="shared" si="0"/>
        <v>#DIV/0!</v>
      </c>
      <c r="L51" s="82" t="e">
        <f t="shared" si="0"/>
        <v>#DIV/0!</v>
      </c>
      <c r="M51" s="82" t="e">
        <f t="shared" si="0"/>
        <v>#DIV/0!</v>
      </c>
      <c r="N51" s="82" t="e">
        <f t="shared" si="0"/>
        <v>#DIV/0!</v>
      </c>
      <c r="O51" s="82" t="e">
        <f t="shared" si="0"/>
        <v>#DIV/0!</v>
      </c>
      <c r="P51" s="82" t="e">
        <f t="shared" si="0"/>
        <v>#DIV/0!</v>
      </c>
      <c r="Q51" s="82" t="e">
        <f t="shared" si="0"/>
        <v>#DIV/0!</v>
      </c>
      <c r="R51" s="82" t="e">
        <f t="shared" si="0"/>
        <v>#DIV/0!</v>
      </c>
      <c r="S51" s="82"/>
      <c r="T51" s="244" t="s">
        <v>444</v>
      </c>
      <c r="U51" s="245" t="s">
        <v>461</v>
      </c>
      <c r="V51" s="96"/>
      <c r="W51" s="82">
        <f>$C$51</f>
        <v>15.8</v>
      </c>
      <c r="X51" s="82">
        <f>$D$51</f>
        <v>26.1</v>
      </c>
      <c r="Y51" s="82">
        <f>$E$51</f>
        <v>32</v>
      </c>
      <c r="Z51" s="82">
        <f>$F$51</f>
        <v>14.8</v>
      </c>
      <c r="AA51" s="82">
        <f>$G$51</f>
        <v>14.9</v>
      </c>
      <c r="AB51" s="82">
        <f>$H$51</f>
        <v>19.100000000000001</v>
      </c>
      <c r="AC51" s="82" t="e">
        <f>$I$51</f>
        <v>#DIV/0!</v>
      </c>
      <c r="AD51" s="82" t="e">
        <f>$J$51</f>
        <v>#DIV/0!</v>
      </c>
      <c r="AE51" s="82" t="e">
        <f>$K$51</f>
        <v>#DIV/0!</v>
      </c>
      <c r="AF51" s="82" t="e">
        <f>$L$51</f>
        <v>#DIV/0!</v>
      </c>
      <c r="AG51" s="82" t="e">
        <f>$M$51</f>
        <v>#DIV/0!</v>
      </c>
      <c r="AH51" s="82" t="e">
        <f>$N$51</f>
        <v>#DIV/0!</v>
      </c>
      <c r="AI51" s="82" t="e">
        <f>$O$51</f>
        <v>#DIV/0!</v>
      </c>
      <c r="AJ51" s="82" t="e">
        <f>$P$51</f>
        <v>#DIV/0!</v>
      </c>
      <c r="AK51" s="82" t="e">
        <f>$Q$51</f>
        <v>#DIV/0!</v>
      </c>
      <c r="AL51" s="82" t="e">
        <f>$R$51</f>
        <v>#DIV/0!</v>
      </c>
    </row>
    <row r="52" spans="1:38">
      <c r="A52" s="69" t="s">
        <v>155</v>
      </c>
      <c r="B52" s="71" t="s">
        <v>158</v>
      </c>
      <c r="C52" s="8">
        <v>11.7</v>
      </c>
      <c r="D52" s="8">
        <v>11</v>
      </c>
      <c r="E52" s="8">
        <v>14.1</v>
      </c>
      <c r="F52" s="8">
        <v>12.4</v>
      </c>
      <c r="G52" s="8">
        <v>14.1</v>
      </c>
      <c r="H52" s="8">
        <v>13.2</v>
      </c>
      <c r="I52" s="82" t="e">
        <f t="shared" si="1"/>
        <v>#DIV/0!</v>
      </c>
      <c r="J52" s="82" t="e">
        <f t="shared" si="0"/>
        <v>#DIV/0!</v>
      </c>
      <c r="K52" s="82" t="e">
        <f t="shared" si="0"/>
        <v>#DIV/0!</v>
      </c>
      <c r="L52" s="82" t="e">
        <f t="shared" si="0"/>
        <v>#DIV/0!</v>
      </c>
      <c r="M52" s="82" t="e">
        <f t="shared" si="0"/>
        <v>#DIV/0!</v>
      </c>
      <c r="N52" s="82" t="e">
        <f t="shared" si="0"/>
        <v>#DIV/0!</v>
      </c>
      <c r="O52" s="82" t="e">
        <f t="shared" si="0"/>
        <v>#DIV/0!</v>
      </c>
      <c r="P52" s="82" t="e">
        <f t="shared" si="0"/>
        <v>#DIV/0!</v>
      </c>
      <c r="Q52" s="82" t="e">
        <f t="shared" si="0"/>
        <v>#DIV/0!</v>
      </c>
      <c r="R52" s="82" t="e">
        <f t="shared" si="0"/>
        <v>#DIV/0!</v>
      </c>
      <c r="S52" s="82"/>
      <c r="T52" s="244" t="s">
        <v>445</v>
      </c>
      <c r="U52" s="244" t="s">
        <v>462</v>
      </c>
      <c r="V52" s="96"/>
      <c r="W52" s="82">
        <f>$C$52</f>
        <v>11.7</v>
      </c>
      <c r="X52" s="82">
        <f>$D$52</f>
        <v>11</v>
      </c>
      <c r="Y52" s="82">
        <f>$E$52</f>
        <v>14.1</v>
      </c>
      <c r="Z52" s="82">
        <f>$F$52</f>
        <v>12.4</v>
      </c>
      <c r="AA52" s="82">
        <f>$G$52</f>
        <v>14.1</v>
      </c>
      <c r="AB52" s="82">
        <f>$H$52</f>
        <v>13.2</v>
      </c>
      <c r="AC52" s="82" t="e">
        <f>$I$52</f>
        <v>#DIV/0!</v>
      </c>
      <c r="AD52" s="82" t="e">
        <f>$J$52</f>
        <v>#DIV/0!</v>
      </c>
      <c r="AE52" s="82" t="e">
        <f>$K$52</f>
        <v>#DIV/0!</v>
      </c>
      <c r="AF52" s="82" t="e">
        <f>$L$52</f>
        <v>#DIV/0!</v>
      </c>
      <c r="AG52" s="82" t="e">
        <f>$M$52</f>
        <v>#DIV/0!</v>
      </c>
      <c r="AH52" s="82" t="e">
        <f>$N$52</f>
        <v>#DIV/0!</v>
      </c>
      <c r="AI52" s="82" t="e">
        <f>$O$52</f>
        <v>#DIV/0!</v>
      </c>
      <c r="AJ52" s="82" t="e">
        <f>$P$52</f>
        <v>#DIV/0!</v>
      </c>
      <c r="AK52" s="82" t="e">
        <f>$Q$52</f>
        <v>#DIV/0!</v>
      </c>
      <c r="AL52" s="82" t="e">
        <f>$R$52</f>
        <v>#DIV/0!</v>
      </c>
    </row>
    <row r="53" spans="1:38">
      <c r="A53" s="69" t="s">
        <v>169</v>
      </c>
      <c r="B53" s="71" t="s">
        <v>178</v>
      </c>
      <c r="C53" s="8">
        <v>16</v>
      </c>
      <c r="D53" s="8">
        <v>8.6999999999999993</v>
      </c>
      <c r="E53" s="8">
        <v>10.8</v>
      </c>
      <c r="F53" s="8">
        <v>8.1999999999999993</v>
      </c>
      <c r="G53" s="8">
        <v>8.1999999999999993</v>
      </c>
      <c r="H53" s="8">
        <v>5.3</v>
      </c>
      <c r="I53" s="82" t="e">
        <f t="shared" si="1"/>
        <v>#DIV/0!</v>
      </c>
      <c r="J53" s="82" t="e">
        <f t="shared" si="1"/>
        <v>#DIV/0!</v>
      </c>
      <c r="K53" s="82" t="e">
        <f t="shared" si="1"/>
        <v>#DIV/0!</v>
      </c>
      <c r="L53" s="82" t="e">
        <f t="shared" si="1"/>
        <v>#DIV/0!</v>
      </c>
      <c r="M53" s="82" t="e">
        <f t="shared" si="1"/>
        <v>#DIV/0!</v>
      </c>
      <c r="N53" s="82" t="e">
        <f t="shared" si="1"/>
        <v>#DIV/0!</v>
      </c>
      <c r="O53" s="82" t="e">
        <f t="shared" si="1"/>
        <v>#DIV/0!</v>
      </c>
      <c r="P53" s="82" t="e">
        <f t="shared" si="1"/>
        <v>#DIV/0!</v>
      </c>
      <c r="Q53" s="82" t="e">
        <f t="shared" si="1"/>
        <v>#DIV/0!</v>
      </c>
      <c r="R53" s="82" t="e">
        <f t="shared" si="1"/>
        <v>#DIV/0!</v>
      </c>
      <c r="S53" s="82"/>
      <c r="T53" s="246" t="s">
        <v>446</v>
      </c>
      <c r="U53" s="244" t="s">
        <v>463</v>
      </c>
      <c r="V53" s="96"/>
      <c r="W53" s="82">
        <f>$C$53</f>
        <v>16</v>
      </c>
      <c r="X53" s="82">
        <f>$D$53</f>
        <v>8.6999999999999993</v>
      </c>
      <c r="Y53" s="82">
        <f>$E$53</f>
        <v>10.8</v>
      </c>
      <c r="Z53" s="82">
        <f>$F$53</f>
        <v>8.1999999999999993</v>
      </c>
      <c r="AA53" s="82">
        <f>$G$53</f>
        <v>8.1999999999999993</v>
      </c>
      <c r="AB53" s="82">
        <f>$H$53</f>
        <v>5.3</v>
      </c>
      <c r="AC53" s="82" t="e">
        <f>$I$53</f>
        <v>#DIV/0!</v>
      </c>
      <c r="AD53" s="82" t="e">
        <f>$J$53</f>
        <v>#DIV/0!</v>
      </c>
      <c r="AE53" s="82" t="e">
        <f>$K$53</f>
        <v>#DIV/0!</v>
      </c>
      <c r="AF53" s="82" t="e">
        <f>$L$53</f>
        <v>#DIV/0!</v>
      </c>
      <c r="AG53" s="82" t="e">
        <f>$M$53</f>
        <v>#DIV/0!</v>
      </c>
      <c r="AH53" s="82" t="e">
        <f>$N$53</f>
        <v>#DIV/0!</v>
      </c>
      <c r="AI53" s="82" t="e">
        <f>$O$53</f>
        <v>#DIV/0!</v>
      </c>
      <c r="AJ53" s="82" t="e">
        <f>$P$53</f>
        <v>#DIV/0!</v>
      </c>
      <c r="AK53" s="82" t="e">
        <f>$Q$53</f>
        <v>#DIV/0!</v>
      </c>
      <c r="AL53" s="82" t="e">
        <f>$R$53</f>
        <v>#DIV/0!</v>
      </c>
    </row>
    <row r="54" spans="1:38">
      <c r="A54" s="69" t="s">
        <v>160</v>
      </c>
      <c r="B54" s="71" t="s">
        <v>162</v>
      </c>
      <c r="C54" s="8">
        <v>19.899999999999999</v>
      </c>
      <c r="D54" s="8">
        <v>22.8</v>
      </c>
      <c r="E54" s="8">
        <v>23.4</v>
      </c>
      <c r="F54" s="8">
        <v>20.399999999999999</v>
      </c>
      <c r="G54" s="8">
        <v>18.399999999999999</v>
      </c>
      <c r="H54" s="8">
        <v>14.2</v>
      </c>
      <c r="I54" s="82" t="e">
        <f t="shared" si="1"/>
        <v>#DIV/0!</v>
      </c>
      <c r="J54" s="82" t="e">
        <f t="shared" si="1"/>
        <v>#DIV/0!</v>
      </c>
      <c r="K54" s="82" t="e">
        <f t="shared" si="1"/>
        <v>#DIV/0!</v>
      </c>
      <c r="L54" s="82" t="e">
        <f t="shared" si="1"/>
        <v>#DIV/0!</v>
      </c>
      <c r="M54" s="82" t="e">
        <f t="shared" si="1"/>
        <v>#DIV/0!</v>
      </c>
      <c r="N54" s="82" t="e">
        <f t="shared" si="1"/>
        <v>#DIV/0!</v>
      </c>
      <c r="O54" s="82" t="e">
        <f t="shared" si="1"/>
        <v>#DIV/0!</v>
      </c>
      <c r="P54" s="82" t="e">
        <f t="shared" si="1"/>
        <v>#DIV/0!</v>
      </c>
      <c r="Q54" s="82" t="e">
        <f t="shared" si="1"/>
        <v>#DIV/0!</v>
      </c>
      <c r="R54" s="82" t="e">
        <f t="shared" si="1"/>
        <v>#DIV/0!</v>
      </c>
      <c r="S54" s="82"/>
      <c r="T54" s="247" t="s">
        <v>447</v>
      </c>
      <c r="U54" s="244" t="s">
        <v>464</v>
      </c>
      <c r="V54" s="96"/>
      <c r="W54" s="82">
        <f>$C$54</f>
        <v>19.899999999999999</v>
      </c>
      <c r="X54" s="82">
        <f>$D$54</f>
        <v>22.8</v>
      </c>
      <c r="Y54" s="82">
        <f>$E$54</f>
        <v>23.4</v>
      </c>
      <c r="Z54" s="82">
        <f>$F$54</f>
        <v>20.399999999999999</v>
      </c>
      <c r="AA54" s="82">
        <f>$G$54</f>
        <v>18.399999999999999</v>
      </c>
      <c r="AB54" s="82">
        <f>$H$54</f>
        <v>14.2</v>
      </c>
      <c r="AC54" s="82" t="e">
        <f>$I$54</f>
        <v>#DIV/0!</v>
      </c>
      <c r="AD54" s="82" t="e">
        <f>$J$54</f>
        <v>#DIV/0!</v>
      </c>
      <c r="AE54" s="82" t="e">
        <f>$K$54</f>
        <v>#DIV/0!</v>
      </c>
      <c r="AF54" s="82" t="e">
        <f>$L$54</f>
        <v>#DIV/0!</v>
      </c>
      <c r="AG54" s="82" t="e">
        <f>$M$54</f>
        <v>#DIV/0!</v>
      </c>
      <c r="AH54" s="82" t="e">
        <f>$N$54</f>
        <v>#DIV/0!</v>
      </c>
      <c r="AI54" s="82" t="e">
        <f>$O$54</f>
        <v>#DIV/0!</v>
      </c>
      <c r="AJ54" s="82" t="e">
        <f>$P$54</f>
        <v>#DIV/0!</v>
      </c>
      <c r="AK54" s="82" t="e">
        <f>$Q$54</f>
        <v>#DIV/0!</v>
      </c>
      <c r="AL54" s="82" t="e">
        <f>$R$54</f>
        <v>#DIV/0!</v>
      </c>
    </row>
    <row r="55" spans="1:38">
      <c r="A55" s="69" t="s">
        <v>179</v>
      </c>
      <c r="B55" s="71" t="s">
        <v>188</v>
      </c>
      <c r="C55" s="8">
        <v>22.6</v>
      </c>
      <c r="D55" s="8">
        <v>13.3</v>
      </c>
      <c r="E55" s="8">
        <v>17.600000000000001</v>
      </c>
      <c r="F55" s="8">
        <v>15.8</v>
      </c>
      <c r="G55" s="8">
        <v>16.399999999999999</v>
      </c>
      <c r="H55" s="8">
        <v>20</v>
      </c>
      <c r="I55" s="82" t="e">
        <f t="shared" si="1"/>
        <v>#DIV/0!</v>
      </c>
      <c r="J55" s="82" t="e">
        <f t="shared" si="1"/>
        <v>#DIV/0!</v>
      </c>
      <c r="K55" s="82" t="e">
        <f t="shared" si="1"/>
        <v>#DIV/0!</v>
      </c>
      <c r="L55" s="82" t="e">
        <f t="shared" si="1"/>
        <v>#DIV/0!</v>
      </c>
      <c r="M55" s="82" t="e">
        <f t="shared" si="1"/>
        <v>#DIV/0!</v>
      </c>
      <c r="N55" s="82" t="e">
        <f t="shared" si="1"/>
        <v>#DIV/0!</v>
      </c>
      <c r="O55" s="82" t="e">
        <f t="shared" si="1"/>
        <v>#DIV/0!</v>
      </c>
      <c r="P55" s="82" t="e">
        <f t="shared" si="1"/>
        <v>#DIV/0!</v>
      </c>
      <c r="Q55" s="82" t="e">
        <f t="shared" si="1"/>
        <v>#DIV/0!</v>
      </c>
      <c r="R55" s="82" t="e">
        <f t="shared" si="1"/>
        <v>#DIV/0!</v>
      </c>
      <c r="S55" s="82"/>
      <c r="T55" s="295"/>
      <c r="U55" s="244" t="s">
        <v>465</v>
      </c>
      <c r="V55" s="96"/>
      <c r="W55" s="82">
        <f>$C$55</f>
        <v>22.6</v>
      </c>
      <c r="X55" s="82">
        <f>$D$55</f>
        <v>13.3</v>
      </c>
      <c r="Y55" s="82">
        <f>$E$55</f>
        <v>17.600000000000001</v>
      </c>
      <c r="Z55" s="82">
        <f>$F$55</f>
        <v>15.8</v>
      </c>
      <c r="AA55" s="82">
        <f>$G$55</f>
        <v>16.399999999999999</v>
      </c>
      <c r="AB55" s="82">
        <f>$H$55</f>
        <v>20</v>
      </c>
      <c r="AC55" s="82" t="e">
        <f>$I$55</f>
        <v>#DIV/0!</v>
      </c>
      <c r="AD55" s="82" t="e">
        <f>$J$55</f>
        <v>#DIV/0!</v>
      </c>
      <c r="AE55" s="82" t="e">
        <f>$K$55</f>
        <v>#DIV/0!</v>
      </c>
      <c r="AF55" s="82" t="e">
        <f>$L$55</f>
        <v>#DIV/0!</v>
      </c>
      <c r="AG55" s="82" t="e">
        <f>$M$55</f>
        <v>#DIV/0!</v>
      </c>
      <c r="AH55" s="82" t="e">
        <f>$N$55</f>
        <v>#DIV/0!</v>
      </c>
      <c r="AI55" s="82" t="e">
        <f>$O$55</f>
        <v>#DIV/0!</v>
      </c>
      <c r="AJ55" s="82" t="e">
        <f>$P$55</f>
        <v>#DIV/0!</v>
      </c>
      <c r="AK55" s="82" t="e">
        <f>$Q$55</f>
        <v>#DIV/0!</v>
      </c>
      <c r="AL55" s="82" t="e">
        <f>$R$55</f>
        <v>#DIV/0!</v>
      </c>
    </row>
    <row r="56" spans="1:38">
      <c r="A56" s="69" t="s">
        <v>170</v>
      </c>
      <c r="B56" s="71" t="s">
        <v>178</v>
      </c>
      <c r="C56" s="8">
        <v>23</v>
      </c>
      <c r="D56" s="8">
        <v>18.7</v>
      </c>
      <c r="E56" s="8">
        <v>21.1</v>
      </c>
      <c r="F56" s="8">
        <v>18.7</v>
      </c>
      <c r="G56" s="8">
        <v>15.4</v>
      </c>
      <c r="H56" s="8">
        <v>25.8</v>
      </c>
      <c r="I56" s="82" t="e">
        <f t="shared" si="1"/>
        <v>#DIV/0!</v>
      </c>
      <c r="J56" s="82" t="e">
        <f t="shared" si="1"/>
        <v>#DIV/0!</v>
      </c>
      <c r="K56" s="82" t="e">
        <f t="shared" si="1"/>
        <v>#DIV/0!</v>
      </c>
      <c r="L56" s="82" t="e">
        <f t="shared" si="1"/>
        <v>#DIV/0!</v>
      </c>
      <c r="M56" s="82" t="e">
        <f t="shared" si="1"/>
        <v>#DIV/0!</v>
      </c>
      <c r="N56" s="82" t="e">
        <f t="shared" si="1"/>
        <v>#DIV/0!</v>
      </c>
      <c r="O56" s="82" t="e">
        <f t="shared" si="1"/>
        <v>#DIV/0!</v>
      </c>
      <c r="P56" s="82" t="e">
        <f t="shared" si="1"/>
        <v>#DIV/0!</v>
      </c>
      <c r="Q56" s="82" t="e">
        <f t="shared" si="1"/>
        <v>#DIV/0!</v>
      </c>
      <c r="R56" s="82" t="e">
        <f t="shared" si="1"/>
        <v>#DIV/0!</v>
      </c>
      <c r="S56" s="82"/>
      <c r="T56" s="204"/>
      <c r="U56" s="248" t="s">
        <v>466</v>
      </c>
      <c r="V56" s="96"/>
      <c r="W56" s="82">
        <f>$C$56</f>
        <v>23</v>
      </c>
      <c r="X56" s="82">
        <f>$D$56</f>
        <v>18.7</v>
      </c>
      <c r="Y56" s="82">
        <f>$E$56</f>
        <v>21.1</v>
      </c>
      <c r="Z56" s="82">
        <f>$F$56</f>
        <v>18.7</v>
      </c>
      <c r="AA56" s="82">
        <f>$G$56</f>
        <v>15.4</v>
      </c>
      <c r="AB56" s="82">
        <f>$H$56</f>
        <v>25.8</v>
      </c>
      <c r="AC56" s="82" t="e">
        <f>$I$56</f>
        <v>#DIV/0!</v>
      </c>
      <c r="AD56" s="82" t="e">
        <f>$J$56</f>
        <v>#DIV/0!</v>
      </c>
      <c r="AE56" s="82" t="e">
        <f>$K$56</f>
        <v>#DIV/0!</v>
      </c>
      <c r="AF56" s="82" t="e">
        <f>$L$56</f>
        <v>#DIV/0!</v>
      </c>
      <c r="AG56" s="82" t="e">
        <f>$M$56</f>
        <v>#DIV/0!</v>
      </c>
      <c r="AH56" s="82" t="e">
        <f>$N$56</f>
        <v>#DIV/0!</v>
      </c>
      <c r="AI56" s="82" t="e">
        <f>$O$56</f>
        <v>#DIV/0!</v>
      </c>
      <c r="AJ56" s="82" t="e">
        <f>$P$56</f>
        <v>#DIV/0!</v>
      </c>
      <c r="AK56" s="82" t="e">
        <f>$Q$56</f>
        <v>#DIV/0!</v>
      </c>
      <c r="AL56" s="82" t="e">
        <f>$R$56</f>
        <v>#DIV/0!</v>
      </c>
    </row>
    <row r="57" spans="1:38">
      <c r="A57" s="69" t="s">
        <v>152</v>
      </c>
      <c r="B57" t="s">
        <v>153</v>
      </c>
      <c r="C57" s="8">
        <v>37.9</v>
      </c>
      <c r="D57" s="8">
        <v>34.200000000000003</v>
      </c>
      <c r="E57" s="8">
        <v>35.5</v>
      </c>
      <c r="F57" s="8">
        <v>29.8</v>
      </c>
      <c r="G57" s="8">
        <v>35.9</v>
      </c>
      <c r="H57" s="8">
        <v>29.6</v>
      </c>
      <c r="I57" s="82" t="e">
        <f t="shared" si="1"/>
        <v>#DIV/0!</v>
      </c>
      <c r="J57" s="82" t="e">
        <f t="shared" si="1"/>
        <v>#DIV/0!</v>
      </c>
      <c r="K57" s="82" t="e">
        <f t="shared" si="1"/>
        <v>#DIV/0!</v>
      </c>
      <c r="L57" s="82" t="e">
        <f t="shared" si="1"/>
        <v>#DIV/0!</v>
      </c>
      <c r="M57" s="82" t="e">
        <f t="shared" si="1"/>
        <v>#DIV/0!</v>
      </c>
      <c r="N57" s="82" t="e">
        <f t="shared" si="1"/>
        <v>#DIV/0!</v>
      </c>
      <c r="O57" s="82" t="e">
        <f t="shared" si="1"/>
        <v>#DIV/0!</v>
      </c>
      <c r="P57" s="82" t="e">
        <f t="shared" si="1"/>
        <v>#DIV/0!</v>
      </c>
      <c r="Q57" s="82" t="e">
        <f t="shared" si="1"/>
        <v>#DIV/0!</v>
      </c>
      <c r="R57" s="82" t="e">
        <f t="shared" si="1"/>
        <v>#DIV/0!</v>
      </c>
      <c r="S57" s="82"/>
      <c r="T57" s="256"/>
      <c r="U57" s="254"/>
      <c r="V57" s="96"/>
      <c r="W57" s="82">
        <f>$C$57</f>
        <v>37.9</v>
      </c>
      <c r="X57" s="82">
        <f>$D$57</f>
        <v>34.200000000000003</v>
      </c>
      <c r="Y57" s="82">
        <f>$E$57</f>
        <v>35.5</v>
      </c>
      <c r="Z57" s="82">
        <f>$F$57</f>
        <v>29.8</v>
      </c>
      <c r="AA57" s="82">
        <f>$G$57</f>
        <v>35.9</v>
      </c>
      <c r="AB57" s="82">
        <f>$H$57</f>
        <v>29.6</v>
      </c>
      <c r="AC57" s="82" t="e">
        <f>$I$57</f>
        <v>#DIV/0!</v>
      </c>
      <c r="AD57" s="82" t="e">
        <f>$J$57</f>
        <v>#DIV/0!</v>
      </c>
      <c r="AE57" s="82" t="e">
        <f>$K$57</f>
        <v>#DIV/0!</v>
      </c>
      <c r="AF57" s="82" t="e">
        <f>$L$57</f>
        <v>#DIV/0!</v>
      </c>
      <c r="AG57" s="82" t="e">
        <f>$M$57</f>
        <v>#DIV/0!</v>
      </c>
      <c r="AH57" s="82" t="e">
        <f>$N$57</f>
        <v>#DIV/0!</v>
      </c>
      <c r="AI57" s="82" t="e">
        <f>$O$57</f>
        <v>#DIV/0!</v>
      </c>
      <c r="AJ57" s="82" t="e">
        <f>$P$57</f>
        <v>#DIV/0!</v>
      </c>
      <c r="AK57" s="82" t="e">
        <f>$Q$57</f>
        <v>#DIV/0!</v>
      </c>
      <c r="AL57" s="82" t="e">
        <f>$R$57</f>
        <v>#DIV/0!</v>
      </c>
    </row>
    <row r="58" spans="1:38">
      <c r="A58" s="69" t="s">
        <v>146</v>
      </c>
      <c r="B58" t="s">
        <v>153</v>
      </c>
      <c r="C58" s="8">
        <v>19.8</v>
      </c>
      <c r="D58" s="8">
        <v>18.3</v>
      </c>
      <c r="E58" s="8">
        <v>20.9</v>
      </c>
      <c r="F58" s="8">
        <v>18.5</v>
      </c>
      <c r="G58" s="8">
        <v>28.9</v>
      </c>
      <c r="H58" s="8">
        <v>25</v>
      </c>
      <c r="I58" s="82" t="e">
        <f t="shared" si="1"/>
        <v>#DIV/0!</v>
      </c>
      <c r="J58" s="82" t="e">
        <f t="shared" si="1"/>
        <v>#DIV/0!</v>
      </c>
      <c r="K58" s="82" t="e">
        <f t="shared" si="1"/>
        <v>#DIV/0!</v>
      </c>
      <c r="L58" s="82" t="e">
        <f t="shared" si="1"/>
        <v>#DIV/0!</v>
      </c>
      <c r="M58" s="82" t="e">
        <f t="shared" si="1"/>
        <v>#DIV/0!</v>
      </c>
      <c r="N58" s="82" t="e">
        <f t="shared" si="1"/>
        <v>#DIV/0!</v>
      </c>
      <c r="O58" s="82" t="e">
        <f t="shared" si="1"/>
        <v>#DIV/0!</v>
      </c>
      <c r="P58" s="82" t="e">
        <f t="shared" si="1"/>
        <v>#DIV/0!</v>
      </c>
      <c r="Q58" s="82" t="e">
        <f t="shared" si="1"/>
        <v>#DIV/0!</v>
      </c>
      <c r="R58" s="82" t="e">
        <f t="shared" si="1"/>
        <v>#DIV/0!</v>
      </c>
      <c r="S58" s="82"/>
      <c r="T58" s="242"/>
      <c r="U58" s="254"/>
      <c r="V58" s="96"/>
      <c r="W58" s="82">
        <f>$C$58</f>
        <v>19.8</v>
      </c>
      <c r="X58" s="82">
        <f>$D$58</f>
        <v>18.3</v>
      </c>
      <c r="Y58" s="82">
        <f>$E$58</f>
        <v>20.9</v>
      </c>
      <c r="Z58" s="82">
        <f>$F$58</f>
        <v>18.5</v>
      </c>
      <c r="AA58" s="82">
        <f>$G$58</f>
        <v>28.9</v>
      </c>
      <c r="AB58" s="82">
        <f>$H$58</f>
        <v>25</v>
      </c>
      <c r="AC58" s="82" t="e">
        <f>$I$58</f>
        <v>#DIV/0!</v>
      </c>
      <c r="AD58" s="82" t="e">
        <f>$J$58</f>
        <v>#DIV/0!</v>
      </c>
      <c r="AE58" s="82" t="e">
        <f>$K$58</f>
        <v>#DIV/0!</v>
      </c>
      <c r="AF58" s="82" t="e">
        <f>$L$58</f>
        <v>#DIV/0!</v>
      </c>
      <c r="AG58" s="82" t="e">
        <f>$M$58</f>
        <v>#DIV/0!</v>
      </c>
      <c r="AH58" s="82" t="e">
        <f>$N$58</f>
        <v>#DIV/0!</v>
      </c>
      <c r="AI58" s="82" t="e">
        <f>$O$58</f>
        <v>#DIV/0!</v>
      </c>
      <c r="AJ58" s="82" t="e">
        <f>$P$58</f>
        <v>#DIV/0!</v>
      </c>
      <c r="AK58" s="82" t="e">
        <f>$Q$58</f>
        <v>#DIV/0!</v>
      </c>
      <c r="AL58" s="82" t="e">
        <f>$R$58</f>
        <v>#DIV/0!</v>
      </c>
    </row>
    <row r="59" spans="1:38">
      <c r="A59" s="69" t="s">
        <v>171</v>
      </c>
      <c r="B59" s="71" t="s">
        <v>178</v>
      </c>
      <c r="C59" s="8">
        <v>22.2</v>
      </c>
      <c r="D59" s="8">
        <v>27</v>
      </c>
      <c r="E59" s="8">
        <v>20.399999999999999</v>
      </c>
      <c r="F59" s="8">
        <v>21.8</v>
      </c>
      <c r="G59" s="8">
        <v>26.2</v>
      </c>
      <c r="H59" s="8">
        <v>21.8</v>
      </c>
      <c r="I59" s="82" t="e">
        <f t="shared" si="1"/>
        <v>#DIV/0!</v>
      </c>
      <c r="J59" s="82" t="e">
        <f t="shared" si="1"/>
        <v>#DIV/0!</v>
      </c>
      <c r="K59" s="82" t="e">
        <f t="shared" si="1"/>
        <v>#DIV/0!</v>
      </c>
      <c r="L59" s="82" t="e">
        <f t="shared" si="1"/>
        <v>#DIV/0!</v>
      </c>
      <c r="M59" s="82" t="e">
        <f t="shared" si="1"/>
        <v>#DIV/0!</v>
      </c>
      <c r="N59" s="82" t="e">
        <f t="shared" si="1"/>
        <v>#DIV/0!</v>
      </c>
      <c r="O59" s="82" t="e">
        <f t="shared" si="1"/>
        <v>#DIV/0!</v>
      </c>
      <c r="P59" s="82" t="e">
        <f t="shared" si="1"/>
        <v>#DIV/0!</v>
      </c>
      <c r="Q59" s="82" t="e">
        <f t="shared" si="1"/>
        <v>#DIV/0!</v>
      </c>
      <c r="R59" s="82" t="e">
        <f t="shared" si="1"/>
        <v>#DIV/0!</v>
      </c>
      <c r="S59" s="82"/>
      <c r="T59" s="9"/>
      <c r="U59" s="9"/>
      <c r="V59" s="96"/>
      <c r="W59" s="82">
        <f>$C$59</f>
        <v>22.2</v>
      </c>
      <c r="X59" s="82">
        <f>$D$59</f>
        <v>27</v>
      </c>
      <c r="Y59" s="82">
        <f>$E$59</f>
        <v>20.399999999999999</v>
      </c>
      <c r="Z59" s="82">
        <f>$F$59</f>
        <v>21.8</v>
      </c>
      <c r="AA59" s="82">
        <f>$G$59</f>
        <v>26.2</v>
      </c>
      <c r="AB59" s="82">
        <f>$H$59</f>
        <v>21.8</v>
      </c>
      <c r="AC59" s="82" t="e">
        <f>$I$59</f>
        <v>#DIV/0!</v>
      </c>
      <c r="AD59" s="82" t="e">
        <f>$J$59</f>
        <v>#DIV/0!</v>
      </c>
      <c r="AE59" s="82" t="e">
        <f>$K$59</f>
        <v>#DIV/0!</v>
      </c>
      <c r="AF59" s="82" t="e">
        <f>$L$59</f>
        <v>#DIV/0!</v>
      </c>
      <c r="AG59" s="82" t="e">
        <f>$M$59</f>
        <v>#DIV/0!</v>
      </c>
      <c r="AH59" s="82" t="e">
        <f>$N$59</f>
        <v>#DIV/0!</v>
      </c>
      <c r="AI59" s="82" t="e">
        <f>$O$59</f>
        <v>#DIV/0!</v>
      </c>
      <c r="AJ59" s="82" t="e">
        <f>$P$59</f>
        <v>#DIV/0!</v>
      </c>
      <c r="AK59" s="82" t="e">
        <f>$Q$59</f>
        <v>#DIV/0!</v>
      </c>
      <c r="AL59" s="82" t="e">
        <f>$R$59</f>
        <v>#DIV/0!</v>
      </c>
    </row>
    <row r="60" spans="1:38" ht="23.65" thickBot="1">
      <c r="A60" s="69" t="s">
        <v>185</v>
      </c>
      <c r="B60" s="71" t="s">
        <v>188</v>
      </c>
      <c r="C60" s="8">
        <v>22.1</v>
      </c>
      <c r="D60" s="8">
        <v>25.6</v>
      </c>
      <c r="E60" s="8">
        <v>25.9</v>
      </c>
      <c r="F60" s="8">
        <v>27.1</v>
      </c>
      <c r="G60" s="8">
        <v>23</v>
      </c>
      <c r="H60" s="8">
        <v>27.3</v>
      </c>
      <c r="I60" s="82" t="e">
        <f t="shared" si="1"/>
        <v>#DIV/0!</v>
      </c>
      <c r="J60" s="82" t="e">
        <f t="shared" si="1"/>
        <v>#DIV/0!</v>
      </c>
      <c r="K60" s="82" t="e">
        <f t="shared" si="1"/>
        <v>#DIV/0!</v>
      </c>
      <c r="L60" s="82" t="e">
        <f t="shared" si="1"/>
        <v>#DIV/0!</v>
      </c>
      <c r="M60" s="82" t="e">
        <f t="shared" si="1"/>
        <v>#DIV/0!</v>
      </c>
      <c r="N60" s="82" t="e">
        <f t="shared" si="1"/>
        <v>#DIV/0!</v>
      </c>
      <c r="O60" s="82" t="e">
        <f t="shared" si="1"/>
        <v>#DIV/0!</v>
      </c>
      <c r="P60" s="82" t="e">
        <f t="shared" si="1"/>
        <v>#DIV/0!</v>
      </c>
      <c r="Q60" s="82" t="e">
        <f t="shared" si="1"/>
        <v>#DIV/0!</v>
      </c>
      <c r="R60" s="82" t="e">
        <f t="shared" si="1"/>
        <v>#DIV/0!</v>
      </c>
      <c r="S60" s="82"/>
      <c r="T60" s="318" t="s">
        <v>46</v>
      </c>
      <c r="U60" s="318"/>
      <c r="V60" s="82"/>
      <c r="W60" s="82">
        <f>$C$60</f>
        <v>22.1</v>
      </c>
      <c r="X60" s="82">
        <f>$D$60</f>
        <v>25.6</v>
      </c>
      <c r="Y60" s="82">
        <f>$E$60</f>
        <v>25.9</v>
      </c>
      <c r="Z60" s="82">
        <f>$F$60</f>
        <v>27.1</v>
      </c>
      <c r="AA60" s="82">
        <f>$G$60</f>
        <v>23</v>
      </c>
      <c r="AB60" s="82">
        <f>$H$60</f>
        <v>27.3</v>
      </c>
      <c r="AC60" s="82" t="e">
        <f>$I$60</f>
        <v>#DIV/0!</v>
      </c>
      <c r="AD60" s="82" t="e">
        <f>$J$60</f>
        <v>#DIV/0!</v>
      </c>
      <c r="AE60" s="82" t="e">
        <f>$K$60</f>
        <v>#DIV/0!</v>
      </c>
      <c r="AF60" s="82" t="e">
        <f>$L$60</f>
        <v>#DIV/0!</v>
      </c>
      <c r="AG60" s="82" t="e">
        <f>$M$60</f>
        <v>#DIV/0!</v>
      </c>
      <c r="AH60" s="82" t="e">
        <f>$N$60</f>
        <v>#DIV/0!</v>
      </c>
      <c r="AI60" s="82" t="e">
        <f>$O$60</f>
        <v>#DIV/0!</v>
      </c>
      <c r="AJ60" s="82" t="e">
        <f>$P$60</f>
        <v>#DIV/0!</v>
      </c>
      <c r="AK60" s="82" t="e">
        <f>$Q$60</f>
        <v>#DIV/0!</v>
      </c>
      <c r="AL60" s="82" t="e">
        <f>$R$60</f>
        <v>#DIV/0!</v>
      </c>
    </row>
    <row r="61" spans="1:38">
      <c r="A61" s="69" t="s">
        <v>142</v>
      </c>
      <c r="B61" t="s">
        <v>153</v>
      </c>
      <c r="C61" s="8">
        <v>34.9</v>
      </c>
      <c r="D61" s="8">
        <v>43.2</v>
      </c>
      <c r="E61" s="8">
        <v>39.700000000000003</v>
      </c>
      <c r="F61" s="8">
        <v>29.7</v>
      </c>
      <c r="G61" s="8">
        <v>22.3</v>
      </c>
      <c r="H61" s="8">
        <v>20.7</v>
      </c>
      <c r="I61" s="82" t="e">
        <f t="shared" si="1"/>
        <v>#DIV/0!</v>
      </c>
      <c r="J61" s="82" t="e">
        <f t="shared" si="1"/>
        <v>#DIV/0!</v>
      </c>
      <c r="K61" s="82" t="e">
        <f t="shared" si="1"/>
        <v>#DIV/0!</v>
      </c>
      <c r="L61" s="82" t="e">
        <f t="shared" si="1"/>
        <v>#DIV/0!</v>
      </c>
      <c r="M61" s="82" t="e">
        <f t="shared" si="1"/>
        <v>#DIV/0!</v>
      </c>
      <c r="N61" s="82" t="e">
        <f t="shared" si="1"/>
        <v>#DIV/0!</v>
      </c>
      <c r="O61" s="82" t="e">
        <f t="shared" si="1"/>
        <v>#DIV/0!</v>
      </c>
      <c r="P61" s="82" t="e">
        <f t="shared" si="1"/>
        <v>#DIV/0!</v>
      </c>
      <c r="Q61" s="82" t="e">
        <f t="shared" si="1"/>
        <v>#DIV/0!</v>
      </c>
      <c r="R61" s="82" t="e">
        <f t="shared" si="1"/>
        <v>#DIV/0!</v>
      </c>
      <c r="S61" s="82"/>
      <c r="T61" s="319" t="s">
        <v>66</v>
      </c>
      <c r="U61" s="320"/>
      <c r="V61" s="82"/>
      <c r="W61" s="82">
        <f>$C$61</f>
        <v>34.9</v>
      </c>
      <c r="X61" s="82">
        <f>$D$61</f>
        <v>43.2</v>
      </c>
      <c r="Y61" s="82">
        <f>$E$61</f>
        <v>39.700000000000003</v>
      </c>
      <c r="Z61" s="82">
        <f>$F$61</f>
        <v>29.7</v>
      </c>
      <c r="AA61" s="82">
        <f>$G$61</f>
        <v>22.3</v>
      </c>
      <c r="AB61" s="82">
        <f>$H$61</f>
        <v>20.7</v>
      </c>
      <c r="AC61" s="82" t="e">
        <f>$I$61</f>
        <v>#DIV/0!</v>
      </c>
      <c r="AD61" s="82" t="e">
        <f>$J$61</f>
        <v>#DIV/0!</v>
      </c>
      <c r="AE61" s="82" t="e">
        <f>$K$61</f>
        <v>#DIV/0!</v>
      </c>
      <c r="AF61" s="82" t="e">
        <f>$L$61</f>
        <v>#DIV/0!</v>
      </c>
      <c r="AG61" s="82" t="e">
        <f>$M$61</f>
        <v>#DIV/0!</v>
      </c>
      <c r="AH61" s="82" t="e">
        <f>$N$61</f>
        <v>#DIV/0!</v>
      </c>
      <c r="AI61" s="82" t="e">
        <f>$O$61</f>
        <v>#DIV/0!</v>
      </c>
      <c r="AJ61" s="82" t="e">
        <f>$P$61</f>
        <v>#DIV/0!</v>
      </c>
      <c r="AK61" s="82" t="e">
        <f>$Q$61</f>
        <v>#DIV/0!</v>
      </c>
      <c r="AL61" s="82" t="e">
        <f>$R$61</f>
        <v>#DIV/0!</v>
      </c>
    </row>
    <row r="62" spans="1:38">
      <c r="A62" s="69" t="s">
        <v>148</v>
      </c>
      <c r="B62" t="s">
        <v>153</v>
      </c>
      <c r="C62" s="8">
        <v>18.100000000000001</v>
      </c>
      <c r="D62" s="8">
        <v>30.2</v>
      </c>
      <c r="E62" s="8">
        <v>33.9</v>
      </c>
      <c r="F62" s="8">
        <v>27</v>
      </c>
      <c r="G62" s="8">
        <v>28</v>
      </c>
      <c r="H62" s="8">
        <v>25.2</v>
      </c>
      <c r="I62" s="82" t="e">
        <f t="shared" si="1"/>
        <v>#DIV/0!</v>
      </c>
      <c r="J62" s="82" t="e">
        <f t="shared" si="1"/>
        <v>#DIV/0!</v>
      </c>
      <c r="K62" s="82" t="e">
        <f t="shared" si="1"/>
        <v>#DIV/0!</v>
      </c>
      <c r="L62" s="82" t="e">
        <f t="shared" si="1"/>
        <v>#DIV/0!</v>
      </c>
      <c r="M62" s="82" t="e">
        <f t="shared" si="1"/>
        <v>#DIV/0!</v>
      </c>
      <c r="N62" s="82" t="e">
        <f t="shared" si="1"/>
        <v>#DIV/0!</v>
      </c>
      <c r="O62" s="82" t="e">
        <f t="shared" si="1"/>
        <v>#DIV/0!</v>
      </c>
      <c r="P62" s="82" t="e">
        <f t="shared" si="1"/>
        <v>#DIV/0!</v>
      </c>
      <c r="Q62" s="82" t="e">
        <f t="shared" si="1"/>
        <v>#DIV/0!</v>
      </c>
      <c r="R62" s="82" t="e">
        <f t="shared" si="1"/>
        <v>#DIV/0!</v>
      </c>
      <c r="S62" s="82"/>
      <c r="T62" s="56" t="s">
        <v>61</v>
      </c>
      <c r="U62" s="56" t="s">
        <v>62</v>
      </c>
      <c r="V62" s="82"/>
      <c r="W62" s="82">
        <f>$C$62</f>
        <v>18.100000000000001</v>
      </c>
      <c r="X62" s="82">
        <f>$D$62</f>
        <v>30.2</v>
      </c>
      <c r="Y62" s="82">
        <f>$E$62</f>
        <v>33.9</v>
      </c>
      <c r="Z62" s="82">
        <f>$F$62</f>
        <v>27</v>
      </c>
      <c r="AA62" s="82">
        <f>$G$62</f>
        <v>28</v>
      </c>
      <c r="AB62" s="82">
        <f>$H$62</f>
        <v>25.2</v>
      </c>
      <c r="AC62" s="82" t="e">
        <f>$I$62</f>
        <v>#DIV/0!</v>
      </c>
      <c r="AD62" s="82" t="e">
        <f>$J$62</f>
        <v>#DIV/0!</v>
      </c>
      <c r="AE62" s="82" t="e">
        <f>$K$62</f>
        <v>#DIV/0!</v>
      </c>
      <c r="AF62" s="82" t="e">
        <f>$L$62</f>
        <v>#DIV/0!</v>
      </c>
      <c r="AG62" s="82" t="e">
        <f>$M$62</f>
        <v>#DIV/0!</v>
      </c>
      <c r="AH62" s="82" t="e">
        <f>$N$62</f>
        <v>#DIV/0!</v>
      </c>
      <c r="AI62" s="82" t="e">
        <f>$O$62</f>
        <v>#DIV/0!</v>
      </c>
      <c r="AJ62" s="82" t="e">
        <f>$P$62</f>
        <v>#DIV/0!</v>
      </c>
      <c r="AK62" s="82" t="e">
        <f>$Q$62</f>
        <v>#DIV/0!</v>
      </c>
      <c r="AL62" s="82" t="e">
        <f>$R$62</f>
        <v>#DIV/0!</v>
      </c>
    </row>
    <row r="63" spans="1:38">
      <c r="A63" s="69" t="s">
        <v>156</v>
      </c>
      <c r="B63" s="71" t="s">
        <v>158</v>
      </c>
      <c r="C63" s="8">
        <v>18.3</v>
      </c>
      <c r="D63" s="8">
        <v>17</v>
      </c>
      <c r="E63" s="8">
        <v>19.5</v>
      </c>
      <c r="F63" s="8">
        <v>18.600000000000001</v>
      </c>
      <c r="G63" s="8">
        <v>21.1</v>
      </c>
      <c r="H63" s="8">
        <v>22</v>
      </c>
      <c r="I63" s="82" t="e">
        <f t="shared" si="1"/>
        <v>#DIV/0!</v>
      </c>
      <c r="J63" s="82" t="e">
        <f t="shared" si="1"/>
        <v>#DIV/0!</v>
      </c>
      <c r="K63" s="82" t="e">
        <f t="shared" si="1"/>
        <v>#DIV/0!</v>
      </c>
      <c r="L63" s="82" t="e">
        <f t="shared" si="1"/>
        <v>#DIV/0!</v>
      </c>
      <c r="M63" s="82" t="e">
        <f t="shared" si="1"/>
        <v>#DIV/0!</v>
      </c>
      <c r="N63" s="82" t="e">
        <f t="shared" si="1"/>
        <v>#DIV/0!</v>
      </c>
      <c r="O63" s="82" t="e">
        <f t="shared" si="1"/>
        <v>#DIV/0!</v>
      </c>
      <c r="P63" s="82" t="e">
        <f t="shared" si="1"/>
        <v>#DIV/0!</v>
      </c>
      <c r="Q63" s="82" t="e">
        <f t="shared" si="1"/>
        <v>#DIV/0!</v>
      </c>
      <c r="R63" s="82" t="e">
        <f t="shared" si="1"/>
        <v>#DIV/0!</v>
      </c>
      <c r="S63" s="82"/>
      <c r="T63" s="244" t="s">
        <v>392</v>
      </c>
      <c r="U63" s="244" t="s">
        <v>448</v>
      </c>
      <c r="V63" s="82"/>
      <c r="W63" s="82">
        <f>$C$63</f>
        <v>18.3</v>
      </c>
      <c r="X63" s="82">
        <f>$D$63</f>
        <v>17</v>
      </c>
      <c r="Y63" s="82">
        <f>$E$63</f>
        <v>19.5</v>
      </c>
      <c r="Z63" s="82">
        <f>$F$63</f>
        <v>18.600000000000001</v>
      </c>
      <c r="AA63" s="82">
        <f>$G$63</f>
        <v>21.1</v>
      </c>
      <c r="AB63" s="82">
        <f>$H$63</f>
        <v>22</v>
      </c>
      <c r="AC63" s="82" t="e">
        <f>$I$63</f>
        <v>#DIV/0!</v>
      </c>
      <c r="AD63" s="82" t="e">
        <f>$J$63</f>
        <v>#DIV/0!</v>
      </c>
      <c r="AE63" s="82" t="e">
        <f>$K$63</f>
        <v>#DIV/0!</v>
      </c>
      <c r="AF63" s="82" t="e">
        <f>$L$63</f>
        <v>#DIV/0!</v>
      </c>
      <c r="AG63" s="82" t="e">
        <f>$M$63</f>
        <v>#DIV/0!</v>
      </c>
      <c r="AH63" s="82" t="e">
        <f>$N$63</f>
        <v>#DIV/0!</v>
      </c>
      <c r="AI63" s="82" t="e">
        <f>$O$63</f>
        <v>#DIV/0!</v>
      </c>
      <c r="AJ63" s="82" t="e">
        <f>$P$63</f>
        <v>#DIV/0!</v>
      </c>
      <c r="AK63" s="82" t="e">
        <f>$Q$63</f>
        <v>#DIV/0!</v>
      </c>
      <c r="AL63" s="82" t="e">
        <f>$R$63</f>
        <v>#DIV/0!</v>
      </c>
    </row>
    <row r="64" spans="1:38">
      <c r="A64" s="69" t="s">
        <v>149</v>
      </c>
      <c r="B64" t="s">
        <v>153</v>
      </c>
      <c r="C64" s="8">
        <v>22</v>
      </c>
      <c r="D64" s="8">
        <v>15.9</v>
      </c>
      <c r="E64" s="8">
        <v>21.5</v>
      </c>
      <c r="F64" s="8">
        <v>19.600000000000001</v>
      </c>
      <c r="G64" s="8">
        <v>30.8</v>
      </c>
      <c r="H64" s="8">
        <v>24.3</v>
      </c>
      <c r="I64" s="82" t="e">
        <f t="shared" si="1"/>
        <v>#DIV/0!</v>
      </c>
      <c r="J64" s="82" t="e">
        <f t="shared" si="1"/>
        <v>#DIV/0!</v>
      </c>
      <c r="K64" s="82" t="e">
        <f t="shared" si="1"/>
        <v>#DIV/0!</v>
      </c>
      <c r="L64" s="82" t="e">
        <f t="shared" si="1"/>
        <v>#DIV/0!</v>
      </c>
      <c r="M64" s="82" t="e">
        <f t="shared" si="1"/>
        <v>#DIV/0!</v>
      </c>
      <c r="N64" s="82" t="e">
        <f t="shared" si="1"/>
        <v>#DIV/0!</v>
      </c>
      <c r="O64" s="82" t="e">
        <f t="shared" si="1"/>
        <v>#DIV/0!</v>
      </c>
      <c r="P64" s="82" t="e">
        <f t="shared" si="1"/>
        <v>#DIV/0!</v>
      </c>
      <c r="Q64" s="82" t="e">
        <f t="shared" si="1"/>
        <v>#DIV/0!</v>
      </c>
      <c r="R64" s="82" t="e">
        <f t="shared" si="1"/>
        <v>#DIV/0!</v>
      </c>
      <c r="S64" s="82"/>
      <c r="T64" s="244" t="s">
        <v>393</v>
      </c>
      <c r="U64" s="244" t="s">
        <v>449</v>
      </c>
      <c r="V64" s="82"/>
      <c r="W64" s="82">
        <f>$C$64</f>
        <v>22</v>
      </c>
      <c r="X64" s="82">
        <f>$D$64</f>
        <v>15.9</v>
      </c>
      <c r="Y64" s="82">
        <f>$E$64</f>
        <v>21.5</v>
      </c>
      <c r="Z64" s="82">
        <f>$F$64</f>
        <v>19.600000000000001</v>
      </c>
      <c r="AA64" s="82">
        <f>$G$64</f>
        <v>30.8</v>
      </c>
      <c r="AB64" s="82">
        <f>$H$64</f>
        <v>24.3</v>
      </c>
      <c r="AC64" s="82" t="e">
        <f>$I$64</f>
        <v>#DIV/0!</v>
      </c>
      <c r="AD64" s="82" t="e">
        <f>$J$64</f>
        <v>#DIV/0!</v>
      </c>
      <c r="AE64" s="82" t="e">
        <f>$K$64</f>
        <v>#DIV/0!</v>
      </c>
      <c r="AF64" s="82" t="e">
        <f>$L$64</f>
        <v>#DIV/0!</v>
      </c>
      <c r="AG64" s="82" t="e">
        <f>$M$64</f>
        <v>#DIV/0!</v>
      </c>
      <c r="AH64" s="82" t="e">
        <f>$N$64</f>
        <v>#DIV/0!</v>
      </c>
      <c r="AI64" s="82" t="e">
        <f>$O$64</f>
        <v>#DIV/0!</v>
      </c>
      <c r="AJ64" s="82" t="e">
        <f>$P$64</f>
        <v>#DIV/0!</v>
      </c>
      <c r="AK64" s="82" t="e">
        <f>$Q$64</f>
        <v>#DIV/0!</v>
      </c>
      <c r="AL64" s="82" t="e">
        <f>$R$64</f>
        <v>#DIV/0!</v>
      </c>
    </row>
    <row r="65" spans="1:38">
      <c r="A65" s="69" t="s">
        <v>157</v>
      </c>
      <c r="B65" s="71" t="s">
        <v>158</v>
      </c>
      <c r="C65" s="8">
        <v>15</v>
      </c>
      <c r="D65" s="8">
        <v>13.5</v>
      </c>
      <c r="E65" s="8">
        <v>18.7</v>
      </c>
      <c r="F65" s="8">
        <v>19.2</v>
      </c>
      <c r="G65" s="8">
        <v>14.7</v>
      </c>
      <c r="H65" s="8">
        <v>17.2</v>
      </c>
      <c r="I65" s="82" t="e">
        <f t="shared" si="1"/>
        <v>#DIV/0!</v>
      </c>
      <c r="J65" s="82" t="e">
        <f t="shared" si="1"/>
        <v>#DIV/0!</v>
      </c>
      <c r="K65" s="82" t="e">
        <f t="shared" si="1"/>
        <v>#DIV/0!</v>
      </c>
      <c r="L65" s="82" t="e">
        <f t="shared" si="1"/>
        <v>#DIV/0!</v>
      </c>
      <c r="M65" s="82" t="e">
        <f t="shared" si="1"/>
        <v>#DIV/0!</v>
      </c>
      <c r="N65" s="82" t="e">
        <f t="shared" si="1"/>
        <v>#DIV/0!</v>
      </c>
      <c r="O65" s="82" t="e">
        <f t="shared" si="1"/>
        <v>#DIV/0!</v>
      </c>
      <c r="P65" s="82" t="e">
        <f t="shared" si="1"/>
        <v>#DIV/0!</v>
      </c>
      <c r="Q65" s="82" t="e">
        <f t="shared" si="1"/>
        <v>#DIV/0!</v>
      </c>
      <c r="R65" s="82" t="e">
        <f t="shared" si="1"/>
        <v>#DIV/0!</v>
      </c>
      <c r="S65" s="82"/>
      <c r="T65" s="244" t="s">
        <v>394</v>
      </c>
      <c r="U65" s="244" t="s">
        <v>450</v>
      </c>
      <c r="V65" s="82"/>
      <c r="W65" s="82">
        <f>$C$65</f>
        <v>15</v>
      </c>
      <c r="X65" s="82">
        <f>$D$65</f>
        <v>13.5</v>
      </c>
      <c r="Y65" s="82">
        <f>$E$65</f>
        <v>18.7</v>
      </c>
      <c r="Z65" s="82">
        <f>$F$65</f>
        <v>19.2</v>
      </c>
      <c r="AA65" s="82">
        <f>$G$65</f>
        <v>14.7</v>
      </c>
      <c r="AB65" s="82">
        <f>$H$65</f>
        <v>17.2</v>
      </c>
      <c r="AC65" s="82" t="e">
        <f>$I$65</f>
        <v>#DIV/0!</v>
      </c>
      <c r="AD65" s="82" t="e">
        <f>$J$65</f>
        <v>#DIV/0!</v>
      </c>
      <c r="AE65" s="82" t="e">
        <f>$K$65</f>
        <v>#DIV/0!</v>
      </c>
      <c r="AF65" s="82" t="e">
        <f>$L$65</f>
        <v>#DIV/0!</v>
      </c>
      <c r="AG65" s="82" t="e">
        <f>$M$65</f>
        <v>#DIV/0!</v>
      </c>
      <c r="AH65" s="82" t="e">
        <f>$N$65</f>
        <v>#DIV/0!</v>
      </c>
      <c r="AI65" s="82" t="e">
        <f>$O$65</f>
        <v>#DIV/0!</v>
      </c>
      <c r="AJ65" s="82" t="e">
        <f>$P$65</f>
        <v>#DIV/0!</v>
      </c>
      <c r="AK65" s="82" t="e">
        <f>$Q$65</f>
        <v>#DIV/0!</v>
      </c>
      <c r="AL65" s="82" t="e">
        <f>$R$65</f>
        <v>#DIV/0!</v>
      </c>
    </row>
    <row r="66" spans="1:38">
      <c r="A66" s="69" t="s">
        <v>172</v>
      </c>
      <c r="B66" s="71" t="s">
        <v>178</v>
      </c>
      <c r="C66" s="8">
        <v>22.3</v>
      </c>
      <c r="D66" s="8">
        <v>21.2</v>
      </c>
      <c r="E66" s="8">
        <v>19.8</v>
      </c>
      <c r="F66" s="8">
        <v>17.7</v>
      </c>
      <c r="G66" s="8">
        <v>19</v>
      </c>
      <c r="H66" s="8">
        <v>23.3</v>
      </c>
      <c r="I66" s="82" t="e">
        <f t="shared" si="1"/>
        <v>#DIV/0!</v>
      </c>
      <c r="J66" s="82" t="e">
        <f t="shared" si="1"/>
        <v>#DIV/0!</v>
      </c>
      <c r="K66" s="82" t="e">
        <f t="shared" si="1"/>
        <v>#DIV/0!</v>
      </c>
      <c r="L66" s="82" t="e">
        <f t="shared" si="1"/>
        <v>#DIV/0!</v>
      </c>
      <c r="M66" s="82" t="e">
        <f t="shared" si="1"/>
        <v>#DIV/0!</v>
      </c>
      <c r="N66" s="82" t="e">
        <f t="shared" si="1"/>
        <v>#DIV/0!</v>
      </c>
      <c r="O66" s="82" t="e">
        <f t="shared" si="1"/>
        <v>#DIV/0!</v>
      </c>
      <c r="P66" s="82" t="e">
        <f t="shared" si="1"/>
        <v>#DIV/0!</v>
      </c>
      <c r="Q66" s="82" t="e">
        <f t="shared" si="1"/>
        <v>#DIV/0!</v>
      </c>
      <c r="R66" s="82" t="e">
        <f t="shared" si="1"/>
        <v>#DIV/0!</v>
      </c>
      <c r="S66" s="82"/>
      <c r="T66" s="244" t="s">
        <v>434</v>
      </c>
      <c r="U66" s="244" t="s">
        <v>451</v>
      </c>
      <c r="V66" s="82"/>
      <c r="W66" s="82">
        <f>$C$66</f>
        <v>22.3</v>
      </c>
      <c r="X66" s="82">
        <f>$D$66</f>
        <v>21.2</v>
      </c>
      <c r="Y66" s="82">
        <f>$E$66</f>
        <v>19.8</v>
      </c>
      <c r="Z66" s="82">
        <f>$F$66</f>
        <v>17.7</v>
      </c>
      <c r="AA66" s="82">
        <f>$G$66</f>
        <v>19</v>
      </c>
      <c r="AB66" s="82">
        <f>$H$66</f>
        <v>23.3</v>
      </c>
      <c r="AC66" s="82" t="e">
        <f>$I$66</f>
        <v>#DIV/0!</v>
      </c>
      <c r="AD66" s="82" t="e">
        <f>$J$66</f>
        <v>#DIV/0!</v>
      </c>
      <c r="AE66" s="82" t="e">
        <f>$K$66</f>
        <v>#DIV/0!</v>
      </c>
      <c r="AF66" s="82" t="e">
        <f>$L$66</f>
        <v>#DIV/0!</v>
      </c>
      <c r="AG66" s="82" t="e">
        <f>$M$66</f>
        <v>#DIV/0!</v>
      </c>
      <c r="AH66" s="82" t="e">
        <f>$N$66</f>
        <v>#DIV/0!</v>
      </c>
      <c r="AI66" s="82" t="e">
        <f>$O$66</f>
        <v>#DIV/0!</v>
      </c>
      <c r="AJ66" s="82" t="e">
        <f>$P$66</f>
        <v>#DIV/0!</v>
      </c>
      <c r="AK66" s="82" t="e">
        <f>$Q$66</f>
        <v>#DIV/0!</v>
      </c>
      <c r="AL66" s="82" t="e">
        <f>$R$66</f>
        <v>#DIV/0!</v>
      </c>
    </row>
    <row r="67" spans="1:38">
      <c r="A67" s="69" t="s">
        <v>173</v>
      </c>
      <c r="B67" s="71" t="s">
        <v>178</v>
      </c>
      <c r="C67" s="8">
        <v>20.5</v>
      </c>
      <c r="D67" s="8">
        <v>22.2</v>
      </c>
      <c r="E67" s="8">
        <v>22.8</v>
      </c>
      <c r="F67" s="8">
        <v>27.2</v>
      </c>
      <c r="G67" s="8">
        <v>22.7</v>
      </c>
      <c r="H67" s="8">
        <v>17</v>
      </c>
      <c r="I67" s="82" t="e">
        <f t="shared" si="1"/>
        <v>#DIV/0!</v>
      </c>
      <c r="J67" s="82" t="e">
        <f t="shared" si="1"/>
        <v>#DIV/0!</v>
      </c>
      <c r="K67" s="82" t="e">
        <f t="shared" si="1"/>
        <v>#DIV/0!</v>
      </c>
      <c r="L67" s="82" t="e">
        <f t="shared" si="1"/>
        <v>#DIV/0!</v>
      </c>
      <c r="M67" s="82" t="e">
        <f t="shared" si="1"/>
        <v>#DIV/0!</v>
      </c>
      <c r="N67" s="82" t="e">
        <f t="shared" si="1"/>
        <v>#DIV/0!</v>
      </c>
      <c r="O67" s="82" t="e">
        <f t="shared" si="1"/>
        <v>#DIV/0!</v>
      </c>
      <c r="P67" s="82" t="e">
        <f t="shared" si="1"/>
        <v>#DIV/0!</v>
      </c>
      <c r="Q67" s="82" t="e">
        <f t="shared" si="1"/>
        <v>#DIV/0!</v>
      </c>
      <c r="R67" s="82" t="e">
        <f t="shared" si="1"/>
        <v>#DIV/0!</v>
      </c>
      <c r="S67" s="82"/>
      <c r="T67" s="244" t="s">
        <v>435</v>
      </c>
      <c r="U67" s="244" t="s">
        <v>452</v>
      </c>
      <c r="V67" s="82"/>
      <c r="W67" s="82">
        <f>$C$67</f>
        <v>20.5</v>
      </c>
      <c r="X67" s="82">
        <f>$D$67</f>
        <v>22.2</v>
      </c>
      <c r="Y67" s="82">
        <f>$E$67</f>
        <v>22.8</v>
      </c>
      <c r="Z67" s="82">
        <f>$F$67</f>
        <v>27.2</v>
      </c>
      <c r="AA67" s="82">
        <f>$G$67</f>
        <v>22.7</v>
      </c>
      <c r="AB67" s="82">
        <f>$H$67</f>
        <v>17</v>
      </c>
      <c r="AC67" s="82" t="e">
        <f>$I$67</f>
        <v>#DIV/0!</v>
      </c>
      <c r="AD67" s="82" t="e">
        <f>$J$67</f>
        <v>#DIV/0!</v>
      </c>
      <c r="AE67" s="82" t="e">
        <f>$K$67</f>
        <v>#DIV/0!</v>
      </c>
      <c r="AF67" s="82" t="e">
        <f>$L$67</f>
        <v>#DIV/0!</v>
      </c>
      <c r="AG67" s="82" t="e">
        <f>$M$67</f>
        <v>#DIV/0!</v>
      </c>
      <c r="AH67" s="82" t="e">
        <f>$N$67</f>
        <v>#DIV/0!</v>
      </c>
      <c r="AI67" s="82" t="e">
        <f>$O$67</f>
        <v>#DIV/0!</v>
      </c>
      <c r="AJ67" s="82" t="e">
        <f>$P$67</f>
        <v>#DIV/0!</v>
      </c>
      <c r="AK67" s="82" t="e">
        <f>$Q$67</f>
        <v>#DIV/0!</v>
      </c>
      <c r="AL67" s="82" t="e">
        <f>$R$67</f>
        <v>#DIV/0!</v>
      </c>
    </row>
    <row r="68" spans="1:38">
      <c r="A68" s="69" t="s">
        <v>147</v>
      </c>
      <c r="B68" t="s">
        <v>153</v>
      </c>
      <c r="C68" s="8">
        <v>8.1999999999999993</v>
      </c>
      <c r="D68" s="8">
        <v>2</v>
      </c>
      <c r="E68" s="8">
        <v>17.7</v>
      </c>
      <c r="F68" s="8">
        <v>11.8</v>
      </c>
      <c r="G68" s="8">
        <v>9.6</v>
      </c>
      <c r="H68" s="8">
        <v>19.2</v>
      </c>
      <c r="I68" s="82" t="e">
        <f t="shared" si="1"/>
        <v>#DIV/0!</v>
      </c>
      <c r="J68" s="82" t="e">
        <f t="shared" si="1"/>
        <v>#DIV/0!</v>
      </c>
      <c r="K68" s="82" t="e">
        <f t="shared" si="1"/>
        <v>#DIV/0!</v>
      </c>
      <c r="L68" s="82" t="e">
        <f t="shared" si="1"/>
        <v>#DIV/0!</v>
      </c>
      <c r="M68" s="82" t="e">
        <f t="shared" si="1"/>
        <v>#DIV/0!</v>
      </c>
      <c r="N68" s="82" t="e">
        <f t="shared" si="1"/>
        <v>#DIV/0!</v>
      </c>
      <c r="O68" s="82" t="e">
        <f t="shared" si="1"/>
        <v>#DIV/0!</v>
      </c>
      <c r="P68" s="82" t="e">
        <f t="shared" si="1"/>
        <v>#DIV/0!</v>
      </c>
      <c r="Q68" s="82" t="e">
        <f t="shared" si="1"/>
        <v>#DIV/0!</v>
      </c>
      <c r="R68" s="82" t="e">
        <f t="shared" si="1"/>
        <v>#DIV/0!</v>
      </c>
      <c r="S68" s="82"/>
      <c r="T68" s="244" t="s">
        <v>436</v>
      </c>
      <c r="U68" s="244" t="s">
        <v>453</v>
      </c>
      <c r="V68" s="82"/>
      <c r="W68" s="82">
        <f>$C$68</f>
        <v>8.1999999999999993</v>
      </c>
      <c r="X68" s="82">
        <f>$D$68</f>
        <v>2</v>
      </c>
      <c r="Y68" s="82">
        <f>$E$68</f>
        <v>17.7</v>
      </c>
      <c r="Z68" s="82">
        <f>$F$68</f>
        <v>11.8</v>
      </c>
      <c r="AA68" s="82">
        <f>$G$68</f>
        <v>9.6</v>
      </c>
      <c r="AB68" s="82">
        <f>$H$68</f>
        <v>19.2</v>
      </c>
      <c r="AC68" s="82" t="e">
        <f>$I$68</f>
        <v>#DIV/0!</v>
      </c>
      <c r="AD68" s="82" t="e">
        <f>$J$68</f>
        <v>#DIV/0!</v>
      </c>
      <c r="AE68" s="82" t="e">
        <f>$K$68</f>
        <v>#DIV/0!</v>
      </c>
      <c r="AF68" s="82" t="e">
        <f>$L$68</f>
        <v>#DIV/0!</v>
      </c>
      <c r="AG68" s="82" t="e">
        <f>$M$68</f>
        <v>#DIV/0!</v>
      </c>
      <c r="AH68" s="82" t="e">
        <f>$N$68</f>
        <v>#DIV/0!</v>
      </c>
      <c r="AI68" s="82" t="e">
        <f>$O$68</f>
        <v>#DIV/0!</v>
      </c>
      <c r="AJ68" s="82" t="e">
        <f>$P$68</f>
        <v>#DIV/0!</v>
      </c>
      <c r="AK68" s="82" t="e">
        <f>$Q$68</f>
        <v>#DIV/0!</v>
      </c>
      <c r="AL68" s="82" t="e">
        <f>$R$68</f>
        <v>#DIV/0!</v>
      </c>
    </row>
    <row r="69" spans="1:38">
      <c r="A69" s="68" t="s">
        <v>193</v>
      </c>
      <c r="B69" s="71" t="s">
        <v>162</v>
      </c>
      <c r="C69" s="8">
        <v>13.4</v>
      </c>
      <c r="D69" s="8">
        <v>13.1</v>
      </c>
      <c r="E69" s="8">
        <v>11.1</v>
      </c>
      <c r="F69" s="8">
        <v>15.2</v>
      </c>
      <c r="G69" s="8">
        <v>17.100000000000001</v>
      </c>
      <c r="H69" s="8">
        <v>18.100000000000001</v>
      </c>
      <c r="I69" s="82" t="e">
        <f t="shared" si="1"/>
        <v>#DIV/0!</v>
      </c>
      <c r="J69" s="82" t="e">
        <f t="shared" si="1"/>
        <v>#DIV/0!</v>
      </c>
      <c r="K69" s="82" t="e">
        <f t="shared" si="1"/>
        <v>#DIV/0!</v>
      </c>
      <c r="L69" s="82" t="e">
        <f t="shared" si="1"/>
        <v>#DIV/0!</v>
      </c>
      <c r="M69" s="82" t="e">
        <f t="shared" si="1"/>
        <v>#DIV/0!</v>
      </c>
      <c r="N69" s="82" t="e">
        <f t="shared" si="1"/>
        <v>#DIV/0!</v>
      </c>
      <c r="O69" s="82" t="e">
        <f t="shared" si="1"/>
        <v>#DIV/0!</v>
      </c>
      <c r="P69" s="82" t="e">
        <f t="shared" si="1"/>
        <v>#DIV/0!</v>
      </c>
      <c r="Q69" s="82" t="e">
        <f t="shared" si="1"/>
        <v>#DIV/0!</v>
      </c>
      <c r="R69" s="82" t="e">
        <f t="shared" si="1"/>
        <v>#DIV/0!</v>
      </c>
      <c r="S69" s="82"/>
      <c r="T69" s="244" t="s">
        <v>437</v>
      </c>
      <c r="U69" s="245" t="s">
        <v>454</v>
      </c>
      <c r="V69" s="82"/>
      <c r="W69" s="82">
        <f>$C$69</f>
        <v>13.4</v>
      </c>
      <c r="X69" s="82">
        <f>$D$69</f>
        <v>13.1</v>
      </c>
      <c r="Y69" s="82">
        <f>$E$69</f>
        <v>11.1</v>
      </c>
      <c r="Z69" s="82">
        <f>$F$69</f>
        <v>15.2</v>
      </c>
      <c r="AA69" s="82">
        <f>$G$69</f>
        <v>17.100000000000001</v>
      </c>
      <c r="AB69" s="82">
        <f>$H$69</f>
        <v>18.100000000000001</v>
      </c>
      <c r="AC69" s="82" t="e">
        <f>$I$69</f>
        <v>#DIV/0!</v>
      </c>
      <c r="AD69" s="82" t="e">
        <f>$J$69</f>
        <v>#DIV/0!</v>
      </c>
      <c r="AE69" s="82" t="e">
        <f>$K$69</f>
        <v>#DIV/0!</v>
      </c>
      <c r="AF69" s="82" t="e">
        <f>$L$69</f>
        <v>#DIV/0!</v>
      </c>
      <c r="AG69" s="82" t="e">
        <f>$M$69</f>
        <v>#DIV/0!</v>
      </c>
      <c r="AH69" s="82" t="e">
        <f>$N$69</f>
        <v>#DIV/0!</v>
      </c>
      <c r="AI69" s="82" t="e">
        <f>$O$69</f>
        <v>#DIV/0!</v>
      </c>
      <c r="AJ69" s="82" t="e">
        <f>$P$69</f>
        <v>#DIV/0!</v>
      </c>
      <c r="AK69" s="82" t="e">
        <f>$Q$69</f>
        <v>#DIV/0!</v>
      </c>
      <c r="AL69" s="82" t="e">
        <f>$R$69</f>
        <v>#DIV/0!</v>
      </c>
    </row>
    <row r="70" spans="1:38">
      <c r="A70" s="68" t="s">
        <v>190</v>
      </c>
      <c r="B70" t="s">
        <v>153</v>
      </c>
      <c r="C70" s="8">
        <v>25.7</v>
      </c>
      <c r="D70" s="8">
        <v>20</v>
      </c>
      <c r="E70" s="8">
        <v>17.5</v>
      </c>
      <c r="F70" s="8">
        <v>23.9</v>
      </c>
      <c r="G70" s="8">
        <v>14.3</v>
      </c>
      <c r="H70" s="8">
        <v>33</v>
      </c>
      <c r="I70" s="82" t="e">
        <f t="shared" si="1"/>
        <v>#DIV/0!</v>
      </c>
      <c r="J70" s="82" t="e">
        <f t="shared" si="1"/>
        <v>#DIV/0!</v>
      </c>
      <c r="K70" s="82" t="e">
        <f t="shared" si="1"/>
        <v>#DIV/0!</v>
      </c>
      <c r="L70" s="82" t="e">
        <f t="shared" si="1"/>
        <v>#DIV/0!</v>
      </c>
      <c r="M70" s="82" t="e">
        <f t="shared" si="1"/>
        <v>#DIV/0!</v>
      </c>
      <c r="N70" s="82" t="e">
        <f t="shared" si="1"/>
        <v>#DIV/0!</v>
      </c>
      <c r="O70" s="82" t="e">
        <f t="shared" si="1"/>
        <v>#DIV/0!</v>
      </c>
      <c r="P70" s="82" t="e">
        <f t="shared" si="1"/>
        <v>#DIV/0!</v>
      </c>
      <c r="Q70" s="82" t="e">
        <f t="shared" si="1"/>
        <v>#DIV/0!</v>
      </c>
      <c r="R70" s="82" t="e">
        <f t="shared" si="1"/>
        <v>#DIV/0!</v>
      </c>
      <c r="S70" s="82"/>
      <c r="T70" s="244" t="s">
        <v>438</v>
      </c>
      <c r="U70" s="244" t="s">
        <v>455</v>
      </c>
      <c r="V70" s="82"/>
      <c r="W70" s="82">
        <f>$C$70</f>
        <v>25.7</v>
      </c>
      <c r="X70" s="82">
        <f>$D$70</f>
        <v>20</v>
      </c>
      <c r="Y70" s="82">
        <f>$E$70</f>
        <v>17.5</v>
      </c>
      <c r="Z70" s="82">
        <f>$F$70</f>
        <v>23.9</v>
      </c>
      <c r="AA70" s="82">
        <f>$G$70</f>
        <v>14.3</v>
      </c>
      <c r="AB70" s="82">
        <f>$H$70</f>
        <v>33</v>
      </c>
      <c r="AC70" s="82" t="e">
        <f>$I$70</f>
        <v>#DIV/0!</v>
      </c>
      <c r="AD70" s="82" t="e">
        <f>$J$70</f>
        <v>#DIV/0!</v>
      </c>
      <c r="AE70" s="82" t="e">
        <f>$K$70</f>
        <v>#DIV/0!</v>
      </c>
      <c r="AF70" s="82" t="e">
        <f>$L$70</f>
        <v>#DIV/0!</v>
      </c>
      <c r="AG70" s="82" t="e">
        <f>$M$70</f>
        <v>#DIV/0!</v>
      </c>
      <c r="AH70" s="82" t="e">
        <f>$N$70</f>
        <v>#DIV/0!</v>
      </c>
      <c r="AI70" s="82" t="e">
        <f>$O$70</f>
        <v>#DIV/0!</v>
      </c>
      <c r="AJ70" s="82" t="e">
        <f>$P$70</f>
        <v>#DIV/0!</v>
      </c>
      <c r="AK70" s="82" t="e">
        <f>$Q$70</f>
        <v>#DIV/0!</v>
      </c>
      <c r="AL70" s="82" t="e">
        <f>$R$70</f>
        <v>#DIV/0!</v>
      </c>
    </row>
    <row r="71" spans="1:38">
      <c r="A71" s="70" t="s">
        <v>187</v>
      </c>
      <c r="B71" s="71" t="s">
        <v>188</v>
      </c>
      <c r="C71" s="8">
        <v>25.5</v>
      </c>
      <c r="D71" s="8">
        <v>12.7</v>
      </c>
      <c r="E71" s="8">
        <v>32.700000000000003</v>
      </c>
      <c r="F71" s="8">
        <v>31.9</v>
      </c>
      <c r="G71" s="8">
        <v>34.299999999999997</v>
      </c>
      <c r="H71" s="8">
        <v>39</v>
      </c>
      <c r="I71" s="82" t="e">
        <f t="shared" si="1"/>
        <v>#DIV/0!</v>
      </c>
      <c r="J71" s="82" t="e">
        <f t="shared" si="1"/>
        <v>#DIV/0!</v>
      </c>
      <c r="K71" s="82" t="e">
        <f t="shared" si="1"/>
        <v>#DIV/0!</v>
      </c>
      <c r="L71" s="82" t="e">
        <f t="shared" si="1"/>
        <v>#DIV/0!</v>
      </c>
      <c r="M71" s="82" t="e">
        <f t="shared" si="1"/>
        <v>#DIV/0!</v>
      </c>
      <c r="N71" s="82" t="e">
        <f t="shared" si="1"/>
        <v>#DIV/0!</v>
      </c>
      <c r="O71" s="82" t="e">
        <f t="shared" si="1"/>
        <v>#DIV/0!</v>
      </c>
      <c r="P71" s="82" t="e">
        <f t="shared" si="1"/>
        <v>#DIV/0!</v>
      </c>
      <c r="Q71" s="82" t="e">
        <f t="shared" si="1"/>
        <v>#DIV/0!</v>
      </c>
      <c r="R71" s="82" t="e">
        <f t="shared" si="1"/>
        <v>#DIV/0!</v>
      </c>
      <c r="S71" s="82"/>
      <c r="T71" s="244" t="s">
        <v>439</v>
      </c>
      <c r="U71" s="244" t="s">
        <v>456</v>
      </c>
      <c r="V71" s="96"/>
      <c r="W71" s="82">
        <f>$C$71</f>
        <v>25.5</v>
      </c>
      <c r="X71" s="82">
        <f>$D$71</f>
        <v>12.7</v>
      </c>
      <c r="Y71" s="82">
        <f>$E$71</f>
        <v>32.700000000000003</v>
      </c>
      <c r="Z71" s="82">
        <f>$F$71</f>
        <v>31.9</v>
      </c>
      <c r="AA71" s="82">
        <f>$G$71</f>
        <v>34.299999999999997</v>
      </c>
      <c r="AB71" s="82">
        <f>$H$71</f>
        <v>39</v>
      </c>
      <c r="AC71" s="82" t="e">
        <f>$I$71</f>
        <v>#DIV/0!</v>
      </c>
      <c r="AD71" s="82" t="e">
        <f>$J$71</f>
        <v>#DIV/0!</v>
      </c>
      <c r="AE71" s="82" t="e">
        <f>$K$71</f>
        <v>#DIV/0!</v>
      </c>
      <c r="AF71" s="82" t="e">
        <f>$L$71</f>
        <v>#DIV/0!</v>
      </c>
      <c r="AG71" s="82" t="e">
        <f>$M$71</f>
        <v>#DIV/0!</v>
      </c>
      <c r="AH71" s="82" t="e">
        <f>$N$71</f>
        <v>#DIV/0!</v>
      </c>
      <c r="AI71" s="82" t="e">
        <f>$O$71</f>
        <v>#DIV/0!</v>
      </c>
      <c r="AJ71" s="82" t="e">
        <f>$P$71</f>
        <v>#DIV/0!</v>
      </c>
      <c r="AK71" s="82" t="e">
        <f>$Q$71</f>
        <v>#DIV/0!</v>
      </c>
      <c r="AL71" s="82" t="e">
        <f>$R$71</f>
        <v>#DIV/0!</v>
      </c>
    </row>
    <row r="72" spans="1:38">
      <c r="A72" s="69" t="s">
        <v>145</v>
      </c>
      <c r="B72" t="s">
        <v>153</v>
      </c>
      <c r="C72" s="8">
        <v>28.9</v>
      </c>
      <c r="D72" s="8">
        <v>26.5</v>
      </c>
      <c r="E72" s="8">
        <v>22.8</v>
      </c>
      <c r="F72" s="8">
        <v>19.7</v>
      </c>
      <c r="G72" s="8">
        <v>15.3</v>
      </c>
      <c r="H72" s="8">
        <v>21.3</v>
      </c>
      <c r="I72" s="82" t="e">
        <f t="shared" si="1"/>
        <v>#DIV/0!</v>
      </c>
      <c r="J72" s="82" t="e">
        <f t="shared" si="1"/>
        <v>#DIV/0!</v>
      </c>
      <c r="K72" s="82" t="e">
        <f t="shared" si="1"/>
        <v>#DIV/0!</v>
      </c>
      <c r="L72" s="82" t="e">
        <f t="shared" si="1"/>
        <v>#DIV/0!</v>
      </c>
      <c r="M72" s="82" t="e">
        <f t="shared" si="1"/>
        <v>#DIV/0!</v>
      </c>
      <c r="N72" s="82" t="e">
        <f t="shared" si="1"/>
        <v>#DIV/0!</v>
      </c>
      <c r="O72" s="82" t="e">
        <f t="shared" si="1"/>
        <v>#DIV/0!</v>
      </c>
      <c r="P72" s="82" t="e">
        <f t="shared" si="1"/>
        <v>#DIV/0!</v>
      </c>
      <c r="Q72" s="82" t="e">
        <f t="shared" si="1"/>
        <v>#DIV/0!</v>
      </c>
      <c r="R72" s="82" t="e">
        <f t="shared" si="1"/>
        <v>#DIV/0!</v>
      </c>
      <c r="S72" s="82"/>
      <c r="T72" s="244" t="s">
        <v>440</v>
      </c>
      <c r="U72" s="244" t="s">
        <v>457</v>
      </c>
      <c r="V72" s="96"/>
      <c r="W72" s="82">
        <f>$C$72</f>
        <v>28.9</v>
      </c>
      <c r="X72" s="82">
        <f>$D$72</f>
        <v>26.5</v>
      </c>
      <c r="Y72" s="82">
        <f>$E$72</f>
        <v>22.8</v>
      </c>
      <c r="Z72" s="82">
        <f>$F$72</f>
        <v>19.7</v>
      </c>
      <c r="AA72" s="82">
        <f>$G$72</f>
        <v>15.3</v>
      </c>
      <c r="AB72" s="82">
        <f>$H$72</f>
        <v>21.3</v>
      </c>
      <c r="AC72" s="82" t="e">
        <f>$I$72</f>
        <v>#DIV/0!</v>
      </c>
      <c r="AD72" s="82" t="e">
        <f>$J$72</f>
        <v>#DIV/0!</v>
      </c>
      <c r="AE72" s="82" t="e">
        <f>$K$72</f>
        <v>#DIV/0!</v>
      </c>
      <c r="AF72" s="82" t="e">
        <f>$L$72</f>
        <v>#DIV/0!</v>
      </c>
      <c r="AG72" s="82" t="e">
        <f>$M$72</f>
        <v>#DIV/0!</v>
      </c>
      <c r="AH72" s="82" t="e">
        <f>$N$72</f>
        <v>#DIV/0!</v>
      </c>
      <c r="AI72" s="82" t="e">
        <f>$O$72</f>
        <v>#DIV/0!</v>
      </c>
      <c r="AJ72" s="82" t="e">
        <f>$P$72</f>
        <v>#DIV/0!</v>
      </c>
      <c r="AK72" s="82" t="e">
        <f>$Q$72</f>
        <v>#DIV/0!</v>
      </c>
      <c r="AL72" s="82" t="e">
        <f>$R$72</f>
        <v>#DIV/0!</v>
      </c>
    </row>
    <row r="73" spans="1:38">
      <c r="A73" s="69" t="s">
        <v>174</v>
      </c>
      <c r="B73" s="71" t="s">
        <v>178</v>
      </c>
      <c r="C73" s="8">
        <v>26.2</v>
      </c>
      <c r="D73" s="8">
        <v>20.3</v>
      </c>
      <c r="E73" s="8">
        <v>28.2</v>
      </c>
      <c r="F73" s="8">
        <v>26.3</v>
      </c>
      <c r="G73" s="8">
        <v>40</v>
      </c>
      <c r="H73" s="8">
        <v>35.299999999999997</v>
      </c>
      <c r="I73" s="82" t="e">
        <f t="shared" si="1"/>
        <v>#DIV/0!</v>
      </c>
      <c r="J73" s="82" t="e">
        <f t="shared" si="1"/>
        <v>#DIV/0!</v>
      </c>
      <c r="K73" s="82" t="e">
        <f t="shared" si="1"/>
        <v>#DIV/0!</v>
      </c>
      <c r="L73" s="82" t="e">
        <f t="shared" si="1"/>
        <v>#DIV/0!</v>
      </c>
      <c r="M73" s="82" t="e">
        <f t="shared" si="1"/>
        <v>#DIV/0!</v>
      </c>
      <c r="N73" s="82" t="e">
        <f t="shared" si="1"/>
        <v>#DIV/0!</v>
      </c>
      <c r="O73" s="82" t="e">
        <f t="shared" si="1"/>
        <v>#DIV/0!</v>
      </c>
      <c r="P73" s="82" t="e">
        <f t="shared" si="1"/>
        <v>#DIV/0!</v>
      </c>
      <c r="Q73" s="82" t="e">
        <f t="shared" si="1"/>
        <v>#DIV/0!</v>
      </c>
      <c r="R73" s="82" t="e">
        <f t="shared" si="1"/>
        <v>#DIV/0!</v>
      </c>
      <c r="S73" s="82"/>
      <c r="T73" s="244" t="s">
        <v>441</v>
      </c>
      <c r="U73" s="244" t="s">
        <v>458</v>
      </c>
      <c r="V73" s="96"/>
      <c r="W73" s="82">
        <f>$C$73</f>
        <v>26.2</v>
      </c>
      <c r="X73" s="82">
        <f>$D$73</f>
        <v>20.3</v>
      </c>
      <c r="Y73" s="82">
        <f>$E$73</f>
        <v>28.2</v>
      </c>
      <c r="Z73" s="82">
        <f>$F$73</f>
        <v>26.3</v>
      </c>
      <c r="AA73" s="82">
        <f>$G$73</f>
        <v>40</v>
      </c>
      <c r="AB73" s="82">
        <f>$H$73</f>
        <v>35.299999999999997</v>
      </c>
      <c r="AC73" s="82" t="e">
        <f>$I$73</f>
        <v>#DIV/0!</v>
      </c>
      <c r="AD73" s="82" t="e">
        <f>$J$73</f>
        <v>#DIV/0!</v>
      </c>
      <c r="AE73" s="82" t="e">
        <f>$K$73</f>
        <v>#DIV/0!</v>
      </c>
      <c r="AF73" s="82" t="e">
        <f>$L$73</f>
        <v>#DIV/0!</v>
      </c>
      <c r="AG73" s="82" t="e">
        <f>$M$73</f>
        <v>#DIV/0!</v>
      </c>
      <c r="AH73" s="82" t="e">
        <f>$N$73</f>
        <v>#DIV/0!</v>
      </c>
      <c r="AI73" s="82" t="e">
        <f>$O$73</f>
        <v>#DIV/0!</v>
      </c>
      <c r="AJ73" s="82" t="e">
        <f>$P$73</f>
        <v>#DIV/0!</v>
      </c>
      <c r="AK73" s="82" t="e">
        <f>$Q$73</f>
        <v>#DIV/0!</v>
      </c>
      <c r="AL73" s="82" t="e">
        <f>$R$73</f>
        <v>#DIV/0!</v>
      </c>
    </row>
    <row r="74" spans="1:38">
      <c r="A74" s="69" t="s">
        <v>175</v>
      </c>
      <c r="B74" s="71" t="s">
        <v>178</v>
      </c>
      <c r="C74" s="8">
        <v>28</v>
      </c>
      <c r="D74" s="8">
        <v>27</v>
      </c>
      <c r="E74" s="8">
        <v>29.7</v>
      </c>
      <c r="F74" s="8">
        <v>29</v>
      </c>
      <c r="G74" s="8">
        <v>23.7</v>
      </c>
      <c r="H74" s="8">
        <v>21.4</v>
      </c>
      <c r="I74" s="82" t="e">
        <f t="shared" si="1"/>
        <v>#DIV/0!</v>
      </c>
      <c r="J74" s="82" t="e">
        <f t="shared" si="1"/>
        <v>#DIV/0!</v>
      </c>
      <c r="K74" s="82" t="e">
        <f t="shared" si="1"/>
        <v>#DIV/0!</v>
      </c>
      <c r="L74" s="82" t="e">
        <f t="shared" si="1"/>
        <v>#DIV/0!</v>
      </c>
      <c r="M74" s="82" t="e">
        <f t="shared" si="1"/>
        <v>#DIV/0!</v>
      </c>
      <c r="N74" s="82" t="e">
        <f t="shared" si="1"/>
        <v>#DIV/0!</v>
      </c>
      <c r="O74" s="82" t="e">
        <f t="shared" si="1"/>
        <v>#DIV/0!</v>
      </c>
      <c r="P74" s="82" t="e">
        <f t="shared" si="1"/>
        <v>#DIV/0!</v>
      </c>
      <c r="Q74" s="82" t="e">
        <f t="shared" si="1"/>
        <v>#DIV/0!</v>
      </c>
      <c r="R74" s="82" t="e">
        <f t="shared" si="1"/>
        <v>#DIV/0!</v>
      </c>
      <c r="S74" s="82"/>
      <c r="T74" s="244" t="s">
        <v>442</v>
      </c>
      <c r="U74" s="244" t="s">
        <v>459</v>
      </c>
      <c r="V74" s="96"/>
      <c r="W74" s="82">
        <f>$C$74</f>
        <v>28</v>
      </c>
      <c r="X74" s="82">
        <f>$D$74</f>
        <v>27</v>
      </c>
      <c r="Y74" s="82">
        <f>$E$74</f>
        <v>29.7</v>
      </c>
      <c r="Z74" s="82">
        <f>$F$74</f>
        <v>29</v>
      </c>
      <c r="AA74" s="82">
        <f>$G$74</f>
        <v>23.7</v>
      </c>
      <c r="AB74" s="82">
        <f>$H$74</f>
        <v>21.4</v>
      </c>
      <c r="AC74" s="82" t="e">
        <f>$I$74</f>
        <v>#DIV/0!</v>
      </c>
      <c r="AD74" s="82" t="e">
        <f>$J$74</f>
        <v>#DIV/0!</v>
      </c>
      <c r="AE74" s="82" t="e">
        <f>$K$74</f>
        <v>#DIV/0!</v>
      </c>
      <c r="AF74" s="82" t="e">
        <f>$L$74</f>
        <v>#DIV/0!</v>
      </c>
      <c r="AG74" s="82" t="e">
        <f>$M$74</f>
        <v>#DIV/0!</v>
      </c>
      <c r="AH74" s="82" t="e">
        <f>$N$74</f>
        <v>#DIV/0!</v>
      </c>
      <c r="AI74" s="82" t="e">
        <f>$O$74</f>
        <v>#DIV/0!</v>
      </c>
      <c r="AJ74" s="82" t="e">
        <f>$P$74</f>
        <v>#DIV/0!</v>
      </c>
      <c r="AK74" s="82" t="e">
        <f>$Q$74</f>
        <v>#DIV/0!</v>
      </c>
      <c r="AL74" s="82" t="e">
        <f>$R$74</f>
        <v>#DIV/0!</v>
      </c>
    </row>
    <row r="75" spans="1:38">
      <c r="A75" s="69" t="s">
        <v>161</v>
      </c>
      <c r="B75" s="71" t="s">
        <v>162</v>
      </c>
      <c r="C75" s="8">
        <v>13.7</v>
      </c>
      <c r="D75" s="8">
        <v>14.6</v>
      </c>
      <c r="E75" s="8">
        <v>9.1999999999999993</v>
      </c>
      <c r="F75" s="8">
        <v>12.9</v>
      </c>
      <c r="G75" s="8">
        <v>11.7</v>
      </c>
      <c r="H75" s="8">
        <v>14.3</v>
      </c>
      <c r="I75" s="82" t="e">
        <f t="shared" si="1"/>
        <v>#DIV/0!</v>
      </c>
      <c r="J75" s="82" t="e">
        <f t="shared" si="1"/>
        <v>#DIV/0!</v>
      </c>
      <c r="K75" s="82" t="e">
        <f t="shared" si="1"/>
        <v>#DIV/0!</v>
      </c>
      <c r="L75" s="82" t="e">
        <f t="shared" si="1"/>
        <v>#DIV/0!</v>
      </c>
      <c r="M75" s="82" t="e">
        <f t="shared" si="1"/>
        <v>#DIV/0!</v>
      </c>
      <c r="N75" s="82" t="e">
        <f t="shared" si="1"/>
        <v>#DIV/0!</v>
      </c>
      <c r="O75" s="82" t="e">
        <f t="shared" si="1"/>
        <v>#DIV/0!</v>
      </c>
      <c r="P75" s="82" t="e">
        <f t="shared" si="1"/>
        <v>#DIV/0!</v>
      </c>
      <c r="Q75" s="82" t="e">
        <f t="shared" si="1"/>
        <v>#DIV/0!</v>
      </c>
      <c r="R75" s="82" t="e">
        <f t="shared" si="1"/>
        <v>#DIV/0!</v>
      </c>
      <c r="S75" s="82"/>
      <c r="T75" s="244" t="s">
        <v>443</v>
      </c>
      <c r="U75" s="244" t="s">
        <v>460</v>
      </c>
      <c r="V75" s="96"/>
      <c r="W75" s="82">
        <f>$C$75</f>
        <v>13.7</v>
      </c>
      <c r="X75" s="82">
        <f>$D$75</f>
        <v>14.6</v>
      </c>
      <c r="Y75" s="82">
        <f>$E$75</f>
        <v>9.1999999999999993</v>
      </c>
      <c r="Z75" s="82">
        <f>$F$75</f>
        <v>12.9</v>
      </c>
      <c r="AA75" s="82">
        <f>$G$75</f>
        <v>11.7</v>
      </c>
      <c r="AB75" s="82">
        <f>$H$75</f>
        <v>14.3</v>
      </c>
      <c r="AC75" s="82" t="e">
        <f>$I$75</f>
        <v>#DIV/0!</v>
      </c>
      <c r="AD75" s="82" t="e">
        <f>$J$75</f>
        <v>#DIV/0!</v>
      </c>
      <c r="AE75" s="82" t="e">
        <f>$K$75</f>
        <v>#DIV/0!</v>
      </c>
      <c r="AF75" s="82" t="e">
        <f>$L$75</f>
        <v>#DIV/0!</v>
      </c>
      <c r="AG75" s="82" t="e">
        <f>$M$75</f>
        <v>#DIV/0!</v>
      </c>
      <c r="AH75" s="82" t="e">
        <f>$N$75</f>
        <v>#DIV/0!</v>
      </c>
      <c r="AI75" s="82" t="e">
        <f>$O$75</f>
        <v>#DIV/0!</v>
      </c>
      <c r="AJ75" s="82" t="e">
        <f>$P$75</f>
        <v>#DIV/0!</v>
      </c>
      <c r="AK75" s="82" t="e">
        <f>$Q$75</f>
        <v>#DIV/0!</v>
      </c>
      <c r="AL75" s="82" t="e">
        <f>$R$75</f>
        <v>#DIV/0!</v>
      </c>
    </row>
    <row r="76" spans="1:38">
      <c r="A76" s="69" t="s">
        <v>186</v>
      </c>
      <c r="B76" s="71" t="s">
        <v>188</v>
      </c>
      <c r="C76" s="8">
        <v>28.9</v>
      </c>
      <c r="D76" s="8">
        <v>34.299999999999997</v>
      </c>
      <c r="E76" s="8">
        <v>36.200000000000003</v>
      </c>
      <c r="F76" s="8">
        <v>24.3</v>
      </c>
      <c r="G76" s="8">
        <v>32</v>
      </c>
      <c r="H76" s="8">
        <v>32</v>
      </c>
      <c r="I76" s="82" t="e">
        <f t="shared" si="1"/>
        <v>#DIV/0!</v>
      </c>
      <c r="J76" s="82" t="e">
        <f t="shared" si="1"/>
        <v>#DIV/0!</v>
      </c>
      <c r="K76" s="82" t="e">
        <f t="shared" si="1"/>
        <v>#DIV/0!</v>
      </c>
      <c r="L76" s="82" t="e">
        <f t="shared" si="1"/>
        <v>#DIV/0!</v>
      </c>
      <c r="M76" s="82" t="e">
        <f t="shared" si="1"/>
        <v>#DIV/0!</v>
      </c>
      <c r="N76" s="82" t="e">
        <f t="shared" si="1"/>
        <v>#DIV/0!</v>
      </c>
      <c r="O76" s="82" t="e">
        <f t="shared" si="1"/>
        <v>#DIV/0!</v>
      </c>
      <c r="P76" s="82" t="e">
        <f t="shared" si="1"/>
        <v>#DIV/0!</v>
      </c>
      <c r="Q76" s="82" t="e">
        <f t="shared" si="1"/>
        <v>#DIV/0!</v>
      </c>
      <c r="R76" s="82" t="e">
        <f t="shared" si="1"/>
        <v>#DIV/0!</v>
      </c>
      <c r="S76" s="82"/>
      <c r="T76" s="244" t="s">
        <v>444</v>
      </c>
      <c r="U76" s="245" t="s">
        <v>461</v>
      </c>
      <c r="V76" s="96"/>
      <c r="W76" s="82">
        <f>$C$76</f>
        <v>28.9</v>
      </c>
      <c r="X76" s="82">
        <f>$D$76</f>
        <v>34.299999999999997</v>
      </c>
      <c r="Y76" s="82">
        <f>$E$76</f>
        <v>36.200000000000003</v>
      </c>
      <c r="Z76" s="82">
        <f>$F$76</f>
        <v>24.3</v>
      </c>
      <c r="AA76" s="82">
        <f>$G$76</f>
        <v>32</v>
      </c>
      <c r="AB76" s="82">
        <f>$H$76</f>
        <v>32</v>
      </c>
      <c r="AC76" s="82" t="e">
        <f>$I$76</f>
        <v>#DIV/0!</v>
      </c>
      <c r="AD76" s="82" t="e">
        <f>$J$76</f>
        <v>#DIV/0!</v>
      </c>
      <c r="AE76" s="82" t="e">
        <f>$K$76</f>
        <v>#DIV/0!</v>
      </c>
      <c r="AF76" s="82" t="e">
        <f>$L$76</f>
        <v>#DIV/0!</v>
      </c>
      <c r="AG76" s="82" t="e">
        <f>$M$76</f>
        <v>#DIV/0!</v>
      </c>
      <c r="AH76" s="82" t="e">
        <f>$N$76</f>
        <v>#DIV/0!</v>
      </c>
      <c r="AI76" s="82" t="e">
        <f>$O$76</f>
        <v>#DIV/0!</v>
      </c>
      <c r="AJ76" s="82" t="e">
        <f>$P$76</f>
        <v>#DIV/0!</v>
      </c>
      <c r="AK76" s="82" t="e">
        <f>$Q$76</f>
        <v>#DIV/0!</v>
      </c>
      <c r="AL76" s="82" t="e">
        <f>$R$76</f>
        <v>#DIV/0!</v>
      </c>
    </row>
    <row r="77" spans="1:38">
      <c r="A77" s="68" t="s">
        <v>191</v>
      </c>
      <c r="B77" t="s">
        <v>153</v>
      </c>
      <c r="C77" s="8">
        <v>33.200000000000003</v>
      </c>
      <c r="D77" s="8">
        <v>25.6</v>
      </c>
      <c r="E77" s="8">
        <v>28.5</v>
      </c>
      <c r="F77" s="8">
        <v>31</v>
      </c>
      <c r="G77" s="8">
        <v>30</v>
      </c>
      <c r="H77" s="8">
        <v>35.4</v>
      </c>
      <c r="I77" s="82" t="e">
        <f t="shared" ref="I77:R85" si="2">1/0</f>
        <v>#DIV/0!</v>
      </c>
      <c r="J77" s="82" t="e">
        <f t="shared" si="2"/>
        <v>#DIV/0!</v>
      </c>
      <c r="K77" s="82" t="e">
        <f t="shared" si="2"/>
        <v>#DIV/0!</v>
      </c>
      <c r="L77" s="82" t="e">
        <f t="shared" si="2"/>
        <v>#DIV/0!</v>
      </c>
      <c r="M77" s="82" t="e">
        <f t="shared" si="2"/>
        <v>#DIV/0!</v>
      </c>
      <c r="N77" s="82" t="e">
        <f t="shared" si="2"/>
        <v>#DIV/0!</v>
      </c>
      <c r="O77" s="82" t="e">
        <f t="shared" si="2"/>
        <v>#DIV/0!</v>
      </c>
      <c r="P77" s="82" t="e">
        <f t="shared" si="2"/>
        <v>#DIV/0!</v>
      </c>
      <c r="Q77" s="82" t="e">
        <f t="shared" si="2"/>
        <v>#DIV/0!</v>
      </c>
      <c r="R77" s="82" t="e">
        <f t="shared" si="2"/>
        <v>#DIV/0!</v>
      </c>
      <c r="S77" s="82"/>
      <c r="T77" s="244" t="s">
        <v>445</v>
      </c>
      <c r="U77" s="244" t="s">
        <v>462</v>
      </c>
      <c r="V77" s="96"/>
      <c r="W77" s="82">
        <f>$C$77</f>
        <v>33.200000000000003</v>
      </c>
      <c r="X77" s="82">
        <f>$D$77</f>
        <v>25.6</v>
      </c>
      <c r="Y77" s="82">
        <f>$E$77</f>
        <v>28.5</v>
      </c>
      <c r="Z77" s="82">
        <f>$F$77</f>
        <v>31</v>
      </c>
      <c r="AA77" s="82">
        <f>$G$77</f>
        <v>30</v>
      </c>
      <c r="AB77" s="82">
        <f>$H$77</f>
        <v>35.4</v>
      </c>
      <c r="AC77" s="82" t="e">
        <f>$I$77</f>
        <v>#DIV/0!</v>
      </c>
      <c r="AD77" s="82" t="e">
        <f>$J$77</f>
        <v>#DIV/0!</v>
      </c>
      <c r="AE77" s="82" t="e">
        <f>$K$77</f>
        <v>#DIV/0!</v>
      </c>
      <c r="AF77" s="82" t="e">
        <f>$L$77</f>
        <v>#DIV/0!</v>
      </c>
      <c r="AG77" s="82" t="e">
        <f>$M$77</f>
        <v>#DIV/0!</v>
      </c>
      <c r="AH77" s="82" t="e">
        <f>$N$77</f>
        <v>#DIV/0!</v>
      </c>
      <c r="AI77" s="82" t="e">
        <f>$O$77</f>
        <v>#DIV/0!</v>
      </c>
      <c r="AJ77" s="82" t="e">
        <f>$P$77</f>
        <v>#DIV/0!</v>
      </c>
      <c r="AK77" s="82" t="e">
        <f>$Q$77</f>
        <v>#DIV/0!</v>
      </c>
      <c r="AL77" s="82" t="e">
        <f>$R$77</f>
        <v>#DIV/0!</v>
      </c>
    </row>
    <row r="78" spans="1:38">
      <c r="A78" s="69" t="s">
        <v>176</v>
      </c>
      <c r="B78" s="71" t="s">
        <v>178</v>
      </c>
      <c r="C78" s="8">
        <v>23.5</v>
      </c>
      <c r="D78" s="8">
        <v>20.8</v>
      </c>
      <c r="E78" s="8">
        <v>24</v>
      </c>
      <c r="F78" s="8">
        <v>28.4</v>
      </c>
      <c r="G78" s="8">
        <v>28.1</v>
      </c>
      <c r="H78" s="8">
        <v>26</v>
      </c>
      <c r="I78" s="82" t="e">
        <f t="shared" si="2"/>
        <v>#DIV/0!</v>
      </c>
      <c r="J78" s="82" t="e">
        <f t="shared" si="2"/>
        <v>#DIV/0!</v>
      </c>
      <c r="K78" s="82" t="e">
        <f t="shared" si="2"/>
        <v>#DIV/0!</v>
      </c>
      <c r="L78" s="82" t="e">
        <f t="shared" si="2"/>
        <v>#DIV/0!</v>
      </c>
      <c r="M78" s="82" t="e">
        <f t="shared" si="2"/>
        <v>#DIV/0!</v>
      </c>
      <c r="N78" s="82" t="e">
        <f t="shared" si="2"/>
        <v>#DIV/0!</v>
      </c>
      <c r="O78" s="82" t="e">
        <f t="shared" si="2"/>
        <v>#DIV/0!</v>
      </c>
      <c r="P78" s="82" t="e">
        <f t="shared" si="2"/>
        <v>#DIV/0!</v>
      </c>
      <c r="Q78" s="82" t="e">
        <f t="shared" si="2"/>
        <v>#DIV/0!</v>
      </c>
      <c r="R78" s="82" t="e">
        <f t="shared" si="2"/>
        <v>#DIV/0!</v>
      </c>
      <c r="S78" s="82"/>
      <c r="T78" s="246" t="s">
        <v>446</v>
      </c>
      <c r="U78" s="244" t="s">
        <v>463</v>
      </c>
      <c r="V78" s="96"/>
      <c r="W78" s="82">
        <f>$C$78</f>
        <v>23.5</v>
      </c>
      <c r="X78" s="82">
        <f>$D$78</f>
        <v>20.8</v>
      </c>
      <c r="Y78" s="82">
        <f>$E$78</f>
        <v>24</v>
      </c>
      <c r="Z78" s="82">
        <f>$F$78</f>
        <v>28.4</v>
      </c>
      <c r="AA78" s="82">
        <f>$G$78</f>
        <v>28.1</v>
      </c>
      <c r="AB78" s="82">
        <f>$H$78</f>
        <v>26</v>
      </c>
      <c r="AC78" s="82" t="e">
        <f>$I$78</f>
        <v>#DIV/0!</v>
      </c>
      <c r="AD78" s="82" t="e">
        <f>$J$78</f>
        <v>#DIV/0!</v>
      </c>
      <c r="AE78" s="82" t="e">
        <f>$K$78</f>
        <v>#DIV/0!</v>
      </c>
      <c r="AF78" s="82" t="e">
        <f>$L$78</f>
        <v>#DIV/0!</v>
      </c>
      <c r="AG78" s="82" t="e">
        <f>$M$78</f>
        <v>#DIV/0!</v>
      </c>
      <c r="AH78" s="82" t="e">
        <f>$N$78</f>
        <v>#DIV/0!</v>
      </c>
      <c r="AI78" s="82" t="e">
        <f>$O$78</f>
        <v>#DIV/0!</v>
      </c>
      <c r="AJ78" s="82" t="e">
        <f>$P$78</f>
        <v>#DIV/0!</v>
      </c>
      <c r="AK78" s="82" t="e">
        <f>$Q$78</f>
        <v>#DIV/0!</v>
      </c>
      <c r="AL78" s="82" t="e">
        <f>$R$78</f>
        <v>#DIV/0!</v>
      </c>
    </row>
    <row r="79" spans="1:38">
      <c r="A79" s="69" t="s">
        <v>150</v>
      </c>
      <c r="B79" t="s">
        <v>153</v>
      </c>
      <c r="C79" s="8">
        <v>20.399999999999999</v>
      </c>
      <c r="D79" s="8">
        <v>22.3</v>
      </c>
      <c r="E79" s="8">
        <v>23.6</v>
      </c>
      <c r="F79" s="8">
        <v>20.6</v>
      </c>
      <c r="G79" s="8">
        <v>30.2</v>
      </c>
      <c r="H79" s="8">
        <v>27.7</v>
      </c>
      <c r="I79" s="82" t="e">
        <f t="shared" si="2"/>
        <v>#DIV/0!</v>
      </c>
      <c r="J79" s="82" t="e">
        <f t="shared" si="2"/>
        <v>#DIV/0!</v>
      </c>
      <c r="K79" s="82" t="e">
        <f t="shared" si="2"/>
        <v>#DIV/0!</v>
      </c>
      <c r="L79" s="82" t="e">
        <f t="shared" si="2"/>
        <v>#DIV/0!</v>
      </c>
      <c r="M79" s="82" t="e">
        <f t="shared" si="2"/>
        <v>#DIV/0!</v>
      </c>
      <c r="N79" s="82" t="e">
        <f t="shared" si="2"/>
        <v>#DIV/0!</v>
      </c>
      <c r="O79" s="82" t="e">
        <f t="shared" si="2"/>
        <v>#DIV/0!</v>
      </c>
      <c r="P79" s="82" t="e">
        <f t="shared" si="2"/>
        <v>#DIV/0!</v>
      </c>
      <c r="Q79" s="82" t="e">
        <f t="shared" si="2"/>
        <v>#DIV/0!</v>
      </c>
      <c r="R79" s="82" t="e">
        <f t="shared" si="2"/>
        <v>#DIV/0!</v>
      </c>
      <c r="S79" s="82"/>
      <c r="T79" s="247" t="s">
        <v>447</v>
      </c>
      <c r="U79" s="244" t="s">
        <v>464</v>
      </c>
      <c r="V79" s="96"/>
      <c r="W79" s="82">
        <f>$C$79</f>
        <v>20.399999999999999</v>
      </c>
      <c r="X79" s="82">
        <f>$D$79</f>
        <v>22.3</v>
      </c>
      <c r="Y79" s="82">
        <f>$E$79</f>
        <v>23.6</v>
      </c>
      <c r="Z79" s="82">
        <f>$F$79</f>
        <v>20.6</v>
      </c>
      <c r="AA79" s="82">
        <f>$G$79</f>
        <v>30.2</v>
      </c>
      <c r="AB79" s="82">
        <f>$H$79</f>
        <v>27.7</v>
      </c>
      <c r="AC79" s="82" t="e">
        <f>$I$79</f>
        <v>#DIV/0!</v>
      </c>
      <c r="AD79" s="82" t="e">
        <f>$J$79</f>
        <v>#DIV/0!</v>
      </c>
      <c r="AE79" s="82" t="e">
        <f>$K$79</f>
        <v>#DIV/0!</v>
      </c>
      <c r="AF79" s="82" t="e">
        <f>$L$79</f>
        <v>#DIV/0!</v>
      </c>
      <c r="AG79" s="82" t="e">
        <f>$M$79</f>
        <v>#DIV/0!</v>
      </c>
      <c r="AH79" s="82" t="e">
        <f>$N$79</f>
        <v>#DIV/0!</v>
      </c>
      <c r="AI79" s="82" t="e">
        <f>$O$79</f>
        <v>#DIV/0!</v>
      </c>
      <c r="AJ79" s="82" t="e">
        <f>$P$79</f>
        <v>#DIV/0!</v>
      </c>
      <c r="AK79" s="82" t="e">
        <f>$Q$79</f>
        <v>#DIV/0!</v>
      </c>
      <c r="AL79" s="82" t="e">
        <f>$R$79</f>
        <v>#DIV/0!</v>
      </c>
    </row>
    <row r="80" spans="1:38">
      <c r="A80" s="69" t="s">
        <v>183</v>
      </c>
      <c r="B80" s="71" t="s">
        <v>188</v>
      </c>
      <c r="C80" s="8">
        <v>31.9</v>
      </c>
      <c r="D80" s="8">
        <v>27.1</v>
      </c>
      <c r="E80" s="8">
        <v>29.7</v>
      </c>
      <c r="F80" s="8">
        <v>27.8</v>
      </c>
      <c r="G80" s="8">
        <v>31.2</v>
      </c>
      <c r="H80" s="8">
        <v>30.6</v>
      </c>
      <c r="I80" s="82" t="e">
        <f t="shared" si="2"/>
        <v>#DIV/0!</v>
      </c>
      <c r="J80" s="82" t="e">
        <f t="shared" si="2"/>
        <v>#DIV/0!</v>
      </c>
      <c r="K80" s="82" t="e">
        <f t="shared" si="2"/>
        <v>#DIV/0!</v>
      </c>
      <c r="L80" s="82" t="e">
        <f t="shared" si="2"/>
        <v>#DIV/0!</v>
      </c>
      <c r="M80" s="82" t="e">
        <f t="shared" si="2"/>
        <v>#DIV/0!</v>
      </c>
      <c r="N80" s="82" t="e">
        <f t="shared" si="2"/>
        <v>#DIV/0!</v>
      </c>
      <c r="O80" s="82" t="e">
        <f t="shared" si="2"/>
        <v>#DIV/0!</v>
      </c>
      <c r="P80" s="82" t="e">
        <f t="shared" si="2"/>
        <v>#DIV/0!</v>
      </c>
      <c r="Q80" s="82" t="e">
        <f t="shared" si="2"/>
        <v>#DIV/0!</v>
      </c>
      <c r="R80" s="82" t="e">
        <f t="shared" si="2"/>
        <v>#DIV/0!</v>
      </c>
      <c r="S80" s="82"/>
      <c r="T80" s="284"/>
      <c r="U80" s="244" t="s">
        <v>465</v>
      </c>
      <c r="V80" s="96"/>
      <c r="W80" s="82">
        <f>$C$80</f>
        <v>31.9</v>
      </c>
      <c r="X80" s="82">
        <f>$D$80</f>
        <v>27.1</v>
      </c>
      <c r="Y80" s="82">
        <f>$E$80</f>
        <v>29.7</v>
      </c>
      <c r="Z80" s="82">
        <f>$F$80</f>
        <v>27.8</v>
      </c>
      <c r="AA80" s="82">
        <f>$G$80</f>
        <v>31.2</v>
      </c>
      <c r="AB80" s="82">
        <f>$H$80</f>
        <v>30.6</v>
      </c>
      <c r="AC80" s="82" t="e">
        <f>$I$80</f>
        <v>#DIV/0!</v>
      </c>
      <c r="AD80" s="82" t="e">
        <f>$J$80</f>
        <v>#DIV/0!</v>
      </c>
      <c r="AE80" s="82" t="e">
        <f>$K$80</f>
        <v>#DIV/0!</v>
      </c>
      <c r="AF80" s="82" t="e">
        <f>$L$80</f>
        <v>#DIV/0!</v>
      </c>
      <c r="AG80" s="82" t="e">
        <f>$M$80</f>
        <v>#DIV/0!</v>
      </c>
      <c r="AH80" s="82" t="e">
        <f>$N$80</f>
        <v>#DIV/0!</v>
      </c>
      <c r="AI80" s="82" t="e">
        <f>$O$80</f>
        <v>#DIV/0!</v>
      </c>
      <c r="AJ80" s="82" t="e">
        <f>$P$80</f>
        <v>#DIV/0!</v>
      </c>
      <c r="AK80" s="82" t="e">
        <f>$Q$80</f>
        <v>#DIV/0!</v>
      </c>
      <c r="AL80" s="82" t="e">
        <f>$R$80</f>
        <v>#DIV/0!</v>
      </c>
    </row>
    <row r="81" spans="1:38">
      <c r="A81" s="69" t="s">
        <v>177</v>
      </c>
      <c r="B81" s="71" t="s">
        <v>178</v>
      </c>
      <c r="C81" s="8">
        <v>21.5</v>
      </c>
      <c r="D81" s="8">
        <v>21.6</v>
      </c>
      <c r="E81" s="8">
        <v>20.8</v>
      </c>
      <c r="F81" s="8">
        <v>23.1</v>
      </c>
      <c r="G81" s="8">
        <v>23.7</v>
      </c>
      <c r="H81" s="8">
        <v>20.6</v>
      </c>
      <c r="I81" s="82" t="e">
        <f t="shared" si="2"/>
        <v>#DIV/0!</v>
      </c>
      <c r="J81" s="82" t="e">
        <f t="shared" si="2"/>
        <v>#DIV/0!</v>
      </c>
      <c r="K81" s="82" t="e">
        <f t="shared" si="2"/>
        <v>#DIV/0!</v>
      </c>
      <c r="L81" s="82" t="e">
        <f t="shared" si="2"/>
        <v>#DIV/0!</v>
      </c>
      <c r="M81" s="82" t="e">
        <f t="shared" si="2"/>
        <v>#DIV/0!</v>
      </c>
      <c r="N81" s="82" t="e">
        <f t="shared" si="2"/>
        <v>#DIV/0!</v>
      </c>
      <c r="O81" s="82" t="e">
        <f t="shared" si="2"/>
        <v>#DIV/0!</v>
      </c>
      <c r="P81" s="82" t="e">
        <f t="shared" si="2"/>
        <v>#DIV/0!</v>
      </c>
      <c r="Q81" s="82" t="e">
        <f t="shared" si="2"/>
        <v>#DIV/0!</v>
      </c>
      <c r="R81" s="82" t="e">
        <f t="shared" si="2"/>
        <v>#DIV/0!</v>
      </c>
      <c r="S81" s="82"/>
      <c r="T81" s="257"/>
      <c r="U81" s="258" t="s">
        <v>466</v>
      </c>
      <c r="V81" s="96"/>
      <c r="W81" s="82">
        <f>$C$81</f>
        <v>21.5</v>
      </c>
      <c r="X81" s="82">
        <f>$D$81</f>
        <v>21.6</v>
      </c>
      <c r="Y81" s="82">
        <f>$E$81</f>
        <v>20.8</v>
      </c>
      <c r="Z81" s="82">
        <f>$F$81</f>
        <v>23.1</v>
      </c>
      <c r="AA81" s="82">
        <f>$G$81</f>
        <v>23.7</v>
      </c>
      <c r="AB81" s="82">
        <f>$H$81</f>
        <v>20.6</v>
      </c>
      <c r="AC81" s="82" t="e">
        <f>$I$81</f>
        <v>#DIV/0!</v>
      </c>
      <c r="AD81" s="82" t="e">
        <f>$J$81</f>
        <v>#DIV/0!</v>
      </c>
      <c r="AE81" s="82" t="e">
        <f>$K$81</f>
        <v>#DIV/0!</v>
      </c>
      <c r="AF81" s="82" t="e">
        <f>$L$81</f>
        <v>#DIV/0!</v>
      </c>
      <c r="AG81" s="82" t="e">
        <f>$M$81</f>
        <v>#DIV/0!</v>
      </c>
      <c r="AH81" s="82" t="e">
        <f>$N$81</f>
        <v>#DIV/0!</v>
      </c>
      <c r="AI81" s="82" t="e">
        <f>$O$81</f>
        <v>#DIV/0!</v>
      </c>
      <c r="AJ81" s="82" t="e">
        <f>$P$81</f>
        <v>#DIV/0!</v>
      </c>
      <c r="AK81" s="82" t="e">
        <f>$Q$81</f>
        <v>#DIV/0!</v>
      </c>
      <c r="AL81" s="82" t="e">
        <f>$R$81</f>
        <v>#DIV/0!</v>
      </c>
    </row>
    <row r="82" spans="1:38">
      <c r="A82" s="69" t="s">
        <v>180</v>
      </c>
      <c r="B82" s="71" t="s">
        <v>188</v>
      </c>
      <c r="C82" s="8">
        <v>26.9</v>
      </c>
      <c r="D82" s="8">
        <v>22.4</v>
      </c>
      <c r="E82" s="8">
        <v>20.2</v>
      </c>
      <c r="F82" s="8">
        <v>17.8</v>
      </c>
      <c r="G82" s="8">
        <v>19.5</v>
      </c>
      <c r="H82" s="8">
        <v>29.5</v>
      </c>
      <c r="I82" s="82" t="e">
        <f t="shared" si="2"/>
        <v>#DIV/0!</v>
      </c>
      <c r="J82" s="82" t="e">
        <f t="shared" si="2"/>
        <v>#DIV/0!</v>
      </c>
      <c r="K82" s="82" t="e">
        <f t="shared" si="2"/>
        <v>#DIV/0!</v>
      </c>
      <c r="L82" s="82" t="e">
        <f t="shared" si="2"/>
        <v>#DIV/0!</v>
      </c>
      <c r="M82" s="82" t="e">
        <f t="shared" si="2"/>
        <v>#DIV/0!</v>
      </c>
      <c r="N82" s="82" t="e">
        <f t="shared" si="2"/>
        <v>#DIV/0!</v>
      </c>
      <c r="O82" s="82" t="e">
        <f t="shared" si="2"/>
        <v>#DIV/0!</v>
      </c>
      <c r="P82" s="82" t="e">
        <f t="shared" si="2"/>
        <v>#DIV/0!</v>
      </c>
      <c r="Q82" s="82" t="e">
        <f t="shared" si="2"/>
        <v>#DIV/0!</v>
      </c>
      <c r="R82" s="82" t="e">
        <f t="shared" si="2"/>
        <v>#DIV/0!</v>
      </c>
      <c r="S82" s="82"/>
      <c r="T82" s="256"/>
      <c r="U82" s="254"/>
      <c r="V82" s="96"/>
      <c r="W82" s="82">
        <f>$C$82</f>
        <v>26.9</v>
      </c>
      <c r="X82" s="82">
        <f>$D$82</f>
        <v>22.4</v>
      </c>
      <c r="Y82" s="82">
        <f>$E$82</f>
        <v>20.2</v>
      </c>
      <c r="Z82" s="82">
        <f>$F$82</f>
        <v>17.8</v>
      </c>
      <c r="AA82" s="82">
        <f>$G$82</f>
        <v>19.5</v>
      </c>
      <c r="AB82" s="82">
        <f>$H$82</f>
        <v>29.5</v>
      </c>
      <c r="AC82" s="82" t="e">
        <f>$I$82</f>
        <v>#DIV/0!</v>
      </c>
      <c r="AD82" s="82" t="e">
        <f>$J$82</f>
        <v>#DIV/0!</v>
      </c>
      <c r="AE82" s="82" t="e">
        <f>$K$82</f>
        <v>#DIV/0!</v>
      </c>
      <c r="AF82" s="82" t="e">
        <f>$L$82</f>
        <v>#DIV/0!</v>
      </c>
      <c r="AG82" s="82" t="e">
        <f>$M$82</f>
        <v>#DIV/0!</v>
      </c>
      <c r="AH82" s="82" t="e">
        <f>$N$82</f>
        <v>#DIV/0!</v>
      </c>
      <c r="AI82" s="82" t="e">
        <f>$O$82</f>
        <v>#DIV/0!</v>
      </c>
      <c r="AJ82" s="82" t="e">
        <f>$P$82</f>
        <v>#DIV/0!</v>
      </c>
      <c r="AK82" s="82" t="e">
        <f>$Q$82</f>
        <v>#DIV/0!</v>
      </c>
      <c r="AL82" s="82" t="e">
        <f>$R$82</f>
        <v>#DIV/0!</v>
      </c>
    </row>
    <row r="83" spans="1:38">
      <c r="A83" s="69" t="s">
        <v>151</v>
      </c>
      <c r="B83" t="s">
        <v>153</v>
      </c>
      <c r="C83" s="8">
        <v>29.9</v>
      </c>
      <c r="D83" s="8">
        <v>26.9</v>
      </c>
      <c r="E83" s="8">
        <v>24.5</v>
      </c>
      <c r="F83" s="8">
        <v>30.8</v>
      </c>
      <c r="G83" s="8">
        <v>29.3</v>
      </c>
      <c r="H83" s="8">
        <v>27.8</v>
      </c>
      <c r="I83" s="82" t="e">
        <f t="shared" si="2"/>
        <v>#DIV/0!</v>
      </c>
      <c r="J83" s="82" t="e">
        <f t="shared" si="2"/>
        <v>#DIV/0!</v>
      </c>
      <c r="K83" s="82" t="e">
        <f t="shared" si="2"/>
        <v>#DIV/0!</v>
      </c>
      <c r="L83" s="82" t="e">
        <f t="shared" si="2"/>
        <v>#DIV/0!</v>
      </c>
      <c r="M83" s="82" t="e">
        <f t="shared" si="2"/>
        <v>#DIV/0!</v>
      </c>
      <c r="N83" s="82" t="e">
        <f t="shared" si="2"/>
        <v>#DIV/0!</v>
      </c>
      <c r="O83" s="82" t="e">
        <f t="shared" si="2"/>
        <v>#DIV/0!</v>
      </c>
      <c r="P83" s="82" t="e">
        <f t="shared" si="2"/>
        <v>#DIV/0!</v>
      </c>
      <c r="Q83" s="82" t="e">
        <f t="shared" si="2"/>
        <v>#DIV/0!</v>
      </c>
      <c r="R83" s="82" t="e">
        <f t="shared" si="2"/>
        <v>#DIV/0!</v>
      </c>
      <c r="S83" s="82"/>
      <c r="T83" s="242"/>
      <c r="U83" s="254"/>
      <c r="V83" s="96"/>
      <c r="W83" s="82">
        <f>$C$83</f>
        <v>29.9</v>
      </c>
      <c r="X83" s="82">
        <f>$D$83</f>
        <v>26.9</v>
      </c>
      <c r="Y83" s="82">
        <f>$E$83</f>
        <v>24.5</v>
      </c>
      <c r="Z83" s="82">
        <f>$F$83</f>
        <v>30.8</v>
      </c>
      <c r="AA83" s="82">
        <f>$G$83</f>
        <v>29.3</v>
      </c>
      <c r="AB83" s="82">
        <f>$H$83</f>
        <v>27.8</v>
      </c>
      <c r="AC83" s="82" t="e">
        <f>$I$83</f>
        <v>#DIV/0!</v>
      </c>
      <c r="AD83" s="82" t="e">
        <f>$J$83</f>
        <v>#DIV/0!</v>
      </c>
      <c r="AE83" s="82" t="e">
        <f>$K$83</f>
        <v>#DIV/0!</v>
      </c>
      <c r="AF83" s="82" t="e">
        <f>$L$83</f>
        <v>#DIV/0!</v>
      </c>
      <c r="AG83" s="82" t="e">
        <f>$M$83</f>
        <v>#DIV/0!</v>
      </c>
      <c r="AH83" s="82" t="e">
        <f>$N$83</f>
        <v>#DIV/0!</v>
      </c>
      <c r="AI83" s="82" t="e">
        <f>$O$83</f>
        <v>#DIV/0!</v>
      </c>
      <c r="AJ83" s="82" t="e">
        <f>$P$83</f>
        <v>#DIV/0!</v>
      </c>
      <c r="AK83" s="82" t="e">
        <f>$Q$83</f>
        <v>#DIV/0!</v>
      </c>
      <c r="AL83" s="82" t="e">
        <f>$R$83</f>
        <v>#DIV/0!</v>
      </c>
    </row>
    <row r="84" spans="1:38">
      <c r="A84" s="69" t="s">
        <v>144</v>
      </c>
      <c r="B84" t="s">
        <v>153</v>
      </c>
      <c r="C84" s="8">
        <v>30.2</v>
      </c>
      <c r="D84" s="8">
        <v>23.2</v>
      </c>
      <c r="E84" s="8">
        <v>30.6</v>
      </c>
      <c r="F84" s="8">
        <v>28.6</v>
      </c>
      <c r="G84" s="8">
        <v>25.9</v>
      </c>
      <c r="H84" s="8">
        <v>16.899999999999999</v>
      </c>
      <c r="I84" s="82" t="e">
        <f t="shared" si="2"/>
        <v>#DIV/0!</v>
      </c>
      <c r="J84" s="82" t="e">
        <f t="shared" si="2"/>
        <v>#DIV/0!</v>
      </c>
      <c r="K84" s="82" t="e">
        <f t="shared" si="2"/>
        <v>#DIV/0!</v>
      </c>
      <c r="L84" s="82" t="e">
        <f t="shared" si="2"/>
        <v>#DIV/0!</v>
      </c>
      <c r="M84" s="82" t="e">
        <f t="shared" si="2"/>
        <v>#DIV/0!</v>
      </c>
      <c r="N84" s="82" t="e">
        <f t="shared" si="2"/>
        <v>#DIV/0!</v>
      </c>
      <c r="O84" s="82" t="e">
        <f t="shared" si="2"/>
        <v>#DIV/0!</v>
      </c>
      <c r="P84" s="82" t="e">
        <f t="shared" si="2"/>
        <v>#DIV/0!</v>
      </c>
      <c r="Q84" s="82" t="e">
        <f t="shared" si="2"/>
        <v>#DIV/0!</v>
      </c>
      <c r="R84" s="82" t="e">
        <f t="shared" si="2"/>
        <v>#DIV/0!</v>
      </c>
      <c r="S84" s="82"/>
      <c r="T84" s="96"/>
      <c r="U84" s="96"/>
      <c r="V84" s="96"/>
      <c r="W84" s="82">
        <f>$C$84</f>
        <v>30.2</v>
      </c>
      <c r="X84" s="82">
        <f>$D$84</f>
        <v>23.2</v>
      </c>
      <c r="Y84" s="82">
        <f>$E$84</f>
        <v>30.6</v>
      </c>
      <c r="Z84" s="82">
        <f>$F$84</f>
        <v>28.6</v>
      </c>
      <c r="AA84" s="82">
        <f>$G$84</f>
        <v>25.9</v>
      </c>
      <c r="AB84" s="82">
        <f>$H$84</f>
        <v>16.899999999999999</v>
      </c>
      <c r="AC84" s="82" t="e">
        <f>$I$84</f>
        <v>#DIV/0!</v>
      </c>
      <c r="AD84" s="82" t="e">
        <f>$J$84</f>
        <v>#DIV/0!</v>
      </c>
      <c r="AE84" s="82" t="e">
        <f>$K$84</f>
        <v>#DIV/0!</v>
      </c>
      <c r="AF84" s="82" t="e">
        <f>$L$84</f>
        <v>#DIV/0!</v>
      </c>
      <c r="AG84" s="82" t="e">
        <f>$M$84</f>
        <v>#DIV/0!</v>
      </c>
      <c r="AH84" s="82" t="e">
        <f>$N$84</f>
        <v>#DIV/0!</v>
      </c>
      <c r="AI84" s="82" t="e">
        <f>$O$84</f>
        <v>#DIV/0!</v>
      </c>
      <c r="AJ84" s="82" t="e">
        <f>$P$84</f>
        <v>#DIV/0!</v>
      </c>
      <c r="AK84" s="82" t="e">
        <f>$Q$84</f>
        <v>#DIV/0!</v>
      </c>
      <c r="AL84" s="82" t="e">
        <f>$R$84</f>
        <v>#DIV/0!</v>
      </c>
    </row>
    <row r="85" spans="1:38">
      <c r="A85" s="68" t="s">
        <v>192</v>
      </c>
      <c r="B85" s="71" t="s">
        <v>158</v>
      </c>
      <c r="C85" s="8">
        <v>19.7</v>
      </c>
      <c r="D85" s="8">
        <v>12.2</v>
      </c>
      <c r="E85" s="8">
        <v>17.3</v>
      </c>
      <c r="F85" s="8">
        <v>10.7</v>
      </c>
      <c r="G85" s="8">
        <v>18.5</v>
      </c>
      <c r="H85" s="8">
        <v>16.7</v>
      </c>
      <c r="I85" s="82" t="e">
        <f t="shared" si="2"/>
        <v>#DIV/0!</v>
      </c>
      <c r="J85" s="82" t="e">
        <f t="shared" si="2"/>
        <v>#DIV/0!</v>
      </c>
      <c r="K85" s="82" t="e">
        <f t="shared" si="2"/>
        <v>#DIV/0!</v>
      </c>
      <c r="L85" s="82" t="e">
        <f t="shared" si="2"/>
        <v>#DIV/0!</v>
      </c>
      <c r="M85" s="82" t="e">
        <f t="shared" si="2"/>
        <v>#DIV/0!</v>
      </c>
      <c r="N85" s="82" t="e">
        <f t="shared" si="2"/>
        <v>#DIV/0!</v>
      </c>
      <c r="O85" s="82" t="e">
        <f t="shared" si="2"/>
        <v>#DIV/0!</v>
      </c>
      <c r="P85" s="82" t="e">
        <f t="shared" si="2"/>
        <v>#DIV/0!</v>
      </c>
      <c r="Q85" s="82" t="e">
        <f t="shared" si="2"/>
        <v>#DIV/0!</v>
      </c>
      <c r="R85" s="82" t="e">
        <f t="shared" si="2"/>
        <v>#DIV/0!</v>
      </c>
      <c r="S85" s="82"/>
      <c r="T85" s="96"/>
      <c r="U85" s="96"/>
      <c r="V85" s="96"/>
      <c r="W85" s="82">
        <f>$C$85</f>
        <v>19.7</v>
      </c>
      <c r="X85" s="82">
        <f>$D$85</f>
        <v>12.2</v>
      </c>
      <c r="Y85" s="82">
        <f>$E$85</f>
        <v>17.3</v>
      </c>
      <c r="Z85" s="82">
        <f>$F$85</f>
        <v>10.7</v>
      </c>
      <c r="AA85" s="82">
        <f>$G$85</f>
        <v>18.5</v>
      </c>
      <c r="AB85" s="82">
        <f>$H$85</f>
        <v>16.7</v>
      </c>
      <c r="AC85" s="82" t="e">
        <f>$I$85</f>
        <v>#DIV/0!</v>
      </c>
      <c r="AD85" s="82" t="e">
        <f>$J$85</f>
        <v>#DIV/0!</v>
      </c>
      <c r="AE85" s="82" t="e">
        <f>$K$85</f>
        <v>#DIV/0!</v>
      </c>
      <c r="AF85" s="82" t="e">
        <f>$L$85</f>
        <v>#DIV/0!</v>
      </c>
      <c r="AG85" s="82" t="e">
        <f>$M$85</f>
        <v>#DIV/0!</v>
      </c>
      <c r="AH85" s="82" t="e">
        <f>$N$85</f>
        <v>#DIV/0!</v>
      </c>
      <c r="AI85" s="82" t="e">
        <f>$O$85</f>
        <v>#DIV/0!</v>
      </c>
      <c r="AJ85" s="82" t="e">
        <f>$P$85</f>
        <v>#DIV/0!</v>
      </c>
      <c r="AK85" s="82" t="e">
        <f>$Q$85</f>
        <v>#DIV/0!</v>
      </c>
      <c r="AL85" s="82" t="e">
        <f>$R$85</f>
        <v>#DIV/0!</v>
      </c>
    </row>
    <row r="86" spans="1:38">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row>
    <row r="87" spans="1:38">
      <c r="A87" s="69" t="s">
        <v>209</v>
      </c>
      <c r="C87" s="8">
        <v>24</v>
      </c>
      <c r="D87" s="8">
        <v>23.1</v>
      </c>
      <c r="E87" s="8">
        <v>24.9</v>
      </c>
      <c r="F87" s="8">
        <v>25.6</v>
      </c>
      <c r="G87" s="8">
        <v>25.3</v>
      </c>
      <c r="H87" s="8">
        <v>26.3</v>
      </c>
      <c r="I87" s="82" t="e">
        <f>1/0</f>
        <v>#DIV/0!</v>
      </c>
      <c r="J87" s="82" t="e">
        <f t="shared" ref="J87:R87" si="3">1/0</f>
        <v>#DIV/0!</v>
      </c>
      <c r="K87" s="82" t="e">
        <f t="shared" si="3"/>
        <v>#DIV/0!</v>
      </c>
      <c r="L87" s="82" t="e">
        <f t="shared" si="3"/>
        <v>#DIV/0!</v>
      </c>
      <c r="M87" s="82" t="e">
        <f t="shared" si="3"/>
        <v>#DIV/0!</v>
      </c>
      <c r="N87" s="82" t="e">
        <f t="shared" si="3"/>
        <v>#DIV/0!</v>
      </c>
      <c r="O87" s="82" t="e">
        <f t="shared" si="3"/>
        <v>#DIV/0!</v>
      </c>
      <c r="P87" s="82" t="e">
        <f t="shared" si="3"/>
        <v>#DIV/0!</v>
      </c>
      <c r="Q87" s="82" t="e">
        <f t="shared" si="3"/>
        <v>#DIV/0!</v>
      </c>
      <c r="R87" s="82" t="e">
        <f t="shared" si="3"/>
        <v>#DIV/0!</v>
      </c>
      <c r="S87" s="82"/>
      <c r="T87" s="82"/>
      <c r="U87" s="82"/>
      <c r="V87" s="82"/>
      <c r="W87" s="82">
        <f>$C$87</f>
        <v>24</v>
      </c>
      <c r="X87" s="82">
        <f>$D$87</f>
        <v>23.1</v>
      </c>
      <c r="Y87" s="82">
        <f>$E$87</f>
        <v>24.9</v>
      </c>
      <c r="Z87" s="82">
        <f>$F$87</f>
        <v>25.6</v>
      </c>
      <c r="AA87" s="82">
        <f>$G$87</f>
        <v>25.3</v>
      </c>
      <c r="AB87" s="82">
        <f>$H$87</f>
        <v>26.3</v>
      </c>
      <c r="AC87" s="82" t="e">
        <f>$I$87</f>
        <v>#DIV/0!</v>
      </c>
      <c r="AD87" s="82" t="e">
        <f>$J$87</f>
        <v>#DIV/0!</v>
      </c>
      <c r="AE87" s="82" t="e">
        <f>$K$87</f>
        <v>#DIV/0!</v>
      </c>
      <c r="AF87" s="82" t="e">
        <f>$L$87</f>
        <v>#DIV/0!</v>
      </c>
      <c r="AG87" s="82" t="e">
        <f>$M$87</f>
        <v>#DIV/0!</v>
      </c>
      <c r="AH87" s="82" t="e">
        <f>$N$87</f>
        <v>#DIV/0!</v>
      </c>
      <c r="AI87" s="82" t="e">
        <f>$O$87</f>
        <v>#DIV/0!</v>
      </c>
      <c r="AJ87" s="82" t="e">
        <f>$P$87</f>
        <v>#DIV/0!</v>
      </c>
      <c r="AK87" s="82" t="e">
        <f>$Q$87</f>
        <v>#DIV/0!</v>
      </c>
      <c r="AL87" s="82" t="e">
        <f>$R$87</f>
        <v>#DIV/0!</v>
      </c>
    </row>
    <row r="88" spans="1:38" ht="15.75">
      <c r="C88" s="154"/>
      <c r="D88" s="154"/>
      <c r="E88" s="154"/>
      <c r="F88" s="154"/>
      <c r="G88" s="154"/>
      <c r="H88" s="154"/>
      <c r="I88" s="8"/>
      <c r="J88" s="82"/>
      <c r="K88" s="82"/>
      <c r="L88" s="82"/>
      <c r="M88" s="82"/>
      <c r="N88" s="82"/>
      <c r="O88" s="82"/>
      <c r="P88" s="82"/>
      <c r="Q88" s="82"/>
      <c r="R88" s="82"/>
      <c r="S88" s="82"/>
      <c r="T88" s="8"/>
      <c r="U88" s="8"/>
      <c r="W88" s="82"/>
      <c r="X88" s="82"/>
      <c r="Y88" s="82"/>
      <c r="Z88" s="82"/>
      <c r="AA88" s="82"/>
      <c r="AB88" s="82"/>
      <c r="AC88" s="82"/>
      <c r="AD88" s="82"/>
      <c r="AE88" s="82"/>
      <c r="AF88" s="82"/>
      <c r="AG88" s="82"/>
      <c r="AH88" s="82"/>
      <c r="AI88" s="82"/>
      <c r="AJ88" s="82"/>
      <c r="AK88" s="82"/>
      <c r="AL88" s="82"/>
    </row>
    <row r="89" spans="1:38">
      <c r="C89" s="8"/>
      <c r="D89" s="8"/>
      <c r="E89" s="8"/>
      <c r="F89" s="152"/>
      <c r="G89" s="8"/>
      <c r="H89" s="8"/>
      <c r="I89" s="8"/>
      <c r="J89" s="82"/>
      <c r="K89" s="82"/>
      <c r="L89" s="82"/>
      <c r="M89" s="82"/>
      <c r="N89" s="82"/>
      <c r="O89" s="82"/>
      <c r="P89" s="82"/>
      <c r="Q89" s="82"/>
      <c r="R89" s="82"/>
      <c r="S89" s="82"/>
      <c r="T89" s="8"/>
      <c r="U89" s="8"/>
    </row>
    <row r="90" spans="1:38">
      <c r="C90" s="8"/>
      <c r="D90" s="8"/>
      <c r="E90" s="8"/>
      <c r="F90" s="82"/>
      <c r="G90" s="8"/>
      <c r="H90" s="8"/>
      <c r="I90" s="8"/>
      <c r="J90" s="82"/>
      <c r="K90" s="82"/>
      <c r="L90" s="82"/>
      <c r="M90" s="82"/>
      <c r="N90" s="82"/>
      <c r="O90" s="82"/>
      <c r="P90" s="82"/>
      <c r="Q90" s="82"/>
      <c r="R90" s="82"/>
      <c r="S90" s="82"/>
    </row>
    <row r="91" spans="1:38">
      <c r="C91" s="8"/>
      <c r="D91" s="8"/>
      <c r="E91" s="8"/>
      <c r="F91" s="82"/>
      <c r="G91" s="8"/>
      <c r="H91" s="8"/>
      <c r="I91" s="8"/>
      <c r="J91" s="82"/>
      <c r="K91" s="82"/>
      <c r="L91" s="82"/>
      <c r="M91" s="82"/>
      <c r="N91" s="82"/>
      <c r="O91" s="82"/>
      <c r="P91" s="82"/>
      <c r="Q91" s="82"/>
      <c r="R91" s="82"/>
      <c r="S91" s="82"/>
    </row>
    <row r="92" spans="1:38">
      <c r="C92" s="8"/>
      <c r="D92" s="8"/>
      <c r="E92" s="8"/>
      <c r="F92" s="82"/>
      <c r="G92" s="8"/>
      <c r="H92" s="8"/>
      <c r="I92" s="8"/>
      <c r="J92" s="82"/>
      <c r="K92" s="82"/>
      <c r="L92" s="82"/>
      <c r="M92" s="82"/>
      <c r="N92" s="82"/>
      <c r="O92" s="82"/>
      <c r="P92" s="82"/>
      <c r="Q92" s="82"/>
      <c r="R92" s="82"/>
      <c r="S92" s="82"/>
    </row>
    <row r="93" spans="1:38">
      <c r="C93" s="8"/>
      <c r="D93" s="8"/>
      <c r="E93" s="8"/>
      <c r="F93" s="82"/>
      <c r="G93" s="8"/>
      <c r="H93" s="8"/>
      <c r="I93" s="8"/>
      <c r="J93" s="82"/>
      <c r="K93" s="82"/>
      <c r="L93" s="82"/>
      <c r="M93" s="82"/>
      <c r="N93" s="82"/>
      <c r="O93" s="82"/>
      <c r="P93" s="82"/>
      <c r="Q93" s="82"/>
      <c r="R93" s="82"/>
      <c r="S93" s="82"/>
    </row>
    <row r="94" spans="1:38">
      <c r="C94" s="8"/>
      <c r="D94" s="8"/>
      <c r="E94" s="8"/>
      <c r="F94" s="82"/>
      <c r="G94" s="8"/>
      <c r="H94" s="8"/>
      <c r="I94" s="8"/>
      <c r="J94" s="82"/>
      <c r="K94" s="82"/>
      <c r="L94" s="82"/>
      <c r="M94" s="82"/>
      <c r="N94" s="82"/>
      <c r="O94" s="82"/>
      <c r="P94" s="82"/>
      <c r="Q94" s="82"/>
      <c r="R94" s="82"/>
      <c r="S94" s="82"/>
    </row>
    <row r="95" spans="1:38">
      <c r="C95" s="8"/>
      <c r="D95" s="8"/>
      <c r="E95" s="8"/>
      <c r="F95" s="82"/>
      <c r="G95" s="8"/>
      <c r="H95" s="8"/>
      <c r="I95" s="8"/>
      <c r="J95" s="8"/>
      <c r="K95" s="8"/>
      <c r="L95" s="8"/>
      <c r="M95" s="8"/>
      <c r="N95" s="8"/>
      <c r="O95" s="8"/>
      <c r="P95" s="8"/>
      <c r="Q95" s="8"/>
      <c r="R95" s="8"/>
      <c r="S95" s="8"/>
    </row>
  </sheetData>
  <mergeCells count="13">
    <mergeCell ref="W35:AL35"/>
    <mergeCell ref="T36:U36"/>
    <mergeCell ref="T61:U61"/>
    <mergeCell ref="B9:L9"/>
    <mergeCell ref="K2:M2"/>
    <mergeCell ref="T35:U35"/>
    <mergeCell ref="T60:U60"/>
    <mergeCell ref="B5:L5"/>
    <mergeCell ref="B6:L6"/>
    <mergeCell ref="B7:L7"/>
    <mergeCell ref="B8:L8"/>
    <mergeCell ref="A3:H3"/>
    <mergeCell ref="A35:B35"/>
  </mergeCells>
  <conditionalFormatting sqref="C28:H33">
    <cfRule type="expression" dxfId="68" priority="6">
      <formula>ISERROR(C28)</formula>
    </cfRule>
  </conditionalFormatting>
  <conditionalFormatting sqref="C12:AZ27">
    <cfRule type="expression" dxfId="67" priority="4">
      <formula>ISERROR(C12)</formula>
    </cfRule>
  </conditionalFormatting>
  <conditionalFormatting sqref="C37:R87">
    <cfRule type="expression" dxfId="66" priority="2">
      <formula>ISERROR(C37)</formula>
    </cfRule>
  </conditionalFormatting>
  <conditionalFormatting sqref="W37:AL87">
    <cfRule type="expression" dxfId="65" priority="1">
      <formula>ISERROR(W37)</formula>
    </cfRule>
  </conditionalFormatting>
  <hyperlinks>
    <hyperlink ref="K2" location="'Information och Innehåll'!A1" display="Tillbaka till Information och Innehåll"/>
    <hyperlink ref="T38" location="V1.1.1!A1" display="V1.1.1"/>
    <hyperlink ref="T39" location="V1.1.2!A1" display="V1.1.2"/>
    <hyperlink ref="T40" location="V1.1.3!A1" display="V1.1.3"/>
    <hyperlink ref="T41" location="V2.1.1!A1" display="V2.1.1"/>
    <hyperlink ref="T42" location="V2.1.2!A1" display="V2.1.2"/>
    <hyperlink ref="T44" location="V3.1.2!A1" display="V3.1.2"/>
    <hyperlink ref="T43" location="V3.1.1!A1" display="V3.1.1"/>
    <hyperlink ref="T45" location="V3.1.3!A1" display="V3.1.3"/>
    <hyperlink ref="T47" location="V4.1.1!A1" display="V4.1.1"/>
    <hyperlink ref="T48" location="V4.2.1!A1" display="V4.2.1"/>
    <hyperlink ref="T49" location="V4.2.2!A1" display="V4.2.2"/>
    <hyperlink ref="T50" location="V4.2.3!A1" display="V4.2.3"/>
    <hyperlink ref="T51" location="V4.2.4!A1" display="V4.2.4"/>
    <hyperlink ref="T52" location="V5.1.1!A1" display="V5.1.1"/>
    <hyperlink ref="T53" location="V5.1.2!A1" display="V5.1.2"/>
    <hyperlink ref="U38" location="B1.1.1!A1" display="B1.1.1"/>
    <hyperlink ref="U39" location="B1.1.2!A1" display="B1.1.2"/>
    <hyperlink ref="U40" location="B1.2.1!A1" display="B1.2.1"/>
    <hyperlink ref="U41" location="B1.2.2!A1" display="B1.2.2"/>
    <hyperlink ref="U42" location="B1.2.3!A1" display="B1.2.3"/>
    <hyperlink ref="U43" location="B2.1.1!A1" display="B2.1.1"/>
    <hyperlink ref="U45" location="B2.2.1!A1" display="B2.2.1"/>
    <hyperlink ref="U46" location="B2.2.2!A1" display="B2.2.2"/>
    <hyperlink ref="U47" location="B2.2.3!A1" display="B2.2.3"/>
    <hyperlink ref="U48" location="B2.2.4!A1" display="B2.2.4"/>
    <hyperlink ref="U49" location="B3.1.1!A1" display="B3.1.1"/>
    <hyperlink ref="U50" location="B3.1.2!A1" display="B3.1.2"/>
    <hyperlink ref="U53" location="B4.1.1!A1" display="B4.1.1"/>
    <hyperlink ref="U54" location="B5.1.1!A1" display="B5.1.1"/>
    <hyperlink ref="U55" location="B5.1.2!A1" display="B5.1.2"/>
    <hyperlink ref="U56" location="B5.1.3!A1" display="B5.1.3"/>
    <hyperlink ref="U51" location="B3.1.3!A1" display="B3.1.3"/>
    <hyperlink ref="U44" location="B2.1.2!A1" display="B2.1.2"/>
    <hyperlink ref="T54" location="V5.1.3!A1" display="V5.1.3"/>
    <hyperlink ref="U52" location="B3.2.1!A1" display="B3.2.1"/>
    <hyperlink ref="T46" location="B3.2.1!A1" display="V3.2.1"/>
    <hyperlink ref="T63" location="'V1.1.1 DATA'!A1" display="V1.1.1"/>
    <hyperlink ref="T64" location="'V1.1.2 DATA'!A1" display="V1.1.2"/>
    <hyperlink ref="T65" location="'V1.1.3 Data'!A1" display="V1.1.3"/>
    <hyperlink ref="T66" location="'V2.1.1 DATA'!A1" display="V2.1.1"/>
    <hyperlink ref="T67" location="'V2.1.2 DATA'!A1" display="V2.1.2"/>
    <hyperlink ref="T69" location="'V3.1.2 DATA'!A1" display="V3.1.2"/>
    <hyperlink ref="T68" location="'V3.1.1 DATA'!A1" display="V3.1.1"/>
    <hyperlink ref="T70" location="'V3.1.3 DATA'!A1" display="V3.1.3"/>
    <hyperlink ref="T71" location="'V3.2.1 DATA'!A1" display="V3.2.1"/>
    <hyperlink ref="T72" location="'V4.1.1 DATA'!A1" display="V4.1.1"/>
    <hyperlink ref="T73" location="'V4.2.1 DATA'!A1" display="V4.2.1"/>
    <hyperlink ref="T75" location="'V4.2.3 DATA'!A1" display="V4.2.3"/>
    <hyperlink ref="T76" location="'V4.2.4 DATA'!A1" display="V4.2.4"/>
    <hyperlink ref="T77" location="'V5.1.1 DATA'!A1" display="V5.1.1"/>
    <hyperlink ref="T78" location="'V5.1.2 DATA'!A1" display="V5.1.2"/>
    <hyperlink ref="U63" location="'B1.1.1 DATA'!A1" display="B1.1.1"/>
    <hyperlink ref="U64" location="'B1.1.2 DATA'!A1" display="B1.1.2"/>
    <hyperlink ref="U65" location="'B1.2.1 DATA'!A1" display="B1.2.1"/>
    <hyperlink ref="U66" location="'B1.2.2 DATA'!A1" display="B1.2.2"/>
    <hyperlink ref="U67" location="'B1.2.3 DATA'!A1" display="B1.2.3"/>
    <hyperlink ref="U68" location="'B2.1.1 DATA'!A1" display="B2.1.1"/>
    <hyperlink ref="U70" location="'B2.2.1 DATA'!A1" display="B2.2.1"/>
    <hyperlink ref="U71" location="'B2.2.2 DATA'!A1" display="B2.2.2"/>
    <hyperlink ref="U72" location="'B2.2.3 DATA'!A1" display="B2.2.3"/>
    <hyperlink ref="U73" location="'B2.2.4 DATA'!A1" display="B2.2.4"/>
    <hyperlink ref="U74" location="'B3.1.1 DATA'!A1" display="B3.1.1"/>
    <hyperlink ref="U75" location="'B3.1.2 DATA'!A1" display="B3.1.2"/>
    <hyperlink ref="U77" location="'B3.2.1 DATA'!A1" display="B3.2.1"/>
    <hyperlink ref="U78" location="'B4.1.1 DATA'!A1" display="B4.1.1"/>
    <hyperlink ref="U79" location="'B5.1.1 DATA'!A1" display="B5.1.1"/>
    <hyperlink ref="U80" location="'B5.1.2 DATA'!A1" display="B5.1.2"/>
    <hyperlink ref="U81" location="'B5.1.3 DATA'!A1" display="B5.1.3"/>
    <hyperlink ref="U69" location="'B2.1.2 DATA'!A1" display="B2.1.2"/>
    <hyperlink ref="T79" location="'V5.1.3 DATA'!A1" display="V5.1.3"/>
    <hyperlink ref="U76" location="'B3.1.3 DATA'!A1" display="B3.1.3"/>
    <hyperlink ref="T74" location="'V4.2.2 DATA'!A1" display="V4.2.2"/>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18366"/>
  </sheetPr>
  <dimension ref="A2:AA57"/>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406</v>
      </c>
      <c r="C3" s="338"/>
      <c r="D3" s="338"/>
      <c r="E3" s="338"/>
      <c r="F3" s="338"/>
      <c r="G3" s="338"/>
      <c r="H3" s="338"/>
      <c r="I3" s="338"/>
      <c r="J3" s="338"/>
      <c r="K3" s="338"/>
      <c r="L3" s="338"/>
      <c r="M3" s="338"/>
      <c r="N3" s="338"/>
      <c r="O3" s="338"/>
      <c r="P3" s="338"/>
      <c r="Q3" s="338"/>
      <c r="R3" s="338"/>
      <c r="S3" s="338"/>
      <c r="T3" s="338"/>
    </row>
    <row r="4" spans="1:20" ht="30.75">
      <c r="B4" s="366" t="s">
        <v>493</v>
      </c>
      <c r="C4" s="366"/>
      <c r="D4" s="366"/>
      <c r="E4" s="366"/>
      <c r="F4" s="366"/>
      <c r="G4" s="366"/>
      <c r="H4" s="366"/>
      <c r="I4" s="366"/>
      <c r="J4" s="366"/>
      <c r="K4" s="366"/>
      <c r="L4" s="366"/>
      <c r="M4" s="366"/>
      <c r="N4" s="366"/>
      <c r="O4" s="366"/>
      <c r="P4" s="366"/>
      <c r="Q4" s="366"/>
      <c r="R4" s="366"/>
      <c r="S4" s="366"/>
      <c r="T4" s="366"/>
    </row>
    <row r="5" spans="1:20" ht="18">
      <c r="B5" s="340" t="s">
        <v>8</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31"/>
      <c r="O10" s="31"/>
      <c r="P10" s="31"/>
      <c r="Q10" s="31"/>
      <c r="R10" s="31"/>
      <c r="S10" s="31"/>
      <c r="T10" s="31"/>
    </row>
    <row r="11" spans="1:20">
      <c r="B11" s="336" t="s">
        <v>40</v>
      </c>
      <c r="C11" s="336"/>
      <c r="D11" s="336"/>
      <c r="E11" s="336"/>
      <c r="F11" s="336"/>
      <c r="G11" s="336"/>
      <c r="H11" s="336"/>
      <c r="I11" s="336"/>
      <c r="J11" s="336"/>
      <c r="K11" s="336"/>
      <c r="L11" s="336"/>
      <c r="N11" s="111" t="s">
        <v>211</v>
      </c>
      <c r="O11" s="111" t="s">
        <v>286</v>
      </c>
    </row>
    <row r="12" spans="1:20">
      <c r="B12" s="1"/>
      <c r="C12" s="337" t="s">
        <v>578</v>
      </c>
      <c r="D12" s="337"/>
      <c r="E12" s="337"/>
      <c r="F12" s="337"/>
      <c r="G12" s="337"/>
      <c r="H12" s="337"/>
      <c r="I12" s="337"/>
      <c r="J12" s="337"/>
      <c r="K12" s="337"/>
      <c r="L12" s="337"/>
      <c r="N12" s="111" t="s">
        <v>287</v>
      </c>
      <c r="O12" s="111" t="s">
        <v>249</v>
      </c>
    </row>
    <row r="13" spans="1:20">
      <c r="B13" s="32"/>
      <c r="C13" s="332" t="s">
        <v>579</v>
      </c>
      <c r="D13" s="332"/>
      <c r="E13" s="332"/>
      <c r="F13" s="332"/>
      <c r="G13" s="332"/>
      <c r="H13" s="332"/>
      <c r="I13" s="332"/>
      <c r="J13" s="332"/>
      <c r="K13" s="332"/>
      <c r="L13" s="332"/>
      <c r="N13" s="112" t="s">
        <v>250</v>
      </c>
      <c r="O13" s="111">
        <v>6.21875E-2</v>
      </c>
    </row>
    <row r="14" spans="1:20">
      <c r="B14" s="32"/>
      <c r="C14" s="333" t="s">
        <v>292</v>
      </c>
      <c r="D14" s="333"/>
      <c r="E14" s="333"/>
      <c r="F14" s="333"/>
      <c r="G14" s="333"/>
      <c r="H14" s="333"/>
      <c r="I14" s="333"/>
      <c r="J14" s="333"/>
      <c r="K14" s="333"/>
      <c r="L14" s="333"/>
      <c r="N14" s="112" t="s">
        <v>251</v>
      </c>
      <c r="O14" s="111">
        <v>7.0619662139000006E-2</v>
      </c>
    </row>
    <row r="15" spans="1:20">
      <c r="B15" s="32"/>
      <c r="C15" s="333" t="s">
        <v>582</v>
      </c>
      <c r="D15" s="333"/>
      <c r="E15" s="333"/>
      <c r="F15" s="333"/>
      <c r="G15" s="333"/>
      <c r="H15" s="333"/>
      <c r="I15" s="333"/>
      <c r="J15" s="333"/>
      <c r="K15" s="333"/>
      <c r="L15" s="333"/>
      <c r="N15" s="112" t="s">
        <v>252</v>
      </c>
      <c r="O15" s="111">
        <v>6.9044595644000006E-2</v>
      </c>
    </row>
    <row r="16" spans="1:20">
      <c r="A16" s="3"/>
      <c r="B16" s="32"/>
      <c r="C16" s="47"/>
      <c r="D16" s="47"/>
      <c r="E16" s="47"/>
      <c r="F16" s="47"/>
      <c r="G16" s="47"/>
      <c r="H16" s="47"/>
      <c r="I16" s="47"/>
      <c r="J16" s="47"/>
      <c r="K16" s="47"/>
      <c r="L16" s="32"/>
      <c r="N16" s="112" t="s">
        <v>253</v>
      </c>
      <c r="O16" s="111"/>
    </row>
    <row r="17" spans="1:26">
      <c r="A17" s="3"/>
      <c r="B17" s="336" t="s">
        <v>41</v>
      </c>
      <c r="C17" s="336"/>
      <c r="D17" s="336"/>
      <c r="E17" s="336"/>
      <c r="F17" s="336"/>
      <c r="G17" s="336"/>
      <c r="H17" s="336"/>
      <c r="I17" s="336"/>
      <c r="J17" s="336"/>
      <c r="K17" s="336"/>
      <c r="L17" s="336"/>
      <c r="N17" s="112" t="s">
        <v>254</v>
      </c>
      <c r="O17" s="111"/>
    </row>
    <row r="18" spans="1:26">
      <c r="A18" s="3"/>
      <c r="B18" s="1"/>
      <c r="C18" s="333" t="s">
        <v>295</v>
      </c>
      <c r="D18" s="333"/>
      <c r="E18" s="333"/>
      <c r="F18" s="333"/>
      <c r="G18" s="333"/>
      <c r="H18" s="333"/>
      <c r="I18" s="333"/>
      <c r="J18" s="333"/>
      <c r="K18" s="333"/>
      <c r="L18" s="333"/>
      <c r="N18" s="112" t="s">
        <v>255</v>
      </c>
      <c r="O18" s="111"/>
    </row>
    <row r="19" spans="1:26">
      <c r="A19" s="3"/>
      <c r="B19" s="32"/>
      <c r="C19" s="333" t="s">
        <v>318</v>
      </c>
      <c r="D19" s="333"/>
      <c r="E19" s="333"/>
      <c r="F19" s="333"/>
      <c r="G19" s="333"/>
      <c r="H19" s="333"/>
      <c r="I19" s="333"/>
      <c r="J19" s="333"/>
      <c r="K19" s="333"/>
      <c r="L19" s="333"/>
      <c r="N19" s="112" t="s">
        <v>256</v>
      </c>
      <c r="O19" s="111"/>
    </row>
    <row r="20" spans="1:26">
      <c r="A20" s="3"/>
      <c r="B20" s="32"/>
      <c r="C20" s="333" t="s">
        <v>369</v>
      </c>
      <c r="D20" s="333"/>
      <c r="E20" s="333"/>
      <c r="F20" s="333"/>
      <c r="G20" s="333"/>
      <c r="H20" s="333"/>
      <c r="I20" s="333"/>
      <c r="J20" s="333"/>
      <c r="K20" s="333"/>
      <c r="L20" s="333"/>
      <c r="N20" s="112" t="s">
        <v>257</v>
      </c>
      <c r="O20" s="111"/>
    </row>
    <row r="21" spans="1:26">
      <c r="A21" s="3"/>
      <c r="B21" s="32"/>
      <c r="C21" s="58" t="str">
        <f>"--&gt;"</f>
        <v>--&gt;</v>
      </c>
      <c r="D21" s="334" t="s">
        <v>284</v>
      </c>
      <c r="E21" s="334"/>
      <c r="F21" s="334"/>
      <c r="G21" s="334"/>
      <c r="H21" s="334"/>
      <c r="I21" s="334"/>
      <c r="J21" s="334"/>
      <c r="K21" s="334"/>
      <c r="L21" s="334"/>
      <c r="N21" s="112" t="s">
        <v>258</v>
      </c>
      <c r="O21" s="111"/>
    </row>
    <row r="22" spans="1:26">
      <c r="A22" s="3"/>
      <c r="B22" s="32"/>
      <c r="C22" s="32"/>
      <c r="D22" s="334"/>
      <c r="E22" s="334"/>
      <c r="F22" s="334"/>
      <c r="G22" s="334"/>
      <c r="H22" s="334"/>
      <c r="I22" s="334"/>
      <c r="J22" s="334"/>
      <c r="K22" s="334"/>
      <c r="L22" s="334"/>
      <c r="N22" s="112" t="s">
        <v>259</v>
      </c>
      <c r="O22" s="111"/>
    </row>
    <row r="23" spans="1:26">
      <c r="A23" s="3"/>
      <c r="B23" s="32"/>
      <c r="C23" s="333" t="s">
        <v>356</v>
      </c>
      <c r="D23" s="333"/>
      <c r="E23" s="333"/>
      <c r="F23" s="333"/>
      <c r="G23" s="333"/>
      <c r="H23" s="333"/>
      <c r="I23" s="333"/>
      <c r="J23" s="333"/>
      <c r="K23" s="333"/>
      <c r="L23" s="333"/>
      <c r="N23" s="112" t="s">
        <v>260</v>
      </c>
      <c r="O23" s="111"/>
    </row>
    <row r="24" spans="1:26">
      <c r="A24" s="3"/>
      <c r="B24" s="32"/>
      <c r="C24" s="333"/>
      <c r="D24" s="333"/>
      <c r="E24" s="333"/>
      <c r="F24" s="333"/>
      <c r="G24" s="333"/>
      <c r="H24" s="333"/>
      <c r="I24" s="333"/>
      <c r="J24" s="333"/>
      <c r="K24" s="333"/>
      <c r="L24" s="333"/>
      <c r="N24" s="112" t="s">
        <v>261</v>
      </c>
      <c r="O24" s="111"/>
      <c r="S24" s="11"/>
      <c r="T24" s="11"/>
    </row>
    <row r="25" spans="1:26">
      <c r="A25" s="3"/>
      <c r="B25" s="32"/>
      <c r="C25" s="333"/>
      <c r="D25" s="333"/>
      <c r="E25" s="333"/>
      <c r="F25" s="333"/>
      <c r="G25" s="333"/>
      <c r="H25" s="333"/>
      <c r="I25" s="333"/>
      <c r="J25" s="333"/>
      <c r="K25" s="333"/>
      <c r="L25" s="333"/>
      <c r="N25" s="112" t="s">
        <v>262</v>
      </c>
      <c r="O25" s="111"/>
      <c r="S25" s="11"/>
      <c r="T25" s="11"/>
    </row>
    <row r="26" spans="1:26">
      <c r="A26" s="3"/>
      <c r="B26" s="51"/>
      <c r="C26" s="335" t="s">
        <v>320</v>
      </c>
      <c r="D26" s="335"/>
      <c r="E26" s="335"/>
      <c r="F26" s="335"/>
      <c r="G26" s="335"/>
      <c r="H26" s="335"/>
      <c r="I26" s="335"/>
      <c r="J26" s="335"/>
      <c r="K26" s="335"/>
      <c r="L26" s="335"/>
      <c r="S26" s="11"/>
      <c r="T26" s="11"/>
    </row>
    <row r="27" spans="1:26">
      <c r="B27" s="52"/>
      <c r="C27" s="335"/>
      <c r="D27" s="335"/>
      <c r="E27" s="335"/>
      <c r="F27" s="335"/>
      <c r="G27" s="335"/>
      <c r="H27" s="335"/>
      <c r="I27" s="335"/>
      <c r="J27" s="335"/>
      <c r="K27" s="335"/>
      <c r="L27" s="335"/>
      <c r="Q27" s="2"/>
      <c r="S27" s="11"/>
      <c r="T27" s="11"/>
    </row>
    <row r="28" spans="1:26">
      <c r="B28" s="83"/>
      <c r="C28" s="351"/>
      <c r="D28" s="351"/>
      <c r="E28" s="351"/>
      <c r="F28" s="351"/>
      <c r="G28" s="351"/>
      <c r="H28" s="351"/>
      <c r="I28" s="351"/>
      <c r="J28" s="351"/>
      <c r="K28" s="351"/>
      <c r="L28" s="351"/>
      <c r="Q28" s="2"/>
      <c r="S28" s="11"/>
      <c r="T28" s="11"/>
    </row>
    <row r="29" spans="1:26">
      <c r="B29" s="54"/>
      <c r="C29" s="351"/>
      <c r="D29" s="351"/>
      <c r="E29" s="351"/>
      <c r="F29" s="351"/>
      <c r="G29" s="351"/>
      <c r="H29" s="351"/>
      <c r="I29" s="351"/>
      <c r="J29" s="351"/>
      <c r="K29" s="351"/>
      <c r="L29" s="351"/>
      <c r="S29" s="11"/>
      <c r="T29" s="11"/>
    </row>
    <row r="30" spans="1:26">
      <c r="B30" s="53"/>
      <c r="C30" s="115"/>
      <c r="D30" s="115"/>
      <c r="E30" s="115"/>
      <c r="F30" s="115"/>
      <c r="G30" s="115"/>
      <c r="H30" s="115"/>
      <c r="I30" s="115"/>
      <c r="J30" s="115"/>
      <c r="K30" s="115"/>
      <c r="L30" s="115"/>
      <c r="M30" s="9"/>
      <c r="N30" s="31"/>
      <c r="O30" s="34"/>
      <c r="P30" s="35"/>
      <c r="Q30" s="35"/>
      <c r="R30" s="35"/>
      <c r="S30" s="35"/>
      <c r="T30" s="31"/>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7">
      <c r="B34" s="1"/>
      <c r="C34" s="1"/>
      <c r="D34" s="1"/>
      <c r="E34" s="1"/>
      <c r="F34" s="1"/>
      <c r="G34" s="1"/>
      <c r="H34" s="1"/>
      <c r="I34" s="1"/>
      <c r="J34" s="1"/>
      <c r="K34" s="1"/>
      <c r="L34" s="1"/>
      <c r="M34" s="1"/>
      <c r="N34" s="1"/>
      <c r="O34" s="1"/>
      <c r="P34" s="1"/>
      <c r="Q34" s="1"/>
      <c r="R34" s="1"/>
      <c r="S34" s="1"/>
      <c r="T34" s="1"/>
      <c r="V34" s="56" t="s">
        <v>61</v>
      </c>
      <c r="W34" s="56" t="s">
        <v>62</v>
      </c>
      <c r="X34" s="11"/>
      <c r="Y34" s="56" t="s">
        <v>61</v>
      </c>
      <c r="Z34" s="56" t="s">
        <v>62</v>
      </c>
    </row>
    <row r="35" spans="1:27">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7">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7">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7">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7">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7">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7">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7">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7">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7">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7">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7">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row>
    <row r="47" spans="1:27">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c r="AA47" s="9"/>
    </row>
    <row r="48" spans="1:27">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c r="AA48" s="9"/>
    </row>
    <row r="49" spans="2:27">
      <c r="B49" s="1"/>
      <c r="C49" s="1"/>
      <c r="D49" s="1"/>
      <c r="E49" s="1"/>
      <c r="F49" s="1"/>
      <c r="G49" s="1"/>
      <c r="H49" s="1"/>
      <c r="I49" s="1"/>
      <c r="J49" s="1"/>
      <c r="K49" s="1"/>
      <c r="L49" s="1"/>
      <c r="M49" s="1"/>
      <c r="N49" s="1"/>
      <c r="O49" s="1"/>
      <c r="P49" s="1"/>
      <c r="Q49" s="1"/>
      <c r="R49" s="1"/>
      <c r="S49" s="1"/>
      <c r="T49" s="1"/>
      <c r="V49" s="244" t="s">
        <v>445</v>
      </c>
      <c r="W49" s="244" t="s">
        <v>462</v>
      </c>
      <c r="X49" s="9"/>
      <c r="Y49" s="244" t="s">
        <v>445</v>
      </c>
      <c r="Z49" s="244" t="s">
        <v>462</v>
      </c>
      <c r="AA49" s="9"/>
    </row>
    <row r="50" spans="2:27">
      <c r="B50" s="1"/>
      <c r="C50" s="1"/>
      <c r="D50" s="1"/>
      <c r="E50" s="1"/>
      <c r="F50" s="1"/>
      <c r="G50" s="1"/>
      <c r="H50" s="1"/>
      <c r="I50" s="1"/>
      <c r="J50" s="1"/>
      <c r="K50" s="1"/>
      <c r="L50" s="1"/>
      <c r="M50" s="1"/>
      <c r="N50" s="1"/>
      <c r="O50" s="1"/>
      <c r="P50" s="1"/>
      <c r="Q50" s="1"/>
      <c r="R50" s="1"/>
      <c r="S50" s="1"/>
      <c r="T50" s="1"/>
      <c r="V50" s="246" t="s">
        <v>446</v>
      </c>
      <c r="W50" s="244" t="s">
        <v>463</v>
      </c>
      <c r="X50" s="9"/>
      <c r="Y50" s="246" t="s">
        <v>446</v>
      </c>
      <c r="Z50" s="244" t="s">
        <v>463</v>
      </c>
      <c r="AA50" s="9"/>
    </row>
    <row r="51" spans="2:27">
      <c r="B51" s="1"/>
      <c r="C51" s="1"/>
      <c r="D51" s="1"/>
      <c r="E51" s="1"/>
      <c r="F51" s="1"/>
      <c r="G51" s="1"/>
      <c r="H51" s="1"/>
      <c r="I51" s="1"/>
      <c r="J51" s="1"/>
      <c r="K51" s="1"/>
      <c r="L51" s="1"/>
      <c r="M51" s="1"/>
      <c r="N51" s="1"/>
      <c r="O51" s="1"/>
      <c r="P51" s="1"/>
      <c r="Q51" s="1"/>
      <c r="R51" s="1"/>
      <c r="S51" s="1"/>
      <c r="T51" s="1"/>
      <c r="V51" s="247" t="s">
        <v>447</v>
      </c>
      <c r="W51" s="244" t="s">
        <v>464</v>
      </c>
      <c r="X51" s="9"/>
      <c r="Y51" s="247" t="s">
        <v>447</v>
      </c>
      <c r="Z51" s="244" t="s">
        <v>464</v>
      </c>
      <c r="AA51" s="9"/>
    </row>
    <row r="52" spans="2:27">
      <c r="B52" s="1"/>
      <c r="C52" s="1"/>
      <c r="D52" s="1"/>
      <c r="E52" s="1"/>
      <c r="F52" s="1"/>
      <c r="G52" s="1"/>
      <c r="H52" s="1"/>
      <c r="I52" s="1"/>
      <c r="J52" s="1"/>
      <c r="K52" s="1"/>
      <c r="L52" s="1"/>
      <c r="M52" s="1"/>
      <c r="N52" s="1"/>
      <c r="O52" s="1"/>
      <c r="P52" s="1"/>
      <c r="Q52" s="1"/>
      <c r="R52" s="1"/>
      <c r="S52" s="1"/>
      <c r="T52" s="1"/>
      <c r="V52" s="295"/>
      <c r="W52" s="244" t="s">
        <v>465</v>
      </c>
      <c r="X52" s="9"/>
      <c r="Y52" s="284"/>
      <c r="Z52" s="244" t="s">
        <v>465</v>
      </c>
      <c r="AA52" s="9"/>
    </row>
    <row r="53" spans="2:27">
      <c r="B53" s="1"/>
      <c r="C53" s="1"/>
      <c r="D53" s="1"/>
      <c r="E53" s="1"/>
      <c r="F53" s="1"/>
      <c r="G53" s="1"/>
      <c r="H53" s="1"/>
      <c r="I53" s="1"/>
      <c r="J53" s="1"/>
      <c r="K53" s="1"/>
      <c r="L53" s="1"/>
      <c r="M53" s="1"/>
      <c r="N53" s="1"/>
      <c r="O53" s="1"/>
      <c r="P53" s="1"/>
      <c r="Q53" s="1"/>
      <c r="R53" s="1"/>
      <c r="S53" s="1"/>
      <c r="T53" s="1"/>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row r="56" spans="2:27">
      <c r="V56" s="9"/>
      <c r="W56" s="9"/>
      <c r="X56" s="9"/>
      <c r="Y56" s="9"/>
      <c r="Z56" s="9"/>
      <c r="AA56" s="9"/>
    </row>
    <row r="57" spans="2:27">
      <c r="V57" s="9"/>
      <c r="W57" s="9"/>
      <c r="X57" s="9"/>
      <c r="Y57" s="9"/>
      <c r="Z57" s="9"/>
      <c r="AA57" s="9"/>
    </row>
  </sheetData>
  <mergeCells count="24">
    <mergeCell ref="B11:L11"/>
    <mergeCell ref="C12:L12"/>
    <mergeCell ref="C13:L13"/>
    <mergeCell ref="C14:L14"/>
    <mergeCell ref="B3:T3"/>
    <mergeCell ref="B4:T4"/>
    <mergeCell ref="B5:T5"/>
    <mergeCell ref="R7:T7"/>
    <mergeCell ref="B9:L9"/>
    <mergeCell ref="N9:T9"/>
    <mergeCell ref="Y32:Z32"/>
    <mergeCell ref="Y33:Z33"/>
    <mergeCell ref="V33:W33"/>
    <mergeCell ref="C15:L15"/>
    <mergeCell ref="B17:L17"/>
    <mergeCell ref="C18:L18"/>
    <mergeCell ref="C19:L19"/>
    <mergeCell ref="C20:L20"/>
    <mergeCell ref="D21:L22"/>
    <mergeCell ref="C26:L27"/>
    <mergeCell ref="C28:L29"/>
    <mergeCell ref="C23:L25"/>
    <mergeCell ref="B32:T32"/>
    <mergeCell ref="V32:W32"/>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B49073"/>
  </sheetPr>
  <dimension ref="A1:BA364"/>
  <sheetViews>
    <sheetView showGridLines="0" showRowColHeaders="0" zoomScale="70" zoomScaleNormal="70" workbookViewId="0"/>
  </sheetViews>
  <sheetFormatPr defaultRowHeight="14.25"/>
  <cols>
    <col min="1" max="1" width="15.796875" customWidth="1"/>
    <col min="2" max="2" width="26.796875" customWidth="1"/>
    <col min="3" max="49" width="12.796875" customWidth="1"/>
  </cols>
  <sheetData>
    <row r="1" spans="1:53" ht="15.75">
      <c r="A1" s="16" t="s">
        <v>248</v>
      </c>
      <c r="B1" s="84"/>
      <c r="C1" s="84"/>
      <c r="D1" s="84"/>
      <c r="E1" s="84"/>
      <c r="F1" s="84"/>
      <c r="G1" s="84"/>
    </row>
    <row r="2" spans="1:53" ht="15.75">
      <c r="A2" s="26" t="s">
        <v>34</v>
      </c>
      <c r="C2" s="27">
        <v>42977</v>
      </c>
      <c r="K2" s="342" t="s">
        <v>44</v>
      </c>
      <c r="L2" s="342"/>
      <c r="M2" s="342"/>
    </row>
    <row r="3" spans="1:53" ht="23.25">
      <c r="A3" s="354" t="s">
        <v>7</v>
      </c>
      <c r="B3" s="354"/>
      <c r="C3" s="354"/>
      <c r="D3" s="354"/>
      <c r="E3" s="354"/>
      <c r="F3" s="354"/>
      <c r="G3" s="354"/>
      <c r="H3" s="354"/>
      <c r="I3" s="198"/>
      <c r="J3" s="198"/>
      <c r="K3" s="198"/>
      <c r="L3" s="198"/>
      <c r="M3" s="198"/>
    </row>
    <row r="4" spans="1:53">
      <c r="A4" s="119"/>
      <c r="B4" s="119"/>
      <c r="C4" s="119"/>
      <c r="D4" s="119"/>
      <c r="E4" s="119"/>
      <c r="F4" s="119"/>
      <c r="G4" s="119"/>
      <c r="H4" s="119"/>
      <c r="I4" s="119"/>
      <c r="J4" s="119"/>
      <c r="K4" s="119"/>
      <c r="L4" s="119"/>
      <c r="M4" s="119"/>
    </row>
    <row r="5" spans="1:53">
      <c r="A5" s="119"/>
      <c r="B5" s="352" t="s">
        <v>374</v>
      </c>
      <c r="C5" s="352"/>
      <c r="D5" s="352"/>
      <c r="E5" s="352"/>
      <c r="F5" s="352"/>
      <c r="G5" s="352"/>
      <c r="H5" s="352"/>
      <c r="I5" s="352"/>
      <c r="J5" s="352"/>
      <c r="K5" s="352"/>
      <c r="L5" s="352"/>
      <c r="M5" s="119"/>
    </row>
    <row r="6" spans="1:53">
      <c r="A6" s="119"/>
      <c r="B6" s="352" t="s">
        <v>331</v>
      </c>
      <c r="C6" s="352"/>
      <c r="D6" s="352"/>
      <c r="E6" s="352"/>
      <c r="F6" s="352"/>
      <c r="G6" s="352"/>
      <c r="H6" s="352"/>
      <c r="I6" s="352"/>
      <c r="J6" s="352"/>
      <c r="K6" s="352"/>
      <c r="L6" s="352"/>
      <c r="M6" s="119"/>
    </row>
    <row r="7" spans="1:53">
      <c r="A7" s="119"/>
      <c r="B7" s="353" t="s">
        <v>580</v>
      </c>
      <c r="C7" s="353"/>
      <c r="D7" s="353"/>
      <c r="E7" s="353"/>
      <c r="F7" s="353"/>
      <c r="G7" s="353"/>
      <c r="H7" s="353"/>
      <c r="I7" s="353"/>
      <c r="J7" s="353"/>
      <c r="K7" s="353"/>
      <c r="L7" s="353"/>
      <c r="M7" s="119"/>
    </row>
    <row r="8" spans="1:53">
      <c r="A8" s="119"/>
      <c r="B8" s="353" t="s">
        <v>581</v>
      </c>
      <c r="C8" s="353"/>
      <c r="D8" s="353"/>
      <c r="E8" s="353"/>
      <c r="F8" s="353"/>
      <c r="G8" s="353"/>
      <c r="H8" s="353"/>
      <c r="I8" s="353"/>
      <c r="J8" s="353"/>
      <c r="K8" s="353"/>
      <c r="L8" s="353"/>
      <c r="M8" s="119"/>
    </row>
    <row r="9" spans="1:53">
      <c r="A9" s="119"/>
      <c r="B9" s="353"/>
      <c r="C9" s="353"/>
      <c r="D9" s="353"/>
      <c r="E9" s="353"/>
      <c r="F9" s="353"/>
      <c r="G9" s="353"/>
      <c r="H9" s="353"/>
      <c r="I9" s="353"/>
      <c r="J9" s="353"/>
      <c r="K9" s="353"/>
      <c r="L9" s="353"/>
      <c r="M9" s="119"/>
    </row>
    <row r="10" spans="1:53" ht="15.75">
      <c r="A10" s="26"/>
      <c r="C10" s="27"/>
    </row>
    <row r="11" spans="1:53" ht="18">
      <c r="A11" s="133" t="s">
        <v>2</v>
      </c>
      <c r="B11" s="133" t="s">
        <v>203</v>
      </c>
      <c r="C11" s="133" t="s">
        <v>159</v>
      </c>
      <c r="D11" s="133" t="s">
        <v>194</v>
      </c>
      <c r="E11" s="133" t="s">
        <v>189</v>
      </c>
      <c r="F11" s="133" t="s">
        <v>184</v>
      </c>
      <c r="G11" s="133" t="s">
        <v>182</v>
      </c>
      <c r="H11" s="133" t="s">
        <v>141</v>
      </c>
      <c r="I11" s="133" t="s">
        <v>163</v>
      </c>
      <c r="J11" s="133" t="s">
        <v>164</v>
      </c>
      <c r="K11" s="133" t="s">
        <v>165</v>
      </c>
      <c r="L11" s="133" t="s">
        <v>154</v>
      </c>
      <c r="M11" s="133" t="s">
        <v>181</v>
      </c>
      <c r="N11" s="133" t="s">
        <v>168</v>
      </c>
      <c r="O11" s="133" t="s">
        <v>155</v>
      </c>
      <c r="P11" s="133" t="s">
        <v>169</v>
      </c>
      <c r="Q11" s="133" t="s">
        <v>160</v>
      </c>
      <c r="R11" s="133" t="s">
        <v>179</v>
      </c>
      <c r="S11" s="133" t="s">
        <v>170</v>
      </c>
      <c r="T11" s="133" t="s">
        <v>152</v>
      </c>
      <c r="U11" s="133" t="s">
        <v>146</v>
      </c>
      <c r="V11" s="133" t="s">
        <v>171</v>
      </c>
      <c r="W11" s="133" t="s">
        <v>185</v>
      </c>
      <c r="X11" s="133" t="s">
        <v>142</v>
      </c>
      <c r="Y11" s="133" t="s">
        <v>148</v>
      </c>
      <c r="Z11" s="133" t="s">
        <v>156</v>
      </c>
      <c r="AA11" s="133" t="s">
        <v>149</v>
      </c>
      <c r="AB11" s="133" t="s">
        <v>157</v>
      </c>
      <c r="AC11" s="133" t="s">
        <v>172</v>
      </c>
      <c r="AD11" s="133" t="s">
        <v>173</v>
      </c>
      <c r="AE11" s="133" t="s">
        <v>147</v>
      </c>
      <c r="AF11" s="133" t="s">
        <v>193</v>
      </c>
      <c r="AG11" s="133" t="s">
        <v>190</v>
      </c>
      <c r="AH11" s="133" t="s">
        <v>187</v>
      </c>
      <c r="AI11" s="133" t="s">
        <v>145</v>
      </c>
      <c r="AJ11" s="133" t="s">
        <v>174</v>
      </c>
      <c r="AK11" s="133" t="s">
        <v>175</v>
      </c>
      <c r="AL11" s="133" t="s">
        <v>161</v>
      </c>
      <c r="AM11" s="133" t="s">
        <v>186</v>
      </c>
      <c r="AN11" s="133" t="s">
        <v>191</v>
      </c>
      <c r="AO11" s="133" t="s">
        <v>176</v>
      </c>
      <c r="AP11" s="133" t="s">
        <v>150</v>
      </c>
      <c r="AQ11" s="133" t="s">
        <v>183</v>
      </c>
      <c r="AR11" s="133" t="s">
        <v>177</v>
      </c>
      <c r="AS11" s="133" t="s">
        <v>180</v>
      </c>
      <c r="AT11" s="133" t="s">
        <v>151</v>
      </c>
      <c r="AU11" s="133" t="s">
        <v>144</v>
      </c>
      <c r="AV11" s="133" t="s">
        <v>192</v>
      </c>
      <c r="AW11" s="133" t="s">
        <v>209</v>
      </c>
      <c r="AX11" s="90"/>
      <c r="AY11" s="90"/>
      <c r="AZ11" s="90"/>
      <c r="BA11" s="90"/>
    </row>
    <row r="12" spans="1:53" ht="18">
      <c r="A12" s="2" t="s">
        <v>250</v>
      </c>
      <c r="B12" t="s">
        <v>249</v>
      </c>
      <c r="C12" s="79">
        <f>$C$34</f>
        <v>6.5040650406000003E-2</v>
      </c>
      <c r="D12" s="79">
        <f>$C$35</f>
        <v>5.56640625E-2</v>
      </c>
      <c r="E12" s="79">
        <f>$C$36</f>
        <v>2.5974025974E-2</v>
      </c>
      <c r="F12" s="79">
        <f>$C$37</f>
        <v>0</v>
      </c>
      <c r="G12" s="79">
        <f>$C$38</f>
        <v>0.106789993693</v>
      </c>
      <c r="H12" s="79">
        <f>$C$39</f>
        <v>5.6338028169E-2</v>
      </c>
      <c r="I12" s="79">
        <f>$C$40</f>
        <v>0</v>
      </c>
      <c r="J12" s="79">
        <f>$C$41</f>
        <v>6.5410199555999998E-2</v>
      </c>
      <c r="K12" s="79">
        <f>$C$42</f>
        <v>0</v>
      </c>
      <c r="L12" s="79">
        <f>$C$43</f>
        <v>6.8568867642E-2</v>
      </c>
      <c r="M12" s="79">
        <f>$C$44</f>
        <v>0.12550607287400001</v>
      </c>
      <c r="N12" s="79">
        <f>$C$45</f>
        <v>0</v>
      </c>
      <c r="O12" s="79">
        <f>$C$46</f>
        <v>6.7052023121000004E-2</v>
      </c>
      <c r="P12" s="79">
        <f>$C$47</f>
        <v>0</v>
      </c>
      <c r="Q12" s="79">
        <f>$C$48</f>
        <v>6.5843621399000005E-2</v>
      </c>
      <c r="R12" s="79">
        <f>$C$49</f>
        <v>6.8085106381999994E-2</v>
      </c>
      <c r="S12" s="79">
        <f>$C$50</f>
        <v>5.7425742574000002E-2</v>
      </c>
      <c r="T12" s="79">
        <f>$C$51</f>
        <v>0.16279069767400001</v>
      </c>
      <c r="U12" s="79">
        <f>$C$52</f>
        <v>2.6151930261E-2</v>
      </c>
      <c r="V12" s="79">
        <f>$C$53</f>
        <v>5.9782608695000003E-2</v>
      </c>
      <c r="W12" s="79">
        <f>$C$54</f>
        <v>8.4024896264999996E-2</v>
      </c>
      <c r="X12" s="79">
        <f>$C$55</f>
        <v>0.121951219512</v>
      </c>
      <c r="Y12" s="79">
        <f>$C$56</f>
        <v>2.1416803953E-2</v>
      </c>
      <c r="Z12" s="79">
        <f>$C$57</f>
        <v>6.8692206076000004E-2</v>
      </c>
      <c r="AA12" s="79">
        <f>$C$58</f>
        <v>0</v>
      </c>
      <c r="AB12" s="79">
        <f>$C$59</f>
        <v>0.13865546218399999</v>
      </c>
      <c r="AC12" s="79">
        <f>$C$60</f>
        <v>4.3119266055000001E-2</v>
      </c>
      <c r="AD12" s="79">
        <f>$C$61</f>
        <v>3.9364391477000001E-2</v>
      </c>
      <c r="AE12" s="79">
        <f>$C$62</f>
        <v>0</v>
      </c>
      <c r="AF12" s="79">
        <f>$C$63</f>
        <v>2.5617566331E-2</v>
      </c>
      <c r="AG12" s="79">
        <f>$C$64</f>
        <v>3.8167938930999998E-2</v>
      </c>
      <c r="AH12" s="79">
        <f>$C$65</f>
        <v>2.7972027972000001E-2</v>
      </c>
      <c r="AI12" s="79">
        <f>$C$66</f>
        <v>0</v>
      </c>
      <c r="AJ12" s="79">
        <f>$C$67</f>
        <v>4.8888888887999998E-2</v>
      </c>
      <c r="AK12" s="79">
        <f>$C$68</f>
        <v>4.3478260869000002E-2</v>
      </c>
      <c r="AL12" s="79">
        <f>$C$69</f>
        <v>0</v>
      </c>
      <c r="AM12" s="79">
        <f>$C$70</f>
        <v>4.8951048950999998E-2</v>
      </c>
      <c r="AN12" s="79">
        <f>$C$71</f>
        <v>4.5529801324000002E-2</v>
      </c>
      <c r="AO12" s="79">
        <f>$C$72</f>
        <v>4.2918454935000003E-2</v>
      </c>
      <c r="AP12" s="79">
        <f>$C$73</f>
        <v>4.4755244755E-2</v>
      </c>
      <c r="AQ12" s="79">
        <f>$C$74</f>
        <v>5.3719008264000001E-2</v>
      </c>
      <c r="AR12" s="79">
        <f>$C$75</f>
        <v>7.2519083969000003E-2</v>
      </c>
      <c r="AS12" s="79">
        <f>$C$76</f>
        <v>6.7988668555000006E-2</v>
      </c>
      <c r="AT12" s="79">
        <f>$C$77</f>
        <v>2.5518341306999998E-2</v>
      </c>
      <c r="AU12" s="79">
        <f>$C$78</f>
        <v>2.9723991506999999E-2</v>
      </c>
      <c r="AV12" s="79">
        <f>$C$79</f>
        <v>3.4246575341999999E-2</v>
      </c>
      <c r="AW12" s="79">
        <f>$C$81</f>
        <v>6.21875E-2</v>
      </c>
      <c r="AX12" s="90"/>
      <c r="AY12" s="90"/>
      <c r="AZ12" s="90"/>
      <c r="BA12" s="90"/>
    </row>
    <row r="13" spans="1:53" ht="18">
      <c r="A13" s="2" t="s">
        <v>251</v>
      </c>
      <c r="B13" t="s">
        <v>249</v>
      </c>
      <c r="C13" s="79">
        <f>$D$34</f>
        <v>2.3121387282999999E-2</v>
      </c>
      <c r="D13" s="79">
        <f>$D$35</f>
        <v>4.7021943572999998E-2</v>
      </c>
      <c r="E13" s="79">
        <f>$D$36</f>
        <v>1.4492753622999999E-2</v>
      </c>
      <c r="F13" s="79">
        <f>$D$37</f>
        <v>0</v>
      </c>
      <c r="G13" s="79">
        <f>$D$38</f>
        <v>0.112599956775</v>
      </c>
      <c r="H13" s="79">
        <f>$D$39</f>
        <v>6.4102564102000006E-2</v>
      </c>
      <c r="I13" s="79">
        <f>$D$40</f>
        <v>0.3</v>
      </c>
      <c r="J13" s="79">
        <f>$D$41</f>
        <v>4.1573033707000003E-2</v>
      </c>
      <c r="K13" s="79">
        <f>$D$42</f>
        <v>0</v>
      </c>
      <c r="L13" s="79">
        <f>$D$43</f>
        <v>8.6939533065999997E-2</v>
      </c>
      <c r="M13" s="79">
        <f>$D$44</f>
        <v>8.7336244541000002E-2</v>
      </c>
      <c r="N13" s="79">
        <f>$D$45</f>
        <v>0</v>
      </c>
      <c r="O13" s="79">
        <f>$D$46</f>
        <v>6.2355658198E-2</v>
      </c>
      <c r="P13" s="79">
        <f>$D$47</f>
        <v>0</v>
      </c>
      <c r="Q13" s="79">
        <f>$D$48</f>
        <v>8.8508208421999995E-2</v>
      </c>
      <c r="R13" s="79">
        <f>$D$49</f>
        <v>5.9459459458999997E-2</v>
      </c>
      <c r="S13" s="79">
        <f>$D$50</f>
        <v>5.4787506399999998E-2</v>
      </c>
      <c r="T13" s="79">
        <f>$D$51</f>
        <v>0.34285714285699997</v>
      </c>
      <c r="U13" s="79">
        <f>$D$52</f>
        <v>1.7615176151E-2</v>
      </c>
      <c r="V13" s="79">
        <f>$D$53</f>
        <v>4.1176470588000003E-2</v>
      </c>
      <c r="W13" s="79">
        <f>$D$54</f>
        <v>8.2744702320000002E-2</v>
      </c>
      <c r="X13" s="79">
        <f>$D$55</f>
        <v>0.11486486486399999</v>
      </c>
      <c r="Y13" s="79">
        <f>$D$56</f>
        <v>3.4246575341999999E-2</v>
      </c>
      <c r="Z13" s="79">
        <f>$D$57</f>
        <v>9.1836734692999994E-2</v>
      </c>
      <c r="AA13" s="79">
        <f>$D$58</f>
        <v>0</v>
      </c>
      <c r="AB13" s="79">
        <f>$D$59</f>
        <v>0.175233644859</v>
      </c>
      <c r="AC13" s="79">
        <f>$D$60</f>
        <v>3.0549898167E-2</v>
      </c>
      <c r="AD13" s="79">
        <f>$D$61</f>
        <v>5.0073099415000002E-2</v>
      </c>
      <c r="AE13" s="79">
        <f>$D$62</f>
        <v>0</v>
      </c>
      <c r="AF13" s="79">
        <f>$D$63</f>
        <v>0.02</v>
      </c>
      <c r="AG13" s="79">
        <f>$D$64</f>
        <v>2.5787965616000001E-2</v>
      </c>
      <c r="AH13" s="79">
        <f>$D$65</f>
        <v>0</v>
      </c>
      <c r="AI13" s="79">
        <f>$D$66</f>
        <v>0.21126760563300001</v>
      </c>
      <c r="AJ13" s="79">
        <f>$D$67</f>
        <v>7.6543209875999996E-2</v>
      </c>
      <c r="AK13" s="79">
        <f>$D$68</f>
        <v>6.9343065693E-2</v>
      </c>
      <c r="AL13" s="79">
        <f>$D$69</f>
        <v>0</v>
      </c>
      <c r="AM13" s="79">
        <f>$D$70</f>
        <v>5.8441558440999998E-2</v>
      </c>
      <c r="AN13" s="79">
        <f>$D$71</f>
        <v>7.3057432431999997E-2</v>
      </c>
      <c r="AO13" s="79">
        <f>$D$72</f>
        <v>4.7210300428999999E-2</v>
      </c>
      <c r="AP13" s="79">
        <f>$D$73</f>
        <v>3.7822349569999997E-2</v>
      </c>
      <c r="AQ13" s="79">
        <f>$D$74</f>
        <v>3.0364372468999999E-2</v>
      </c>
      <c r="AR13" s="79">
        <f>$D$75</f>
        <v>5.0980392155999997E-2</v>
      </c>
      <c r="AS13" s="79">
        <f>$D$76</f>
        <v>7.7419354837999999E-2</v>
      </c>
      <c r="AT13" s="79">
        <f>$D$77</f>
        <v>2.6294165981000001E-2</v>
      </c>
      <c r="AU13" s="79">
        <f>$D$78</f>
        <v>2.3529411763999999E-2</v>
      </c>
      <c r="AV13" s="79">
        <f>$D$79</f>
        <v>0</v>
      </c>
      <c r="AW13" s="79">
        <f>$D$81</f>
        <v>7.0619662139000006E-2</v>
      </c>
      <c r="AX13" s="90"/>
      <c r="AY13" s="90"/>
      <c r="AZ13" s="90"/>
      <c r="BA13" s="90"/>
    </row>
    <row r="14" spans="1:53" ht="18">
      <c r="A14" s="2" t="s">
        <v>252</v>
      </c>
      <c r="B14" t="s">
        <v>249</v>
      </c>
      <c r="C14" s="79">
        <f>$E$34</f>
        <v>1.3824884791999999E-2</v>
      </c>
      <c r="D14" s="79">
        <f>$E$35</f>
        <v>3.3730158730000001E-2</v>
      </c>
      <c r="E14" s="79">
        <f>$E$36</f>
        <v>0</v>
      </c>
      <c r="F14" s="79">
        <f>$E$37</f>
        <v>0</v>
      </c>
      <c r="G14" s="79">
        <f>$E$38</f>
        <v>8.7608695651999996E-2</v>
      </c>
      <c r="H14" s="79">
        <f>$E$39</f>
        <v>0</v>
      </c>
      <c r="I14" s="79">
        <f>$E$40</f>
        <v>0</v>
      </c>
      <c r="J14" s="79">
        <f>$E$41</f>
        <v>7.6751946606999993E-2</v>
      </c>
      <c r="K14" s="79">
        <f>$E$42</f>
        <v>0</v>
      </c>
      <c r="L14" s="79">
        <f>$E$43</f>
        <v>8.7064313838999999E-2</v>
      </c>
      <c r="M14" s="79">
        <f>$E$44</f>
        <v>5.8823529410999997E-2</v>
      </c>
      <c r="N14" s="79">
        <f>$E$45</f>
        <v>0</v>
      </c>
      <c r="O14" s="79">
        <f>$E$46</f>
        <v>4.8137535815999999E-2</v>
      </c>
      <c r="P14" s="79">
        <f>$E$47</f>
        <v>0</v>
      </c>
      <c r="Q14" s="79">
        <f>$E$48</f>
        <v>6.6573230553000004E-2</v>
      </c>
      <c r="R14" s="79">
        <f>$E$49</f>
        <v>8.2273112807000004E-2</v>
      </c>
      <c r="S14" s="79">
        <f>$E$50</f>
        <v>4.7365620009999998E-2</v>
      </c>
      <c r="T14" s="79">
        <f>$E$51</f>
        <v>0</v>
      </c>
      <c r="U14" s="79">
        <f>$E$52</f>
        <v>4.0293040293000001E-2</v>
      </c>
      <c r="V14" s="79">
        <f>$E$53</f>
        <v>4.2007001166000001E-2</v>
      </c>
      <c r="W14" s="79">
        <f>$E$54</f>
        <v>9.6808510638E-2</v>
      </c>
      <c r="X14" s="79">
        <f>$E$55</f>
        <v>8.1632653060999996E-2</v>
      </c>
      <c r="Y14" s="79">
        <f>$E$56</f>
        <v>3.0360531308999999E-2</v>
      </c>
      <c r="Z14" s="79">
        <f>$E$57</f>
        <v>6.8441064637999996E-2</v>
      </c>
      <c r="AA14" s="79">
        <f>$E$58</f>
        <v>0</v>
      </c>
      <c r="AB14" s="79">
        <f>$E$59</f>
        <v>0.23939393939299999</v>
      </c>
      <c r="AC14" s="79">
        <f>$E$60</f>
        <v>2.6205450732999999E-2</v>
      </c>
      <c r="AD14" s="79">
        <f>$E$61</f>
        <v>4.3415859346000001E-2</v>
      </c>
      <c r="AE14" s="79">
        <f>$E$62</f>
        <v>0</v>
      </c>
      <c r="AF14" s="79">
        <f>$E$63</f>
        <v>1.7625231910000001E-2</v>
      </c>
      <c r="AG14" s="79">
        <f>$E$64</f>
        <v>9.9397590361000002E-2</v>
      </c>
      <c r="AH14" s="79">
        <f>$E$65</f>
        <v>0</v>
      </c>
      <c r="AI14" s="79">
        <f>$E$66</f>
        <v>0.12857142857100001</v>
      </c>
      <c r="AJ14" s="79">
        <f>$E$67</f>
        <v>0.10182767624</v>
      </c>
      <c r="AK14" s="79">
        <f>$E$68</f>
        <v>3.7499999999999999E-2</v>
      </c>
      <c r="AL14" s="79">
        <f>$E$69</f>
        <v>0</v>
      </c>
      <c r="AM14" s="79">
        <f>$E$70</f>
        <v>4.1543026705999998E-2</v>
      </c>
      <c r="AN14" s="79">
        <f>$E$71</f>
        <v>7.1367521367000003E-2</v>
      </c>
      <c r="AO14" s="79">
        <f>$E$72</f>
        <v>3.7383177570000002E-2</v>
      </c>
      <c r="AP14" s="79">
        <f>$E$73</f>
        <v>4.8574752763000002E-2</v>
      </c>
      <c r="AQ14" s="79">
        <f>$E$74</f>
        <v>4.9701789263999999E-2</v>
      </c>
      <c r="AR14" s="79">
        <f>$E$75</f>
        <v>8.2677165354000007E-2</v>
      </c>
      <c r="AS14" s="79">
        <f>$E$76</f>
        <v>3.9087947881999999E-2</v>
      </c>
      <c r="AT14" s="79">
        <f>$E$77</f>
        <v>4.4371405093999998E-2</v>
      </c>
      <c r="AU14" s="79">
        <f>$E$78</f>
        <v>2.2429906542E-2</v>
      </c>
      <c r="AV14" s="79">
        <f>$E$79</f>
        <v>1.7006802721000001E-2</v>
      </c>
      <c r="AW14" s="79">
        <f>$E$81</f>
        <v>6.9044595644000006E-2</v>
      </c>
      <c r="AX14" s="90"/>
      <c r="AY14" s="90"/>
      <c r="AZ14" s="90"/>
      <c r="BA14" s="90"/>
    </row>
    <row r="15" spans="1:53" ht="18">
      <c r="A15" s="2" t="s">
        <v>253</v>
      </c>
      <c r="B15" t="s">
        <v>249</v>
      </c>
      <c r="C15" s="79" t="e">
        <f>$F$34</f>
        <v>#DIV/0!</v>
      </c>
      <c r="D15" s="79" t="e">
        <f>$F$35</f>
        <v>#DIV/0!</v>
      </c>
      <c r="E15" s="79" t="e">
        <f>$F$36</f>
        <v>#DIV/0!</v>
      </c>
      <c r="F15" s="79" t="e">
        <f>$F$37</f>
        <v>#DIV/0!</v>
      </c>
      <c r="G15" s="79" t="e">
        <f>$F$38</f>
        <v>#DIV/0!</v>
      </c>
      <c r="H15" s="79" t="e">
        <f>$F$39</f>
        <v>#DIV/0!</v>
      </c>
      <c r="I15" s="79" t="e">
        <f>$F$40</f>
        <v>#DIV/0!</v>
      </c>
      <c r="J15" s="79" t="e">
        <f>$F$41</f>
        <v>#DIV/0!</v>
      </c>
      <c r="K15" s="79" t="e">
        <f>$F$42</f>
        <v>#DIV/0!</v>
      </c>
      <c r="L15" s="79" t="e">
        <f>$F$43</f>
        <v>#DIV/0!</v>
      </c>
      <c r="M15" s="79" t="e">
        <f>$F$44</f>
        <v>#DIV/0!</v>
      </c>
      <c r="N15" s="79" t="e">
        <f>$F$45</f>
        <v>#DIV/0!</v>
      </c>
      <c r="O15" s="79" t="e">
        <f>$F$46</f>
        <v>#DIV/0!</v>
      </c>
      <c r="P15" s="79" t="e">
        <f>$F$47</f>
        <v>#DIV/0!</v>
      </c>
      <c r="Q15" s="79" t="e">
        <f>$F$48</f>
        <v>#DIV/0!</v>
      </c>
      <c r="R15" s="79" t="e">
        <f>$F$49</f>
        <v>#DIV/0!</v>
      </c>
      <c r="S15" s="79" t="e">
        <f>$F$50</f>
        <v>#DIV/0!</v>
      </c>
      <c r="T15" s="79" t="e">
        <f>$F$51</f>
        <v>#DIV/0!</v>
      </c>
      <c r="U15" s="79" t="e">
        <f>$F$52</f>
        <v>#DIV/0!</v>
      </c>
      <c r="V15" s="79" t="e">
        <f>$F$53</f>
        <v>#DIV/0!</v>
      </c>
      <c r="W15" s="79" t="e">
        <f>$F$54</f>
        <v>#DIV/0!</v>
      </c>
      <c r="X15" s="79" t="e">
        <f>$F$55</f>
        <v>#DIV/0!</v>
      </c>
      <c r="Y15" s="79" t="e">
        <f>$F$56</f>
        <v>#DIV/0!</v>
      </c>
      <c r="Z15" s="79" t="e">
        <f>$F$57</f>
        <v>#DIV/0!</v>
      </c>
      <c r="AA15" s="79" t="e">
        <f>$F$58</f>
        <v>#DIV/0!</v>
      </c>
      <c r="AB15" s="79" t="e">
        <f>$F$59</f>
        <v>#DIV/0!</v>
      </c>
      <c r="AC15" s="79" t="e">
        <f>$F$60</f>
        <v>#DIV/0!</v>
      </c>
      <c r="AD15" s="79" t="e">
        <f>$F$61</f>
        <v>#DIV/0!</v>
      </c>
      <c r="AE15" s="79" t="e">
        <f>$F$62</f>
        <v>#DIV/0!</v>
      </c>
      <c r="AF15" s="79" t="e">
        <f>$F$63</f>
        <v>#DIV/0!</v>
      </c>
      <c r="AG15" s="79" t="e">
        <f>$F$64</f>
        <v>#DIV/0!</v>
      </c>
      <c r="AH15" s="79" t="e">
        <f>$F$65</f>
        <v>#DIV/0!</v>
      </c>
      <c r="AI15" s="79" t="e">
        <f>$F$66</f>
        <v>#DIV/0!</v>
      </c>
      <c r="AJ15" s="79" t="e">
        <f>$F$67</f>
        <v>#DIV/0!</v>
      </c>
      <c r="AK15" s="79" t="e">
        <f>$F$68</f>
        <v>#DIV/0!</v>
      </c>
      <c r="AL15" s="79" t="e">
        <f>$F$69</f>
        <v>#DIV/0!</v>
      </c>
      <c r="AM15" s="79" t="e">
        <f>$F$70</f>
        <v>#DIV/0!</v>
      </c>
      <c r="AN15" s="79" t="e">
        <f>$F$71</f>
        <v>#DIV/0!</v>
      </c>
      <c r="AO15" s="79" t="e">
        <f>$F$72</f>
        <v>#DIV/0!</v>
      </c>
      <c r="AP15" s="79" t="e">
        <f>$F$73</f>
        <v>#DIV/0!</v>
      </c>
      <c r="AQ15" s="79" t="e">
        <f>$F$74</f>
        <v>#DIV/0!</v>
      </c>
      <c r="AR15" s="79" t="e">
        <f>$F$75</f>
        <v>#DIV/0!</v>
      </c>
      <c r="AS15" s="79" t="e">
        <f>$F$76</f>
        <v>#DIV/0!</v>
      </c>
      <c r="AT15" s="79" t="e">
        <f>$F$77</f>
        <v>#DIV/0!</v>
      </c>
      <c r="AU15" s="79" t="e">
        <f>$F$78</f>
        <v>#DIV/0!</v>
      </c>
      <c r="AV15" s="79" t="e">
        <f>$F$79</f>
        <v>#DIV/0!</v>
      </c>
      <c r="AW15" s="79" t="e">
        <f>$F$81</f>
        <v>#DIV/0!</v>
      </c>
      <c r="AX15" s="90"/>
      <c r="AY15" s="90"/>
      <c r="AZ15" s="90"/>
      <c r="BA15" s="90"/>
    </row>
    <row r="16" spans="1:53" ht="18">
      <c r="A16" s="2" t="s">
        <v>254</v>
      </c>
      <c r="B16" t="s">
        <v>249</v>
      </c>
      <c r="C16" s="79" t="e">
        <f>$G$34</f>
        <v>#DIV/0!</v>
      </c>
      <c r="D16" s="79" t="e">
        <f>$G$35</f>
        <v>#DIV/0!</v>
      </c>
      <c r="E16" s="79" t="e">
        <f>$G$36</f>
        <v>#DIV/0!</v>
      </c>
      <c r="F16" s="79" t="e">
        <f>$G$37</f>
        <v>#DIV/0!</v>
      </c>
      <c r="G16" s="79" t="e">
        <f>$G$38</f>
        <v>#DIV/0!</v>
      </c>
      <c r="H16" s="79" t="e">
        <f>$G$39</f>
        <v>#DIV/0!</v>
      </c>
      <c r="I16" s="79" t="e">
        <f>$G$40</f>
        <v>#DIV/0!</v>
      </c>
      <c r="J16" s="79" t="e">
        <f>$G$41</f>
        <v>#DIV/0!</v>
      </c>
      <c r="K16" s="79" t="e">
        <f>$G$42</f>
        <v>#DIV/0!</v>
      </c>
      <c r="L16" s="79" t="e">
        <f>$G$43</f>
        <v>#DIV/0!</v>
      </c>
      <c r="M16" s="79" t="e">
        <f>$G$44</f>
        <v>#DIV/0!</v>
      </c>
      <c r="N16" s="79" t="e">
        <f>$G$45</f>
        <v>#DIV/0!</v>
      </c>
      <c r="O16" s="79" t="e">
        <f>$G$46</f>
        <v>#DIV/0!</v>
      </c>
      <c r="P16" s="79" t="e">
        <f>$G$47</f>
        <v>#DIV/0!</v>
      </c>
      <c r="Q16" s="79" t="e">
        <f>$G$48</f>
        <v>#DIV/0!</v>
      </c>
      <c r="R16" s="79" t="e">
        <f>$G$49</f>
        <v>#DIV/0!</v>
      </c>
      <c r="S16" s="79" t="e">
        <f>$G$50</f>
        <v>#DIV/0!</v>
      </c>
      <c r="T16" s="79" t="e">
        <f>$G$51</f>
        <v>#DIV/0!</v>
      </c>
      <c r="U16" s="79" t="e">
        <f>$G$52</f>
        <v>#DIV/0!</v>
      </c>
      <c r="V16" s="79" t="e">
        <f>$G$53</f>
        <v>#DIV/0!</v>
      </c>
      <c r="W16" s="79" t="e">
        <f>$G$54</f>
        <v>#DIV/0!</v>
      </c>
      <c r="X16" s="79" t="e">
        <f>$G$55</f>
        <v>#DIV/0!</v>
      </c>
      <c r="Y16" s="79" t="e">
        <f>$G$56</f>
        <v>#DIV/0!</v>
      </c>
      <c r="Z16" s="79" t="e">
        <f>$G$57</f>
        <v>#DIV/0!</v>
      </c>
      <c r="AA16" s="79" t="e">
        <f>$G$58</f>
        <v>#DIV/0!</v>
      </c>
      <c r="AB16" s="79" t="e">
        <f>$G$59</f>
        <v>#DIV/0!</v>
      </c>
      <c r="AC16" s="79" t="e">
        <f>$G$60</f>
        <v>#DIV/0!</v>
      </c>
      <c r="AD16" s="79" t="e">
        <f>$G$61</f>
        <v>#DIV/0!</v>
      </c>
      <c r="AE16" s="79" t="e">
        <f>$G$62</f>
        <v>#DIV/0!</v>
      </c>
      <c r="AF16" s="79" t="e">
        <f>$G$63</f>
        <v>#DIV/0!</v>
      </c>
      <c r="AG16" s="79" t="e">
        <f>$G$64</f>
        <v>#DIV/0!</v>
      </c>
      <c r="AH16" s="79" t="e">
        <f>$G$65</f>
        <v>#DIV/0!</v>
      </c>
      <c r="AI16" s="79" t="e">
        <f>$G$66</f>
        <v>#DIV/0!</v>
      </c>
      <c r="AJ16" s="79" t="e">
        <f>$G$67</f>
        <v>#DIV/0!</v>
      </c>
      <c r="AK16" s="79" t="e">
        <f>$G$68</f>
        <v>#DIV/0!</v>
      </c>
      <c r="AL16" s="79" t="e">
        <f>$G$69</f>
        <v>#DIV/0!</v>
      </c>
      <c r="AM16" s="79" t="e">
        <f>$G$70</f>
        <v>#DIV/0!</v>
      </c>
      <c r="AN16" s="79" t="e">
        <f>$G$71</f>
        <v>#DIV/0!</v>
      </c>
      <c r="AO16" s="79" t="e">
        <f>$G$72</f>
        <v>#DIV/0!</v>
      </c>
      <c r="AP16" s="79" t="e">
        <f>$G$73</f>
        <v>#DIV/0!</v>
      </c>
      <c r="AQ16" s="79" t="e">
        <f>$G$74</f>
        <v>#DIV/0!</v>
      </c>
      <c r="AR16" s="79" t="e">
        <f>$G$75</f>
        <v>#DIV/0!</v>
      </c>
      <c r="AS16" s="79" t="e">
        <f>$G$76</f>
        <v>#DIV/0!</v>
      </c>
      <c r="AT16" s="79" t="e">
        <f>$G$77</f>
        <v>#DIV/0!</v>
      </c>
      <c r="AU16" s="79" t="e">
        <f>$G$78</f>
        <v>#DIV/0!</v>
      </c>
      <c r="AV16" s="79" t="e">
        <f>$G$79</f>
        <v>#DIV/0!</v>
      </c>
      <c r="AW16" s="79" t="e">
        <f>$G$81</f>
        <v>#DIV/0!</v>
      </c>
      <c r="AX16" s="90"/>
      <c r="AY16" s="90"/>
      <c r="AZ16" s="90"/>
      <c r="BA16" s="90"/>
    </row>
    <row r="17" spans="1:53" ht="18">
      <c r="A17" s="2" t="s">
        <v>255</v>
      </c>
      <c r="B17" t="s">
        <v>249</v>
      </c>
      <c r="C17" s="79" t="e">
        <f>$H$34</f>
        <v>#DIV/0!</v>
      </c>
      <c r="D17" s="79" t="e">
        <f>$H$35</f>
        <v>#DIV/0!</v>
      </c>
      <c r="E17" s="79" t="e">
        <f>$H$36</f>
        <v>#DIV/0!</v>
      </c>
      <c r="F17" s="79" t="e">
        <f>$H$37</f>
        <v>#DIV/0!</v>
      </c>
      <c r="G17" s="79" t="e">
        <f>$H$38</f>
        <v>#DIV/0!</v>
      </c>
      <c r="H17" s="79" t="e">
        <f>$H$39</f>
        <v>#DIV/0!</v>
      </c>
      <c r="I17" s="79" t="e">
        <f>$H$40</f>
        <v>#DIV/0!</v>
      </c>
      <c r="J17" s="79" t="e">
        <f>$H$41</f>
        <v>#DIV/0!</v>
      </c>
      <c r="K17" s="79" t="e">
        <f>$H$42</f>
        <v>#DIV/0!</v>
      </c>
      <c r="L17" s="79" t="e">
        <f>$H$43</f>
        <v>#DIV/0!</v>
      </c>
      <c r="M17" s="79" t="e">
        <f>$H$44</f>
        <v>#DIV/0!</v>
      </c>
      <c r="N17" s="79" t="e">
        <f>$H$45</f>
        <v>#DIV/0!</v>
      </c>
      <c r="O17" s="79" t="e">
        <f>$H$46</f>
        <v>#DIV/0!</v>
      </c>
      <c r="P17" s="79" t="e">
        <f>$H$47</f>
        <v>#DIV/0!</v>
      </c>
      <c r="Q17" s="79" t="e">
        <f>$H$48</f>
        <v>#DIV/0!</v>
      </c>
      <c r="R17" s="79" t="e">
        <f>$H$49</f>
        <v>#DIV/0!</v>
      </c>
      <c r="S17" s="79" t="e">
        <f>$H$50</f>
        <v>#DIV/0!</v>
      </c>
      <c r="T17" s="79" t="e">
        <f>$H$51</f>
        <v>#DIV/0!</v>
      </c>
      <c r="U17" s="79" t="e">
        <f>$H$52</f>
        <v>#DIV/0!</v>
      </c>
      <c r="V17" s="79" t="e">
        <f>$H$53</f>
        <v>#DIV/0!</v>
      </c>
      <c r="W17" s="79" t="e">
        <f>$H$54</f>
        <v>#DIV/0!</v>
      </c>
      <c r="X17" s="79" t="e">
        <f>$H$55</f>
        <v>#DIV/0!</v>
      </c>
      <c r="Y17" s="79" t="e">
        <f>$H$56</f>
        <v>#DIV/0!</v>
      </c>
      <c r="Z17" s="79" t="e">
        <f>$H$57</f>
        <v>#DIV/0!</v>
      </c>
      <c r="AA17" s="79" t="e">
        <f>$H$58</f>
        <v>#DIV/0!</v>
      </c>
      <c r="AB17" s="79" t="e">
        <f>$H$59</f>
        <v>#DIV/0!</v>
      </c>
      <c r="AC17" s="79" t="e">
        <f>$H$60</f>
        <v>#DIV/0!</v>
      </c>
      <c r="AD17" s="79" t="e">
        <f>$H$61</f>
        <v>#DIV/0!</v>
      </c>
      <c r="AE17" s="79" t="e">
        <f>$H$62</f>
        <v>#DIV/0!</v>
      </c>
      <c r="AF17" s="79" t="e">
        <f>$H$63</f>
        <v>#DIV/0!</v>
      </c>
      <c r="AG17" s="79" t="e">
        <f>$H$64</f>
        <v>#DIV/0!</v>
      </c>
      <c r="AH17" s="79" t="e">
        <f>$H$65</f>
        <v>#DIV/0!</v>
      </c>
      <c r="AI17" s="79" t="e">
        <f>$H$66</f>
        <v>#DIV/0!</v>
      </c>
      <c r="AJ17" s="79" t="e">
        <f>$H$67</f>
        <v>#DIV/0!</v>
      </c>
      <c r="AK17" s="79" t="e">
        <f>$H$68</f>
        <v>#DIV/0!</v>
      </c>
      <c r="AL17" s="79" t="e">
        <f>$H$69</f>
        <v>#DIV/0!</v>
      </c>
      <c r="AM17" s="79" t="e">
        <f>$H$70</f>
        <v>#DIV/0!</v>
      </c>
      <c r="AN17" s="79" t="e">
        <f>$H$71</f>
        <v>#DIV/0!</v>
      </c>
      <c r="AO17" s="79" t="e">
        <f>$H$72</f>
        <v>#DIV/0!</v>
      </c>
      <c r="AP17" s="79" t="e">
        <f>$H$73</f>
        <v>#DIV/0!</v>
      </c>
      <c r="AQ17" s="79" t="e">
        <f>$H$74</f>
        <v>#DIV/0!</v>
      </c>
      <c r="AR17" s="79" t="e">
        <f>$H$75</f>
        <v>#DIV/0!</v>
      </c>
      <c r="AS17" s="79" t="e">
        <f>$H$76</f>
        <v>#DIV/0!</v>
      </c>
      <c r="AT17" s="79" t="e">
        <f>$H$77</f>
        <v>#DIV/0!</v>
      </c>
      <c r="AU17" s="79" t="e">
        <f>$H$78</f>
        <v>#DIV/0!</v>
      </c>
      <c r="AV17" s="79" t="e">
        <f>$H$79</f>
        <v>#DIV/0!</v>
      </c>
      <c r="AW17" s="79" t="e">
        <f>$H$81</f>
        <v>#DIV/0!</v>
      </c>
      <c r="AX17" s="90"/>
      <c r="AY17" s="90"/>
      <c r="AZ17" s="90"/>
      <c r="BA17" s="90"/>
    </row>
    <row r="18" spans="1:53" ht="18">
      <c r="A18" s="2" t="s">
        <v>256</v>
      </c>
      <c r="B18" t="s">
        <v>249</v>
      </c>
      <c r="C18" s="79" t="e">
        <f>$I$34</f>
        <v>#DIV/0!</v>
      </c>
      <c r="D18" s="79" t="e">
        <f>$I$35</f>
        <v>#DIV/0!</v>
      </c>
      <c r="E18" s="79" t="e">
        <f>$I$36</f>
        <v>#DIV/0!</v>
      </c>
      <c r="F18" s="79" t="e">
        <f>$I$37</f>
        <v>#DIV/0!</v>
      </c>
      <c r="G18" s="79" t="e">
        <f>$I$38</f>
        <v>#DIV/0!</v>
      </c>
      <c r="H18" s="79" t="e">
        <f>$I$39</f>
        <v>#DIV/0!</v>
      </c>
      <c r="I18" s="79" t="e">
        <f>$I$40</f>
        <v>#DIV/0!</v>
      </c>
      <c r="J18" s="79" t="e">
        <f>$I$41</f>
        <v>#DIV/0!</v>
      </c>
      <c r="K18" s="79" t="e">
        <f>$I$42</f>
        <v>#DIV/0!</v>
      </c>
      <c r="L18" s="79" t="e">
        <f>$I$43</f>
        <v>#DIV/0!</v>
      </c>
      <c r="M18" s="79" t="e">
        <f>$I$44</f>
        <v>#DIV/0!</v>
      </c>
      <c r="N18" s="79" t="e">
        <f>$I$45</f>
        <v>#DIV/0!</v>
      </c>
      <c r="O18" s="79" t="e">
        <f>$I$46</f>
        <v>#DIV/0!</v>
      </c>
      <c r="P18" s="79" t="e">
        <f>$I$47</f>
        <v>#DIV/0!</v>
      </c>
      <c r="Q18" s="79" t="e">
        <f>$I$48</f>
        <v>#DIV/0!</v>
      </c>
      <c r="R18" s="79" t="e">
        <f>$I$49</f>
        <v>#DIV/0!</v>
      </c>
      <c r="S18" s="79" t="e">
        <f>$I$50</f>
        <v>#DIV/0!</v>
      </c>
      <c r="T18" s="79" t="e">
        <f>$I$51</f>
        <v>#DIV/0!</v>
      </c>
      <c r="U18" s="79" t="e">
        <f>$I$52</f>
        <v>#DIV/0!</v>
      </c>
      <c r="V18" s="79" t="e">
        <f>$I$53</f>
        <v>#DIV/0!</v>
      </c>
      <c r="W18" s="79" t="e">
        <f>$I$54</f>
        <v>#DIV/0!</v>
      </c>
      <c r="X18" s="79" t="e">
        <f>$I$55</f>
        <v>#DIV/0!</v>
      </c>
      <c r="Y18" s="79" t="e">
        <f>$I$56</f>
        <v>#DIV/0!</v>
      </c>
      <c r="Z18" s="79" t="e">
        <f>$I$57</f>
        <v>#DIV/0!</v>
      </c>
      <c r="AA18" s="79" t="e">
        <f>$I$58</f>
        <v>#DIV/0!</v>
      </c>
      <c r="AB18" s="79" t="e">
        <f>$I$59</f>
        <v>#DIV/0!</v>
      </c>
      <c r="AC18" s="79" t="e">
        <f>$I$60</f>
        <v>#DIV/0!</v>
      </c>
      <c r="AD18" s="79" t="e">
        <f>$I$61</f>
        <v>#DIV/0!</v>
      </c>
      <c r="AE18" s="79" t="e">
        <f>$I$62</f>
        <v>#DIV/0!</v>
      </c>
      <c r="AF18" s="79" t="e">
        <f>$I$63</f>
        <v>#DIV/0!</v>
      </c>
      <c r="AG18" s="79" t="e">
        <f>$I$64</f>
        <v>#DIV/0!</v>
      </c>
      <c r="AH18" s="79" t="e">
        <f>$I$65</f>
        <v>#DIV/0!</v>
      </c>
      <c r="AI18" s="79" t="e">
        <f>$I$66</f>
        <v>#DIV/0!</v>
      </c>
      <c r="AJ18" s="79" t="e">
        <f>$I$67</f>
        <v>#DIV/0!</v>
      </c>
      <c r="AK18" s="79" t="e">
        <f>$I$68</f>
        <v>#DIV/0!</v>
      </c>
      <c r="AL18" s="79" t="e">
        <f>$I$69</f>
        <v>#DIV/0!</v>
      </c>
      <c r="AM18" s="79" t="e">
        <f>$I$70</f>
        <v>#DIV/0!</v>
      </c>
      <c r="AN18" s="79" t="e">
        <f>$I$71</f>
        <v>#DIV/0!</v>
      </c>
      <c r="AO18" s="79" t="e">
        <f>$I$72</f>
        <v>#DIV/0!</v>
      </c>
      <c r="AP18" s="79" t="e">
        <f>$I$73</f>
        <v>#DIV/0!</v>
      </c>
      <c r="AQ18" s="79" t="e">
        <f>$I$74</f>
        <v>#DIV/0!</v>
      </c>
      <c r="AR18" s="79" t="e">
        <f>$I$75</f>
        <v>#DIV/0!</v>
      </c>
      <c r="AS18" s="79" t="e">
        <f>$I$76</f>
        <v>#DIV/0!</v>
      </c>
      <c r="AT18" s="79" t="e">
        <f>$I$77</f>
        <v>#DIV/0!</v>
      </c>
      <c r="AU18" s="79" t="e">
        <f>$I$78</f>
        <v>#DIV/0!</v>
      </c>
      <c r="AV18" s="79" t="e">
        <f>$I$79</f>
        <v>#DIV/0!</v>
      </c>
      <c r="AW18" s="79" t="e">
        <f>$I$81</f>
        <v>#DIV/0!</v>
      </c>
      <c r="AX18" s="90"/>
      <c r="AY18" s="90"/>
      <c r="AZ18" s="90"/>
      <c r="BA18" s="90"/>
    </row>
    <row r="19" spans="1:53" ht="18">
      <c r="A19" s="2" t="s">
        <v>257</v>
      </c>
      <c r="B19" t="s">
        <v>249</v>
      </c>
      <c r="C19" s="79" t="e">
        <f>$J$34</f>
        <v>#DIV/0!</v>
      </c>
      <c r="D19" s="79" t="e">
        <f>$J$35</f>
        <v>#DIV/0!</v>
      </c>
      <c r="E19" s="79" t="e">
        <f>$J$36</f>
        <v>#DIV/0!</v>
      </c>
      <c r="F19" s="79" t="e">
        <f>$J$37</f>
        <v>#DIV/0!</v>
      </c>
      <c r="G19" s="79" t="e">
        <f>$J$38</f>
        <v>#DIV/0!</v>
      </c>
      <c r="H19" s="79" t="e">
        <f>$J$39</f>
        <v>#DIV/0!</v>
      </c>
      <c r="I19" s="79" t="e">
        <f>$J$40</f>
        <v>#DIV/0!</v>
      </c>
      <c r="J19" s="79" t="e">
        <f>$J$41</f>
        <v>#DIV/0!</v>
      </c>
      <c r="K19" s="79" t="e">
        <f>$J$42</f>
        <v>#DIV/0!</v>
      </c>
      <c r="L19" s="79" t="e">
        <f>$J$43</f>
        <v>#DIV/0!</v>
      </c>
      <c r="M19" s="79" t="e">
        <f>$J$44</f>
        <v>#DIV/0!</v>
      </c>
      <c r="N19" s="79" t="e">
        <f>$J$45</f>
        <v>#DIV/0!</v>
      </c>
      <c r="O19" s="79" t="e">
        <f>$J$46</f>
        <v>#DIV/0!</v>
      </c>
      <c r="P19" s="79" t="e">
        <f>$J$47</f>
        <v>#DIV/0!</v>
      </c>
      <c r="Q19" s="79" t="e">
        <f>$J$48</f>
        <v>#DIV/0!</v>
      </c>
      <c r="R19" s="79" t="e">
        <f>$J$49</f>
        <v>#DIV/0!</v>
      </c>
      <c r="S19" s="79" t="e">
        <f>$J$50</f>
        <v>#DIV/0!</v>
      </c>
      <c r="T19" s="79" t="e">
        <f>$J$51</f>
        <v>#DIV/0!</v>
      </c>
      <c r="U19" s="79" t="e">
        <f>$J$52</f>
        <v>#DIV/0!</v>
      </c>
      <c r="V19" s="79" t="e">
        <f>$J$53</f>
        <v>#DIV/0!</v>
      </c>
      <c r="W19" s="79" t="e">
        <f>$J$54</f>
        <v>#DIV/0!</v>
      </c>
      <c r="X19" s="79" t="e">
        <f>$J$55</f>
        <v>#DIV/0!</v>
      </c>
      <c r="Y19" s="79" t="e">
        <f>$J$56</f>
        <v>#DIV/0!</v>
      </c>
      <c r="Z19" s="79" t="e">
        <f>$J$57</f>
        <v>#DIV/0!</v>
      </c>
      <c r="AA19" s="79" t="e">
        <f>$J$58</f>
        <v>#DIV/0!</v>
      </c>
      <c r="AB19" s="79" t="e">
        <f>$J$59</f>
        <v>#DIV/0!</v>
      </c>
      <c r="AC19" s="79" t="e">
        <f>$J$60</f>
        <v>#DIV/0!</v>
      </c>
      <c r="AD19" s="79" t="e">
        <f>$J$61</f>
        <v>#DIV/0!</v>
      </c>
      <c r="AE19" s="79" t="e">
        <f>$J$62</f>
        <v>#DIV/0!</v>
      </c>
      <c r="AF19" s="79" t="e">
        <f>$J$63</f>
        <v>#DIV/0!</v>
      </c>
      <c r="AG19" s="79" t="e">
        <f>$J$64</f>
        <v>#DIV/0!</v>
      </c>
      <c r="AH19" s="79" t="e">
        <f>$J$65</f>
        <v>#DIV/0!</v>
      </c>
      <c r="AI19" s="79" t="e">
        <f>$J$66</f>
        <v>#DIV/0!</v>
      </c>
      <c r="AJ19" s="79" t="e">
        <f>$J$67</f>
        <v>#DIV/0!</v>
      </c>
      <c r="AK19" s="79" t="e">
        <f>$J$68</f>
        <v>#DIV/0!</v>
      </c>
      <c r="AL19" s="79" t="e">
        <f>$J$69</f>
        <v>#DIV/0!</v>
      </c>
      <c r="AM19" s="79" t="e">
        <f>$J$70</f>
        <v>#DIV/0!</v>
      </c>
      <c r="AN19" s="79" t="e">
        <f>$J$71</f>
        <v>#DIV/0!</v>
      </c>
      <c r="AO19" s="79" t="e">
        <f>$J$72</f>
        <v>#DIV/0!</v>
      </c>
      <c r="AP19" s="79" t="e">
        <f>$J$73</f>
        <v>#DIV/0!</v>
      </c>
      <c r="AQ19" s="79" t="e">
        <f>$J$74</f>
        <v>#DIV/0!</v>
      </c>
      <c r="AR19" s="79" t="e">
        <f>$J$75</f>
        <v>#DIV/0!</v>
      </c>
      <c r="AS19" s="79" t="e">
        <f>$J$76</f>
        <v>#DIV/0!</v>
      </c>
      <c r="AT19" s="79" t="e">
        <f>$J$77</f>
        <v>#DIV/0!</v>
      </c>
      <c r="AU19" s="79" t="e">
        <f>$J$78</f>
        <v>#DIV/0!</v>
      </c>
      <c r="AV19" s="79" t="e">
        <f>$J$79</f>
        <v>#DIV/0!</v>
      </c>
      <c r="AW19" s="79" t="e">
        <f>$J$81</f>
        <v>#DIV/0!</v>
      </c>
      <c r="AX19" s="90"/>
      <c r="AY19" s="90"/>
      <c r="AZ19" s="90"/>
      <c r="BA19" s="90"/>
    </row>
    <row r="20" spans="1:53" ht="18">
      <c r="A20" s="2" t="s">
        <v>258</v>
      </c>
      <c r="B20" t="s">
        <v>249</v>
      </c>
      <c r="C20" s="79" t="e">
        <f>$K$34</f>
        <v>#DIV/0!</v>
      </c>
      <c r="D20" s="79" t="e">
        <f>$K$35</f>
        <v>#DIV/0!</v>
      </c>
      <c r="E20" s="79" t="e">
        <f>$K$36</f>
        <v>#DIV/0!</v>
      </c>
      <c r="F20" s="79" t="e">
        <f>$K$37</f>
        <v>#DIV/0!</v>
      </c>
      <c r="G20" s="79" t="e">
        <f>$K$38</f>
        <v>#DIV/0!</v>
      </c>
      <c r="H20" s="79" t="e">
        <f>$K$39</f>
        <v>#DIV/0!</v>
      </c>
      <c r="I20" s="79" t="e">
        <f>$K$40</f>
        <v>#DIV/0!</v>
      </c>
      <c r="J20" s="79" t="e">
        <f>$K$41</f>
        <v>#DIV/0!</v>
      </c>
      <c r="K20" s="79" t="e">
        <f>$K$42</f>
        <v>#DIV/0!</v>
      </c>
      <c r="L20" s="79" t="e">
        <f>$K$43</f>
        <v>#DIV/0!</v>
      </c>
      <c r="M20" s="79" t="e">
        <f>$K$44</f>
        <v>#DIV/0!</v>
      </c>
      <c r="N20" s="79" t="e">
        <f>$K$45</f>
        <v>#DIV/0!</v>
      </c>
      <c r="O20" s="79" t="e">
        <f>$K$46</f>
        <v>#DIV/0!</v>
      </c>
      <c r="P20" s="79" t="e">
        <f>$K$47</f>
        <v>#DIV/0!</v>
      </c>
      <c r="Q20" s="79" t="e">
        <f>$K$48</f>
        <v>#DIV/0!</v>
      </c>
      <c r="R20" s="79" t="e">
        <f>$K$49</f>
        <v>#DIV/0!</v>
      </c>
      <c r="S20" s="79" t="e">
        <f>$K$50</f>
        <v>#DIV/0!</v>
      </c>
      <c r="T20" s="79" t="e">
        <f>$K$51</f>
        <v>#DIV/0!</v>
      </c>
      <c r="U20" s="79" t="e">
        <f>$K$52</f>
        <v>#DIV/0!</v>
      </c>
      <c r="V20" s="79" t="e">
        <f>$K$53</f>
        <v>#DIV/0!</v>
      </c>
      <c r="W20" s="79" t="e">
        <f>$K$54</f>
        <v>#DIV/0!</v>
      </c>
      <c r="X20" s="79" t="e">
        <f>$K$55</f>
        <v>#DIV/0!</v>
      </c>
      <c r="Y20" s="79" t="e">
        <f>$K$56</f>
        <v>#DIV/0!</v>
      </c>
      <c r="Z20" s="79" t="e">
        <f>$K$57</f>
        <v>#DIV/0!</v>
      </c>
      <c r="AA20" s="79" t="e">
        <f>$K$58</f>
        <v>#DIV/0!</v>
      </c>
      <c r="AB20" s="79" t="e">
        <f>$K$59</f>
        <v>#DIV/0!</v>
      </c>
      <c r="AC20" s="79" t="e">
        <f>$K$60</f>
        <v>#DIV/0!</v>
      </c>
      <c r="AD20" s="79" t="e">
        <f>$K$61</f>
        <v>#DIV/0!</v>
      </c>
      <c r="AE20" s="79" t="e">
        <f>$K$62</f>
        <v>#DIV/0!</v>
      </c>
      <c r="AF20" s="79" t="e">
        <f>$K$63</f>
        <v>#DIV/0!</v>
      </c>
      <c r="AG20" s="79" t="e">
        <f>$K$64</f>
        <v>#DIV/0!</v>
      </c>
      <c r="AH20" s="79" t="e">
        <f>$K$65</f>
        <v>#DIV/0!</v>
      </c>
      <c r="AI20" s="79" t="e">
        <f>$K$66</f>
        <v>#DIV/0!</v>
      </c>
      <c r="AJ20" s="79" t="e">
        <f>$K$67</f>
        <v>#DIV/0!</v>
      </c>
      <c r="AK20" s="79" t="e">
        <f>$K$68</f>
        <v>#DIV/0!</v>
      </c>
      <c r="AL20" s="79" t="e">
        <f>$K$69</f>
        <v>#DIV/0!</v>
      </c>
      <c r="AM20" s="79" t="e">
        <f>$K$70</f>
        <v>#DIV/0!</v>
      </c>
      <c r="AN20" s="79" t="e">
        <f>$K$71</f>
        <v>#DIV/0!</v>
      </c>
      <c r="AO20" s="79" t="e">
        <f>$K$72</f>
        <v>#DIV/0!</v>
      </c>
      <c r="AP20" s="79" t="e">
        <f>$K$73</f>
        <v>#DIV/0!</v>
      </c>
      <c r="AQ20" s="79" t="e">
        <f>$K$74</f>
        <v>#DIV/0!</v>
      </c>
      <c r="AR20" s="79" t="e">
        <f>$K$75</f>
        <v>#DIV/0!</v>
      </c>
      <c r="AS20" s="79" t="e">
        <f>$K$76</f>
        <v>#DIV/0!</v>
      </c>
      <c r="AT20" s="79" t="e">
        <f>$K$77</f>
        <v>#DIV/0!</v>
      </c>
      <c r="AU20" s="79" t="e">
        <f>$K$78</f>
        <v>#DIV/0!</v>
      </c>
      <c r="AV20" s="79" t="e">
        <f>$K$79</f>
        <v>#DIV/0!</v>
      </c>
      <c r="AW20" s="79" t="e">
        <f>$K$81</f>
        <v>#DIV/0!</v>
      </c>
      <c r="AX20" s="90"/>
      <c r="AY20" s="90"/>
      <c r="AZ20" s="90"/>
      <c r="BA20" s="90"/>
    </row>
    <row r="21" spans="1:53" ht="18">
      <c r="A21" s="2" t="s">
        <v>259</v>
      </c>
      <c r="B21" t="s">
        <v>249</v>
      </c>
      <c r="C21" s="79" t="e">
        <f>$L$34</f>
        <v>#DIV/0!</v>
      </c>
      <c r="D21" s="79" t="e">
        <f>$L$35</f>
        <v>#DIV/0!</v>
      </c>
      <c r="E21" s="79" t="e">
        <f>$L$36</f>
        <v>#DIV/0!</v>
      </c>
      <c r="F21" s="79" t="e">
        <f>$L$37</f>
        <v>#DIV/0!</v>
      </c>
      <c r="G21" s="79" t="e">
        <f>$L$38</f>
        <v>#DIV/0!</v>
      </c>
      <c r="H21" s="79" t="e">
        <f>$L$39</f>
        <v>#DIV/0!</v>
      </c>
      <c r="I21" s="79" t="e">
        <f>$L$40</f>
        <v>#DIV/0!</v>
      </c>
      <c r="J21" s="79" t="e">
        <f>$L$41</f>
        <v>#DIV/0!</v>
      </c>
      <c r="K21" s="79" t="e">
        <f>$L$42</f>
        <v>#DIV/0!</v>
      </c>
      <c r="L21" s="79" t="e">
        <f>$L$43</f>
        <v>#DIV/0!</v>
      </c>
      <c r="M21" s="79" t="e">
        <f>$L$44</f>
        <v>#DIV/0!</v>
      </c>
      <c r="N21" s="79" t="e">
        <f>$L$45</f>
        <v>#DIV/0!</v>
      </c>
      <c r="O21" s="79" t="e">
        <f>$L$46</f>
        <v>#DIV/0!</v>
      </c>
      <c r="P21" s="79" t="e">
        <f>$L$47</f>
        <v>#DIV/0!</v>
      </c>
      <c r="Q21" s="79" t="e">
        <f>$L$48</f>
        <v>#DIV/0!</v>
      </c>
      <c r="R21" s="79" t="e">
        <f>$L$49</f>
        <v>#DIV/0!</v>
      </c>
      <c r="S21" s="79" t="e">
        <f>$L$50</f>
        <v>#DIV/0!</v>
      </c>
      <c r="T21" s="79" t="e">
        <f>$L$51</f>
        <v>#DIV/0!</v>
      </c>
      <c r="U21" s="79" t="e">
        <f>$L$52</f>
        <v>#DIV/0!</v>
      </c>
      <c r="V21" s="79" t="e">
        <f>$L$53</f>
        <v>#DIV/0!</v>
      </c>
      <c r="W21" s="79" t="e">
        <f>$L$54</f>
        <v>#DIV/0!</v>
      </c>
      <c r="X21" s="79" t="e">
        <f>$L$55</f>
        <v>#DIV/0!</v>
      </c>
      <c r="Y21" s="79" t="e">
        <f>$L$56</f>
        <v>#DIV/0!</v>
      </c>
      <c r="Z21" s="79" t="e">
        <f>$L$57</f>
        <v>#DIV/0!</v>
      </c>
      <c r="AA21" s="79" t="e">
        <f>$L$58</f>
        <v>#DIV/0!</v>
      </c>
      <c r="AB21" s="79" t="e">
        <f>$L$59</f>
        <v>#DIV/0!</v>
      </c>
      <c r="AC21" s="79" t="e">
        <f>$L$60</f>
        <v>#DIV/0!</v>
      </c>
      <c r="AD21" s="79" t="e">
        <f>$L$61</f>
        <v>#DIV/0!</v>
      </c>
      <c r="AE21" s="79" t="e">
        <f>$L$62</f>
        <v>#DIV/0!</v>
      </c>
      <c r="AF21" s="79" t="e">
        <f>$L$63</f>
        <v>#DIV/0!</v>
      </c>
      <c r="AG21" s="79" t="e">
        <f>$L$64</f>
        <v>#DIV/0!</v>
      </c>
      <c r="AH21" s="79" t="e">
        <f>$L$65</f>
        <v>#DIV/0!</v>
      </c>
      <c r="AI21" s="79" t="e">
        <f>$L$66</f>
        <v>#DIV/0!</v>
      </c>
      <c r="AJ21" s="79" t="e">
        <f>$L$67</f>
        <v>#DIV/0!</v>
      </c>
      <c r="AK21" s="79" t="e">
        <f>$L$68</f>
        <v>#DIV/0!</v>
      </c>
      <c r="AL21" s="79" t="e">
        <f>$L$69</f>
        <v>#DIV/0!</v>
      </c>
      <c r="AM21" s="79" t="e">
        <f>$L$70</f>
        <v>#DIV/0!</v>
      </c>
      <c r="AN21" s="79" t="e">
        <f>$L$71</f>
        <v>#DIV/0!</v>
      </c>
      <c r="AO21" s="79" t="e">
        <f>$L$72</f>
        <v>#DIV/0!</v>
      </c>
      <c r="AP21" s="79" t="e">
        <f>$L$73</f>
        <v>#DIV/0!</v>
      </c>
      <c r="AQ21" s="79" t="e">
        <f>$L$74</f>
        <v>#DIV/0!</v>
      </c>
      <c r="AR21" s="79" t="e">
        <f>$L$75</f>
        <v>#DIV/0!</v>
      </c>
      <c r="AS21" s="79" t="e">
        <f>$L$76</f>
        <v>#DIV/0!</v>
      </c>
      <c r="AT21" s="79" t="e">
        <f>$L$77</f>
        <v>#DIV/0!</v>
      </c>
      <c r="AU21" s="79" t="e">
        <f>$L$78</f>
        <v>#DIV/0!</v>
      </c>
      <c r="AV21" s="79" t="e">
        <f>$L$79</f>
        <v>#DIV/0!</v>
      </c>
      <c r="AW21" s="79" t="e">
        <f>$L$81</f>
        <v>#DIV/0!</v>
      </c>
      <c r="AX21" s="90"/>
      <c r="AY21" s="90"/>
      <c r="AZ21" s="90"/>
      <c r="BA21" s="90"/>
    </row>
    <row r="22" spans="1:53" ht="18">
      <c r="A22" s="2" t="s">
        <v>260</v>
      </c>
      <c r="B22" t="s">
        <v>249</v>
      </c>
      <c r="C22" s="79" t="e">
        <f>$M$34</f>
        <v>#DIV/0!</v>
      </c>
      <c r="D22" s="79" t="e">
        <f>$M$35</f>
        <v>#DIV/0!</v>
      </c>
      <c r="E22" s="79" t="e">
        <f>$M$36</f>
        <v>#DIV/0!</v>
      </c>
      <c r="F22" s="79" t="e">
        <f>$M$37</f>
        <v>#DIV/0!</v>
      </c>
      <c r="G22" s="79" t="e">
        <f>$M$38</f>
        <v>#DIV/0!</v>
      </c>
      <c r="H22" s="79" t="e">
        <f>$M$39</f>
        <v>#DIV/0!</v>
      </c>
      <c r="I22" s="79" t="e">
        <f>$M$40</f>
        <v>#DIV/0!</v>
      </c>
      <c r="J22" s="79" t="e">
        <f>$M$41</f>
        <v>#DIV/0!</v>
      </c>
      <c r="K22" s="79" t="e">
        <f>$M$42</f>
        <v>#DIV/0!</v>
      </c>
      <c r="L22" s="79" t="e">
        <f>$M$43</f>
        <v>#DIV/0!</v>
      </c>
      <c r="M22" s="79" t="e">
        <f>$M$44</f>
        <v>#DIV/0!</v>
      </c>
      <c r="N22" s="79" t="e">
        <f>$M$45</f>
        <v>#DIV/0!</v>
      </c>
      <c r="O22" s="79" t="e">
        <f>$M$46</f>
        <v>#DIV/0!</v>
      </c>
      <c r="P22" s="79" t="e">
        <f>$M$47</f>
        <v>#DIV/0!</v>
      </c>
      <c r="Q22" s="79" t="e">
        <f>$M$48</f>
        <v>#DIV/0!</v>
      </c>
      <c r="R22" s="79" t="e">
        <f>$M$49</f>
        <v>#DIV/0!</v>
      </c>
      <c r="S22" s="79" t="e">
        <f>$M$50</f>
        <v>#DIV/0!</v>
      </c>
      <c r="T22" s="79" t="e">
        <f>$M$51</f>
        <v>#DIV/0!</v>
      </c>
      <c r="U22" s="79" t="e">
        <f>$M$52</f>
        <v>#DIV/0!</v>
      </c>
      <c r="V22" s="79" t="e">
        <f>$M$53</f>
        <v>#DIV/0!</v>
      </c>
      <c r="W22" s="79" t="e">
        <f>$M$54</f>
        <v>#DIV/0!</v>
      </c>
      <c r="X22" s="79" t="e">
        <f>$M$55</f>
        <v>#DIV/0!</v>
      </c>
      <c r="Y22" s="79" t="e">
        <f>$M$56</f>
        <v>#DIV/0!</v>
      </c>
      <c r="Z22" s="79" t="e">
        <f>$M$57</f>
        <v>#DIV/0!</v>
      </c>
      <c r="AA22" s="79" t="e">
        <f>$M$58</f>
        <v>#DIV/0!</v>
      </c>
      <c r="AB22" s="79" t="e">
        <f>$M$59</f>
        <v>#DIV/0!</v>
      </c>
      <c r="AC22" s="79" t="e">
        <f>$M$60</f>
        <v>#DIV/0!</v>
      </c>
      <c r="AD22" s="79" t="e">
        <f>$M$61</f>
        <v>#DIV/0!</v>
      </c>
      <c r="AE22" s="79" t="e">
        <f>$M$62</f>
        <v>#DIV/0!</v>
      </c>
      <c r="AF22" s="79" t="e">
        <f>$M$63</f>
        <v>#DIV/0!</v>
      </c>
      <c r="AG22" s="79" t="e">
        <f>$M$64</f>
        <v>#DIV/0!</v>
      </c>
      <c r="AH22" s="79" t="e">
        <f>$M$65</f>
        <v>#DIV/0!</v>
      </c>
      <c r="AI22" s="79" t="e">
        <f>$M$66</f>
        <v>#DIV/0!</v>
      </c>
      <c r="AJ22" s="79" t="e">
        <f>$M$67</f>
        <v>#DIV/0!</v>
      </c>
      <c r="AK22" s="79" t="e">
        <f>$M$68</f>
        <v>#DIV/0!</v>
      </c>
      <c r="AL22" s="79" t="e">
        <f>$M$69</f>
        <v>#DIV/0!</v>
      </c>
      <c r="AM22" s="79" t="e">
        <f>$M$70</f>
        <v>#DIV/0!</v>
      </c>
      <c r="AN22" s="79" t="e">
        <f>$M$71</f>
        <v>#DIV/0!</v>
      </c>
      <c r="AO22" s="79" t="e">
        <f>$M$72</f>
        <v>#DIV/0!</v>
      </c>
      <c r="AP22" s="79" t="e">
        <f>$M$73</f>
        <v>#DIV/0!</v>
      </c>
      <c r="AQ22" s="79" t="e">
        <f>$M$74</f>
        <v>#DIV/0!</v>
      </c>
      <c r="AR22" s="79" t="e">
        <f>$M$75</f>
        <v>#DIV/0!</v>
      </c>
      <c r="AS22" s="79" t="e">
        <f>$M$76</f>
        <v>#DIV/0!</v>
      </c>
      <c r="AT22" s="79" t="e">
        <f>$M$77</f>
        <v>#DIV/0!</v>
      </c>
      <c r="AU22" s="79" t="e">
        <f>$M$78</f>
        <v>#DIV/0!</v>
      </c>
      <c r="AV22" s="79" t="e">
        <f>$M$79</f>
        <v>#DIV/0!</v>
      </c>
      <c r="AW22" s="79" t="e">
        <f>$M$81</f>
        <v>#DIV/0!</v>
      </c>
      <c r="AX22" s="90"/>
      <c r="AY22" s="90"/>
      <c r="AZ22" s="90"/>
      <c r="BA22" s="90"/>
    </row>
    <row r="23" spans="1:53" ht="18">
      <c r="A23" s="2" t="s">
        <v>261</v>
      </c>
      <c r="B23" t="s">
        <v>249</v>
      </c>
      <c r="C23" s="79" t="e">
        <f>$N$34</f>
        <v>#DIV/0!</v>
      </c>
      <c r="D23" s="79" t="e">
        <f>$N$35</f>
        <v>#DIV/0!</v>
      </c>
      <c r="E23" s="79" t="e">
        <f>$N$36</f>
        <v>#DIV/0!</v>
      </c>
      <c r="F23" s="79" t="e">
        <f>$N$37</f>
        <v>#DIV/0!</v>
      </c>
      <c r="G23" s="79" t="e">
        <f>$N$38</f>
        <v>#DIV/0!</v>
      </c>
      <c r="H23" s="79" t="e">
        <f>$N$39</f>
        <v>#DIV/0!</v>
      </c>
      <c r="I23" s="79" t="e">
        <f>$N$40</f>
        <v>#DIV/0!</v>
      </c>
      <c r="J23" s="79" t="e">
        <f>$N$41</f>
        <v>#DIV/0!</v>
      </c>
      <c r="K23" s="79" t="e">
        <f>$N$42</f>
        <v>#DIV/0!</v>
      </c>
      <c r="L23" s="79" t="e">
        <f>$N$43</f>
        <v>#DIV/0!</v>
      </c>
      <c r="M23" s="79" t="e">
        <f>$N$44</f>
        <v>#DIV/0!</v>
      </c>
      <c r="N23" s="79" t="e">
        <f>$N$45</f>
        <v>#DIV/0!</v>
      </c>
      <c r="O23" s="79" t="e">
        <f>$N$46</f>
        <v>#DIV/0!</v>
      </c>
      <c r="P23" s="79" t="e">
        <f>$N$47</f>
        <v>#DIV/0!</v>
      </c>
      <c r="Q23" s="79" t="e">
        <f>$N$48</f>
        <v>#DIV/0!</v>
      </c>
      <c r="R23" s="79" t="e">
        <f>$N$49</f>
        <v>#DIV/0!</v>
      </c>
      <c r="S23" s="79" t="e">
        <f>$N$50</f>
        <v>#DIV/0!</v>
      </c>
      <c r="T23" s="79" t="e">
        <f>$N$51</f>
        <v>#DIV/0!</v>
      </c>
      <c r="U23" s="79" t="e">
        <f>$N$52</f>
        <v>#DIV/0!</v>
      </c>
      <c r="V23" s="79" t="e">
        <f>$N$53</f>
        <v>#DIV/0!</v>
      </c>
      <c r="W23" s="79" t="e">
        <f>$N$54</f>
        <v>#DIV/0!</v>
      </c>
      <c r="X23" s="79" t="e">
        <f>$N$55</f>
        <v>#DIV/0!</v>
      </c>
      <c r="Y23" s="79" t="e">
        <f>$N$56</f>
        <v>#DIV/0!</v>
      </c>
      <c r="Z23" s="79" t="e">
        <f>$N$57</f>
        <v>#DIV/0!</v>
      </c>
      <c r="AA23" s="79" t="e">
        <f>$N$58</f>
        <v>#DIV/0!</v>
      </c>
      <c r="AB23" s="79" t="e">
        <f>$N$59</f>
        <v>#DIV/0!</v>
      </c>
      <c r="AC23" s="79" t="e">
        <f>$N$60</f>
        <v>#DIV/0!</v>
      </c>
      <c r="AD23" s="79" t="e">
        <f>$N$61</f>
        <v>#DIV/0!</v>
      </c>
      <c r="AE23" s="79" t="e">
        <f>$N$62</f>
        <v>#DIV/0!</v>
      </c>
      <c r="AF23" s="79" t="e">
        <f>$N$63</f>
        <v>#DIV/0!</v>
      </c>
      <c r="AG23" s="79" t="e">
        <f>$N$64</f>
        <v>#DIV/0!</v>
      </c>
      <c r="AH23" s="79" t="e">
        <f>$N$65</f>
        <v>#DIV/0!</v>
      </c>
      <c r="AI23" s="79" t="e">
        <f>$N$66</f>
        <v>#DIV/0!</v>
      </c>
      <c r="AJ23" s="79" t="e">
        <f>$N$67</f>
        <v>#DIV/0!</v>
      </c>
      <c r="AK23" s="79" t="e">
        <f>$N$68</f>
        <v>#DIV/0!</v>
      </c>
      <c r="AL23" s="79" t="e">
        <f>$N$69</f>
        <v>#DIV/0!</v>
      </c>
      <c r="AM23" s="79" t="e">
        <f>$N$70</f>
        <v>#DIV/0!</v>
      </c>
      <c r="AN23" s="79" t="e">
        <f>$N$71</f>
        <v>#DIV/0!</v>
      </c>
      <c r="AO23" s="79" t="e">
        <f>$N$72</f>
        <v>#DIV/0!</v>
      </c>
      <c r="AP23" s="79" t="e">
        <f>$N$73</f>
        <v>#DIV/0!</v>
      </c>
      <c r="AQ23" s="79" t="e">
        <f>$N$74</f>
        <v>#DIV/0!</v>
      </c>
      <c r="AR23" s="79" t="e">
        <f>$N$75</f>
        <v>#DIV/0!</v>
      </c>
      <c r="AS23" s="79" t="e">
        <f>$N$76</f>
        <v>#DIV/0!</v>
      </c>
      <c r="AT23" s="79" t="e">
        <f>$N$77</f>
        <v>#DIV/0!</v>
      </c>
      <c r="AU23" s="79" t="e">
        <f>$N$78</f>
        <v>#DIV/0!</v>
      </c>
      <c r="AV23" s="79" t="e">
        <f>$N$79</f>
        <v>#DIV/0!</v>
      </c>
      <c r="AW23" s="79" t="e">
        <f>$N$81</f>
        <v>#DIV/0!</v>
      </c>
      <c r="AX23" s="90"/>
      <c r="AY23" s="90"/>
      <c r="AZ23" s="90"/>
      <c r="BA23" s="90"/>
    </row>
    <row r="24" spans="1:53" ht="18">
      <c r="A24" s="2" t="s">
        <v>262</v>
      </c>
      <c r="B24" t="s">
        <v>249</v>
      </c>
      <c r="C24" s="79" t="e">
        <f>$O$34</f>
        <v>#DIV/0!</v>
      </c>
      <c r="D24" s="79" t="e">
        <f>$O$35</f>
        <v>#DIV/0!</v>
      </c>
      <c r="E24" s="79" t="e">
        <f>$O$36</f>
        <v>#DIV/0!</v>
      </c>
      <c r="F24" s="79" t="e">
        <f>$O$37</f>
        <v>#DIV/0!</v>
      </c>
      <c r="G24" s="79" t="e">
        <f>$O$38</f>
        <v>#DIV/0!</v>
      </c>
      <c r="H24" s="79" t="e">
        <f>$O$39</f>
        <v>#DIV/0!</v>
      </c>
      <c r="I24" s="79" t="e">
        <f>$O$40</f>
        <v>#DIV/0!</v>
      </c>
      <c r="J24" s="79" t="e">
        <f>$O$41</f>
        <v>#DIV/0!</v>
      </c>
      <c r="K24" s="79" t="e">
        <f>$O$42</f>
        <v>#DIV/0!</v>
      </c>
      <c r="L24" s="79" t="e">
        <f>$O$43</f>
        <v>#DIV/0!</v>
      </c>
      <c r="M24" s="79" t="e">
        <f>$O$44</f>
        <v>#DIV/0!</v>
      </c>
      <c r="N24" s="79" t="e">
        <f>$O$45</f>
        <v>#DIV/0!</v>
      </c>
      <c r="O24" s="79" t="e">
        <f>$O$46</f>
        <v>#DIV/0!</v>
      </c>
      <c r="P24" s="79" t="e">
        <f>$O$47</f>
        <v>#DIV/0!</v>
      </c>
      <c r="Q24" s="79" t="e">
        <f>$O$48</f>
        <v>#DIV/0!</v>
      </c>
      <c r="R24" s="79" t="e">
        <f>$O$49</f>
        <v>#DIV/0!</v>
      </c>
      <c r="S24" s="79" t="e">
        <f>$O$50</f>
        <v>#DIV/0!</v>
      </c>
      <c r="T24" s="79" t="e">
        <f>$O$51</f>
        <v>#DIV/0!</v>
      </c>
      <c r="U24" s="79" t="e">
        <f>$O$52</f>
        <v>#DIV/0!</v>
      </c>
      <c r="V24" s="79" t="e">
        <f>$O$53</f>
        <v>#DIV/0!</v>
      </c>
      <c r="W24" s="79" t="e">
        <f>$O$54</f>
        <v>#DIV/0!</v>
      </c>
      <c r="X24" s="79" t="e">
        <f>$O$55</f>
        <v>#DIV/0!</v>
      </c>
      <c r="Y24" s="79" t="e">
        <f>$O$56</f>
        <v>#DIV/0!</v>
      </c>
      <c r="Z24" s="79" t="e">
        <f>$O$57</f>
        <v>#DIV/0!</v>
      </c>
      <c r="AA24" s="79" t="e">
        <f>$O$58</f>
        <v>#DIV/0!</v>
      </c>
      <c r="AB24" s="79" t="e">
        <f>$O$59</f>
        <v>#DIV/0!</v>
      </c>
      <c r="AC24" s="79" t="e">
        <f>$O$60</f>
        <v>#DIV/0!</v>
      </c>
      <c r="AD24" s="79" t="e">
        <f>$O$61</f>
        <v>#DIV/0!</v>
      </c>
      <c r="AE24" s="79" t="e">
        <f>$O$62</f>
        <v>#DIV/0!</v>
      </c>
      <c r="AF24" s="79" t="e">
        <f>$O$63</f>
        <v>#DIV/0!</v>
      </c>
      <c r="AG24" s="79" t="e">
        <f>$O$64</f>
        <v>#DIV/0!</v>
      </c>
      <c r="AH24" s="79" t="e">
        <f>$O$65</f>
        <v>#DIV/0!</v>
      </c>
      <c r="AI24" s="79" t="e">
        <f>$O$66</f>
        <v>#DIV/0!</v>
      </c>
      <c r="AJ24" s="79" t="e">
        <f>$O$67</f>
        <v>#DIV/0!</v>
      </c>
      <c r="AK24" s="79" t="e">
        <f>$O$68</f>
        <v>#DIV/0!</v>
      </c>
      <c r="AL24" s="79" t="e">
        <f>$O$69</f>
        <v>#DIV/0!</v>
      </c>
      <c r="AM24" s="79" t="e">
        <f>$O$70</f>
        <v>#DIV/0!</v>
      </c>
      <c r="AN24" s="79" t="e">
        <f>$O$71</f>
        <v>#DIV/0!</v>
      </c>
      <c r="AO24" s="79" t="e">
        <f>$O$72</f>
        <v>#DIV/0!</v>
      </c>
      <c r="AP24" s="79" t="e">
        <f>$O$73</f>
        <v>#DIV/0!</v>
      </c>
      <c r="AQ24" s="79" t="e">
        <f>$O$74</f>
        <v>#DIV/0!</v>
      </c>
      <c r="AR24" s="79" t="e">
        <f>$O$75</f>
        <v>#DIV/0!</v>
      </c>
      <c r="AS24" s="79" t="e">
        <f>$O$76</f>
        <v>#DIV/0!</v>
      </c>
      <c r="AT24" s="79" t="e">
        <f>$O$77</f>
        <v>#DIV/0!</v>
      </c>
      <c r="AU24" s="79" t="e">
        <f>$O$78</f>
        <v>#DIV/0!</v>
      </c>
      <c r="AV24" s="79" t="e">
        <f>$O$79</f>
        <v>#DIV/0!</v>
      </c>
      <c r="AW24" s="79" t="e">
        <f>$O$81</f>
        <v>#DIV/0!</v>
      </c>
      <c r="AX24" s="90"/>
      <c r="AY24" s="90"/>
      <c r="AZ24" s="90"/>
      <c r="BA24" s="90"/>
    </row>
    <row r="25" spans="1:53" ht="18">
      <c r="A25" s="2"/>
      <c r="C25" s="79"/>
      <c r="D25" s="79"/>
      <c r="E25" s="79"/>
      <c r="F25" s="79"/>
      <c r="G25" s="79"/>
      <c r="H25" s="79"/>
      <c r="AX25" s="90"/>
      <c r="AY25" s="90"/>
      <c r="AZ25" s="90"/>
      <c r="BA25" s="90"/>
    </row>
    <row r="26" spans="1:53" ht="18">
      <c r="C26" s="79"/>
      <c r="D26" s="79"/>
      <c r="E26" s="79"/>
      <c r="F26" s="79"/>
      <c r="G26" s="79"/>
      <c r="H26" s="79"/>
      <c r="AX26" s="90"/>
      <c r="AY26" s="90"/>
      <c r="AZ26" s="90"/>
      <c r="BA26" s="90"/>
    </row>
    <row r="27" spans="1:53" ht="18">
      <c r="A27" s="2"/>
      <c r="C27" s="79"/>
      <c r="D27" s="79"/>
      <c r="E27" s="79"/>
      <c r="F27" s="79"/>
      <c r="G27" s="79"/>
      <c r="H27" s="79"/>
      <c r="AX27" s="90"/>
      <c r="AY27" s="90"/>
      <c r="AZ27" s="90"/>
      <c r="BA27" s="90"/>
    </row>
    <row r="28" spans="1:53">
      <c r="C28" s="79"/>
      <c r="D28" s="79"/>
      <c r="E28" s="79"/>
      <c r="F28" s="79"/>
      <c r="G28" s="79"/>
      <c r="H28" s="79"/>
    </row>
    <row r="29" spans="1:53">
      <c r="A29" s="2"/>
      <c r="C29" s="79"/>
      <c r="D29" s="79"/>
      <c r="E29" s="79"/>
      <c r="F29" s="79"/>
      <c r="G29" s="79"/>
      <c r="H29" s="79"/>
    </row>
    <row r="30" spans="1:53">
      <c r="C30" s="79"/>
      <c r="D30" s="79"/>
      <c r="E30" s="79"/>
      <c r="F30" s="79"/>
      <c r="G30" s="79"/>
      <c r="H30" s="79"/>
      <c r="Q30" s="82"/>
      <c r="R30" s="82"/>
      <c r="S30" s="8"/>
      <c r="T30" s="8"/>
      <c r="U30" s="8"/>
      <c r="V30" s="8"/>
      <c r="W30" s="8"/>
    </row>
    <row r="31" spans="1:53">
      <c r="Q31" s="82"/>
      <c r="R31" s="82"/>
      <c r="S31" s="82"/>
      <c r="T31" s="82"/>
      <c r="U31" s="82"/>
      <c r="V31" s="82"/>
      <c r="W31" s="8"/>
    </row>
    <row r="32" spans="1:53" ht="23.65" thickBot="1">
      <c r="A32" s="355" t="s">
        <v>195</v>
      </c>
      <c r="B32" s="355"/>
      <c r="C32" s="59"/>
      <c r="D32" s="59"/>
      <c r="E32" s="59"/>
      <c r="F32" s="59"/>
      <c r="G32" s="59"/>
      <c r="H32" s="59"/>
      <c r="I32" s="59"/>
      <c r="J32" s="59"/>
      <c r="K32" s="59"/>
      <c r="L32" s="59"/>
      <c r="M32" s="59"/>
      <c r="N32" s="59"/>
      <c r="O32" s="59"/>
      <c r="P32" s="82"/>
      <c r="Q32" s="321" t="s">
        <v>46</v>
      </c>
      <c r="R32" s="321"/>
      <c r="S32" s="82"/>
      <c r="T32" s="368" t="s">
        <v>245</v>
      </c>
      <c r="U32" s="368"/>
      <c r="V32" s="368"/>
      <c r="W32" s="368"/>
      <c r="X32" s="368"/>
      <c r="Y32" s="368"/>
      <c r="Z32" s="368"/>
      <c r="AA32" s="368"/>
      <c r="AB32" s="368"/>
      <c r="AC32" s="368"/>
      <c r="AD32" s="368"/>
      <c r="AE32" s="368"/>
      <c r="AF32" s="368"/>
      <c r="AL32" s="90"/>
      <c r="AM32" s="90"/>
      <c r="AN32" s="90"/>
      <c r="AO32" s="90"/>
      <c r="AP32" s="90"/>
      <c r="AQ32" s="90"/>
      <c r="AR32" s="90"/>
      <c r="AS32" s="90"/>
      <c r="AT32" s="90"/>
      <c r="AU32" s="90"/>
      <c r="AV32" s="90"/>
      <c r="AW32" s="90"/>
    </row>
    <row r="33" spans="1:49" ht="18">
      <c r="A33" s="81" t="s">
        <v>199</v>
      </c>
      <c r="B33" s="80" t="s">
        <v>210</v>
      </c>
      <c r="C33" s="159" t="s">
        <v>250</v>
      </c>
      <c r="D33" s="159" t="s">
        <v>251</v>
      </c>
      <c r="E33" s="160" t="s">
        <v>252</v>
      </c>
      <c r="F33" s="159" t="s">
        <v>253</v>
      </c>
      <c r="G33" s="159" t="s">
        <v>254</v>
      </c>
      <c r="H33" s="159" t="s">
        <v>255</v>
      </c>
      <c r="I33" s="159" t="s">
        <v>256</v>
      </c>
      <c r="J33" s="159" t="s">
        <v>257</v>
      </c>
      <c r="K33" s="159" t="s">
        <v>258</v>
      </c>
      <c r="L33" s="159" t="s">
        <v>259</v>
      </c>
      <c r="M33" s="159" t="s">
        <v>260</v>
      </c>
      <c r="N33" s="159" t="s">
        <v>261</v>
      </c>
      <c r="O33" s="159" t="s">
        <v>262</v>
      </c>
      <c r="P33" s="82"/>
      <c r="Q33" s="319" t="s">
        <v>65</v>
      </c>
      <c r="R33" s="320"/>
      <c r="S33" s="82"/>
      <c r="T33" s="156" t="s">
        <v>250</v>
      </c>
      <c r="U33" s="91" t="s">
        <v>251</v>
      </c>
      <c r="V33" s="91" t="s">
        <v>252</v>
      </c>
      <c r="W33" s="91" t="s">
        <v>253</v>
      </c>
      <c r="X33" s="91" t="s">
        <v>254</v>
      </c>
      <c r="Y33" s="91" t="s">
        <v>255</v>
      </c>
      <c r="Z33" s="91" t="s">
        <v>256</v>
      </c>
      <c r="AA33" s="91" t="s">
        <v>257</v>
      </c>
      <c r="AB33" s="91" t="s">
        <v>258</v>
      </c>
      <c r="AC33" s="91" t="s">
        <v>259</v>
      </c>
      <c r="AD33" s="91" t="s">
        <v>260</v>
      </c>
      <c r="AE33" s="91" t="s">
        <v>261</v>
      </c>
      <c r="AF33" s="91" t="s">
        <v>262</v>
      </c>
      <c r="AL33" s="85"/>
      <c r="AM33" s="85"/>
      <c r="AN33" s="85"/>
      <c r="AO33" s="85"/>
      <c r="AP33" s="85"/>
      <c r="AQ33" s="85"/>
      <c r="AR33" s="85"/>
      <c r="AS33" s="85"/>
      <c r="AT33" s="85"/>
      <c r="AU33" s="85"/>
      <c r="AV33" s="85"/>
      <c r="AW33" s="85"/>
    </row>
    <row r="34" spans="1:49">
      <c r="A34" s="69" t="s">
        <v>159</v>
      </c>
      <c r="B34" s="71" t="s">
        <v>162</v>
      </c>
      <c r="C34" s="162">
        <v>6.5040650406000003E-2</v>
      </c>
      <c r="D34" s="162">
        <v>2.3121387282999999E-2</v>
      </c>
      <c r="E34" s="162">
        <v>1.3824884791999999E-2</v>
      </c>
      <c r="F34" s="157" t="e">
        <f>1/0</f>
        <v>#DIV/0!</v>
      </c>
      <c r="G34" s="157" t="e">
        <f t="shared" ref="G34:O49" si="0">1/0</f>
        <v>#DIV/0!</v>
      </c>
      <c r="H34" s="157" t="e">
        <f t="shared" si="0"/>
        <v>#DIV/0!</v>
      </c>
      <c r="I34" s="157" t="e">
        <f t="shared" si="0"/>
        <v>#DIV/0!</v>
      </c>
      <c r="J34" s="157" t="e">
        <f t="shared" si="0"/>
        <v>#DIV/0!</v>
      </c>
      <c r="K34" s="157" t="e">
        <f t="shared" si="0"/>
        <v>#DIV/0!</v>
      </c>
      <c r="L34" s="157" t="e">
        <f t="shared" si="0"/>
        <v>#DIV/0!</v>
      </c>
      <c r="M34" s="157" t="e">
        <f t="shared" si="0"/>
        <v>#DIV/0!</v>
      </c>
      <c r="N34" s="157" t="e">
        <f t="shared" si="0"/>
        <v>#DIV/0!</v>
      </c>
      <c r="O34" s="157" t="e">
        <f t="shared" si="0"/>
        <v>#DIV/0!</v>
      </c>
      <c r="P34" s="82"/>
      <c r="Q34" s="56" t="s">
        <v>61</v>
      </c>
      <c r="R34" s="56" t="s">
        <v>62</v>
      </c>
      <c r="S34" s="82"/>
      <c r="T34" s="162">
        <f>$C$34</f>
        <v>6.5040650406000003E-2</v>
      </c>
      <c r="U34" s="162">
        <f>$D$34</f>
        <v>2.3121387282999999E-2</v>
      </c>
      <c r="V34" s="162">
        <f>$E$34</f>
        <v>1.3824884791999999E-2</v>
      </c>
      <c r="W34" s="162" t="e">
        <f>$F$34</f>
        <v>#DIV/0!</v>
      </c>
      <c r="X34" s="162" t="e">
        <f>$G$34</f>
        <v>#DIV/0!</v>
      </c>
      <c r="Y34" s="162" t="e">
        <f>$H$34</f>
        <v>#DIV/0!</v>
      </c>
      <c r="Z34" s="162" t="e">
        <f>$I$34</f>
        <v>#DIV/0!</v>
      </c>
      <c r="AA34" s="162" t="e">
        <f>$J$34</f>
        <v>#DIV/0!</v>
      </c>
      <c r="AB34" s="162" t="e">
        <f>$K$34</f>
        <v>#DIV/0!</v>
      </c>
      <c r="AC34" s="162" t="e">
        <f>$L$34</f>
        <v>#DIV/0!</v>
      </c>
      <c r="AD34" s="162" t="e">
        <f>$M$34</f>
        <v>#DIV/0!</v>
      </c>
      <c r="AE34" s="162" t="e">
        <f>$N$34</f>
        <v>#DIV/0!</v>
      </c>
      <c r="AF34" s="162" t="e">
        <f>$O$34</f>
        <v>#DIV/0!</v>
      </c>
    </row>
    <row r="35" spans="1:49">
      <c r="A35" s="68" t="s">
        <v>194</v>
      </c>
      <c r="B35" s="71" t="s">
        <v>188</v>
      </c>
      <c r="C35" s="162">
        <v>5.56640625E-2</v>
      </c>
      <c r="D35" s="162">
        <v>4.7021943572999998E-2</v>
      </c>
      <c r="E35" s="162">
        <v>3.3730158730000001E-2</v>
      </c>
      <c r="F35" s="157" t="e">
        <f t="shared" ref="F35:O73" si="1">1/0</f>
        <v>#DIV/0!</v>
      </c>
      <c r="G35" s="157" t="e">
        <f t="shared" si="0"/>
        <v>#DIV/0!</v>
      </c>
      <c r="H35" s="157" t="e">
        <f t="shared" si="0"/>
        <v>#DIV/0!</v>
      </c>
      <c r="I35" s="157" t="e">
        <f t="shared" si="0"/>
        <v>#DIV/0!</v>
      </c>
      <c r="J35" s="157" t="e">
        <f t="shared" si="0"/>
        <v>#DIV/0!</v>
      </c>
      <c r="K35" s="157" t="e">
        <f t="shared" si="0"/>
        <v>#DIV/0!</v>
      </c>
      <c r="L35" s="157" t="e">
        <f t="shared" si="0"/>
        <v>#DIV/0!</v>
      </c>
      <c r="M35" s="157" t="e">
        <f t="shared" si="0"/>
        <v>#DIV/0!</v>
      </c>
      <c r="N35" s="157" t="e">
        <f t="shared" si="0"/>
        <v>#DIV/0!</v>
      </c>
      <c r="O35" s="157" t="e">
        <f t="shared" si="0"/>
        <v>#DIV/0!</v>
      </c>
      <c r="P35" s="82"/>
      <c r="Q35" s="244" t="s">
        <v>392</v>
      </c>
      <c r="R35" s="244" t="s">
        <v>448</v>
      </c>
      <c r="S35" s="82"/>
      <c r="T35" s="162">
        <f>$C$35</f>
        <v>5.56640625E-2</v>
      </c>
      <c r="U35" s="162">
        <f>$D$35</f>
        <v>4.7021943572999998E-2</v>
      </c>
      <c r="V35" s="162">
        <f>$E$35</f>
        <v>3.3730158730000001E-2</v>
      </c>
      <c r="W35" s="162" t="e">
        <f>$F$35</f>
        <v>#DIV/0!</v>
      </c>
      <c r="X35" s="162" t="e">
        <f>$G$35</f>
        <v>#DIV/0!</v>
      </c>
      <c r="Y35" s="162" t="e">
        <f>$H$35</f>
        <v>#DIV/0!</v>
      </c>
      <c r="Z35" s="162" t="e">
        <f>$I$35</f>
        <v>#DIV/0!</v>
      </c>
      <c r="AA35" s="162" t="e">
        <f>$J$35</f>
        <v>#DIV/0!</v>
      </c>
      <c r="AB35" s="162" t="e">
        <f>$K$35</f>
        <v>#DIV/0!</v>
      </c>
      <c r="AC35" s="162" t="e">
        <f>$L$35</f>
        <v>#DIV/0!</v>
      </c>
      <c r="AD35" s="162" t="e">
        <f>$M$35</f>
        <v>#DIV/0!</v>
      </c>
      <c r="AE35" s="162" t="e">
        <f>$N$35</f>
        <v>#DIV/0!</v>
      </c>
      <c r="AF35" s="162" t="e">
        <f>$O$35</f>
        <v>#DIV/0!</v>
      </c>
    </row>
    <row r="36" spans="1:49">
      <c r="A36" s="68" t="s">
        <v>189</v>
      </c>
      <c r="B36" t="s">
        <v>153</v>
      </c>
      <c r="C36" s="162">
        <v>2.5974025974E-2</v>
      </c>
      <c r="D36" s="162">
        <v>1.4492753622999999E-2</v>
      </c>
      <c r="E36" s="162">
        <v>0</v>
      </c>
      <c r="F36" s="157" t="e">
        <f t="shared" si="1"/>
        <v>#DIV/0!</v>
      </c>
      <c r="G36" s="157" t="e">
        <f t="shared" si="0"/>
        <v>#DIV/0!</v>
      </c>
      <c r="H36" s="157" t="e">
        <f t="shared" si="0"/>
        <v>#DIV/0!</v>
      </c>
      <c r="I36" s="157" t="e">
        <f t="shared" si="0"/>
        <v>#DIV/0!</v>
      </c>
      <c r="J36" s="157" t="e">
        <f t="shared" si="0"/>
        <v>#DIV/0!</v>
      </c>
      <c r="K36" s="157" t="e">
        <f t="shared" si="0"/>
        <v>#DIV/0!</v>
      </c>
      <c r="L36" s="157" t="e">
        <f t="shared" si="0"/>
        <v>#DIV/0!</v>
      </c>
      <c r="M36" s="157" t="e">
        <f t="shared" si="0"/>
        <v>#DIV/0!</v>
      </c>
      <c r="N36" s="157" t="e">
        <f t="shared" si="0"/>
        <v>#DIV/0!</v>
      </c>
      <c r="O36" s="157" t="e">
        <f t="shared" si="0"/>
        <v>#DIV/0!</v>
      </c>
      <c r="P36" s="82"/>
      <c r="Q36" s="244" t="s">
        <v>393</v>
      </c>
      <c r="R36" s="244" t="s">
        <v>449</v>
      </c>
      <c r="S36" s="82"/>
      <c r="T36" s="162">
        <f>$C$36</f>
        <v>2.5974025974E-2</v>
      </c>
      <c r="U36" s="162">
        <f>$D$36</f>
        <v>1.4492753622999999E-2</v>
      </c>
      <c r="V36" s="162">
        <f>$E$36</f>
        <v>0</v>
      </c>
      <c r="W36" s="162" t="e">
        <f>$F$36</f>
        <v>#DIV/0!</v>
      </c>
      <c r="X36" s="162" t="e">
        <f>$G$36</f>
        <v>#DIV/0!</v>
      </c>
      <c r="Y36" s="162" t="e">
        <f>$H$36</f>
        <v>#DIV/0!</v>
      </c>
      <c r="Z36" s="162" t="e">
        <f>$I$36</f>
        <v>#DIV/0!</v>
      </c>
      <c r="AA36" s="162" t="e">
        <f>$J$36</f>
        <v>#DIV/0!</v>
      </c>
      <c r="AB36" s="162" t="e">
        <f>$K$36</f>
        <v>#DIV/0!</v>
      </c>
      <c r="AC36" s="162" t="e">
        <f>$L$36</f>
        <v>#DIV/0!</v>
      </c>
      <c r="AD36" s="162" t="e">
        <f>$M$36</f>
        <v>#DIV/0!</v>
      </c>
      <c r="AE36" s="162" t="e">
        <f>$N$36</f>
        <v>#DIV/0!</v>
      </c>
      <c r="AF36" s="162" t="e">
        <f>$O$36</f>
        <v>#DIV/0!</v>
      </c>
    </row>
    <row r="37" spans="1:49">
      <c r="A37" s="69" t="s">
        <v>184</v>
      </c>
      <c r="B37" s="71" t="s">
        <v>188</v>
      </c>
      <c r="C37" s="162">
        <v>0</v>
      </c>
      <c r="D37" s="162">
        <v>0</v>
      </c>
      <c r="E37" s="162">
        <v>0</v>
      </c>
      <c r="F37" s="157" t="e">
        <f t="shared" si="1"/>
        <v>#DIV/0!</v>
      </c>
      <c r="G37" s="157" t="e">
        <f t="shared" si="0"/>
        <v>#DIV/0!</v>
      </c>
      <c r="H37" s="157" t="e">
        <f t="shared" si="0"/>
        <v>#DIV/0!</v>
      </c>
      <c r="I37" s="157" t="e">
        <f t="shared" si="0"/>
        <v>#DIV/0!</v>
      </c>
      <c r="J37" s="157" t="e">
        <f t="shared" si="0"/>
        <v>#DIV/0!</v>
      </c>
      <c r="K37" s="157" t="e">
        <f t="shared" si="0"/>
        <v>#DIV/0!</v>
      </c>
      <c r="L37" s="157" t="e">
        <f t="shared" si="0"/>
        <v>#DIV/0!</v>
      </c>
      <c r="M37" s="157" t="e">
        <f t="shared" si="0"/>
        <v>#DIV/0!</v>
      </c>
      <c r="N37" s="157" t="e">
        <f t="shared" si="0"/>
        <v>#DIV/0!</v>
      </c>
      <c r="O37" s="157" t="e">
        <f t="shared" si="0"/>
        <v>#DIV/0!</v>
      </c>
      <c r="P37" s="82"/>
      <c r="Q37" s="244" t="s">
        <v>394</v>
      </c>
      <c r="R37" s="244" t="s">
        <v>450</v>
      </c>
      <c r="S37" s="82"/>
      <c r="T37" s="162">
        <f>$C$37</f>
        <v>0</v>
      </c>
      <c r="U37" s="162">
        <f>$D$37</f>
        <v>0</v>
      </c>
      <c r="V37" s="162">
        <f>$E$37</f>
        <v>0</v>
      </c>
      <c r="W37" s="162" t="e">
        <f>$F$37</f>
        <v>#DIV/0!</v>
      </c>
      <c r="X37" s="162" t="e">
        <f>$G$37</f>
        <v>#DIV/0!</v>
      </c>
      <c r="Y37" s="162" t="e">
        <f>$H$37</f>
        <v>#DIV/0!</v>
      </c>
      <c r="Z37" s="162" t="e">
        <f>$I$37</f>
        <v>#DIV/0!</v>
      </c>
      <c r="AA37" s="162" t="e">
        <f>$J$37</f>
        <v>#DIV/0!</v>
      </c>
      <c r="AB37" s="162" t="e">
        <f>$K$37</f>
        <v>#DIV/0!</v>
      </c>
      <c r="AC37" s="162" t="e">
        <f>$L$37</f>
        <v>#DIV/0!</v>
      </c>
      <c r="AD37" s="162" t="e">
        <f>$M$37</f>
        <v>#DIV/0!</v>
      </c>
      <c r="AE37" s="162" t="e">
        <f>$N$37</f>
        <v>#DIV/0!</v>
      </c>
      <c r="AF37" s="162" t="e">
        <f>$O$37</f>
        <v>#DIV/0!</v>
      </c>
    </row>
    <row r="38" spans="1:49">
      <c r="A38" s="69" t="s">
        <v>182</v>
      </c>
      <c r="B38" s="71" t="s">
        <v>188</v>
      </c>
      <c r="C38" s="162">
        <v>0.106789993693</v>
      </c>
      <c r="D38" s="162">
        <v>0.112599956775</v>
      </c>
      <c r="E38" s="162">
        <v>8.7608695651999996E-2</v>
      </c>
      <c r="F38" s="157" t="e">
        <f t="shared" si="1"/>
        <v>#DIV/0!</v>
      </c>
      <c r="G38" s="157" t="e">
        <f t="shared" si="0"/>
        <v>#DIV/0!</v>
      </c>
      <c r="H38" s="157" t="e">
        <f t="shared" si="0"/>
        <v>#DIV/0!</v>
      </c>
      <c r="I38" s="157" t="e">
        <f t="shared" si="0"/>
        <v>#DIV/0!</v>
      </c>
      <c r="J38" s="157" t="e">
        <f t="shared" si="0"/>
        <v>#DIV/0!</v>
      </c>
      <c r="K38" s="157" t="e">
        <f t="shared" si="0"/>
        <v>#DIV/0!</v>
      </c>
      <c r="L38" s="157" t="e">
        <f t="shared" si="0"/>
        <v>#DIV/0!</v>
      </c>
      <c r="M38" s="157" t="e">
        <f t="shared" si="0"/>
        <v>#DIV/0!</v>
      </c>
      <c r="N38" s="157" t="e">
        <f t="shared" si="0"/>
        <v>#DIV/0!</v>
      </c>
      <c r="O38" s="157" t="e">
        <f t="shared" si="0"/>
        <v>#DIV/0!</v>
      </c>
      <c r="P38" s="82"/>
      <c r="Q38" s="244" t="s">
        <v>434</v>
      </c>
      <c r="R38" s="244" t="s">
        <v>451</v>
      </c>
      <c r="S38" s="82"/>
      <c r="T38" s="162">
        <f>$C$38</f>
        <v>0.106789993693</v>
      </c>
      <c r="U38" s="162">
        <f>$D$38</f>
        <v>0.112599956775</v>
      </c>
      <c r="V38" s="162">
        <f>$E$38</f>
        <v>8.7608695651999996E-2</v>
      </c>
      <c r="W38" s="162" t="e">
        <f>$F$38</f>
        <v>#DIV/0!</v>
      </c>
      <c r="X38" s="162" t="e">
        <f>$G$38</f>
        <v>#DIV/0!</v>
      </c>
      <c r="Y38" s="162" t="e">
        <f>$H$38</f>
        <v>#DIV/0!</v>
      </c>
      <c r="Z38" s="162" t="e">
        <f>$I$38</f>
        <v>#DIV/0!</v>
      </c>
      <c r="AA38" s="162" t="e">
        <f>$J$38</f>
        <v>#DIV/0!</v>
      </c>
      <c r="AB38" s="162" t="e">
        <f>$K$38</f>
        <v>#DIV/0!</v>
      </c>
      <c r="AC38" s="162" t="e">
        <f>$L$38</f>
        <v>#DIV/0!</v>
      </c>
      <c r="AD38" s="162" t="e">
        <f>$M$38</f>
        <v>#DIV/0!</v>
      </c>
      <c r="AE38" s="162" t="e">
        <f>$N$38</f>
        <v>#DIV/0!</v>
      </c>
      <c r="AF38" s="162" t="e">
        <f>$O$38</f>
        <v>#DIV/0!</v>
      </c>
    </row>
    <row r="39" spans="1:49">
      <c r="A39" s="69" t="s">
        <v>141</v>
      </c>
      <c r="B39" t="s">
        <v>153</v>
      </c>
      <c r="C39" s="162">
        <v>5.6338028169E-2</v>
      </c>
      <c r="D39" s="162">
        <v>6.4102564102000006E-2</v>
      </c>
      <c r="E39" s="162">
        <v>0</v>
      </c>
      <c r="F39" s="157" t="e">
        <f t="shared" si="1"/>
        <v>#DIV/0!</v>
      </c>
      <c r="G39" s="157" t="e">
        <f t="shared" si="0"/>
        <v>#DIV/0!</v>
      </c>
      <c r="H39" s="157" t="e">
        <f t="shared" si="0"/>
        <v>#DIV/0!</v>
      </c>
      <c r="I39" s="157" t="e">
        <f t="shared" si="0"/>
        <v>#DIV/0!</v>
      </c>
      <c r="J39" s="157" t="e">
        <f t="shared" si="0"/>
        <v>#DIV/0!</v>
      </c>
      <c r="K39" s="157" t="e">
        <f t="shared" si="0"/>
        <v>#DIV/0!</v>
      </c>
      <c r="L39" s="157" t="e">
        <f t="shared" si="0"/>
        <v>#DIV/0!</v>
      </c>
      <c r="M39" s="157" t="e">
        <f t="shared" si="0"/>
        <v>#DIV/0!</v>
      </c>
      <c r="N39" s="157" t="e">
        <f t="shared" si="0"/>
        <v>#DIV/0!</v>
      </c>
      <c r="O39" s="157" t="e">
        <f t="shared" si="0"/>
        <v>#DIV/0!</v>
      </c>
      <c r="P39" s="82"/>
      <c r="Q39" s="244" t="s">
        <v>435</v>
      </c>
      <c r="R39" s="244" t="s">
        <v>452</v>
      </c>
      <c r="S39" s="82"/>
      <c r="T39" s="162">
        <f>$C$39</f>
        <v>5.6338028169E-2</v>
      </c>
      <c r="U39" s="162">
        <f>$D$39</f>
        <v>6.4102564102000006E-2</v>
      </c>
      <c r="V39" s="162">
        <f>$E$39</f>
        <v>0</v>
      </c>
      <c r="W39" s="162" t="e">
        <f>$F$39</f>
        <v>#DIV/0!</v>
      </c>
      <c r="X39" s="162" t="e">
        <f>$G$39</f>
        <v>#DIV/0!</v>
      </c>
      <c r="Y39" s="162" t="e">
        <f>$H$39</f>
        <v>#DIV/0!</v>
      </c>
      <c r="Z39" s="162" t="e">
        <f>$I$39</f>
        <v>#DIV/0!</v>
      </c>
      <c r="AA39" s="162" t="e">
        <f>$J$39</f>
        <v>#DIV/0!</v>
      </c>
      <c r="AB39" s="162" t="e">
        <f>$K$39</f>
        <v>#DIV/0!</v>
      </c>
      <c r="AC39" s="162" t="e">
        <f>$L$39</f>
        <v>#DIV/0!</v>
      </c>
      <c r="AD39" s="162" t="e">
        <f>$M$39</f>
        <v>#DIV/0!</v>
      </c>
      <c r="AE39" s="162" t="e">
        <f>$N$39</f>
        <v>#DIV/0!</v>
      </c>
      <c r="AF39" s="162" t="e">
        <f>$O$39</f>
        <v>#DIV/0!</v>
      </c>
    </row>
    <row r="40" spans="1:49">
      <c r="A40" s="69" t="s">
        <v>163</v>
      </c>
      <c r="B40" s="71" t="s">
        <v>178</v>
      </c>
      <c r="C40" s="162">
        <v>0</v>
      </c>
      <c r="D40" s="162">
        <v>0.3</v>
      </c>
      <c r="E40" s="162">
        <v>0</v>
      </c>
      <c r="F40" s="157" t="e">
        <f t="shared" si="1"/>
        <v>#DIV/0!</v>
      </c>
      <c r="G40" s="157" t="e">
        <f t="shared" si="0"/>
        <v>#DIV/0!</v>
      </c>
      <c r="H40" s="157" t="e">
        <f t="shared" si="0"/>
        <v>#DIV/0!</v>
      </c>
      <c r="I40" s="157" t="e">
        <f t="shared" si="0"/>
        <v>#DIV/0!</v>
      </c>
      <c r="J40" s="157" t="e">
        <f t="shared" si="0"/>
        <v>#DIV/0!</v>
      </c>
      <c r="K40" s="157" t="e">
        <f t="shared" si="0"/>
        <v>#DIV/0!</v>
      </c>
      <c r="L40" s="157" t="e">
        <f t="shared" si="0"/>
        <v>#DIV/0!</v>
      </c>
      <c r="M40" s="157" t="e">
        <f t="shared" si="0"/>
        <v>#DIV/0!</v>
      </c>
      <c r="N40" s="157" t="e">
        <f t="shared" si="0"/>
        <v>#DIV/0!</v>
      </c>
      <c r="O40" s="157" t="e">
        <f t="shared" si="0"/>
        <v>#DIV/0!</v>
      </c>
      <c r="P40" s="82"/>
      <c r="Q40" s="244" t="s">
        <v>436</v>
      </c>
      <c r="R40" s="244" t="s">
        <v>453</v>
      </c>
      <c r="S40" s="82"/>
      <c r="T40" s="162">
        <f>$C$40</f>
        <v>0</v>
      </c>
      <c r="U40" s="162">
        <f>$D$40</f>
        <v>0.3</v>
      </c>
      <c r="V40" s="162">
        <f>$E$40</f>
        <v>0</v>
      </c>
      <c r="W40" s="162" t="e">
        <f>$F$40</f>
        <v>#DIV/0!</v>
      </c>
      <c r="X40" s="162" t="e">
        <f>$G$40</f>
        <v>#DIV/0!</v>
      </c>
      <c r="Y40" s="162" t="e">
        <f>$H$40</f>
        <v>#DIV/0!</v>
      </c>
      <c r="Z40" s="162" t="e">
        <f>$I$40</f>
        <v>#DIV/0!</v>
      </c>
      <c r="AA40" s="162" t="e">
        <f>$J$40</f>
        <v>#DIV/0!</v>
      </c>
      <c r="AB40" s="162" t="e">
        <f>$K$40</f>
        <v>#DIV/0!</v>
      </c>
      <c r="AC40" s="162" t="e">
        <f>$L$40</f>
        <v>#DIV/0!</v>
      </c>
      <c r="AD40" s="162" t="e">
        <f>$M$40</f>
        <v>#DIV/0!</v>
      </c>
      <c r="AE40" s="162" t="e">
        <f>$N$40</f>
        <v>#DIV/0!</v>
      </c>
      <c r="AF40" s="162" t="e">
        <f>$O$40</f>
        <v>#DIV/0!</v>
      </c>
    </row>
    <row r="41" spans="1:49">
      <c r="A41" s="69" t="s">
        <v>164</v>
      </c>
      <c r="B41" s="71" t="s">
        <v>178</v>
      </c>
      <c r="C41" s="162">
        <v>6.5410199555999998E-2</v>
      </c>
      <c r="D41" s="162">
        <v>4.1573033707000003E-2</v>
      </c>
      <c r="E41" s="162">
        <v>7.6751946606999993E-2</v>
      </c>
      <c r="F41" s="157" t="e">
        <f t="shared" si="1"/>
        <v>#DIV/0!</v>
      </c>
      <c r="G41" s="157" t="e">
        <f t="shared" si="0"/>
        <v>#DIV/0!</v>
      </c>
      <c r="H41" s="157" t="e">
        <f t="shared" si="0"/>
        <v>#DIV/0!</v>
      </c>
      <c r="I41" s="157" t="e">
        <f t="shared" si="0"/>
        <v>#DIV/0!</v>
      </c>
      <c r="J41" s="157" t="e">
        <f t="shared" si="0"/>
        <v>#DIV/0!</v>
      </c>
      <c r="K41" s="157" t="e">
        <f t="shared" si="0"/>
        <v>#DIV/0!</v>
      </c>
      <c r="L41" s="157" t="e">
        <f t="shared" si="0"/>
        <v>#DIV/0!</v>
      </c>
      <c r="M41" s="157" t="e">
        <f t="shared" si="0"/>
        <v>#DIV/0!</v>
      </c>
      <c r="N41" s="157" t="e">
        <f t="shared" si="0"/>
        <v>#DIV/0!</v>
      </c>
      <c r="O41" s="157" t="e">
        <f t="shared" si="0"/>
        <v>#DIV/0!</v>
      </c>
      <c r="P41" s="82"/>
      <c r="Q41" s="244" t="s">
        <v>437</v>
      </c>
      <c r="R41" s="245" t="s">
        <v>454</v>
      </c>
      <c r="S41" s="82"/>
      <c r="T41" s="162">
        <f>$C$41</f>
        <v>6.5410199555999998E-2</v>
      </c>
      <c r="U41" s="162">
        <f>$D$41</f>
        <v>4.1573033707000003E-2</v>
      </c>
      <c r="V41" s="162">
        <f>$E$41</f>
        <v>7.6751946606999993E-2</v>
      </c>
      <c r="W41" s="162" t="e">
        <f>$F$41</f>
        <v>#DIV/0!</v>
      </c>
      <c r="X41" s="162" t="e">
        <f>$G$41</f>
        <v>#DIV/0!</v>
      </c>
      <c r="Y41" s="162" t="e">
        <f>$H$41</f>
        <v>#DIV/0!</v>
      </c>
      <c r="Z41" s="162" t="e">
        <f>$I$41</f>
        <v>#DIV/0!</v>
      </c>
      <c r="AA41" s="162" t="e">
        <f>$J$41</f>
        <v>#DIV/0!</v>
      </c>
      <c r="AB41" s="162" t="e">
        <f>$K$41</f>
        <v>#DIV/0!</v>
      </c>
      <c r="AC41" s="162" t="e">
        <f>$L$41</f>
        <v>#DIV/0!</v>
      </c>
      <c r="AD41" s="162" t="e">
        <f>$M$41</f>
        <v>#DIV/0!</v>
      </c>
      <c r="AE41" s="162" t="e">
        <f>$N$41</f>
        <v>#DIV/0!</v>
      </c>
      <c r="AF41" s="162" t="e">
        <f>$O$41</f>
        <v>#DIV/0!</v>
      </c>
    </row>
    <row r="42" spans="1:49">
      <c r="A42" s="69" t="s">
        <v>165</v>
      </c>
      <c r="B42" s="71" t="s">
        <v>178</v>
      </c>
      <c r="C42" s="162">
        <v>0</v>
      </c>
      <c r="D42" s="8"/>
      <c r="E42" s="8"/>
      <c r="F42" s="157" t="e">
        <f t="shared" si="1"/>
        <v>#DIV/0!</v>
      </c>
      <c r="G42" s="157" t="e">
        <f t="shared" si="0"/>
        <v>#DIV/0!</v>
      </c>
      <c r="H42" s="157" t="e">
        <f t="shared" si="0"/>
        <v>#DIV/0!</v>
      </c>
      <c r="I42" s="157" t="e">
        <f t="shared" si="0"/>
        <v>#DIV/0!</v>
      </c>
      <c r="J42" s="157" t="e">
        <f t="shared" si="0"/>
        <v>#DIV/0!</v>
      </c>
      <c r="K42" s="157" t="e">
        <f t="shared" si="0"/>
        <v>#DIV/0!</v>
      </c>
      <c r="L42" s="157" t="e">
        <f t="shared" si="0"/>
        <v>#DIV/0!</v>
      </c>
      <c r="M42" s="157" t="e">
        <f t="shared" si="0"/>
        <v>#DIV/0!</v>
      </c>
      <c r="N42" s="157" t="e">
        <f t="shared" si="0"/>
        <v>#DIV/0!</v>
      </c>
      <c r="O42" s="157" t="e">
        <f t="shared" si="0"/>
        <v>#DIV/0!</v>
      </c>
      <c r="P42" s="82"/>
      <c r="Q42" s="244" t="s">
        <v>438</v>
      </c>
      <c r="R42" s="244" t="s">
        <v>455</v>
      </c>
      <c r="S42" s="82"/>
      <c r="T42" s="162">
        <f>$C$42</f>
        <v>0</v>
      </c>
      <c r="U42" s="162">
        <f>$D$42</f>
        <v>0</v>
      </c>
      <c r="V42" s="162">
        <f>$E$42</f>
        <v>0</v>
      </c>
      <c r="W42" s="162" t="e">
        <f>$F$42</f>
        <v>#DIV/0!</v>
      </c>
      <c r="X42" s="162" t="e">
        <f>$G$42</f>
        <v>#DIV/0!</v>
      </c>
      <c r="Y42" s="162" t="e">
        <f>$H$42</f>
        <v>#DIV/0!</v>
      </c>
      <c r="Z42" s="162" t="e">
        <f>$I$42</f>
        <v>#DIV/0!</v>
      </c>
      <c r="AA42" s="162" t="e">
        <f>$J$42</f>
        <v>#DIV/0!</v>
      </c>
      <c r="AB42" s="162" t="e">
        <f>$K$42</f>
        <v>#DIV/0!</v>
      </c>
      <c r="AC42" s="162" t="e">
        <f>$L$42</f>
        <v>#DIV/0!</v>
      </c>
      <c r="AD42" s="162" t="e">
        <f>$M$42</f>
        <v>#DIV/0!</v>
      </c>
      <c r="AE42" s="162" t="e">
        <f>$N$42</f>
        <v>#DIV/0!</v>
      </c>
      <c r="AF42" s="162" t="e">
        <f>$O$42</f>
        <v>#DIV/0!</v>
      </c>
    </row>
    <row r="43" spans="1:49">
      <c r="A43" s="69" t="s">
        <v>154</v>
      </c>
      <c r="B43" s="71" t="s">
        <v>158</v>
      </c>
      <c r="C43" s="162">
        <v>6.8568867642E-2</v>
      </c>
      <c r="D43" s="162">
        <v>8.6939533065999997E-2</v>
      </c>
      <c r="E43" s="162">
        <v>8.7064313838999999E-2</v>
      </c>
      <c r="F43" s="157" t="e">
        <f t="shared" si="1"/>
        <v>#DIV/0!</v>
      </c>
      <c r="G43" s="157" t="e">
        <f t="shared" si="0"/>
        <v>#DIV/0!</v>
      </c>
      <c r="H43" s="157" t="e">
        <f t="shared" si="0"/>
        <v>#DIV/0!</v>
      </c>
      <c r="I43" s="157" t="e">
        <f t="shared" si="0"/>
        <v>#DIV/0!</v>
      </c>
      <c r="J43" s="157" t="e">
        <f t="shared" si="0"/>
        <v>#DIV/0!</v>
      </c>
      <c r="K43" s="157" t="e">
        <f t="shared" si="0"/>
        <v>#DIV/0!</v>
      </c>
      <c r="L43" s="157" t="e">
        <f t="shared" si="0"/>
        <v>#DIV/0!</v>
      </c>
      <c r="M43" s="157" t="e">
        <f t="shared" si="0"/>
        <v>#DIV/0!</v>
      </c>
      <c r="N43" s="157" t="e">
        <f t="shared" si="0"/>
        <v>#DIV/0!</v>
      </c>
      <c r="O43" s="157" t="e">
        <f t="shared" si="0"/>
        <v>#DIV/0!</v>
      </c>
      <c r="P43" s="82"/>
      <c r="Q43" s="245" t="s">
        <v>439</v>
      </c>
      <c r="R43" s="244" t="s">
        <v>456</v>
      </c>
      <c r="S43" s="82"/>
      <c r="T43" s="162">
        <f>$C$43</f>
        <v>6.8568867642E-2</v>
      </c>
      <c r="U43" s="162">
        <f>$D$43</f>
        <v>8.6939533065999997E-2</v>
      </c>
      <c r="V43" s="162">
        <f>$E$43</f>
        <v>8.7064313838999999E-2</v>
      </c>
      <c r="W43" s="162" t="e">
        <f>$F$43</f>
        <v>#DIV/0!</v>
      </c>
      <c r="X43" s="162" t="e">
        <f>$G$43</f>
        <v>#DIV/0!</v>
      </c>
      <c r="Y43" s="162" t="e">
        <f>$H$43</f>
        <v>#DIV/0!</v>
      </c>
      <c r="Z43" s="162" t="e">
        <f>$I$43</f>
        <v>#DIV/0!</v>
      </c>
      <c r="AA43" s="162" t="e">
        <f>$J$43</f>
        <v>#DIV/0!</v>
      </c>
      <c r="AB43" s="162" t="e">
        <f>$K$43</f>
        <v>#DIV/0!</v>
      </c>
      <c r="AC43" s="162" t="e">
        <f>$L$43</f>
        <v>#DIV/0!</v>
      </c>
      <c r="AD43" s="162" t="e">
        <f>$M$43</f>
        <v>#DIV/0!</v>
      </c>
      <c r="AE43" s="162" t="e">
        <f>$N$43</f>
        <v>#DIV/0!</v>
      </c>
      <c r="AF43" s="162" t="e">
        <f>$O$43</f>
        <v>#DIV/0!</v>
      </c>
    </row>
    <row r="44" spans="1:49">
      <c r="A44" s="69" t="s">
        <v>181</v>
      </c>
      <c r="B44" s="71" t="s">
        <v>188</v>
      </c>
      <c r="C44" s="162">
        <v>0.12550607287400001</v>
      </c>
      <c r="D44" s="162">
        <v>8.7336244541000002E-2</v>
      </c>
      <c r="E44" s="162">
        <v>5.8823529410999997E-2</v>
      </c>
      <c r="F44" s="157" t="e">
        <f t="shared" si="1"/>
        <v>#DIV/0!</v>
      </c>
      <c r="G44" s="157" t="e">
        <f t="shared" si="0"/>
        <v>#DIV/0!</v>
      </c>
      <c r="H44" s="157" t="e">
        <f t="shared" si="0"/>
        <v>#DIV/0!</v>
      </c>
      <c r="I44" s="157" t="e">
        <f t="shared" si="0"/>
        <v>#DIV/0!</v>
      </c>
      <c r="J44" s="157" t="e">
        <f t="shared" si="0"/>
        <v>#DIV/0!</v>
      </c>
      <c r="K44" s="157" t="e">
        <f t="shared" si="0"/>
        <v>#DIV/0!</v>
      </c>
      <c r="L44" s="157" t="e">
        <f t="shared" si="0"/>
        <v>#DIV/0!</v>
      </c>
      <c r="M44" s="157" t="e">
        <f t="shared" si="0"/>
        <v>#DIV/0!</v>
      </c>
      <c r="N44" s="157" t="e">
        <f t="shared" si="0"/>
        <v>#DIV/0!</v>
      </c>
      <c r="O44" s="157" t="e">
        <f t="shared" si="0"/>
        <v>#DIV/0!</v>
      </c>
      <c r="P44" s="82"/>
      <c r="Q44" s="244" t="s">
        <v>440</v>
      </c>
      <c r="R44" s="244" t="s">
        <v>457</v>
      </c>
      <c r="S44" s="82"/>
      <c r="T44" s="162">
        <f>$C$44</f>
        <v>0.12550607287400001</v>
      </c>
      <c r="U44" s="162">
        <f>$D$44</f>
        <v>8.7336244541000002E-2</v>
      </c>
      <c r="V44" s="162">
        <f>$E$44</f>
        <v>5.8823529410999997E-2</v>
      </c>
      <c r="W44" s="162" t="e">
        <f>$F$44</f>
        <v>#DIV/0!</v>
      </c>
      <c r="X44" s="162" t="e">
        <f>$G$44</f>
        <v>#DIV/0!</v>
      </c>
      <c r="Y44" s="162" t="e">
        <f>$H$44</f>
        <v>#DIV/0!</v>
      </c>
      <c r="Z44" s="162" t="e">
        <f>$I$44</f>
        <v>#DIV/0!</v>
      </c>
      <c r="AA44" s="162" t="e">
        <f>$J$44</f>
        <v>#DIV/0!</v>
      </c>
      <c r="AB44" s="162" t="e">
        <f>$K$44</f>
        <v>#DIV/0!</v>
      </c>
      <c r="AC44" s="162" t="e">
        <f>$L$44</f>
        <v>#DIV/0!</v>
      </c>
      <c r="AD44" s="162" t="e">
        <f>$M$44</f>
        <v>#DIV/0!</v>
      </c>
      <c r="AE44" s="162" t="e">
        <f>$N$44</f>
        <v>#DIV/0!</v>
      </c>
      <c r="AF44" s="162" t="e">
        <f>$O$44</f>
        <v>#DIV/0!</v>
      </c>
    </row>
    <row r="45" spans="1:49">
      <c r="A45" s="69" t="s">
        <v>168</v>
      </c>
      <c r="B45" s="71" t="s">
        <v>178</v>
      </c>
      <c r="C45" s="162">
        <v>0</v>
      </c>
      <c r="D45" s="162">
        <v>0</v>
      </c>
      <c r="E45" s="162">
        <v>0</v>
      </c>
      <c r="F45" s="157" t="e">
        <f t="shared" si="1"/>
        <v>#DIV/0!</v>
      </c>
      <c r="G45" s="157" t="e">
        <f t="shared" si="0"/>
        <v>#DIV/0!</v>
      </c>
      <c r="H45" s="157" t="e">
        <f t="shared" si="0"/>
        <v>#DIV/0!</v>
      </c>
      <c r="I45" s="157" t="e">
        <f t="shared" si="0"/>
        <v>#DIV/0!</v>
      </c>
      <c r="J45" s="157" t="e">
        <f t="shared" si="0"/>
        <v>#DIV/0!</v>
      </c>
      <c r="K45" s="157" t="e">
        <f t="shared" si="0"/>
        <v>#DIV/0!</v>
      </c>
      <c r="L45" s="157" t="e">
        <f t="shared" si="0"/>
        <v>#DIV/0!</v>
      </c>
      <c r="M45" s="157" t="e">
        <f t="shared" si="0"/>
        <v>#DIV/0!</v>
      </c>
      <c r="N45" s="157" t="e">
        <f t="shared" si="0"/>
        <v>#DIV/0!</v>
      </c>
      <c r="O45" s="157" t="e">
        <f t="shared" si="0"/>
        <v>#DIV/0!</v>
      </c>
      <c r="P45" s="82"/>
      <c r="Q45" s="244" t="s">
        <v>441</v>
      </c>
      <c r="R45" s="244" t="s">
        <v>458</v>
      </c>
      <c r="S45" s="82"/>
      <c r="T45" s="162">
        <f>$C$45</f>
        <v>0</v>
      </c>
      <c r="U45" s="162">
        <f>$D$45</f>
        <v>0</v>
      </c>
      <c r="V45" s="162">
        <f>$E$45</f>
        <v>0</v>
      </c>
      <c r="W45" s="162" t="e">
        <f>$F$45</f>
        <v>#DIV/0!</v>
      </c>
      <c r="X45" s="162" t="e">
        <f>$G$45</f>
        <v>#DIV/0!</v>
      </c>
      <c r="Y45" s="162" t="e">
        <f>$H$45</f>
        <v>#DIV/0!</v>
      </c>
      <c r="Z45" s="162" t="e">
        <f>$I$45</f>
        <v>#DIV/0!</v>
      </c>
      <c r="AA45" s="162" t="e">
        <f>$J$45</f>
        <v>#DIV/0!</v>
      </c>
      <c r="AB45" s="162" t="e">
        <f>$K$45</f>
        <v>#DIV/0!</v>
      </c>
      <c r="AC45" s="162" t="e">
        <f>$L$45</f>
        <v>#DIV/0!</v>
      </c>
      <c r="AD45" s="162" t="e">
        <f>$M$45</f>
        <v>#DIV/0!</v>
      </c>
      <c r="AE45" s="162" t="e">
        <f>$N$45</f>
        <v>#DIV/0!</v>
      </c>
      <c r="AF45" s="162" t="e">
        <f>$O$45</f>
        <v>#DIV/0!</v>
      </c>
    </row>
    <row r="46" spans="1:49">
      <c r="A46" s="69" t="s">
        <v>155</v>
      </c>
      <c r="B46" s="71" t="s">
        <v>158</v>
      </c>
      <c r="C46" s="162">
        <v>6.7052023121000004E-2</v>
      </c>
      <c r="D46" s="162">
        <v>6.2355658198E-2</v>
      </c>
      <c r="E46" s="162">
        <v>4.8137535815999999E-2</v>
      </c>
      <c r="F46" s="157" t="e">
        <f t="shared" si="1"/>
        <v>#DIV/0!</v>
      </c>
      <c r="G46" s="157" t="e">
        <f t="shared" si="0"/>
        <v>#DIV/0!</v>
      </c>
      <c r="H46" s="157" t="e">
        <f t="shared" si="0"/>
        <v>#DIV/0!</v>
      </c>
      <c r="I46" s="157" t="e">
        <f t="shared" si="0"/>
        <v>#DIV/0!</v>
      </c>
      <c r="J46" s="157" t="e">
        <f t="shared" si="0"/>
        <v>#DIV/0!</v>
      </c>
      <c r="K46" s="157" t="e">
        <f t="shared" si="0"/>
        <v>#DIV/0!</v>
      </c>
      <c r="L46" s="157" t="e">
        <f t="shared" si="0"/>
        <v>#DIV/0!</v>
      </c>
      <c r="M46" s="157" t="e">
        <f t="shared" si="0"/>
        <v>#DIV/0!</v>
      </c>
      <c r="N46" s="157" t="e">
        <f t="shared" si="0"/>
        <v>#DIV/0!</v>
      </c>
      <c r="O46" s="157" t="e">
        <f t="shared" si="0"/>
        <v>#DIV/0!</v>
      </c>
      <c r="P46" s="82"/>
      <c r="Q46" s="244" t="s">
        <v>442</v>
      </c>
      <c r="R46" s="244" t="s">
        <v>459</v>
      </c>
      <c r="S46" s="96"/>
      <c r="T46" s="162">
        <f>$C$46</f>
        <v>6.7052023121000004E-2</v>
      </c>
      <c r="U46" s="162">
        <f>$D$46</f>
        <v>6.2355658198E-2</v>
      </c>
      <c r="V46" s="162">
        <f>$E$46</f>
        <v>4.8137535815999999E-2</v>
      </c>
      <c r="W46" s="162" t="e">
        <f>$F$46</f>
        <v>#DIV/0!</v>
      </c>
      <c r="X46" s="162" t="e">
        <f>$G$46</f>
        <v>#DIV/0!</v>
      </c>
      <c r="Y46" s="162" t="e">
        <f>$H$46</f>
        <v>#DIV/0!</v>
      </c>
      <c r="Z46" s="162" t="e">
        <f>$I$46</f>
        <v>#DIV/0!</v>
      </c>
      <c r="AA46" s="162" t="e">
        <f>$J$46</f>
        <v>#DIV/0!</v>
      </c>
      <c r="AB46" s="162" t="e">
        <f>$K$46</f>
        <v>#DIV/0!</v>
      </c>
      <c r="AC46" s="162" t="e">
        <f>$L$46</f>
        <v>#DIV/0!</v>
      </c>
      <c r="AD46" s="162" t="e">
        <f>$M$46</f>
        <v>#DIV/0!</v>
      </c>
      <c r="AE46" s="162" t="e">
        <f>$N$46</f>
        <v>#DIV/0!</v>
      </c>
      <c r="AF46" s="162" t="e">
        <f>$O$46</f>
        <v>#DIV/0!</v>
      </c>
    </row>
    <row r="47" spans="1:49">
      <c r="A47" s="69" t="s">
        <v>169</v>
      </c>
      <c r="B47" s="71" t="s">
        <v>178</v>
      </c>
      <c r="C47" s="162">
        <v>0</v>
      </c>
      <c r="D47" s="162">
        <v>0</v>
      </c>
      <c r="E47" s="162">
        <v>0</v>
      </c>
      <c r="F47" s="157" t="e">
        <f t="shared" si="1"/>
        <v>#DIV/0!</v>
      </c>
      <c r="G47" s="157" t="e">
        <f t="shared" si="0"/>
        <v>#DIV/0!</v>
      </c>
      <c r="H47" s="157" t="e">
        <f t="shared" si="0"/>
        <v>#DIV/0!</v>
      </c>
      <c r="I47" s="157" t="e">
        <f t="shared" si="0"/>
        <v>#DIV/0!</v>
      </c>
      <c r="J47" s="157" t="e">
        <f t="shared" si="0"/>
        <v>#DIV/0!</v>
      </c>
      <c r="K47" s="157" t="e">
        <f t="shared" si="0"/>
        <v>#DIV/0!</v>
      </c>
      <c r="L47" s="157" t="e">
        <f t="shared" si="0"/>
        <v>#DIV/0!</v>
      </c>
      <c r="M47" s="157" t="e">
        <f t="shared" si="0"/>
        <v>#DIV/0!</v>
      </c>
      <c r="N47" s="157" t="e">
        <f t="shared" si="0"/>
        <v>#DIV/0!</v>
      </c>
      <c r="O47" s="157" t="e">
        <f t="shared" si="0"/>
        <v>#DIV/0!</v>
      </c>
      <c r="P47" s="82"/>
      <c r="Q47" s="244" t="s">
        <v>443</v>
      </c>
      <c r="R47" s="244" t="s">
        <v>460</v>
      </c>
      <c r="S47" s="96"/>
      <c r="T47" s="162">
        <f>$C$47</f>
        <v>0</v>
      </c>
      <c r="U47" s="162">
        <f>$D$47</f>
        <v>0</v>
      </c>
      <c r="V47" s="162">
        <f>$E$47</f>
        <v>0</v>
      </c>
      <c r="W47" s="162" t="e">
        <f>$F$47</f>
        <v>#DIV/0!</v>
      </c>
      <c r="X47" s="162" t="e">
        <f>$G$47</f>
        <v>#DIV/0!</v>
      </c>
      <c r="Y47" s="162" t="e">
        <f>$H$47</f>
        <v>#DIV/0!</v>
      </c>
      <c r="Z47" s="162" t="e">
        <f>$I$47</f>
        <v>#DIV/0!</v>
      </c>
      <c r="AA47" s="162" t="e">
        <f>$J$47</f>
        <v>#DIV/0!</v>
      </c>
      <c r="AB47" s="162" t="e">
        <f>$K$47</f>
        <v>#DIV/0!</v>
      </c>
      <c r="AC47" s="162" t="e">
        <f>$L$47</f>
        <v>#DIV/0!</v>
      </c>
      <c r="AD47" s="162" t="e">
        <f>$M$47</f>
        <v>#DIV/0!</v>
      </c>
      <c r="AE47" s="162" t="e">
        <f>$N$47</f>
        <v>#DIV/0!</v>
      </c>
      <c r="AF47" s="162" t="e">
        <f>$O$47</f>
        <v>#DIV/0!</v>
      </c>
    </row>
    <row r="48" spans="1:49">
      <c r="A48" s="69" t="s">
        <v>160</v>
      </c>
      <c r="B48" s="71" t="s">
        <v>162</v>
      </c>
      <c r="C48" s="162">
        <v>6.5843621399000005E-2</v>
      </c>
      <c r="D48" s="162">
        <v>8.8508208421999995E-2</v>
      </c>
      <c r="E48" s="162">
        <v>6.6573230553000004E-2</v>
      </c>
      <c r="F48" s="157" t="e">
        <f t="shared" si="1"/>
        <v>#DIV/0!</v>
      </c>
      <c r="G48" s="157" t="e">
        <f t="shared" si="0"/>
        <v>#DIV/0!</v>
      </c>
      <c r="H48" s="157" t="e">
        <f t="shared" si="0"/>
        <v>#DIV/0!</v>
      </c>
      <c r="I48" s="157" t="e">
        <f t="shared" si="0"/>
        <v>#DIV/0!</v>
      </c>
      <c r="J48" s="157" t="e">
        <f t="shared" si="0"/>
        <v>#DIV/0!</v>
      </c>
      <c r="K48" s="157" t="e">
        <f t="shared" si="0"/>
        <v>#DIV/0!</v>
      </c>
      <c r="L48" s="157" t="e">
        <f t="shared" si="0"/>
        <v>#DIV/0!</v>
      </c>
      <c r="M48" s="157" t="e">
        <f t="shared" si="0"/>
        <v>#DIV/0!</v>
      </c>
      <c r="N48" s="157" t="e">
        <f t="shared" si="0"/>
        <v>#DIV/0!</v>
      </c>
      <c r="O48" s="157" t="e">
        <f t="shared" si="0"/>
        <v>#DIV/0!</v>
      </c>
      <c r="P48" s="82"/>
      <c r="Q48" s="244" t="s">
        <v>444</v>
      </c>
      <c r="R48" s="245" t="s">
        <v>461</v>
      </c>
      <c r="S48" s="96"/>
      <c r="T48" s="162">
        <f>$C$48</f>
        <v>6.5843621399000005E-2</v>
      </c>
      <c r="U48" s="162">
        <f>$D$48</f>
        <v>8.8508208421999995E-2</v>
      </c>
      <c r="V48" s="162">
        <f>$E$48</f>
        <v>6.6573230553000004E-2</v>
      </c>
      <c r="W48" s="162" t="e">
        <f>$F$48</f>
        <v>#DIV/0!</v>
      </c>
      <c r="X48" s="162" t="e">
        <f>$G$48</f>
        <v>#DIV/0!</v>
      </c>
      <c r="Y48" s="162" t="e">
        <f>$H$48</f>
        <v>#DIV/0!</v>
      </c>
      <c r="Z48" s="162" t="e">
        <f>$I$48</f>
        <v>#DIV/0!</v>
      </c>
      <c r="AA48" s="162" t="e">
        <f>$J$48</f>
        <v>#DIV/0!</v>
      </c>
      <c r="AB48" s="162" t="e">
        <f>$K$48</f>
        <v>#DIV/0!</v>
      </c>
      <c r="AC48" s="162" t="e">
        <f>$L$48</f>
        <v>#DIV/0!</v>
      </c>
      <c r="AD48" s="162" t="e">
        <f>$M$48</f>
        <v>#DIV/0!</v>
      </c>
      <c r="AE48" s="162" t="e">
        <f>$N$48</f>
        <v>#DIV/0!</v>
      </c>
      <c r="AF48" s="162" t="e">
        <f>$O$48</f>
        <v>#DIV/0!</v>
      </c>
    </row>
    <row r="49" spans="1:32">
      <c r="A49" s="69" t="s">
        <v>179</v>
      </c>
      <c r="B49" s="71" t="s">
        <v>188</v>
      </c>
      <c r="C49" s="162">
        <v>6.8085106381999994E-2</v>
      </c>
      <c r="D49" s="162">
        <v>5.9459459458999997E-2</v>
      </c>
      <c r="E49" s="162">
        <v>8.2273112807000004E-2</v>
      </c>
      <c r="F49" s="157" t="e">
        <f t="shared" si="1"/>
        <v>#DIV/0!</v>
      </c>
      <c r="G49" s="157" t="e">
        <f t="shared" si="0"/>
        <v>#DIV/0!</v>
      </c>
      <c r="H49" s="157" t="e">
        <f t="shared" si="0"/>
        <v>#DIV/0!</v>
      </c>
      <c r="I49" s="157" t="e">
        <f t="shared" si="0"/>
        <v>#DIV/0!</v>
      </c>
      <c r="J49" s="157" t="e">
        <f t="shared" si="0"/>
        <v>#DIV/0!</v>
      </c>
      <c r="K49" s="157" t="e">
        <f t="shared" si="0"/>
        <v>#DIV/0!</v>
      </c>
      <c r="L49" s="157" t="e">
        <f t="shared" si="0"/>
        <v>#DIV/0!</v>
      </c>
      <c r="M49" s="157" t="e">
        <f t="shared" si="0"/>
        <v>#DIV/0!</v>
      </c>
      <c r="N49" s="157" t="e">
        <f t="shared" si="0"/>
        <v>#DIV/0!</v>
      </c>
      <c r="O49" s="157" t="e">
        <f t="shared" si="0"/>
        <v>#DIV/0!</v>
      </c>
      <c r="P49" s="82"/>
      <c r="Q49" s="244" t="s">
        <v>445</v>
      </c>
      <c r="R49" s="244" t="s">
        <v>462</v>
      </c>
      <c r="S49" s="96"/>
      <c r="T49" s="162">
        <f>$C$49</f>
        <v>6.8085106381999994E-2</v>
      </c>
      <c r="U49" s="162">
        <f>$D$49</f>
        <v>5.9459459458999997E-2</v>
      </c>
      <c r="V49" s="162">
        <f>$E$49</f>
        <v>8.2273112807000004E-2</v>
      </c>
      <c r="W49" s="162" t="e">
        <f>$F$49</f>
        <v>#DIV/0!</v>
      </c>
      <c r="X49" s="162" t="e">
        <f>$G$49</f>
        <v>#DIV/0!</v>
      </c>
      <c r="Y49" s="162" t="e">
        <f>$H$49</f>
        <v>#DIV/0!</v>
      </c>
      <c r="Z49" s="162" t="e">
        <f>$I$49</f>
        <v>#DIV/0!</v>
      </c>
      <c r="AA49" s="162" t="e">
        <f>$J$49</f>
        <v>#DIV/0!</v>
      </c>
      <c r="AB49" s="162" t="e">
        <f>$K$49</f>
        <v>#DIV/0!</v>
      </c>
      <c r="AC49" s="162" t="e">
        <f>$L$49</f>
        <v>#DIV/0!</v>
      </c>
      <c r="AD49" s="162" t="e">
        <f>$M$49</f>
        <v>#DIV/0!</v>
      </c>
      <c r="AE49" s="162" t="e">
        <f>$N$49</f>
        <v>#DIV/0!</v>
      </c>
      <c r="AF49" s="162" t="e">
        <f>$O$49</f>
        <v>#DIV/0!</v>
      </c>
    </row>
    <row r="50" spans="1:32">
      <c r="A50" s="69" t="s">
        <v>170</v>
      </c>
      <c r="B50" s="71" t="s">
        <v>178</v>
      </c>
      <c r="C50" s="162">
        <v>5.7425742574000002E-2</v>
      </c>
      <c r="D50" s="162">
        <v>5.4787506399999998E-2</v>
      </c>
      <c r="E50" s="162">
        <v>4.7365620009999998E-2</v>
      </c>
      <c r="F50" s="157" t="e">
        <f t="shared" si="1"/>
        <v>#DIV/0!</v>
      </c>
      <c r="G50" s="157" t="e">
        <f t="shared" si="1"/>
        <v>#DIV/0!</v>
      </c>
      <c r="H50" s="157" t="e">
        <f t="shared" si="1"/>
        <v>#DIV/0!</v>
      </c>
      <c r="I50" s="157" t="e">
        <f t="shared" si="1"/>
        <v>#DIV/0!</v>
      </c>
      <c r="J50" s="157" t="e">
        <f t="shared" si="1"/>
        <v>#DIV/0!</v>
      </c>
      <c r="K50" s="157" t="e">
        <f t="shared" si="1"/>
        <v>#DIV/0!</v>
      </c>
      <c r="L50" s="157" t="e">
        <f t="shared" si="1"/>
        <v>#DIV/0!</v>
      </c>
      <c r="M50" s="157" t="e">
        <f t="shared" si="1"/>
        <v>#DIV/0!</v>
      </c>
      <c r="N50" s="157" t="e">
        <f t="shared" si="1"/>
        <v>#DIV/0!</v>
      </c>
      <c r="O50" s="157" t="e">
        <f t="shared" si="1"/>
        <v>#DIV/0!</v>
      </c>
      <c r="P50" s="82"/>
      <c r="Q50" s="246" t="s">
        <v>446</v>
      </c>
      <c r="R50" s="244" t="s">
        <v>463</v>
      </c>
      <c r="S50" s="96"/>
      <c r="T50" s="162">
        <f>$C$50</f>
        <v>5.7425742574000002E-2</v>
      </c>
      <c r="U50" s="162">
        <f>$D$50</f>
        <v>5.4787506399999998E-2</v>
      </c>
      <c r="V50" s="162">
        <f>$E$50</f>
        <v>4.7365620009999998E-2</v>
      </c>
      <c r="W50" s="162" t="e">
        <f>$F$50</f>
        <v>#DIV/0!</v>
      </c>
      <c r="X50" s="162" t="e">
        <f>$G$50</f>
        <v>#DIV/0!</v>
      </c>
      <c r="Y50" s="162" t="e">
        <f>$H$50</f>
        <v>#DIV/0!</v>
      </c>
      <c r="Z50" s="162" t="e">
        <f>$I$50</f>
        <v>#DIV/0!</v>
      </c>
      <c r="AA50" s="162" t="e">
        <f>$J$50</f>
        <v>#DIV/0!</v>
      </c>
      <c r="AB50" s="162" t="e">
        <f>$K$50</f>
        <v>#DIV/0!</v>
      </c>
      <c r="AC50" s="162" t="e">
        <f>$L$50</f>
        <v>#DIV/0!</v>
      </c>
      <c r="AD50" s="162" t="e">
        <f>$M$50</f>
        <v>#DIV/0!</v>
      </c>
      <c r="AE50" s="162" t="e">
        <f>$N$50</f>
        <v>#DIV/0!</v>
      </c>
      <c r="AF50" s="162" t="e">
        <f>$O$50</f>
        <v>#DIV/0!</v>
      </c>
    </row>
    <row r="51" spans="1:32">
      <c r="A51" s="69" t="s">
        <v>152</v>
      </c>
      <c r="B51" t="s">
        <v>153</v>
      </c>
      <c r="C51" s="162">
        <v>0.16279069767400001</v>
      </c>
      <c r="D51" s="162">
        <v>0.34285714285699997</v>
      </c>
      <c r="E51" s="162">
        <v>0</v>
      </c>
      <c r="F51" s="157" t="e">
        <f t="shared" si="1"/>
        <v>#DIV/0!</v>
      </c>
      <c r="G51" s="157" t="e">
        <f t="shared" si="1"/>
        <v>#DIV/0!</v>
      </c>
      <c r="H51" s="157" t="e">
        <f t="shared" si="1"/>
        <v>#DIV/0!</v>
      </c>
      <c r="I51" s="157" t="e">
        <f t="shared" si="1"/>
        <v>#DIV/0!</v>
      </c>
      <c r="J51" s="157" t="e">
        <f t="shared" si="1"/>
        <v>#DIV/0!</v>
      </c>
      <c r="K51" s="157" t="e">
        <f t="shared" si="1"/>
        <v>#DIV/0!</v>
      </c>
      <c r="L51" s="157" t="e">
        <f t="shared" si="1"/>
        <v>#DIV/0!</v>
      </c>
      <c r="M51" s="157" t="e">
        <f t="shared" si="1"/>
        <v>#DIV/0!</v>
      </c>
      <c r="N51" s="157" t="e">
        <f t="shared" si="1"/>
        <v>#DIV/0!</v>
      </c>
      <c r="O51" s="157" t="e">
        <f t="shared" si="1"/>
        <v>#DIV/0!</v>
      </c>
      <c r="P51" s="82"/>
      <c r="Q51" s="247" t="s">
        <v>447</v>
      </c>
      <c r="R51" s="244" t="s">
        <v>464</v>
      </c>
      <c r="S51" s="96"/>
      <c r="T51" s="162">
        <f>$C$51</f>
        <v>0.16279069767400001</v>
      </c>
      <c r="U51" s="162">
        <f>$D$51</f>
        <v>0.34285714285699997</v>
      </c>
      <c r="V51" s="162">
        <f>$E$51</f>
        <v>0</v>
      </c>
      <c r="W51" s="162" t="e">
        <f>$F$51</f>
        <v>#DIV/0!</v>
      </c>
      <c r="X51" s="162" t="e">
        <f>$G$51</f>
        <v>#DIV/0!</v>
      </c>
      <c r="Y51" s="162" t="e">
        <f>$H$51</f>
        <v>#DIV/0!</v>
      </c>
      <c r="Z51" s="162" t="e">
        <f>$I$51</f>
        <v>#DIV/0!</v>
      </c>
      <c r="AA51" s="162" t="e">
        <f>$J$51</f>
        <v>#DIV/0!</v>
      </c>
      <c r="AB51" s="162" t="e">
        <f>$K$51</f>
        <v>#DIV/0!</v>
      </c>
      <c r="AC51" s="162" t="e">
        <f>$L$51</f>
        <v>#DIV/0!</v>
      </c>
      <c r="AD51" s="162" t="e">
        <f>$M$51</f>
        <v>#DIV/0!</v>
      </c>
      <c r="AE51" s="162" t="e">
        <f>$N$51</f>
        <v>#DIV/0!</v>
      </c>
      <c r="AF51" s="162" t="e">
        <f>$O$51</f>
        <v>#DIV/0!</v>
      </c>
    </row>
    <row r="52" spans="1:32">
      <c r="A52" s="69" t="s">
        <v>146</v>
      </c>
      <c r="B52" t="s">
        <v>153</v>
      </c>
      <c r="C52" s="162">
        <v>2.6151930261E-2</v>
      </c>
      <c r="D52" s="162">
        <v>1.7615176151E-2</v>
      </c>
      <c r="E52" s="162">
        <v>4.0293040293000001E-2</v>
      </c>
      <c r="F52" s="157" t="e">
        <f t="shared" si="1"/>
        <v>#DIV/0!</v>
      </c>
      <c r="G52" s="157" t="e">
        <f t="shared" si="1"/>
        <v>#DIV/0!</v>
      </c>
      <c r="H52" s="157" t="e">
        <f t="shared" si="1"/>
        <v>#DIV/0!</v>
      </c>
      <c r="I52" s="157" t="e">
        <f t="shared" si="1"/>
        <v>#DIV/0!</v>
      </c>
      <c r="J52" s="157" t="e">
        <f t="shared" si="1"/>
        <v>#DIV/0!</v>
      </c>
      <c r="K52" s="157" t="e">
        <f t="shared" si="1"/>
        <v>#DIV/0!</v>
      </c>
      <c r="L52" s="157" t="e">
        <f t="shared" si="1"/>
        <v>#DIV/0!</v>
      </c>
      <c r="M52" s="157" t="e">
        <f t="shared" si="1"/>
        <v>#DIV/0!</v>
      </c>
      <c r="N52" s="157" t="e">
        <f t="shared" si="1"/>
        <v>#DIV/0!</v>
      </c>
      <c r="O52" s="157" t="e">
        <f t="shared" si="1"/>
        <v>#DIV/0!</v>
      </c>
      <c r="P52" s="82"/>
      <c r="Q52" s="295"/>
      <c r="R52" s="244" t="s">
        <v>465</v>
      </c>
      <c r="S52" s="96"/>
      <c r="T52" s="162">
        <f>$C$52</f>
        <v>2.6151930261E-2</v>
      </c>
      <c r="U52" s="162">
        <f>$D$52</f>
        <v>1.7615176151E-2</v>
      </c>
      <c r="V52" s="162">
        <f>$E$52</f>
        <v>4.0293040293000001E-2</v>
      </c>
      <c r="W52" s="162" t="e">
        <f>$F$52</f>
        <v>#DIV/0!</v>
      </c>
      <c r="X52" s="162" t="e">
        <f>$G$52</f>
        <v>#DIV/0!</v>
      </c>
      <c r="Y52" s="162" t="e">
        <f>$H$52</f>
        <v>#DIV/0!</v>
      </c>
      <c r="Z52" s="162" t="e">
        <f>$I$52</f>
        <v>#DIV/0!</v>
      </c>
      <c r="AA52" s="162" t="e">
        <f>$J$52</f>
        <v>#DIV/0!</v>
      </c>
      <c r="AB52" s="162" t="e">
        <f>$K$52</f>
        <v>#DIV/0!</v>
      </c>
      <c r="AC52" s="162" t="e">
        <f>$L$52</f>
        <v>#DIV/0!</v>
      </c>
      <c r="AD52" s="162" t="e">
        <f>$M$52</f>
        <v>#DIV/0!</v>
      </c>
      <c r="AE52" s="162" t="e">
        <f>$N$52</f>
        <v>#DIV/0!</v>
      </c>
      <c r="AF52" s="162" t="e">
        <f>$O$52</f>
        <v>#DIV/0!</v>
      </c>
    </row>
    <row r="53" spans="1:32">
      <c r="A53" s="69" t="s">
        <v>171</v>
      </c>
      <c r="B53" s="71" t="s">
        <v>178</v>
      </c>
      <c r="C53" s="162">
        <v>5.9782608695000003E-2</v>
      </c>
      <c r="D53" s="162">
        <v>4.1176470588000003E-2</v>
      </c>
      <c r="E53" s="162">
        <v>4.2007001166000001E-2</v>
      </c>
      <c r="F53" s="157" t="e">
        <f t="shared" si="1"/>
        <v>#DIV/0!</v>
      </c>
      <c r="G53" s="157" t="e">
        <f t="shared" si="1"/>
        <v>#DIV/0!</v>
      </c>
      <c r="H53" s="157" t="e">
        <f t="shared" si="1"/>
        <v>#DIV/0!</v>
      </c>
      <c r="I53" s="157" t="e">
        <f t="shared" si="1"/>
        <v>#DIV/0!</v>
      </c>
      <c r="J53" s="157" t="e">
        <f t="shared" si="1"/>
        <v>#DIV/0!</v>
      </c>
      <c r="K53" s="157" t="e">
        <f t="shared" si="1"/>
        <v>#DIV/0!</v>
      </c>
      <c r="L53" s="157" t="e">
        <f t="shared" si="1"/>
        <v>#DIV/0!</v>
      </c>
      <c r="M53" s="157" t="e">
        <f t="shared" si="1"/>
        <v>#DIV/0!</v>
      </c>
      <c r="N53" s="157" t="e">
        <f t="shared" si="1"/>
        <v>#DIV/0!</v>
      </c>
      <c r="O53" s="157" t="e">
        <f t="shared" si="1"/>
        <v>#DIV/0!</v>
      </c>
      <c r="P53" s="82"/>
      <c r="Q53" s="204"/>
      <c r="R53" s="248" t="s">
        <v>466</v>
      </c>
      <c r="S53" s="96"/>
      <c r="T53" s="162">
        <f>$C$53</f>
        <v>5.9782608695000003E-2</v>
      </c>
      <c r="U53" s="162">
        <f>$D$53</f>
        <v>4.1176470588000003E-2</v>
      </c>
      <c r="V53" s="162">
        <f>$E$53</f>
        <v>4.2007001166000001E-2</v>
      </c>
      <c r="W53" s="162" t="e">
        <f>$F$53</f>
        <v>#DIV/0!</v>
      </c>
      <c r="X53" s="162" t="e">
        <f>$G$53</f>
        <v>#DIV/0!</v>
      </c>
      <c r="Y53" s="162" t="e">
        <f>$H$53</f>
        <v>#DIV/0!</v>
      </c>
      <c r="Z53" s="162" t="e">
        <f>$I$53</f>
        <v>#DIV/0!</v>
      </c>
      <c r="AA53" s="162" t="e">
        <f>$J$53</f>
        <v>#DIV/0!</v>
      </c>
      <c r="AB53" s="162" t="e">
        <f>$K$53</f>
        <v>#DIV/0!</v>
      </c>
      <c r="AC53" s="162" t="e">
        <f>$L$53</f>
        <v>#DIV/0!</v>
      </c>
      <c r="AD53" s="162" t="e">
        <f>$M$53</f>
        <v>#DIV/0!</v>
      </c>
      <c r="AE53" s="162" t="e">
        <f>$N$53</f>
        <v>#DIV/0!</v>
      </c>
      <c r="AF53" s="162" t="e">
        <f>$O$53</f>
        <v>#DIV/0!</v>
      </c>
    </row>
    <row r="54" spans="1:32">
      <c r="A54" s="69" t="s">
        <v>185</v>
      </c>
      <c r="B54" s="71" t="s">
        <v>188</v>
      </c>
      <c r="C54" s="162">
        <v>8.4024896264999996E-2</v>
      </c>
      <c r="D54" s="162">
        <v>8.2744702320000002E-2</v>
      </c>
      <c r="E54" s="162">
        <v>9.6808510638E-2</v>
      </c>
      <c r="F54" s="157" t="e">
        <f t="shared" si="1"/>
        <v>#DIV/0!</v>
      </c>
      <c r="G54" s="157" t="e">
        <f t="shared" si="1"/>
        <v>#DIV/0!</v>
      </c>
      <c r="H54" s="157" t="e">
        <f t="shared" si="1"/>
        <v>#DIV/0!</v>
      </c>
      <c r="I54" s="157" t="e">
        <f t="shared" si="1"/>
        <v>#DIV/0!</v>
      </c>
      <c r="J54" s="157" t="e">
        <f t="shared" si="1"/>
        <v>#DIV/0!</v>
      </c>
      <c r="K54" s="157" t="e">
        <f t="shared" si="1"/>
        <v>#DIV/0!</v>
      </c>
      <c r="L54" s="157" t="e">
        <f t="shared" si="1"/>
        <v>#DIV/0!</v>
      </c>
      <c r="M54" s="157" t="e">
        <f t="shared" si="1"/>
        <v>#DIV/0!</v>
      </c>
      <c r="N54" s="157" t="e">
        <f t="shared" si="1"/>
        <v>#DIV/0!</v>
      </c>
      <c r="O54" s="157" t="e">
        <f t="shared" si="1"/>
        <v>#DIV/0!</v>
      </c>
      <c r="P54" s="82"/>
      <c r="Q54" s="256"/>
      <c r="R54" s="254"/>
      <c r="S54" s="96"/>
      <c r="T54" s="162">
        <f>$C$54</f>
        <v>8.4024896264999996E-2</v>
      </c>
      <c r="U54" s="162">
        <f>$D$54</f>
        <v>8.2744702320000002E-2</v>
      </c>
      <c r="V54" s="162">
        <f>$E$54</f>
        <v>9.6808510638E-2</v>
      </c>
      <c r="W54" s="162" t="e">
        <f>$F$54</f>
        <v>#DIV/0!</v>
      </c>
      <c r="X54" s="162" t="e">
        <f>$G$54</f>
        <v>#DIV/0!</v>
      </c>
      <c r="Y54" s="162" t="e">
        <f>$H$54</f>
        <v>#DIV/0!</v>
      </c>
      <c r="Z54" s="162" t="e">
        <f>$I$54</f>
        <v>#DIV/0!</v>
      </c>
      <c r="AA54" s="162" t="e">
        <f>$J$54</f>
        <v>#DIV/0!</v>
      </c>
      <c r="AB54" s="162" t="e">
        <f>$K$54</f>
        <v>#DIV/0!</v>
      </c>
      <c r="AC54" s="162" t="e">
        <f>$L$54</f>
        <v>#DIV/0!</v>
      </c>
      <c r="AD54" s="162" t="e">
        <f>$M$54</f>
        <v>#DIV/0!</v>
      </c>
      <c r="AE54" s="162" t="e">
        <f>$N$54</f>
        <v>#DIV/0!</v>
      </c>
      <c r="AF54" s="162" t="e">
        <f>$O$54</f>
        <v>#DIV/0!</v>
      </c>
    </row>
    <row r="55" spans="1:32">
      <c r="A55" s="69" t="s">
        <v>142</v>
      </c>
      <c r="B55" t="s">
        <v>153</v>
      </c>
      <c r="C55" s="162">
        <v>0.121951219512</v>
      </c>
      <c r="D55" s="162">
        <v>0.11486486486399999</v>
      </c>
      <c r="E55" s="162">
        <v>8.1632653060999996E-2</v>
      </c>
      <c r="F55" s="157" t="e">
        <f t="shared" si="1"/>
        <v>#DIV/0!</v>
      </c>
      <c r="G55" s="157" t="e">
        <f t="shared" si="1"/>
        <v>#DIV/0!</v>
      </c>
      <c r="H55" s="157" t="e">
        <f t="shared" si="1"/>
        <v>#DIV/0!</v>
      </c>
      <c r="I55" s="157" t="e">
        <f t="shared" si="1"/>
        <v>#DIV/0!</v>
      </c>
      <c r="J55" s="157" t="e">
        <f t="shared" si="1"/>
        <v>#DIV/0!</v>
      </c>
      <c r="K55" s="157" t="e">
        <f t="shared" si="1"/>
        <v>#DIV/0!</v>
      </c>
      <c r="L55" s="157" t="e">
        <f t="shared" si="1"/>
        <v>#DIV/0!</v>
      </c>
      <c r="M55" s="157" t="e">
        <f t="shared" si="1"/>
        <v>#DIV/0!</v>
      </c>
      <c r="N55" s="157" t="e">
        <f t="shared" si="1"/>
        <v>#DIV/0!</v>
      </c>
      <c r="O55" s="157" t="e">
        <f t="shared" si="1"/>
        <v>#DIV/0!</v>
      </c>
      <c r="P55" s="82"/>
      <c r="Q55" s="242"/>
      <c r="R55" s="254"/>
      <c r="S55" s="96"/>
      <c r="T55" s="162">
        <f>$C$55</f>
        <v>0.121951219512</v>
      </c>
      <c r="U55" s="162">
        <f>$D$55</f>
        <v>0.11486486486399999</v>
      </c>
      <c r="V55" s="162">
        <f>$E$55</f>
        <v>8.1632653060999996E-2</v>
      </c>
      <c r="W55" s="162" t="e">
        <f>$F$55</f>
        <v>#DIV/0!</v>
      </c>
      <c r="X55" s="162" t="e">
        <f>$G$55</f>
        <v>#DIV/0!</v>
      </c>
      <c r="Y55" s="162" t="e">
        <f>$H$55</f>
        <v>#DIV/0!</v>
      </c>
      <c r="Z55" s="162" t="e">
        <f>$I$55</f>
        <v>#DIV/0!</v>
      </c>
      <c r="AA55" s="162" t="e">
        <f>$J$55</f>
        <v>#DIV/0!</v>
      </c>
      <c r="AB55" s="162" t="e">
        <f>$K$55</f>
        <v>#DIV/0!</v>
      </c>
      <c r="AC55" s="162" t="e">
        <f>$L$55</f>
        <v>#DIV/0!</v>
      </c>
      <c r="AD55" s="162" t="e">
        <f>$M$55</f>
        <v>#DIV/0!</v>
      </c>
      <c r="AE55" s="162" t="e">
        <f>$N$55</f>
        <v>#DIV/0!</v>
      </c>
      <c r="AF55" s="162" t="e">
        <f>$O$55</f>
        <v>#DIV/0!</v>
      </c>
    </row>
    <row r="56" spans="1:32">
      <c r="A56" s="69" t="s">
        <v>148</v>
      </c>
      <c r="B56" t="s">
        <v>153</v>
      </c>
      <c r="C56" s="162">
        <v>2.1416803953E-2</v>
      </c>
      <c r="D56" s="162">
        <v>3.4246575341999999E-2</v>
      </c>
      <c r="E56" s="162">
        <v>3.0360531308999999E-2</v>
      </c>
      <c r="F56" s="157" t="e">
        <f t="shared" si="1"/>
        <v>#DIV/0!</v>
      </c>
      <c r="G56" s="157" t="e">
        <f t="shared" si="1"/>
        <v>#DIV/0!</v>
      </c>
      <c r="H56" s="157" t="e">
        <f t="shared" si="1"/>
        <v>#DIV/0!</v>
      </c>
      <c r="I56" s="157" t="e">
        <f t="shared" si="1"/>
        <v>#DIV/0!</v>
      </c>
      <c r="J56" s="157" t="e">
        <f t="shared" si="1"/>
        <v>#DIV/0!</v>
      </c>
      <c r="K56" s="157" t="e">
        <f t="shared" si="1"/>
        <v>#DIV/0!</v>
      </c>
      <c r="L56" s="157" t="e">
        <f t="shared" si="1"/>
        <v>#DIV/0!</v>
      </c>
      <c r="M56" s="157" t="e">
        <f t="shared" si="1"/>
        <v>#DIV/0!</v>
      </c>
      <c r="N56" s="157" t="e">
        <f t="shared" si="1"/>
        <v>#DIV/0!</v>
      </c>
      <c r="O56" s="157" t="e">
        <f t="shared" si="1"/>
        <v>#DIV/0!</v>
      </c>
      <c r="P56" s="82"/>
      <c r="Q56" s="9"/>
      <c r="R56" s="9"/>
      <c r="S56" s="96"/>
      <c r="T56" s="162">
        <f>$C$56</f>
        <v>2.1416803953E-2</v>
      </c>
      <c r="U56" s="162">
        <f>$D$56</f>
        <v>3.4246575341999999E-2</v>
      </c>
      <c r="V56" s="162">
        <f>$E$56</f>
        <v>3.0360531308999999E-2</v>
      </c>
      <c r="W56" s="162" t="e">
        <f>$F$56</f>
        <v>#DIV/0!</v>
      </c>
      <c r="X56" s="162" t="e">
        <f>$G$56</f>
        <v>#DIV/0!</v>
      </c>
      <c r="Y56" s="162" t="e">
        <f>$H$56</f>
        <v>#DIV/0!</v>
      </c>
      <c r="Z56" s="162" t="e">
        <f>$I$56</f>
        <v>#DIV/0!</v>
      </c>
      <c r="AA56" s="162" t="e">
        <f>$J$56</f>
        <v>#DIV/0!</v>
      </c>
      <c r="AB56" s="162" t="e">
        <f>$K$56</f>
        <v>#DIV/0!</v>
      </c>
      <c r="AC56" s="162" t="e">
        <f>$L$56</f>
        <v>#DIV/0!</v>
      </c>
      <c r="AD56" s="162" t="e">
        <f>$M$56</f>
        <v>#DIV/0!</v>
      </c>
      <c r="AE56" s="162" t="e">
        <f>$N$56</f>
        <v>#DIV/0!</v>
      </c>
      <c r="AF56" s="162" t="e">
        <f>$O$56</f>
        <v>#DIV/0!</v>
      </c>
    </row>
    <row r="57" spans="1:32" ht="23.65" thickBot="1">
      <c r="A57" s="69" t="s">
        <v>156</v>
      </c>
      <c r="B57" s="71" t="s">
        <v>158</v>
      </c>
      <c r="C57" s="162">
        <v>6.8692206076000004E-2</v>
      </c>
      <c r="D57" s="162">
        <v>9.1836734692999994E-2</v>
      </c>
      <c r="E57" s="162">
        <v>6.8441064637999996E-2</v>
      </c>
      <c r="F57" s="157" t="e">
        <f t="shared" si="1"/>
        <v>#DIV/0!</v>
      </c>
      <c r="G57" s="157" t="e">
        <f t="shared" si="1"/>
        <v>#DIV/0!</v>
      </c>
      <c r="H57" s="157" t="e">
        <f t="shared" si="1"/>
        <v>#DIV/0!</v>
      </c>
      <c r="I57" s="157" t="e">
        <f t="shared" si="1"/>
        <v>#DIV/0!</v>
      </c>
      <c r="J57" s="157" t="e">
        <f t="shared" si="1"/>
        <v>#DIV/0!</v>
      </c>
      <c r="K57" s="157" t="e">
        <f t="shared" si="1"/>
        <v>#DIV/0!</v>
      </c>
      <c r="L57" s="157" t="e">
        <f t="shared" si="1"/>
        <v>#DIV/0!</v>
      </c>
      <c r="M57" s="157" t="e">
        <f t="shared" si="1"/>
        <v>#DIV/0!</v>
      </c>
      <c r="N57" s="157" t="e">
        <f t="shared" si="1"/>
        <v>#DIV/0!</v>
      </c>
      <c r="O57" s="157" t="e">
        <f t="shared" si="1"/>
        <v>#DIV/0!</v>
      </c>
      <c r="P57" s="82"/>
      <c r="Q57" s="318" t="s">
        <v>46</v>
      </c>
      <c r="R57" s="318"/>
      <c r="S57" s="82"/>
      <c r="T57" s="162">
        <f>$C$57</f>
        <v>6.8692206076000004E-2</v>
      </c>
      <c r="U57" s="162">
        <f>$D$57</f>
        <v>9.1836734692999994E-2</v>
      </c>
      <c r="V57" s="162">
        <f>$E$57</f>
        <v>6.8441064637999996E-2</v>
      </c>
      <c r="W57" s="162" t="e">
        <f>$F$57</f>
        <v>#DIV/0!</v>
      </c>
      <c r="X57" s="162" t="e">
        <f>$G$57</f>
        <v>#DIV/0!</v>
      </c>
      <c r="Y57" s="162" t="e">
        <f>$H$57</f>
        <v>#DIV/0!</v>
      </c>
      <c r="Z57" s="162" t="e">
        <f>$I$57</f>
        <v>#DIV/0!</v>
      </c>
      <c r="AA57" s="162" t="e">
        <f>$J$57</f>
        <v>#DIV/0!</v>
      </c>
      <c r="AB57" s="162" t="e">
        <f>$K$57</f>
        <v>#DIV/0!</v>
      </c>
      <c r="AC57" s="162" t="e">
        <f>$L$57</f>
        <v>#DIV/0!</v>
      </c>
      <c r="AD57" s="162" t="e">
        <f>$M$57</f>
        <v>#DIV/0!</v>
      </c>
      <c r="AE57" s="162" t="e">
        <f>$N$57</f>
        <v>#DIV/0!</v>
      </c>
      <c r="AF57" s="162" t="e">
        <f>$O$57</f>
        <v>#DIV/0!</v>
      </c>
    </row>
    <row r="58" spans="1:32">
      <c r="A58" s="69" t="s">
        <v>149</v>
      </c>
      <c r="B58" t="s">
        <v>153</v>
      </c>
      <c r="C58" s="162">
        <v>0</v>
      </c>
      <c r="D58" s="162">
        <v>0</v>
      </c>
      <c r="E58" s="162">
        <v>0</v>
      </c>
      <c r="F58" s="157" t="e">
        <f t="shared" si="1"/>
        <v>#DIV/0!</v>
      </c>
      <c r="G58" s="157" t="e">
        <f t="shared" si="1"/>
        <v>#DIV/0!</v>
      </c>
      <c r="H58" s="157" t="e">
        <f t="shared" si="1"/>
        <v>#DIV/0!</v>
      </c>
      <c r="I58" s="157" t="e">
        <f t="shared" si="1"/>
        <v>#DIV/0!</v>
      </c>
      <c r="J58" s="157" t="e">
        <f t="shared" si="1"/>
        <v>#DIV/0!</v>
      </c>
      <c r="K58" s="157" t="e">
        <f t="shared" si="1"/>
        <v>#DIV/0!</v>
      </c>
      <c r="L58" s="157" t="e">
        <f t="shared" si="1"/>
        <v>#DIV/0!</v>
      </c>
      <c r="M58" s="157" t="e">
        <f t="shared" si="1"/>
        <v>#DIV/0!</v>
      </c>
      <c r="N58" s="157" t="e">
        <f t="shared" si="1"/>
        <v>#DIV/0!</v>
      </c>
      <c r="O58" s="157" t="e">
        <f t="shared" si="1"/>
        <v>#DIV/0!</v>
      </c>
      <c r="P58" s="82"/>
      <c r="Q58" s="319" t="s">
        <v>66</v>
      </c>
      <c r="R58" s="320"/>
      <c r="S58" s="82"/>
      <c r="T58" s="162">
        <f>$C$58</f>
        <v>0</v>
      </c>
      <c r="U58" s="162">
        <f>$D$58</f>
        <v>0</v>
      </c>
      <c r="V58" s="162">
        <f>$E$58</f>
        <v>0</v>
      </c>
      <c r="W58" s="162" t="e">
        <f>$F$58</f>
        <v>#DIV/0!</v>
      </c>
      <c r="X58" s="162" t="e">
        <f>$G$58</f>
        <v>#DIV/0!</v>
      </c>
      <c r="Y58" s="162" t="e">
        <f>$H$58</f>
        <v>#DIV/0!</v>
      </c>
      <c r="Z58" s="162" t="e">
        <f>$I$58</f>
        <v>#DIV/0!</v>
      </c>
      <c r="AA58" s="162" t="e">
        <f>$J$58</f>
        <v>#DIV/0!</v>
      </c>
      <c r="AB58" s="162" t="e">
        <f>$K$58</f>
        <v>#DIV/0!</v>
      </c>
      <c r="AC58" s="162" t="e">
        <f>$L$58</f>
        <v>#DIV/0!</v>
      </c>
      <c r="AD58" s="162" t="e">
        <f>$M$58</f>
        <v>#DIV/0!</v>
      </c>
      <c r="AE58" s="162" t="e">
        <f>$N$58</f>
        <v>#DIV/0!</v>
      </c>
      <c r="AF58" s="162" t="e">
        <f>$O$58</f>
        <v>#DIV/0!</v>
      </c>
    </row>
    <row r="59" spans="1:32">
      <c r="A59" s="69" t="s">
        <v>157</v>
      </c>
      <c r="B59" s="71" t="s">
        <v>158</v>
      </c>
      <c r="C59" s="162">
        <v>0.13865546218399999</v>
      </c>
      <c r="D59" s="162">
        <v>0.175233644859</v>
      </c>
      <c r="E59" s="162">
        <v>0.23939393939299999</v>
      </c>
      <c r="F59" s="157" t="e">
        <f t="shared" si="1"/>
        <v>#DIV/0!</v>
      </c>
      <c r="G59" s="157" t="e">
        <f t="shared" si="1"/>
        <v>#DIV/0!</v>
      </c>
      <c r="H59" s="157" t="e">
        <f t="shared" si="1"/>
        <v>#DIV/0!</v>
      </c>
      <c r="I59" s="157" t="e">
        <f t="shared" si="1"/>
        <v>#DIV/0!</v>
      </c>
      <c r="J59" s="157" t="e">
        <f t="shared" si="1"/>
        <v>#DIV/0!</v>
      </c>
      <c r="K59" s="157" t="e">
        <f t="shared" si="1"/>
        <v>#DIV/0!</v>
      </c>
      <c r="L59" s="157" t="e">
        <f t="shared" si="1"/>
        <v>#DIV/0!</v>
      </c>
      <c r="M59" s="157" t="e">
        <f t="shared" si="1"/>
        <v>#DIV/0!</v>
      </c>
      <c r="N59" s="157" t="e">
        <f t="shared" si="1"/>
        <v>#DIV/0!</v>
      </c>
      <c r="O59" s="157" t="e">
        <f t="shared" si="1"/>
        <v>#DIV/0!</v>
      </c>
      <c r="P59" s="82"/>
      <c r="Q59" s="56" t="s">
        <v>61</v>
      </c>
      <c r="R59" s="56" t="s">
        <v>62</v>
      </c>
      <c r="S59" s="82"/>
      <c r="T59" s="162">
        <f>$C$59</f>
        <v>0.13865546218399999</v>
      </c>
      <c r="U59" s="162">
        <f>$D$59</f>
        <v>0.175233644859</v>
      </c>
      <c r="V59" s="162">
        <f>$E$59</f>
        <v>0.23939393939299999</v>
      </c>
      <c r="W59" s="162" t="e">
        <f>$F$59</f>
        <v>#DIV/0!</v>
      </c>
      <c r="X59" s="162" t="e">
        <f>$G$59</f>
        <v>#DIV/0!</v>
      </c>
      <c r="Y59" s="162" t="e">
        <f>$H$59</f>
        <v>#DIV/0!</v>
      </c>
      <c r="Z59" s="162" t="e">
        <f>$I$59</f>
        <v>#DIV/0!</v>
      </c>
      <c r="AA59" s="162" t="e">
        <f>$J$59</f>
        <v>#DIV/0!</v>
      </c>
      <c r="AB59" s="162" t="e">
        <f>$K$59</f>
        <v>#DIV/0!</v>
      </c>
      <c r="AC59" s="162" t="e">
        <f>$L$59</f>
        <v>#DIV/0!</v>
      </c>
      <c r="AD59" s="162" t="e">
        <f>$M$59</f>
        <v>#DIV/0!</v>
      </c>
      <c r="AE59" s="162" t="e">
        <f>$N$59</f>
        <v>#DIV/0!</v>
      </c>
      <c r="AF59" s="162" t="e">
        <f>$O$59</f>
        <v>#DIV/0!</v>
      </c>
    </row>
    <row r="60" spans="1:32">
      <c r="A60" s="69" t="s">
        <v>172</v>
      </c>
      <c r="B60" s="71" t="s">
        <v>178</v>
      </c>
      <c r="C60" s="162">
        <v>4.3119266055000001E-2</v>
      </c>
      <c r="D60" s="162">
        <v>3.0549898167E-2</v>
      </c>
      <c r="E60" s="162">
        <v>2.6205450732999999E-2</v>
      </c>
      <c r="F60" s="157" t="e">
        <f t="shared" si="1"/>
        <v>#DIV/0!</v>
      </c>
      <c r="G60" s="157" t="e">
        <f t="shared" si="1"/>
        <v>#DIV/0!</v>
      </c>
      <c r="H60" s="157" t="e">
        <f t="shared" si="1"/>
        <v>#DIV/0!</v>
      </c>
      <c r="I60" s="157" t="e">
        <f t="shared" si="1"/>
        <v>#DIV/0!</v>
      </c>
      <c r="J60" s="157" t="e">
        <f t="shared" si="1"/>
        <v>#DIV/0!</v>
      </c>
      <c r="K60" s="157" t="e">
        <f t="shared" si="1"/>
        <v>#DIV/0!</v>
      </c>
      <c r="L60" s="157" t="e">
        <f t="shared" si="1"/>
        <v>#DIV/0!</v>
      </c>
      <c r="M60" s="157" t="e">
        <f t="shared" si="1"/>
        <v>#DIV/0!</v>
      </c>
      <c r="N60" s="157" t="e">
        <f t="shared" si="1"/>
        <v>#DIV/0!</v>
      </c>
      <c r="O60" s="157" t="e">
        <f t="shared" si="1"/>
        <v>#DIV/0!</v>
      </c>
      <c r="P60" s="82"/>
      <c r="Q60" s="244" t="s">
        <v>392</v>
      </c>
      <c r="R60" s="244" t="s">
        <v>448</v>
      </c>
      <c r="S60" s="82"/>
      <c r="T60" s="162">
        <f>$C$60</f>
        <v>4.3119266055000001E-2</v>
      </c>
      <c r="U60" s="162">
        <f>$D$60</f>
        <v>3.0549898167E-2</v>
      </c>
      <c r="V60" s="162">
        <f>$E$60</f>
        <v>2.6205450732999999E-2</v>
      </c>
      <c r="W60" s="162" t="e">
        <f>$F$60</f>
        <v>#DIV/0!</v>
      </c>
      <c r="X60" s="162" t="e">
        <f>$G$60</f>
        <v>#DIV/0!</v>
      </c>
      <c r="Y60" s="162" t="e">
        <f>$H$60</f>
        <v>#DIV/0!</v>
      </c>
      <c r="Z60" s="162" t="e">
        <f>$I$60</f>
        <v>#DIV/0!</v>
      </c>
      <c r="AA60" s="162" t="e">
        <f>$J$60</f>
        <v>#DIV/0!</v>
      </c>
      <c r="AB60" s="162" t="e">
        <f>$K$60</f>
        <v>#DIV/0!</v>
      </c>
      <c r="AC60" s="162" t="e">
        <f>$L$60</f>
        <v>#DIV/0!</v>
      </c>
      <c r="AD60" s="162" t="e">
        <f>$M$60</f>
        <v>#DIV/0!</v>
      </c>
      <c r="AE60" s="162" t="e">
        <f>$N$60</f>
        <v>#DIV/0!</v>
      </c>
      <c r="AF60" s="162" t="e">
        <f>$O$60</f>
        <v>#DIV/0!</v>
      </c>
    </row>
    <row r="61" spans="1:32">
      <c r="A61" s="69" t="s">
        <v>173</v>
      </c>
      <c r="B61" s="71" t="s">
        <v>178</v>
      </c>
      <c r="C61" s="162">
        <v>3.9364391477000001E-2</v>
      </c>
      <c r="D61" s="162">
        <v>5.0073099415000002E-2</v>
      </c>
      <c r="E61" s="162">
        <v>4.3415859346000001E-2</v>
      </c>
      <c r="F61" s="157" t="e">
        <f t="shared" si="1"/>
        <v>#DIV/0!</v>
      </c>
      <c r="G61" s="157" t="e">
        <f t="shared" si="1"/>
        <v>#DIV/0!</v>
      </c>
      <c r="H61" s="157" t="e">
        <f t="shared" si="1"/>
        <v>#DIV/0!</v>
      </c>
      <c r="I61" s="157" t="e">
        <f t="shared" si="1"/>
        <v>#DIV/0!</v>
      </c>
      <c r="J61" s="157" t="e">
        <f t="shared" si="1"/>
        <v>#DIV/0!</v>
      </c>
      <c r="K61" s="157" t="e">
        <f t="shared" si="1"/>
        <v>#DIV/0!</v>
      </c>
      <c r="L61" s="157" t="e">
        <f t="shared" si="1"/>
        <v>#DIV/0!</v>
      </c>
      <c r="M61" s="157" t="e">
        <f t="shared" si="1"/>
        <v>#DIV/0!</v>
      </c>
      <c r="N61" s="157" t="e">
        <f t="shared" si="1"/>
        <v>#DIV/0!</v>
      </c>
      <c r="O61" s="157" t="e">
        <f t="shared" si="1"/>
        <v>#DIV/0!</v>
      </c>
      <c r="P61" s="82"/>
      <c r="Q61" s="244" t="s">
        <v>393</v>
      </c>
      <c r="R61" s="244" t="s">
        <v>449</v>
      </c>
      <c r="S61" s="82"/>
      <c r="T61" s="162">
        <f>$C$61</f>
        <v>3.9364391477000001E-2</v>
      </c>
      <c r="U61" s="162">
        <f>$D$61</f>
        <v>5.0073099415000002E-2</v>
      </c>
      <c r="V61" s="162">
        <f>$E$61</f>
        <v>4.3415859346000001E-2</v>
      </c>
      <c r="W61" s="162" t="e">
        <f>$F$61</f>
        <v>#DIV/0!</v>
      </c>
      <c r="X61" s="162" t="e">
        <f>$G$61</f>
        <v>#DIV/0!</v>
      </c>
      <c r="Y61" s="162" t="e">
        <f>$H$61</f>
        <v>#DIV/0!</v>
      </c>
      <c r="Z61" s="162" t="e">
        <f>$I$61</f>
        <v>#DIV/0!</v>
      </c>
      <c r="AA61" s="162" t="e">
        <f>$J$61</f>
        <v>#DIV/0!</v>
      </c>
      <c r="AB61" s="162" t="e">
        <f>$K$61</f>
        <v>#DIV/0!</v>
      </c>
      <c r="AC61" s="162" t="e">
        <f>$L$61</f>
        <v>#DIV/0!</v>
      </c>
      <c r="AD61" s="162" t="e">
        <f>$M$61</f>
        <v>#DIV/0!</v>
      </c>
      <c r="AE61" s="162" t="e">
        <f>$N$61</f>
        <v>#DIV/0!</v>
      </c>
      <c r="AF61" s="162" t="e">
        <f>$O$61</f>
        <v>#DIV/0!</v>
      </c>
    </row>
    <row r="62" spans="1:32">
      <c r="A62" s="69" t="s">
        <v>147</v>
      </c>
      <c r="B62" t="s">
        <v>153</v>
      </c>
      <c r="C62" s="8"/>
      <c r="D62" s="8"/>
      <c r="E62" s="162">
        <v>0</v>
      </c>
      <c r="F62" s="157" t="e">
        <f t="shared" si="1"/>
        <v>#DIV/0!</v>
      </c>
      <c r="G62" s="157" t="e">
        <f t="shared" si="1"/>
        <v>#DIV/0!</v>
      </c>
      <c r="H62" s="157" t="e">
        <f t="shared" si="1"/>
        <v>#DIV/0!</v>
      </c>
      <c r="I62" s="157" t="e">
        <f t="shared" si="1"/>
        <v>#DIV/0!</v>
      </c>
      <c r="J62" s="157" t="e">
        <f t="shared" si="1"/>
        <v>#DIV/0!</v>
      </c>
      <c r="K62" s="157" t="e">
        <f t="shared" si="1"/>
        <v>#DIV/0!</v>
      </c>
      <c r="L62" s="157" t="e">
        <f t="shared" si="1"/>
        <v>#DIV/0!</v>
      </c>
      <c r="M62" s="157" t="e">
        <f t="shared" si="1"/>
        <v>#DIV/0!</v>
      </c>
      <c r="N62" s="157" t="e">
        <f t="shared" si="1"/>
        <v>#DIV/0!</v>
      </c>
      <c r="O62" s="157" t="e">
        <f t="shared" si="1"/>
        <v>#DIV/0!</v>
      </c>
      <c r="P62" s="82"/>
      <c r="Q62" s="244" t="s">
        <v>394</v>
      </c>
      <c r="R62" s="244" t="s">
        <v>450</v>
      </c>
      <c r="S62" s="82"/>
      <c r="T62" s="162">
        <f>$C$62</f>
        <v>0</v>
      </c>
      <c r="U62" s="162">
        <f>$D$62</f>
        <v>0</v>
      </c>
      <c r="V62" s="162">
        <f>$E$62</f>
        <v>0</v>
      </c>
      <c r="W62" s="162" t="e">
        <f>$F$62</f>
        <v>#DIV/0!</v>
      </c>
      <c r="X62" s="162" t="e">
        <f>$G$62</f>
        <v>#DIV/0!</v>
      </c>
      <c r="Y62" s="162" t="e">
        <f>$H$62</f>
        <v>#DIV/0!</v>
      </c>
      <c r="Z62" s="162" t="e">
        <f>$I$62</f>
        <v>#DIV/0!</v>
      </c>
      <c r="AA62" s="162" t="e">
        <f>$J$62</f>
        <v>#DIV/0!</v>
      </c>
      <c r="AB62" s="162" t="e">
        <f>$K$62</f>
        <v>#DIV/0!</v>
      </c>
      <c r="AC62" s="162" t="e">
        <f>$L$62</f>
        <v>#DIV/0!</v>
      </c>
      <c r="AD62" s="162" t="e">
        <f>$M$62</f>
        <v>#DIV/0!</v>
      </c>
      <c r="AE62" s="162" t="e">
        <f>$N$62</f>
        <v>#DIV/0!</v>
      </c>
      <c r="AF62" s="162" t="e">
        <f>$O$62</f>
        <v>#DIV/0!</v>
      </c>
    </row>
    <row r="63" spans="1:32">
      <c r="A63" s="68" t="s">
        <v>193</v>
      </c>
      <c r="B63" s="71" t="s">
        <v>162</v>
      </c>
      <c r="C63" s="162">
        <v>2.5617566331E-2</v>
      </c>
      <c r="D63" s="162">
        <v>0.02</v>
      </c>
      <c r="E63" s="162">
        <v>1.7625231910000001E-2</v>
      </c>
      <c r="F63" s="157" t="e">
        <f t="shared" si="1"/>
        <v>#DIV/0!</v>
      </c>
      <c r="G63" s="157" t="e">
        <f t="shared" si="1"/>
        <v>#DIV/0!</v>
      </c>
      <c r="H63" s="157" t="e">
        <f t="shared" si="1"/>
        <v>#DIV/0!</v>
      </c>
      <c r="I63" s="157" t="e">
        <f t="shared" si="1"/>
        <v>#DIV/0!</v>
      </c>
      <c r="J63" s="157" t="e">
        <f t="shared" si="1"/>
        <v>#DIV/0!</v>
      </c>
      <c r="K63" s="157" t="e">
        <f t="shared" si="1"/>
        <v>#DIV/0!</v>
      </c>
      <c r="L63" s="157" t="e">
        <f t="shared" si="1"/>
        <v>#DIV/0!</v>
      </c>
      <c r="M63" s="157" t="e">
        <f t="shared" si="1"/>
        <v>#DIV/0!</v>
      </c>
      <c r="N63" s="157" t="e">
        <f t="shared" si="1"/>
        <v>#DIV/0!</v>
      </c>
      <c r="O63" s="157" t="e">
        <f t="shared" si="1"/>
        <v>#DIV/0!</v>
      </c>
      <c r="P63" s="82"/>
      <c r="Q63" s="244" t="s">
        <v>434</v>
      </c>
      <c r="R63" s="244" t="s">
        <v>451</v>
      </c>
      <c r="S63" s="82"/>
      <c r="T63" s="162">
        <f>$C$63</f>
        <v>2.5617566331E-2</v>
      </c>
      <c r="U63" s="162">
        <f>$D$63</f>
        <v>0.02</v>
      </c>
      <c r="V63" s="162">
        <f>$E$63</f>
        <v>1.7625231910000001E-2</v>
      </c>
      <c r="W63" s="162" t="e">
        <f>$F$63</f>
        <v>#DIV/0!</v>
      </c>
      <c r="X63" s="162" t="e">
        <f>$G$63</f>
        <v>#DIV/0!</v>
      </c>
      <c r="Y63" s="162" t="e">
        <f>$H$63</f>
        <v>#DIV/0!</v>
      </c>
      <c r="Z63" s="162" t="e">
        <f>$I$63</f>
        <v>#DIV/0!</v>
      </c>
      <c r="AA63" s="162" t="e">
        <f>$J$63</f>
        <v>#DIV/0!</v>
      </c>
      <c r="AB63" s="162" t="e">
        <f>$K$63</f>
        <v>#DIV/0!</v>
      </c>
      <c r="AC63" s="162" t="e">
        <f>$L$63</f>
        <v>#DIV/0!</v>
      </c>
      <c r="AD63" s="162" t="e">
        <f>$M$63</f>
        <v>#DIV/0!</v>
      </c>
      <c r="AE63" s="162" t="e">
        <f>$N$63</f>
        <v>#DIV/0!</v>
      </c>
      <c r="AF63" s="162" t="e">
        <f>$O$63</f>
        <v>#DIV/0!</v>
      </c>
    </row>
    <row r="64" spans="1:32">
      <c r="A64" s="68" t="s">
        <v>190</v>
      </c>
      <c r="B64" t="s">
        <v>153</v>
      </c>
      <c r="C64" s="162">
        <v>3.8167938930999998E-2</v>
      </c>
      <c r="D64" s="162">
        <v>2.5787965616000001E-2</v>
      </c>
      <c r="E64" s="162">
        <v>9.9397590361000002E-2</v>
      </c>
      <c r="F64" s="157" t="e">
        <f t="shared" si="1"/>
        <v>#DIV/0!</v>
      </c>
      <c r="G64" s="157" t="e">
        <f t="shared" si="1"/>
        <v>#DIV/0!</v>
      </c>
      <c r="H64" s="157" t="e">
        <f t="shared" si="1"/>
        <v>#DIV/0!</v>
      </c>
      <c r="I64" s="157" t="e">
        <f t="shared" si="1"/>
        <v>#DIV/0!</v>
      </c>
      <c r="J64" s="157" t="e">
        <f t="shared" si="1"/>
        <v>#DIV/0!</v>
      </c>
      <c r="K64" s="157" t="e">
        <f t="shared" si="1"/>
        <v>#DIV/0!</v>
      </c>
      <c r="L64" s="157" t="e">
        <f t="shared" si="1"/>
        <v>#DIV/0!</v>
      </c>
      <c r="M64" s="157" t="e">
        <f t="shared" si="1"/>
        <v>#DIV/0!</v>
      </c>
      <c r="N64" s="157" t="e">
        <f t="shared" si="1"/>
        <v>#DIV/0!</v>
      </c>
      <c r="O64" s="157" t="e">
        <f t="shared" si="1"/>
        <v>#DIV/0!</v>
      </c>
      <c r="P64" s="82"/>
      <c r="Q64" s="244" t="s">
        <v>435</v>
      </c>
      <c r="R64" s="244" t="s">
        <v>452</v>
      </c>
      <c r="S64" s="82"/>
      <c r="T64" s="162">
        <f>$C$64</f>
        <v>3.8167938930999998E-2</v>
      </c>
      <c r="U64" s="162">
        <f>$D$64</f>
        <v>2.5787965616000001E-2</v>
      </c>
      <c r="V64" s="162">
        <f>$E$64</f>
        <v>9.9397590361000002E-2</v>
      </c>
      <c r="W64" s="162" t="e">
        <f>$F$64</f>
        <v>#DIV/0!</v>
      </c>
      <c r="X64" s="162" t="e">
        <f>$G$64</f>
        <v>#DIV/0!</v>
      </c>
      <c r="Y64" s="162" t="e">
        <f>$H$64</f>
        <v>#DIV/0!</v>
      </c>
      <c r="Z64" s="162" t="e">
        <f>$I$64</f>
        <v>#DIV/0!</v>
      </c>
      <c r="AA64" s="162" t="e">
        <f>$J$64</f>
        <v>#DIV/0!</v>
      </c>
      <c r="AB64" s="162" t="e">
        <f>$K$64</f>
        <v>#DIV/0!</v>
      </c>
      <c r="AC64" s="162" t="e">
        <f>$L$64</f>
        <v>#DIV/0!</v>
      </c>
      <c r="AD64" s="162" t="e">
        <f>$M$64</f>
        <v>#DIV/0!</v>
      </c>
      <c r="AE64" s="162" t="e">
        <f>$N$64</f>
        <v>#DIV/0!</v>
      </c>
      <c r="AF64" s="162" t="e">
        <f>$O$64</f>
        <v>#DIV/0!</v>
      </c>
    </row>
    <row r="65" spans="1:32">
      <c r="A65" s="70" t="s">
        <v>187</v>
      </c>
      <c r="B65" s="71" t="s">
        <v>188</v>
      </c>
      <c r="C65" s="162">
        <v>2.7972027972000001E-2</v>
      </c>
      <c r="D65" s="162">
        <v>0</v>
      </c>
      <c r="E65" s="162">
        <v>0</v>
      </c>
      <c r="F65" s="157" t="e">
        <f t="shared" si="1"/>
        <v>#DIV/0!</v>
      </c>
      <c r="G65" s="157" t="e">
        <f t="shared" si="1"/>
        <v>#DIV/0!</v>
      </c>
      <c r="H65" s="157" t="e">
        <f t="shared" si="1"/>
        <v>#DIV/0!</v>
      </c>
      <c r="I65" s="157" t="e">
        <f t="shared" si="1"/>
        <v>#DIV/0!</v>
      </c>
      <c r="J65" s="157" t="e">
        <f t="shared" si="1"/>
        <v>#DIV/0!</v>
      </c>
      <c r="K65" s="157" t="e">
        <f t="shared" si="1"/>
        <v>#DIV/0!</v>
      </c>
      <c r="L65" s="157" t="e">
        <f t="shared" si="1"/>
        <v>#DIV/0!</v>
      </c>
      <c r="M65" s="157" t="e">
        <f t="shared" si="1"/>
        <v>#DIV/0!</v>
      </c>
      <c r="N65" s="157" t="e">
        <f t="shared" si="1"/>
        <v>#DIV/0!</v>
      </c>
      <c r="O65" s="157" t="e">
        <f t="shared" si="1"/>
        <v>#DIV/0!</v>
      </c>
      <c r="P65" s="82"/>
      <c r="Q65" s="244" t="s">
        <v>436</v>
      </c>
      <c r="R65" s="244" t="s">
        <v>453</v>
      </c>
      <c r="S65" s="82"/>
      <c r="T65" s="162">
        <f>$C$65</f>
        <v>2.7972027972000001E-2</v>
      </c>
      <c r="U65" s="162">
        <f>$D$65</f>
        <v>0</v>
      </c>
      <c r="V65" s="162">
        <f>$E$65</f>
        <v>0</v>
      </c>
      <c r="W65" s="162" t="e">
        <f>$F$65</f>
        <v>#DIV/0!</v>
      </c>
      <c r="X65" s="162" t="e">
        <f>$G$65</f>
        <v>#DIV/0!</v>
      </c>
      <c r="Y65" s="162" t="e">
        <f>$H$65</f>
        <v>#DIV/0!</v>
      </c>
      <c r="Z65" s="162" t="e">
        <f>$I$65</f>
        <v>#DIV/0!</v>
      </c>
      <c r="AA65" s="162" t="e">
        <f>$J$65</f>
        <v>#DIV/0!</v>
      </c>
      <c r="AB65" s="162" t="e">
        <f>$K$65</f>
        <v>#DIV/0!</v>
      </c>
      <c r="AC65" s="162" t="e">
        <f>$L$65</f>
        <v>#DIV/0!</v>
      </c>
      <c r="AD65" s="162" t="e">
        <f>$M$65</f>
        <v>#DIV/0!</v>
      </c>
      <c r="AE65" s="162" t="e">
        <f>$N$65</f>
        <v>#DIV/0!</v>
      </c>
      <c r="AF65" s="162" t="e">
        <f>$O$65</f>
        <v>#DIV/0!</v>
      </c>
    </row>
    <row r="66" spans="1:32">
      <c r="A66" s="69" t="s">
        <v>145</v>
      </c>
      <c r="B66" t="s">
        <v>153</v>
      </c>
      <c r="C66" s="162">
        <v>0</v>
      </c>
      <c r="D66" s="162">
        <v>0.21126760563300001</v>
      </c>
      <c r="E66" s="162">
        <v>0.12857142857100001</v>
      </c>
      <c r="F66" s="157" t="e">
        <f t="shared" si="1"/>
        <v>#DIV/0!</v>
      </c>
      <c r="G66" s="157" t="e">
        <f t="shared" si="1"/>
        <v>#DIV/0!</v>
      </c>
      <c r="H66" s="157" t="e">
        <f t="shared" si="1"/>
        <v>#DIV/0!</v>
      </c>
      <c r="I66" s="157" t="e">
        <f t="shared" si="1"/>
        <v>#DIV/0!</v>
      </c>
      <c r="J66" s="157" t="e">
        <f t="shared" si="1"/>
        <v>#DIV/0!</v>
      </c>
      <c r="K66" s="157" t="e">
        <f t="shared" si="1"/>
        <v>#DIV/0!</v>
      </c>
      <c r="L66" s="157" t="e">
        <f t="shared" si="1"/>
        <v>#DIV/0!</v>
      </c>
      <c r="M66" s="157" t="e">
        <f t="shared" si="1"/>
        <v>#DIV/0!</v>
      </c>
      <c r="N66" s="157" t="e">
        <f t="shared" si="1"/>
        <v>#DIV/0!</v>
      </c>
      <c r="O66" s="157" t="e">
        <f t="shared" si="1"/>
        <v>#DIV/0!</v>
      </c>
      <c r="P66" s="82"/>
      <c r="Q66" s="244" t="s">
        <v>437</v>
      </c>
      <c r="R66" s="245" t="s">
        <v>454</v>
      </c>
      <c r="S66" s="82"/>
      <c r="T66" s="162">
        <f>$C$66</f>
        <v>0</v>
      </c>
      <c r="U66" s="162">
        <f>$D$66</f>
        <v>0.21126760563300001</v>
      </c>
      <c r="V66" s="162">
        <f>$E$66</f>
        <v>0.12857142857100001</v>
      </c>
      <c r="W66" s="162" t="e">
        <f>$F$66</f>
        <v>#DIV/0!</v>
      </c>
      <c r="X66" s="162" t="e">
        <f>$G$66</f>
        <v>#DIV/0!</v>
      </c>
      <c r="Y66" s="162" t="e">
        <f>$H$66</f>
        <v>#DIV/0!</v>
      </c>
      <c r="Z66" s="162" t="e">
        <f>$I$66</f>
        <v>#DIV/0!</v>
      </c>
      <c r="AA66" s="162" t="e">
        <f>$J$66</f>
        <v>#DIV/0!</v>
      </c>
      <c r="AB66" s="162" t="e">
        <f>$K$66</f>
        <v>#DIV/0!</v>
      </c>
      <c r="AC66" s="162" t="e">
        <f>$L$66</f>
        <v>#DIV/0!</v>
      </c>
      <c r="AD66" s="162" t="e">
        <f>$M$66</f>
        <v>#DIV/0!</v>
      </c>
      <c r="AE66" s="162" t="e">
        <f>$N$66</f>
        <v>#DIV/0!</v>
      </c>
      <c r="AF66" s="162" t="e">
        <f>$O$66</f>
        <v>#DIV/0!</v>
      </c>
    </row>
    <row r="67" spans="1:32">
      <c r="A67" s="69" t="s">
        <v>174</v>
      </c>
      <c r="B67" s="71" t="s">
        <v>178</v>
      </c>
      <c r="C67" s="162">
        <v>4.8888888887999998E-2</v>
      </c>
      <c r="D67" s="162">
        <v>7.6543209875999996E-2</v>
      </c>
      <c r="E67" s="162">
        <v>0.10182767624</v>
      </c>
      <c r="F67" s="157" t="e">
        <f t="shared" si="1"/>
        <v>#DIV/0!</v>
      </c>
      <c r="G67" s="157" t="e">
        <f t="shared" si="1"/>
        <v>#DIV/0!</v>
      </c>
      <c r="H67" s="157" t="e">
        <f t="shared" si="1"/>
        <v>#DIV/0!</v>
      </c>
      <c r="I67" s="157" t="e">
        <f t="shared" si="1"/>
        <v>#DIV/0!</v>
      </c>
      <c r="J67" s="157" t="e">
        <f t="shared" si="1"/>
        <v>#DIV/0!</v>
      </c>
      <c r="K67" s="157" t="e">
        <f t="shared" si="1"/>
        <v>#DIV/0!</v>
      </c>
      <c r="L67" s="157" t="e">
        <f t="shared" si="1"/>
        <v>#DIV/0!</v>
      </c>
      <c r="M67" s="157" t="e">
        <f t="shared" si="1"/>
        <v>#DIV/0!</v>
      </c>
      <c r="N67" s="157" t="e">
        <f t="shared" si="1"/>
        <v>#DIV/0!</v>
      </c>
      <c r="O67" s="157" t="e">
        <f t="shared" si="1"/>
        <v>#DIV/0!</v>
      </c>
      <c r="P67" s="82"/>
      <c r="Q67" s="244" t="s">
        <v>438</v>
      </c>
      <c r="R67" s="244" t="s">
        <v>455</v>
      </c>
      <c r="S67" s="82"/>
      <c r="T67" s="162">
        <f>$C$67</f>
        <v>4.8888888887999998E-2</v>
      </c>
      <c r="U67" s="162">
        <f>$D$67</f>
        <v>7.6543209875999996E-2</v>
      </c>
      <c r="V67" s="162">
        <f>$E$67</f>
        <v>0.10182767624</v>
      </c>
      <c r="W67" s="162" t="e">
        <f>$F$67</f>
        <v>#DIV/0!</v>
      </c>
      <c r="X67" s="162" t="e">
        <f>$G$67</f>
        <v>#DIV/0!</v>
      </c>
      <c r="Y67" s="162" t="e">
        <f>$H$67</f>
        <v>#DIV/0!</v>
      </c>
      <c r="Z67" s="162" t="e">
        <f>$I$67</f>
        <v>#DIV/0!</v>
      </c>
      <c r="AA67" s="162" t="e">
        <f>$J$67</f>
        <v>#DIV/0!</v>
      </c>
      <c r="AB67" s="162" t="e">
        <f>$K$67</f>
        <v>#DIV/0!</v>
      </c>
      <c r="AC67" s="162" t="e">
        <f>$L$67</f>
        <v>#DIV/0!</v>
      </c>
      <c r="AD67" s="162" t="e">
        <f>$M$67</f>
        <v>#DIV/0!</v>
      </c>
      <c r="AE67" s="162" t="e">
        <f>$N$67</f>
        <v>#DIV/0!</v>
      </c>
      <c r="AF67" s="162" t="e">
        <f>$O$67</f>
        <v>#DIV/0!</v>
      </c>
    </row>
    <row r="68" spans="1:32">
      <c r="A68" s="69" t="s">
        <v>175</v>
      </c>
      <c r="B68" s="71" t="s">
        <v>178</v>
      </c>
      <c r="C68" s="162">
        <v>4.3478260869000002E-2</v>
      </c>
      <c r="D68" s="162">
        <v>6.9343065693E-2</v>
      </c>
      <c r="E68" s="162">
        <v>3.7499999999999999E-2</v>
      </c>
      <c r="F68" s="157" t="e">
        <f t="shared" si="1"/>
        <v>#DIV/0!</v>
      </c>
      <c r="G68" s="157" t="e">
        <f t="shared" si="1"/>
        <v>#DIV/0!</v>
      </c>
      <c r="H68" s="157" t="e">
        <f t="shared" si="1"/>
        <v>#DIV/0!</v>
      </c>
      <c r="I68" s="157" t="e">
        <f t="shared" si="1"/>
        <v>#DIV/0!</v>
      </c>
      <c r="J68" s="157" t="e">
        <f t="shared" si="1"/>
        <v>#DIV/0!</v>
      </c>
      <c r="K68" s="157" t="e">
        <f t="shared" si="1"/>
        <v>#DIV/0!</v>
      </c>
      <c r="L68" s="157" t="e">
        <f t="shared" si="1"/>
        <v>#DIV/0!</v>
      </c>
      <c r="M68" s="157" t="e">
        <f t="shared" si="1"/>
        <v>#DIV/0!</v>
      </c>
      <c r="N68" s="157" t="e">
        <f t="shared" si="1"/>
        <v>#DIV/0!</v>
      </c>
      <c r="O68" s="157" t="e">
        <f t="shared" si="1"/>
        <v>#DIV/0!</v>
      </c>
      <c r="P68" s="82"/>
      <c r="Q68" s="244" t="s">
        <v>439</v>
      </c>
      <c r="R68" s="244" t="s">
        <v>456</v>
      </c>
      <c r="S68" s="82"/>
      <c r="T68" s="162">
        <f>$C$68</f>
        <v>4.3478260869000002E-2</v>
      </c>
      <c r="U68" s="162">
        <f>$D$68</f>
        <v>6.9343065693E-2</v>
      </c>
      <c r="V68" s="162">
        <f>$E$68</f>
        <v>3.7499999999999999E-2</v>
      </c>
      <c r="W68" s="162" t="e">
        <f>$F$68</f>
        <v>#DIV/0!</v>
      </c>
      <c r="X68" s="162" t="e">
        <f>$G$68</f>
        <v>#DIV/0!</v>
      </c>
      <c r="Y68" s="162" t="e">
        <f>$H$68</f>
        <v>#DIV/0!</v>
      </c>
      <c r="Z68" s="162" t="e">
        <f>$I$68</f>
        <v>#DIV/0!</v>
      </c>
      <c r="AA68" s="162" t="e">
        <f>$J$68</f>
        <v>#DIV/0!</v>
      </c>
      <c r="AB68" s="162" t="e">
        <f>$K$68</f>
        <v>#DIV/0!</v>
      </c>
      <c r="AC68" s="162" t="e">
        <f>$L$68</f>
        <v>#DIV/0!</v>
      </c>
      <c r="AD68" s="162" t="e">
        <f>$M$68</f>
        <v>#DIV/0!</v>
      </c>
      <c r="AE68" s="162" t="e">
        <f>$N$68</f>
        <v>#DIV/0!</v>
      </c>
      <c r="AF68" s="162" t="e">
        <f>$O$68</f>
        <v>#DIV/0!</v>
      </c>
    </row>
    <row r="69" spans="1:32">
      <c r="A69" s="69" t="s">
        <v>161</v>
      </c>
      <c r="B69" s="71" t="s">
        <v>162</v>
      </c>
      <c r="C69" s="8"/>
      <c r="D69" s="162">
        <v>0</v>
      </c>
      <c r="E69" s="162">
        <v>0</v>
      </c>
      <c r="F69" s="157" t="e">
        <f t="shared" si="1"/>
        <v>#DIV/0!</v>
      </c>
      <c r="G69" s="157" t="e">
        <f t="shared" si="1"/>
        <v>#DIV/0!</v>
      </c>
      <c r="H69" s="157" t="e">
        <f t="shared" si="1"/>
        <v>#DIV/0!</v>
      </c>
      <c r="I69" s="157" t="e">
        <f t="shared" si="1"/>
        <v>#DIV/0!</v>
      </c>
      <c r="J69" s="157" t="e">
        <f t="shared" si="1"/>
        <v>#DIV/0!</v>
      </c>
      <c r="K69" s="157" t="e">
        <f t="shared" si="1"/>
        <v>#DIV/0!</v>
      </c>
      <c r="L69" s="157" t="e">
        <f t="shared" si="1"/>
        <v>#DIV/0!</v>
      </c>
      <c r="M69" s="157" t="e">
        <f t="shared" si="1"/>
        <v>#DIV/0!</v>
      </c>
      <c r="N69" s="157" t="e">
        <f t="shared" si="1"/>
        <v>#DIV/0!</v>
      </c>
      <c r="O69" s="157" t="e">
        <f t="shared" si="1"/>
        <v>#DIV/0!</v>
      </c>
      <c r="P69" s="82"/>
      <c r="Q69" s="244" t="s">
        <v>440</v>
      </c>
      <c r="R69" s="244" t="s">
        <v>457</v>
      </c>
      <c r="S69" s="82"/>
      <c r="T69" s="162">
        <f>$C$69</f>
        <v>0</v>
      </c>
      <c r="U69" s="162">
        <f>$D$69</f>
        <v>0</v>
      </c>
      <c r="V69" s="162">
        <f>$E$69</f>
        <v>0</v>
      </c>
      <c r="W69" s="162" t="e">
        <f>$F$69</f>
        <v>#DIV/0!</v>
      </c>
      <c r="X69" s="162" t="e">
        <f>$G$69</f>
        <v>#DIV/0!</v>
      </c>
      <c r="Y69" s="162" t="e">
        <f>$H$69</f>
        <v>#DIV/0!</v>
      </c>
      <c r="Z69" s="162" t="e">
        <f>$I$69</f>
        <v>#DIV/0!</v>
      </c>
      <c r="AA69" s="162" t="e">
        <f>$J$69</f>
        <v>#DIV/0!</v>
      </c>
      <c r="AB69" s="162" t="e">
        <f>$K$69</f>
        <v>#DIV/0!</v>
      </c>
      <c r="AC69" s="162" t="e">
        <f>$L$69</f>
        <v>#DIV/0!</v>
      </c>
      <c r="AD69" s="162" t="e">
        <f>$M$69</f>
        <v>#DIV/0!</v>
      </c>
      <c r="AE69" s="162" t="e">
        <f>$N$69</f>
        <v>#DIV/0!</v>
      </c>
      <c r="AF69" s="162" t="e">
        <f>$O$69</f>
        <v>#DIV/0!</v>
      </c>
    </row>
    <row r="70" spans="1:32">
      <c r="A70" s="69" t="s">
        <v>186</v>
      </c>
      <c r="B70" s="71" t="s">
        <v>188</v>
      </c>
      <c r="C70" s="162">
        <v>4.8951048950999998E-2</v>
      </c>
      <c r="D70" s="162">
        <v>5.8441558440999998E-2</v>
      </c>
      <c r="E70" s="162">
        <v>4.1543026705999998E-2</v>
      </c>
      <c r="F70" s="157" t="e">
        <f t="shared" si="1"/>
        <v>#DIV/0!</v>
      </c>
      <c r="G70" s="157" t="e">
        <f t="shared" si="1"/>
        <v>#DIV/0!</v>
      </c>
      <c r="H70" s="157" t="e">
        <f t="shared" si="1"/>
        <v>#DIV/0!</v>
      </c>
      <c r="I70" s="157" t="e">
        <f t="shared" si="1"/>
        <v>#DIV/0!</v>
      </c>
      <c r="J70" s="157" t="e">
        <f t="shared" si="1"/>
        <v>#DIV/0!</v>
      </c>
      <c r="K70" s="157" t="e">
        <f t="shared" si="1"/>
        <v>#DIV/0!</v>
      </c>
      <c r="L70" s="157" t="e">
        <f t="shared" si="1"/>
        <v>#DIV/0!</v>
      </c>
      <c r="M70" s="157" t="e">
        <f t="shared" si="1"/>
        <v>#DIV/0!</v>
      </c>
      <c r="N70" s="157" t="e">
        <f t="shared" si="1"/>
        <v>#DIV/0!</v>
      </c>
      <c r="O70" s="157" t="e">
        <f t="shared" si="1"/>
        <v>#DIV/0!</v>
      </c>
      <c r="P70" s="96"/>
      <c r="Q70" s="244" t="s">
        <v>441</v>
      </c>
      <c r="R70" s="244" t="s">
        <v>458</v>
      </c>
      <c r="S70" s="96"/>
      <c r="T70" s="162">
        <f>$C$70</f>
        <v>4.8951048950999998E-2</v>
      </c>
      <c r="U70" s="162">
        <f>$D$70</f>
        <v>5.8441558440999998E-2</v>
      </c>
      <c r="V70" s="162">
        <f>$E$70</f>
        <v>4.1543026705999998E-2</v>
      </c>
      <c r="W70" s="162" t="e">
        <f>$F$70</f>
        <v>#DIV/0!</v>
      </c>
      <c r="X70" s="162" t="e">
        <f>$G$70</f>
        <v>#DIV/0!</v>
      </c>
      <c r="Y70" s="162" t="e">
        <f>$H$70</f>
        <v>#DIV/0!</v>
      </c>
      <c r="Z70" s="162" t="e">
        <f>$I$70</f>
        <v>#DIV/0!</v>
      </c>
      <c r="AA70" s="162" t="e">
        <f>$J$70</f>
        <v>#DIV/0!</v>
      </c>
      <c r="AB70" s="162" t="e">
        <f>$K$70</f>
        <v>#DIV/0!</v>
      </c>
      <c r="AC70" s="162" t="e">
        <f>$L$70</f>
        <v>#DIV/0!</v>
      </c>
      <c r="AD70" s="162" t="e">
        <f>$M$70</f>
        <v>#DIV/0!</v>
      </c>
      <c r="AE70" s="162" t="e">
        <f>$N$70</f>
        <v>#DIV/0!</v>
      </c>
      <c r="AF70" s="162" t="e">
        <f>$O$70</f>
        <v>#DIV/0!</v>
      </c>
    </row>
    <row r="71" spans="1:32">
      <c r="A71" s="68" t="s">
        <v>191</v>
      </c>
      <c r="B71" t="s">
        <v>153</v>
      </c>
      <c r="C71" s="162">
        <v>4.5529801324000002E-2</v>
      </c>
      <c r="D71" s="162">
        <v>7.3057432431999997E-2</v>
      </c>
      <c r="E71" s="162">
        <v>7.1367521367000003E-2</v>
      </c>
      <c r="F71" s="157" t="e">
        <f t="shared" si="1"/>
        <v>#DIV/0!</v>
      </c>
      <c r="G71" s="157" t="e">
        <f t="shared" si="1"/>
        <v>#DIV/0!</v>
      </c>
      <c r="H71" s="157" t="e">
        <f t="shared" si="1"/>
        <v>#DIV/0!</v>
      </c>
      <c r="I71" s="157" t="e">
        <f t="shared" si="1"/>
        <v>#DIV/0!</v>
      </c>
      <c r="J71" s="157" t="e">
        <f t="shared" si="1"/>
        <v>#DIV/0!</v>
      </c>
      <c r="K71" s="157" t="e">
        <f t="shared" si="1"/>
        <v>#DIV/0!</v>
      </c>
      <c r="L71" s="157" t="e">
        <f t="shared" si="1"/>
        <v>#DIV/0!</v>
      </c>
      <c r="M71" s="157" t="e">
        <f t="shared" si="1"/>
        <v>#DIV/0!</v>
      </c>
      <c r="N71" s="157" t="e">
        <f t="shared" si="1"/>
        <v>#DIV/0!</v>
      </c>
      <c r="O71" s="157" t="e">
        <f t="shared" si="1"/>
        <v>#DIV/0!</v>
      </c>
      <c r="P71" s="96"/>
      <c r="Q71" s="244" t="s">
        <v>442</v>
      </c>
      <c r="R71" s="244" t="s">
        <v>459</v>
      </c>
      <c r="S71" s="96"/>
      <c r="T71" s="162">
        <f>$C$71</f>
        <v>4.5529801324000002E-2</v>
      </c>
      <c r="U71" s="162">
        <f>$D$71</f>
        <v>7.3057432431999997E-2</v>
      </c>
      <c r="V71" s="162">
        <f>$E$71</f>
        <v>7.1367521367000003E-2</v>
      </c>
      <c r="W71" s="162" t="e">
        <f>$F$71</f>
        <v>#DIV/0!</v>
      </c>
      <c r="X71" s="162" t="e">
        <f>$G$71</f>
        <v>#DIV/0!</v>
      </c>
      <c r="Y71" s="162" t="e">
        <f>$H$71</f>
        <v>#DIV/0!</v>
      </c>
      <c r="Z71" s="162" t="e">
        <f>$I$71</f>
        <v>#DIV/0!</v>
      </c>
      <c r="AA71" s="162" t="e">
        <f>$J$71</f>
        <v>#DIV/0!</v>
      </c>
      <c r="AB71" s="162" t="e">
        <f>$K$71</f>
        <v>#DIV/0!</v>
      </c>
      <c r="AC71" s="162" t="e">
        <f>$L$71</f>
        <v>#DIV/0!</v>
      </c>
      <c r="AD71" s="162" t="e">
        <f>$M$71</f>
        <v>#DIV/0!</v>
      </c>
      <c r="AE71" s="162" t="e">
        <f>$N$71</f>
        <v>#DIV/0!</v>
      </c>
      <c r="AF71" s="162" t="e">
        <f>$O$71</f>
        <v>#DIV/0!</v>
      </c>
    </row>
    <row r="72" spans="1:32">
      <c r="A72" s="69" t="s">
        <v>176</v>
      </c>
      <c r="B72" s="71" t="s">
        <v>178</v>
      </c>
      <c r="C72" s="162">
        <v>4.2918454935000003E-2</v>
      </c>
      <c r="D72" s="162">
        <v>4.7210300428999999E-2</v>
      </c>
      <c r="E72" s="162">
        <v>3.7383177570000002E-2</v>
      </c>
      <c r="F72" s="157" t="e">
        <f t="shared" si="1"/>
        <v>#DIV/0!</v>
      </c>
      <c r="G72" s="157" t="e">
        <f t="shared" si="1"/>
        <v>#DIV/0!</v>
      </c>
      <c r="H72" s="157" t="e">
        <f t="shared" si="1"/>
        <v>#DIV/0!</v>
      </c>
      <c r="I72" s="157" t="e">
        <f t="shared" si="1"/>
        <v>#DIV/0!</v>
      </c>
      <c r="J72" s="157" t="e">
        <f t="shared" si="1"/>
        <v>#DIV/0!</v>
      </c>
      <c r="K72" s="157" t="e">
        <f t="shared" si="1"/>
        <v>#DIV/0!</v>
      </c>
      <c r="L72" s="157" t="e">
        <f t="shared" si="1"/>
        <v>#DIV/0!</v>
      </c>
      <c r="M72" s="157" t="e">
        <f t="shared" si="1"/>
        <v>#DIV/0!</v>
      </c>
      <c r="N72" s="157" t="e">
        <f t="shared" si="1"/>
        <v>#DIV/0!</v>
      </c>
      <c r="O72" s="157" t="e">
        <f t="shared" si="1"/>
        <v>#DIV/0!</v>
      </c>
      <c r="P72" s="96"/>
      <c r="Q72" s="244" t="s">
        <v>443</v>
      </c>
      <c r="R72" s="244" t="s">
        <v>460</v>
      </c>
      <c r="S72" s="96"/>
      <c r="T72" s="162">
        <f>$C$72</f>
        <v>4.2918454935000003E-2</v>
      </c>
      <c r="U72" s="162">
        <f>$D$72</f>
        <v>4.7210300428999999E-2</v>
      </c>
      <c r="V72" s="162">
        <f>$E$72</f>
        <v>3.7383177570000002E-2</v>
      </c>
      <c r="W72" s="162" t="e">
        <f>$F$72</f>
        <v>#DIV/0!</v>
      </c>
      <c r="X72" s="162" t="e">
        <f>$G$72</f>
        <v>#DIV/0!</v>
      </c>
      <c r="Y72" s="162" t="e">
        <f>$H$72</f>
        <v>#DIV/0!</v>
      </c>
      <c r="Z72" s="162" t="e">
        <f>$I$72</f>
        <v>#DIV/0!</v>
      </c>
      <c r="AA72" s="162" t="e">
        <f>$J$72</f>
        <v>#DIV/0!</v>
      </c>
      <c r="AB72" s="162" t="e">
        <f>$K$72</f>
        <v>#DIV/0!</v>
      </c>
      <c r="AC72" s="162" t="e">
        <f>$L$72</f>
        <v>#DIV/0!</v>
      </c>
      <c r="AD72" s="162" t="e">
        <f>$M$72</f>
        <v>#DIV/0!</v>
      </c>
      <c r="AE72" s="162" t="e">
        <f>$N$72</f>
        <v>#DIV/0!</v>
      </c>
      <c r="AF72" s="162" t="e">
        <f>$O$72</f>
        <v>#DIV/0!</v>
      </c>
    </row>
    <row r="73" spans="1:32">
      <c r="A73" s="69" t="s">
        <v>150</v>
      </c>
      <c r="B73" t="s">
        <v>153</v>
      </c>
      <c r="C73" s="162">
        <v>4.4755244755E-2</v>
      </c>
      <c r="D73" s="162">
        <v>3.7822349569999997E-2</v>
      </c>
      <c r="E73" s="162">
        <v>4.8574752763000002E-2</v>
      </c>
      <c r="F73" s="157" t="e">
        <f t="shared" si="1"/>
        <v>#DIV/0!</v>
      </c>
      <c r="G73" s="157" t="e">
        <f t="shared" si="1"/>
        <v>#DIV/0!</v>
      </c>
      <c r="H73" s="157" t="e">
        <f t="shared" si="1"/>
        <v>#DIV/0!</v>
      </c>
      <c r="I73" s="157" t="e">
        <f t="shared" si="1"/>
        <v>#DIV/0!</v>
      </c>
      <c r="J73" s="157" t="e">
        <f t="shared" si="1"/>
        <v>#DIV/0!</v>
      </c>
      <c r="K73" s="157" t="e">
        <f t="shared" si="1"/>
        <v>#DIV/0!</v>
      </c>
      <c r="L73" s="157" t="e">
        <f t="shared" si="1"/>
        <v>#DIV/0!</v>
      </c>
      <c r="M73" s="157" t="e">
        <f t="shared" si="1"/>
        <v>#DIV/0!</v>
      </c>
      <c r="N73" s="157" t="e">
        <f t="shared" si="1"/>
        <v>#DIV/0!</v>
      </c>
      <c r="O73" s="157" t="e">
        <f t="shared" si="1"/>
        <v>#DIV/0!</v>
      </c>
      <c r="P73" s="96"/>
      <c r="Q73" s="244" t="s">
        <v>444</v>
      </c>
      <c r="R73" s="245" t="s">
        <v>461</v>
      </c>
      <c r="S73" s="96"/>
      <c r="T73" s="162">
        <f>$C$73</f>
        <v>4.4755244755E-2</v>
      </c>
      <c r="U73" s="162">
        <f>$D$73</f>
        <v>3.7822349569999997E-2</v>
      </c>
      <c r="V73" s="162">
        <f>$E$73</f>
        <v>4.8574752763000002E-2</v>
      </c>
      <c r="W73" s="162" t="e">
        <f>$F$73</f>
        <v>#DIV/0!</v>
      </c>
      <c r="X73" s="162" t="e">
        <f>$G$73</f>
        <v>#DIV/0!</v>
      </c>
      <c r="Y73" s="162" t="e">
        <f>$H$73</f>
        <v>#DIV/0!</v>
      </c>
      <c r="Z73" s="162" t="e">
        <f>$I$73</f>
        <v>#DIV/0!</v>
      </c>
      <c r="AA73" s="162" t="e">
        <f>$J$73</f>
        <v>#DIV/0!</v>
      </c>
      <c r="AB73" s="162" t="e">
        <f>$K$73</f>
        <v>#DIV/0!</v>
      </c>
      <c r="AC73" s="162" t="e">
        <f>$L$73</f>
        <v>#DIV/0!</v>
      </c>
      <c r="AD73" s="162" t="e">
        <f>$M$73</f>
        <v>#DIV/0!</v>
      </c>
      <c r="AE73" s="162" t="e">
        <f>$N$73</f>
        <v>#DIV/0!</v>
      </c>
      <c r="AF73" s="162" t="e">
        <f>$O$73</f>
        <v>#DIV/0!</v>
      </c>
    </row>
    <row r="74" spans="1:32">
      <c r="A74" s="69" t="s">
        <v>183</v>
      </c>
      <c r="B74" s="71" t="s">
        <v>188</v>
      </c>
      <c r="C74" s="162">
        <v>5.3719008264000001E-2</v>
      </c>
      <c r="D74" s="162">
        <v>3.0364372468999999E-2</v>
      </c>
      <c r="E74" s="162">
        <v>4.9701789263999999E-2</v>
      </c>
      <c r="F74" s="157" t="e">
        <f t="shared" ref="F74:O79" si="2">1/0</f>
        <v>#DIV/0!</v>
      </c>
      <c r="G74" s="157" t="e">
        <f t="shared" si="2"/>
        <v>#DIV/0!</v>
      </c>
      <c r="H74" s="157" t="e">
        <f t="shared" si="2"/>
        <v>#DIV/0!</v>
      </c>
      <c r="I74" s="157" t="e">
        <f t="shared" si="2"/>
        <v>#DIV/0!</v>
      </c>
      <c r="J74" s="157" t="e">
        <f t="shared" si="2"/>
        <v>#DIV/0!</v>
      </c>
      <c r="K74" s="157" t="e">
        <f t="shared" si="2"/>
        <v>#DIV/0!</v>
      </c>
      <c r="L74" s="157" t="e">
        <f t="shared" si="2"/>
        <v>#DIV/0!</v>
      </c>
      <c r="M74" s="157" t="e">
        <f t="shared" si="2"/>
        <v>#DIV/0!</v>
      </c>
      <c r="N74" s="157" t="e">
        <f t="shared" si="2"/>
        <v>#DIV/0!</v>
      </c>
      <c r="O74" s="157" t="e">
        <f t="shared" si="2"/>
        <v>#DIV/0!</v>
      </c>
      <c r="P74" s="96"/>
      <c r="Q74" s="244" t="s">
        <v>445</v>
      </c>
      <c r="R74" s="244" t="s">
        <v>462</v>
      </c>
      <c r="S74" s="96"/>
      <c r="T74" s="162">
        <f>$C$74</f>
        <v>5.3719008264000001E-2</v>
      </c>
      <c r="U74" s="162">
        <f>$D$74</f>
        <v>3.0364372468999999E-2</v>
      </c>
      <c r="V74" s="162">
        <f>$E$74</f>
        <v>4.9701789263999999E-2</v>
      </c>
      <c r="W74" s="162" t="e">
        <f>$F$74</f>
        <v>#DIV/0!</v>
      </c>
      <c r="X74" s="162" t="e">
        <f>$G$74</f>
        <v>#DIV/0!</v>
      </c>
      <c r="Y74" s="162" t="e">
        <f>$H$74</f>
        <v>#DIV/0!</v>
      </c>
      <c r="Z74" s="162" t="e">
        <f>$I$74</f>
        <v>#DIV/0!</v>
      </c>
      <c r="AA74" s="162" t="e">
        <f>$J$74</f>
        <v>#DIV/0!</v>
      </c>
      <c r="AB74" s="162" t="e">
        <f>$K$74</f>
        <v>#DIV/0!</v>
      </c>
      <c r="AC74" s="162" t="e">
        <f>$L$74</f>
        <v>#DIV/0!</v>
      </c>
      <c r="AD74" s="162" t="e">
        <f>$M$74</f>
        <v>#DIV/0!</v>
      </c>
      <c r="AE74" s="162" t="e">
        <f>$N$74</f>
        <v>#DIV/0!</v>
      </c>
      <c r="AF74" s="162" t="e">
        <f>$O$74</f>
        <v>#DIV/0!</v>
      </c>
    </row>
    <row r="75" spans="1:32">
      <c r="A75" s="69" t="s">
        <v>177</v>
      </c>
      <c r="B75" s="71" t="s">
        <v>178</v>
      </c>
      <c r="C75" s="162">
        <v>7.2519083969000003E-2</v>
      </c>
      <c r="D75" s="162">
        <v>5.0980392155999997E-2</v>
      </c>
      <c r="E75" s="162">
        <v>8.2677165354000007E-2</v>
      </c>
      <c r="F75" s="157" t="e">
        <f t="shared" si="2"/>
        <v>#DIV/0!</v>
      </c>
      <c r="G75" s="157" t="e">
        <f t="shared" si="2"/>
        <v>#DIV/0!</v>
      </c>
      <c r="H75" s="157" t="e">
        <f t="shared" si="2"/>
        <v>#DIV/0!</v>
      </c>
      <c r="I75" s="157" t="e">
        <f t="shared" si="2"/>
        <v>#DIV/0!</v>
      </c>
      <c r="J75" s="157" t="e">
        <f t="shared" si="2"/>
        <v>#DIV/0!</v>
      </c>
      <c r="K75" s="157" t="e">
        <f t="shared" si="2"/>
        <v>#DIV/0!</v>
      </c>
      <c r="L75" s="157" t="e">
        <f t="shared" si="2"/>
        <v>#DIV/0!</v>
      </c>
      <c r="M75" s="157" t="e">
        <f t="shared" si="2"/>
        <v>#DIV/0!</v>
      </c>
      <c r="N75" s="157" t="e">
        <f t="shared" si="2"/>
        <v>#DIV/0!</v>
      </c>
      <c r="O75" s="157" t="e">
        <f t="shared" si="2"/>
        <v>#DIV/0!</v>
      </c>
      <c r="P75" s="96"/>
      <c r="Q75" s="246" t="s">
        <v>446</v>
      </c>
      <c r="R75" s="244" t="s">
        <v>463</v>
      </c>
      <c r="S75" s="96"/>
      <c r="T75" s="162">
        <f>$C$75</f>
        <v>7.2519083969000003E-2</v>
      </c>
      <c r="U75" s="162">
        <f>$D$75</f>
        <v>5.0980392155999997E-2</v>
      </c>
      <c r="V75" s="162">
        <f>$E$75</f>
        <v>8.2677165354000007E-2</v>
      </c>
      <c r="W75" s="162" t="e">
        <f>$F$75</f>
        <v>#DIV/0!</v>
      </c>
      <c r="X75" s="162" t="e">
        <f>$G$75</f>
        <v>#DIV/0!</v>
      </c>
      <c r="Y75" s="162" t="e">
        <f>$H$75</f>
        <v>#DIV/0!</v>
      </c>
      <c r="Z75" s="162" t="e">
        <f>$I$75</f>
        <v>#DIV/0!</v>
      </c>
      <c r="AA75" s="162" t="e">
        <f>$J$75</f>
        <v>#DIV/0!</v>
      </c>
      <c r="AB75" s="162" t="e">
        <f>$K$75</f>
        <v>#DIV/0!</v>
      </c>
      <c r="AC75" s="162" t="e">
        <f>$L$75</f>
        <v>#DIV/0!</v>
      </c>
      <c r="AD75" s="162" t="e">
        <f>$M$75</f>
        <v>#DIV/0!</v>
      </c>
      <c r="AE75" s="162" t="e">
        <f>$N$75</f>
        <v>#DIV/0!</v>
      </c>
      <c r="AF75" s="162" t="e">
        <f>$O$75</f>
        <v>#DIV/0!</v>
      </c>
    </row>
    <row r="76" spans="1:32">
      <c r="A76" s="69" t="s">
        <v>180</v>
      </c>
      <c r="B76" s="71" t="s">
        <v>188</v>
      </c>
      <c r="C76" s="162">
        <v>6.7988668555000006E-2</v>
      </c>
      <c r="D76" s="162">
        <v>7.7419354837999999E-2</v>
      </c>
      <c r="E76" s="162">
        <v>3.9087947881999999E-2</v>
      </c>
      <c r="F76" s="157" t="e">
        <f t="shared" si="2"/>
        <v>#DIV/0!</v>
      </c>
      <c r="G76" s="157" t="e">
        <f t="shared" si="2"/>
        <v>#DIV/0!</v>
      </c>
      <c r="H76" s="157" t="e">
        <f t="shared" si="2"/>
        <v>#DIV/0!</v>
      </c>
      <c r="I76" s="157" t="e">
        <f t="shared" si="2"/>
        <v>#DIV/0!</v>
      </c>
      <c r="J76" s="157" t="e">
        <f t="shared" si="2"/>
        <v>#DIV/0!</v>
      </c>
      <c r="K76" s="157" t="e">
        <f t="shared" si="2"/>
        <v>#DIV/0!</v>
      </c>
      <c r="L76" s="157" t="e">
        <f t="shared" si="2"/>
        <v>#DIV/0!</v>
      </c>
      <c r="M76" s="157" t="e">
        <f t="shared" si="2"/>
        <v>#DIV/0!</v>
      </c>
      <c r="N76" s="157" t="e">
        <f t="shared" si="2"/>
        <v>#DIV/0!</v>
      </c>
      <c r="O76" s="157" t="e">
        <f t="shared" si="2"/>
        <v>#DIV/0!</v>
      </c>
      <c r="P76" s="96"/>
      <c r="Q76" s="247" t="s">
        <v>447</v>
      </c>
      <c r="R76" s="244" t="s">
        <v>464</v>
      </c>
      <c r="S76" s="96"/>
      <c r="T76" s="162">
        <f>$C$76</f>
        <v>6.7988668555000006E-2</v>
      </c>
      <c r="U76" s="162">
        <f>$D$76</f>
        <v>7.7419354837999999E-2</v>
      </c>
      <c r="V76" s="162">
        <f>$E$76</f>
        <v>3.9087947881999999E-2</v>
      </c>
      <c r="W76" s="162" t="e">
        <f>$F$76</f>
        <v>#DIV/0!</v>
      </c>
      <c r="X76" s="162" t="e">
        <f>$G$76</f>
        <v>#DIV/0!</v>
      </c>
      <c r="Y76" s="162" t="e">
        <f>$H$76</f>
        <v>#DIV/0!</v>
      </c>
      <c r="Z76" s="162" t="e">
        <f>$I$76</f>
        <v>#DIV/0!</v>
      </c>
      <c r="AA76" s="162" t="e">
        <f>$J$76</f>
        <v>#DIV/0!</v>
      </c>
      <c r="AB76" s="162" t="e">
        <f>$K$76</f>
        <v>#DIV/0!</v>
      </c>
      <c r="AC76" s="162" t="e">
        <f>$L$76</f>
        <v>#DIV/0!</v>
      </c>
      <c r="AD76" s="162" t="e">
        <f>$M$76</f>
        <v>#DIV/0!</v>
      </c>
      <c r="AE76" s="162" t="e">
        <f>$N$76</f>
        <v>#DIV/0!</v>
      </c>
      <c r="AF76" s="162" t="e">
        <f>$O$76</f>
        <v>#DIV/0!</v>
      </c>
    </row>
    <row r="77" spans="1:32">
      <c r="A77" s="69" t="s">
        <v>151</v>
      </c>
      <c r="B77" t="s">
        <v>153</v>
      </c>
      <c r="C77" s="162">
        <v>2.5518341306999998E-2</v>
      </c>
      <c r="D77" s="162">
        <v>2.6294165981000001E-2</v>
      </c>
      <c r="E77" s="162">
        <v>4.4371405093999998E-2</v>
      </c>
      <c r="F77" s="157" t="e">
        <f t="shared" si="2"/>
        <v>#DIV/0!</v>
      </c>
      <c r="G77" s="157" t="e">
        <f t="shared" si="2"/>
        <v>#DIV/0!</v>
      </c>
      <c r="H77" s="157" t="e">
        <f t="shared" si="2"/>
        <v>#DIV/0!</v>
      </c>
      <c r="I77" s="157" t="e">
        <f t="shared" si="2"/>
        <v>#DIV/0!</v>
      </c>
      <c r="J77" s="157" t="e">
        <f t="shared" si="2"/>
        <v>#DIV/0!</v>
      </c>
      <c r="K77" s="157" t="e">
        <f t="shared" si="2"/>
        <v>#DIV/0!</v>
      </c>
      <c r="L77" s="157" t="e">
        <f t="shared" si="2"/>
        <v>#DIV/0!</v>
      </c>
      <c r="M77" s="157" t="e">
        <f t="shared" si="2"/>
        <v>#DIV/0!</v>
      </c>
      <c r="N77" s="157" t="e">
        <f t="shared" si="2"/>
        <v>#DIV/0!</v>
      </c>
      <c r="O77" s="157" t="e">
        <f t="shared" si="2"/>
        <v>#DIV/0!</v>
      </c>
      <c r="P77" s="96"/>
      <c r="Q77" s="284"/>
      <c r="R77" s="244" t="s">
        <v>465</v>
      </c>
      <c r="S77" s="9"/>
      <c r="T77" s="162">
        <f>$C$77</f>
        <v>2.5518341306999998E-2</v>
      </c>
      <c r="U77" s="162">
        <f>$D$77</f>
        <v>2.6294165981000001E-2</v>
      </c>
      <c r="V77" s="162">
        <f>$E$77</f>
        <v>4.4371405093999998E-2</v>
      </c>
      <c r="W77" s="162" t="e">
        <f>$F$77</f>
        <v>#DIV/0!</v>
      </c>
      <c r="X77" s="162" t="e">
        <f>$G$77</f>
        <v>#DIV/0!</v>
      </c>
      <c r="Y77" s="162" t="e">
        <f>$H$77</f>
        <v>#DIV/0!</v>
      </c>
      <c r="Z77" s="162" t="e">
        <f>$I$77</f>
        <v>#DIV/0!</v>
      </c>
      <c r="AA77" s="162" t="e">
        <f>$J$77</f>
        <v>#DIV/0!</v>
      </c>
      <c r="AB77" s="162" t="e">
        <f>$K$77</f>
        <v>#DIV/0!</v>
      </c>
      <c r="AC77" s="162" t="e">
        <f>$L$77</f>
        <v>#DIV/0!</v>
      </c>
      <c r="AD77" s="162" t="e">
        <f>$M$77</f>
        <v>#DIV/0!</v>
      </c>
      <c r="AE77" s="162" t="e">
        <f>$N$77</f>
        <v>#DIV/0!</v>
      </c>
      <c r="AF77" s="162" t="e">
        <f>$O$77</f>
        <v>#DIV/0!</v>
      </c>
    </row>
    <row r="78" spans="1:32">
      <c r="A78" s="69" t="s">
        <v>144</v>
      </c>
      <c r="B78" t="s">
        <v>153</v>
      </c>
      <c r="C78" s="162">
        <v>2.9723991506999999E-2</v>
      </c>
      <c r="D78" s="162">
        <v>2.3529411763999999E-2</v>
      </c>
      <c r="E78" s="162">
        <v>2.2429906542E-2</v>
      </c>
      <c r="F78" s="157" t="e">
        <f t="shared" si="2"/>
        <v>#DIV/0!</v>
      </c>
      <c r="G78" s="157" t="e">
        <f t="shared" si="2"/>
        <v>#DIV/0!</v>
      </c>
      <c r="H78" s="157" t="e">
        <f t="shared" si="2"/>
        <v>#DIV/0!</v>
      </c>
      <c r="I78" s="157" t="e">
        <f t="shared" si="2"/>
        <v>#DIV/0!</v>
      </c>
      <c r="J78" s="157" t="e">
        <f t="shared" si="2"/>
        <v>#DIV/0!</v>
      </c>
      <c r="K78" s="157" t="e">
        <f t="shared" si="2"/>
        <v>#DIV/0!</v>
      </c>
      <c r="L78" s="157" t="e">
        <f t="shared" si="2"/>
        <v>#DIV/0!</v>
      </c>
      <c r="M78" s="157" t="e">
        <f t="shared" si="2"/>
        <v>#DIV/0!</v>
      </c>
      <c r="N78" s="157" t="e">
        <f t="shared" si="2"/>
        <v>#DIV/0!</v>
      </c>
      <c r="O78" s="157" t="e">
        <f t="shared" si="2"/>
        <v>#DIV/0!</v>
      </c>
      <c r="P78" s="96"/>
      <c r="Q78" s="257"/>
      <c r="R78" s="258" t="s">
        <v>466</v>
      </c>
      <c r="S78" s="9"/>
      <c r="T78" s="162">
        <f>$C$78</f>
        <v>2.9723991506999999E-2</v>
      </c>
      <c r="U78" s="162">
        <f>$D$78</f>
        <v>2.3529411763999999E-2</v>
      </c>
      <c r="V78" s="162">
        <f>$E$78</f>
        <v>2.2429906542E-2</v>
      </c>
      <c r="W78" s="162" t="e">
        <f>$F$78</f>
        <v>#DIV/0!</v>
      </c>
      <c r="X78" s="162" t="e">
        <f>$G$78</f>
        <v>#DIV/0!</v>
      </c>
      <c r="Y78" s="162" t="e">
        <f>$H$78</f>
        <v>#DIV/0!</v>
      </c>
      <c r="Z78" s="162" t="e">
        <f>$I$78</f>
        <v>#DIV/0!</v>
      </c>
      <c r="AA78" s="162" t="e">
        <f>$J$78</f>
        <v>#DIV/0!</v>
      </c>
      <c r="AB78" s="162" t="e">
        <f>$K$78</f>
        <v>#DIV/0!</v>
      </c>
      <c r="AC78" s="162" t="e">
        <f>$L$78</f>
        <v>#DIV/0!</v>
      </c>
      <c r="AD78" s="162" t="e">
        <f>$M$78</f>
        <v>#DIV/0!</v>
      </c>
      <c r="AE78" s="162" t="e">
        <f>$N$78</f>
        <v>#DIV/0!</v>
      </c>
      <c r="AF78" s="162" t="e">
        <f>$O$78</f>
        <v>#DIV/0!</v>
      </c>
    </row>
    <row r="79" spans="1:32">
      <c r="A79" s="68" t="s">
        <v>192</v>
      </c>
      <c r="B79" s="71" t="s">
        <v>158</v>
      </c>
      <c r="C79" s="162">
        <v>3.4246575341999999E-2</v>
      </c>
      <c r="D79" s="162">
        <v>0</v>
      </c>
      <c r="E79" s="162">
        <v>1.7006802721000001E-2</v>
      </c>
      <c r="F79" s="157" t="e">
        <f t="shared" si="2"/>
        <v>#DIV/0!</v>
      </c>
      <c r="G79" s="157" t="e">
        <f t="shared" si="2"/>
        <v>#DIV/0!</v>
      </c>
      <c r="H79" s="157" t="e">
        <f t="shared" si="2"/>
        <v>#DIV/0!</v>
      </c>
      <c r="I79" s="157" t="e">
        <f t="shared" si="2"/>
        <v>#DIV/0!</v>
      </c>
      <c r="J79" s="157" t="e">
        <f t="shared" si="2"/>
        <v>#DIV/0!</v>
      </c>
      <c r="K79" s="157" t="e">
        <f t="shared" si="2"/>
        <v>#DIV/0!</v>
      </c>
      <c r="L79" s="157" t="e">
        <f t="shared" si="2"/>
        <v>#DIV/0!</v>
      </c>
      <c r="M79" s="157" t="e">
        <f t="shared" si="2"/>
        <v>#DIV/0!</v>
      </c>
      <c r="N79" s="157" t="e">
        <f t="shared" si="2"/>
        <v>#DIV/0!</v>
      </c>
      <c r="O79" s="157" t="e">
        <f t="shared" si="2"/>
        <v>#DIV/0!</v>
      </c>
      <c r="P79" s="96"/>
      <c r="Q79" s="256"/>
      <c r="R79" s="254"/>
      <c r="S79" s="9"/>
      <c r="T79" s="162">
        <f>$C$79</f>
        <v>3.4246575341999999E-2</v>
      </c>
      <c r="U79" s="162">
        <f>$D$79</f>
        <v>0</v>
      </c>
      <c r="V79" s="162">
        <f>$E$79</f>
        <v>1.7006802721000001E-2</v>
      </c>
      <c r="W79" s="162" t="e">
        <f>$F$79</f>
        <v>#DIV/0!</v>
      </c>
      <c r="X79" s="162" t="e">
        <f>$G$79</f>
        <v>#DIV/0!</v>
      </c>
      <c r="Y79" s="162" t="e">
        <f>$H$79</f>
        <v>#DIV/0!</v>
      </c>
      <c r="Z79" s="162" t="e">
        <f>$I$79</f>
        <v>#DIV/0!</v>
      </c>
      <c r="AA79" s="162" t="e">
        <f>$J$79</f>
        <v>#DIV/0!</v>
      </c>
      <c r="AB79" s="162" t="e">
        <f>$K$79</f>
        <v>#DIV/0!</v>
      </c>
      <c r="AC79" s="162" t="e">
        <f>$L$79</f>
        <v>#DIV/0!</v>
      </c>
      <c r="AD79" s="162" t="e">
        <f>$M$79</f>
        <v>#DIV/0!</v>
      </c>
      <c r="AE79" s="162" t="e">
        <f>$N$79</f>
        <v>#DIV/0!</v>
      </c>
      <c r="AF79" s="162" t="e">
        <f>$O$79</f>
        <v>#DIV/0!</v>
      </c>
    </row>
    <row r="80" spans="1:32">
      <c r="A80" s="68"/>
      <c r="B80" s="71"/>
      <c r="C80" s="162"/>
      <c r="D80" s="162"/>
      <c r="E80" s="162"/>
      <c r="F80" s="157"/>
      <c r="G80" s="157"/>
      <c r="H80" s="157"/>
      <c r="I80" s="157"/>
      <c r="J80" s="157"/>
      <c r="K80" s="157"/>
      <c r="L80" s="157"/>
      <c r="M80" s="157"/>
      <c r="N80" s="157"/>
      <c r="O80" s="157"/>
      <c r="P80" s="96"/>
      <c r="Q80" s="242"/>
      <c r="R80" s="254"/>
      <c r="S80" s="9"/>
      <c r="T80" s="162"/>
      <c r="U80" s="162"/>
      <c r="V80" s="162"/>
      <c r="W80" s="162"/>
      <c r="X80" s="162"/>
      <c r="Y80" s="162"/>
      <c r="Z80" s="162"/>
      <c r="AA80" s="162"/>
      <c r="AB80" s="162"/>
      <c r="AC80" s="162"/>
      <c r="AD80" s="162"/>
      <c r="AE80" s="162"/>
      <c r="AF80" s="162"/>
    </row>
    <row r="81" spans="1:33">
      <c r="A81" s="98" t="s">
        <v>209</v>
      </c>
      <c r="B81" s="99"/>
      <c r="C81" s="163">
        <v>6.21875E-2</v>
      </c>
      <c r="D81" s="163">
        <v>7.0619662139000006E-2</v>
      </c>
      <c r="E81" s="163">
        <v>6.9044595644000006E-2</v>
      </c>
      <c r="F81" s="157" t="e">
        <f>1/0</f>
        <v>#DIV/0!</v>
      </c>
      <c r="G81" s="157" t="e">
        <f t="shared" ref="G81:O81" si="3">1/0</f>
        <v>#DIV/0!</v>
      </c>
      <c r="H81" s="157" t="e">
        <f t="shared" si="3"/>
        <v>#DIV/0!</v>
      </c>
      <c r="I81" s="157" t="e">
        <f t="shared" si="3"/>
        <v>#DIV/0!</v>
      </c>
      <c r="J81" s="157" t="e">
        <f t="shared" si="3"/>
        <v>#DIV/0!</v>
      </c>
      <c r="K81" s="157" t="e">
        <f t="shared" si="3"/>
        <v>#DIV/0!</v>
      </c>
      <c r="L81" s="157" t="e">
        <f t="shared" si="3"/>
        <v>#DIV/0!</v>
      </c>
      <c r="M81" s="157" t="e">
        <f t="shared" si="3"/>
        <v>#DIV/0!</v>
      </c>
      <c r="N81" s="157" t="e">
        <f t="shared" si="3"/>
        <v>#DIV/0!</v>
      </c>
      <c r="O81" s="157" t="e">
        <f t="shared" si="3"/>
        <v>#DIV/0!</v>
      </c>
      <c r="P81" s="96"/>
      <c r="Q81" s="96"/>
      <c r="R81" s="96"/>
      <c r="S81" s="9"/>
      <c r="T81" s="162">
        <f>$C$81</f>
        <v>6.21875E-2</v>
      </c>
      <c r="U81" s="162">
        <f>$D$81</f>
        <v>7.0619662139000006E-2</v>
      </c>
      <c r="V81" s="162">
        <f>$E$81</f>
        <v>6.9044595644000006E-2</v>
      </c>
      <c r="W81" s="162" t="e">
        <f>$F$81</f>
        <v>#DIV/0!</v>
      </c>
      <c r="X81" s="162" t="e">
        <f>$G$81</f>
        <v>#DIV/0!</v>
      </c>
      <c r="Y81" s="162" t="e">
        <f>$H$81</f>
        <v>#DIV/0!</v>
      </c>
      <c r="Z81" s="162" t="e">
        <f>$I$81</f>
        <v>#DIV/0!</v>
      </c>
      <c r="AA81" s="162" t="e">
        <f>$J$81</f>
        <v>#DIV/0!</v>
      </c>
      <c r="AB81" s="162" t="e">
        <f>$K$81</f>
        <v>#DIV/0!</v>
      </c>
      <c r="AC81" s="162" t="e">
        <f>$L$81</f>
        <v>#DIV/0!</v>
      </c>
      <c r="AD81" s="162" t="e">
        <f>$M$81</f>
        <v>#DIV/0!</v>
      </c>
      <c r="AE81" s="162" t="e">
        <f>$N$81</f>
        <v>#DIV/0!</v>
      </c>
      <c r="AF81" s="162" t="e">
        <f>$O$81</f>
        <v>#DIV/0!</v>
      </c>
    </row>
    <row r="82" spans="1:33">
      <c r="C82" s="158"/>
      <c r="D82" s="158"/>
      <c r="E82" s="158"/>
      <c r="F82" s="157"/>
      <c r="G82" s="157"/>
      <c r="H82" s="157"/>
      <c r="I82" s="157"/>
      <c r="J82" s="157"/>
      <c r="K82" s="157"/>
      <c r="L82" s="157"/>
      <c r="M82" s="157"/>
      <c r="N82" s="157"/>
      <c r="O82" s="157"/>
      <c r="P82" s="82"/>
      <c r="Q82" s="82"/>
      <c r="R82" s="82"/>
      <c r="T82" s="166"/>
      <c r="U82" s="166"/>
      <c r="V82" s="166"/>
      <c r="W82" s="166"/>
      <c r="X82" s="166"/>
      <c r="Y82" s="166"/>
      <c r="Z82" s="166"/>
      <c r="AA82" s="166"/>
      <c r="AB82" s="166"/>
      <c r="AC82" s="166"/>
      <c r="AD82" s="166"/>
      <c r="AE82" s="166"/>
      <c r="AF82" s="166"/>
      <c r="AG82" s="8"/>
    </row>
    <row r="83" spans="1:33">
      <c r="A83" s="114" t="s">
        <v>263</v>
      </c>
      <c r="B83" s="114" t="s">
        <v>264</v>
      </c>
      <c r="C83" s="164"/>
      <c r="D83" s="164"/>
      <c r="E83" s="158"/>
      <c r="F83" s="157"/>
      <c r="G83" s="157"/>
      <c r="H83" s="157"/>
      <c r="I83" s="157"/>
      <c r="J83" s="157"/>
      <c r="K83" s="157"/>
      <c r="L83" s="157"/>
      <c r="M83" s="157"/>
      <c r="N83" s="157"/>
      <c r="O83" s="157"/>
      <c r="P83" s="82"/>
      <c r="Q83" s="82"/>
      <c r="R83" s="82"/>
      <c r="T83" s="166"/>
      <c r="U83" s="166"/>
      <c r="V83" s="166"/>
      <c r="W83" s="166"/>
      <c r="X83" s="166"/>
      <c r="Y83" s="166"/>
      <c r="Z83" s="166"/>
      <c r="AA83" s="166"/>
      <c r="AB83" s="166"/>
      <c r="AC83" s="166"/>
      <c r="AD83" s="166"/>
      <c r="AE83" s="166"/>
      <c r="AF83" s="166"/>
      <c r="AG83" s="8"/>
    </row>
    <row r="84" spans="1:33">
      <c r="B84" s="114"/>
      <c r="C84" s="157"/>
      <c r="D84" s="157"/>
      <c r="E84" s="157"/>
      <c r="F84" s="157"/>
      <c r="G84" s="157"/>
      <c r="H84" s="157"/>
      <c r="I84" s="157"/>
      <c r="J84" s="157"/>
      <c r="K84" s="157"/>
      <c r="L84" s="157"/>
      <c r="M84" s="157"/>
      <c r="N84" s="157"/>
      <c r="O84" s="157"/>
      <c r="P84" s="82"/>
      <c r="Q84" s="82"/>
      <c r="R84" s="82"/>
      <c r="T84" s="165"/>
      <c r="U84" s="165"/>
      <c r="V84" s="165"/>
      <c r="W84" s="165"/>
      <c r="X84" s="165"/>
      <c r="Y84" s="165"/>
      <c r="Z84" s="165"/>
      <c r="AA84" s="165"/>
      <c r="AB84" s="165"/>
      <c r="AC84" s="165"/>
      <c r="AD84" s="165"/>
      <c r="AE84" s="165"/>
      <c r="AF84" s="165"/>
      <c r="AG84" s="8"/>
    </row>
    <row r="85" spans="1:33">
      <c r="A85" s="86"/>
      <c r="B85" s="86"/>
      <c r="C85" s="158"/>
      <c r="D85" s="158"/>
      <c r="E85" s="158"/>
      <c r="F85" s="157"/>
      <c r="G85" s="157"/>
      <c r="H85" s="157"/>
      <c r="I85" s="157"/>
      <c r="J85" s="157"/>
      <c r="K85" s="157"/>
      <c r="L85" s="158"/>
      <c r="M85" s="157"/>
      <c r="N85" s="157"/>
      <c r="O85" s="157"/>
      <c r="P85" s="82"/>
      <c r="Q85" s="82"/>
      <c r="R85" s="82"/>
      <c r="T85" s="8"/>
      <c r="U85" s="8"/>
      <c r="V85" s="8"/>
      <c r="W85" s="8"/>
      <c r="X85" s="8"/>
      <c r="Y85" s="8"/>
      <c r="Z85" s="8"/>
      <c r="AA85" s="8"/>
      <c r="AB85" s="8"/>
      <c r="AC85" s="8"/>
      <c r="AD85" s="8"/>
      <c r="AE85" s="8"/>
      <c r="AF85" s="8"/>
      <c r="AG85" s="8"/>
    </row>
    <row r="86" spans="1:33">
      <c r="A86" s="86"/>
      <c r="B86" s="86"/>
      <c r="C86" s="158"/>
      <c r="D86" s="158"/>
      <c r="E86" s="158"/>
      <c r="F86" s="157"/>
      <c r="G86" s="157"/>
      <c r="H86" s="157"/>
      <c r="I86" s="157"/>
      <c r="J86" s="157"/>
      <c r="K86" s="157"/>
      <c r="L86" s="158"/>
      <c r="M86" s="82"/>
      <c r="N86" s="82"/>
      <c r="O86" s="82"/>
      <c r="P86" s="82"/>
      <c r="Q86" s="82"/>
      <c r="R86" s="82"/>
      <c r="S86" s="8"/>
      <c r="T86" s="8"/>
      <c r="U86" s="8"/>
    </row>
    <row r="87" spans="1:33">
      <c r="A87" s="86"/>
      <c r="B87" s="86"/>
      <c r="C87" s="158"/>
      <c r="D87" s="158"/>
      <c r="E87" s="158"/>
      <c r="F87" s="157"/>
      <c r="G87" s="157"/>
      <c r="H87" s="157"/>
      <c r="I87" s="157"/>
      <c r="J87" s="157"/>
      <c r="K87" s="157"/>
      <c r="L87" s="158"/>
      <c r="M87" s="82"/>
      <c r="N87" s="82"/>
      <c r="O87" s="82"/>
      <c r="P87" s="82"/>
      <c r="Q87" s="82"/>
      <c r="R87" s="82"/>
      <c r="S87" s="8"/>
      <c r="T87" s="165"/>
      <c r="U87" s="8"/>
    </row>
    <row r="88" spans="1:33">
      <c r="A88" s="86"/>
      <c r="B88" s="86"/>
      <c r="C88" s="158"/>
      <c r="D88" s="158"/>
      <c r="E88" s="158"/>
      <c r="F88" s="157"/>
      <c r="G88" s="157"/>
      <c r="H88" s="157"/>
      <c r="I88" s="157"/>
      <c r="J88" s="157"/>
      <c r="K88" s="157"/>
      <c r="L88" s="158"/>
      <c r="M88" s="82"/>
      <c r="N88" s="82"/>
      <c r="O88" s="82"/>
      <c r="P88" s="8"/>
      <c r="Q88" s="8"/>
      <c r="R88" s="8"/>
      <c r="S88" s="8"/>
      <c r="T88" s="8"/>
      <c r="U88" s="8"/>
    </row>
    <row r="89" spans="1:33">
      <c r="A89" s="86"/>
      <c r="B89" s="86"/>
      <c r="C89" s="158"/>
      <c r="D89" s="158"/>
      <c r="E89" s="158"/>
      <c r="F89" s="157"/>
      <c r="G89" s="157"/>
      <c r="H89" s="157"/>
      <c r="I89" s="157"/>
      <c r="J89" s="157"/>
      <c r="K89" s="157"/>
      <c r="L89" s="158"/>
      <c r="M89" s="82"/>
      <c r="N89" s="82"/>
      <c r="O89" s="82"/>
      <c r="P89" s="8"/>
      <c r="Q89" s="8"/>
      <c r="R89" s="8"/>
      <c r="S89" s="8"/>
      <c r="T89" s="8"/>
      <c r="U89" s="8"/>
    </row>
    <row r="90" spans="1:33">
      <c r="A90" s="86"/>
      <c r="B90" s="86"/>
      <c r="C90" s="158"/>
      <c r="D90" s="158"/>
      <c r="E90" s="158"/>
      <c r="F90" s="157"/>
      <c r="G90" s="157"/>
      <c r="H90" s="157"/>
      <c r="I90" s="157"/>
      <c r="J90" s="157"/>
      <c r="K90" s="157"/>
      <c r="L90" s="158"/>
      <c r="M90" s="82"/>
      <c r="N90" s="82"/>
      <c r="O90" s="82"/>
      <c r="P90" s="8"/>
      <c r="Q90" s="8"/>
      <c r="R90" s="8"/>
      <c r="S90" s="8"/>
      <c r="T90" s="8"/>
      <c r="U90" s="8"/>
    </row>
    <row r="91" spans="1:33">
      <c r="A91" s="86"/>
      <c r="B91" s="86"/>
      <c r="C91" s="158"/>
      <c r="D91" s="158"/>
      <c r="E91" s="158"/>
      <c r="F91" s="157"/>
      <c r="G91" s="157"/>
      <c r="H91" s="157"/>
      <c r="I91" s="157"/>
      <c r="J91" s="157"/>
      <c r="K91" s="157"/>
      <c r="L91" s="158"/>
      <c r="M91" s="82"/>
      <c r="N91" s="82"/>
      <c r="O91" s="82"/>
      <c r="P91" s="8"/>
      <c r="Q91" s="8"/>
      <c r="R91" s="8"/>
      <c r="S91" s="8"/>
      <c r="T91" s="8"/>
      <c r="U91" s="8"/>
    </row>
    <row r="92" spans="1:33">
      <c r="A92" s="86"/>
      <c r="B92" s="86"/>
      <c r="C92" s="158"/>
      <c r="D92" s="158"/>
      <c r="E92" s="158"/>
      <c r="F92" s="157"/>
      <c r="G92" s="157"/>
      <c r="H92" s="157"/>
      <c r="I92" s="157"/>
      <c r="J92" s="157"/>
      <c r="K92" s="157"/>
      <c r="L92" s="158"/>
      <c r="M92" s="82"/>
      <c r="N92" s="82"/>
      <c r="O92" s="82"/>
      <c r="P92" s="8"/>
      <c r="Q92" s="8"/>
      <c r="R92" s="8"/>
    </row>
    <row r="93" spans="1:33">
      <c r="A93" s="86"/>
      <c r="B93" s="86"/>
      <c r="C93" s="158"/>
      <c r="D93" s="158"/>
      <c r="E93" s="158"/>
      <c r="F93" s="157"/>
      <c r="G93" s="157"/>
      <c r="H93" s="157"/>
      <c r="I93" s="157"/>
      <c r="J93" s="157"/>
      <c r="K93" s="157"/>
      <c r="L93" s="158"/>
      <c r="M93" s="8"/>
      <c r="N93" s="8"/>
      <c r="O93" s="8"/>
      <c r="P93" s="8"/>
      <c r="Q93" s="8"/>
      <c r="R93" s="8"/>
    </row>
    <row r="94" spans="1:33">
      <c r="A94" s="86"/>
      <c r="B94" s="86"/>
      <c r="C94" s="158"/>
      <c r="D94" s="158"/>
      <c r="E94" s="158"/>
      <c r="F94" s="157"/>
      <c r="G94" s="157"/>
      <c r="H94" s="157"/>
      <c r="I94" s="157"/>
      <c r="J94" s="157"/>
      <c r="K94" s="157"/>
      <c r="L94" s="158"/>
      <c r="M94" s="8"/>
      <c r="N94" s="8"/>
      <c r="O94" s="8"/>
      <c r="P94" s="82"/>
      <c r="Q94" s="82"/>
      <c r="R94" s="82"/>
    </row>
    <row r="95" spans="1:33">
      <c r="C95" s="8"/>
      <c r="D95" s="8"/>
      <c r="E95" s="8"/>
      <c r="F95" s="157"/>
      <c r="G95" s="157"/>
      <c r="H95" s="157"/>
      <c r="I95" s="157"/>
      <c r="J95" s="157"/>
      <c r="K95" s="157"/>
      <c r="L95" s="8"/>
      <c r="M95" s="8"/>
      <c r="N95" s="8"/>
      <c r="O95" s="8"/>
      <c r="P95" s="8"/>
      <c r="Q95" s="8"/>
      <c r="R95" s="8"/>
    </row>
    <row r="96" spans="1:33">
      <c r="C96" s="8"/>
      <c r="D96" s="8"/>
      <c r="E96" s="8"/>
      <c r="F96" s="157"/>
      <c r="G96" s="157"/>
      <c r="H96" s="157"/>
      <c r="I96" s="157"/>
      <c r="J96" s="157"/>
      <c r="K96" s="157"/>
      <c r="L96" s="8"/>
      <c r="M96" s="8"/>
      <c r="N96" s="8"/>
      <c r="O96" s="8"/>
      <c r="P96" s="8"/>
      <c r="Q96" s="8"/>
      <c r="R96" s="8"/>
    </row>
    <row r="97" spans="3:18">
      <c r="C97" s="8"/>
      <c r="D97" s="8"/>
      <c r="E97" s="8"/>
      <c r="F97" s="157"/>
      <c r="G97" s="157"/>
      <c r="H97" s="157"/>
      <c r="I97" s="157"/>
      <c r="J97" s="157"/>
      <c r="K97" s="157"/>
      <c r="L97" s="8"/>
      <c r="M97" s="8"/>
      <c r="N97" s="8"/>
      <c r="O97" s="8"/>
      <c r="P97" s="8"/>
      <c r="Q97" s="8"/>
      <c r="R97" s="8"/>
    </row>
    <row r="98" spans="3:18">
      <c r="C98" s="8"/>
      <c r="D98" s="8"/>
      <c r="E98" s="8"/>
      <c r="F98" s="157"/>
      <c r="G98" s="157"/>
      <c r="H98" s="157"/>
      <c r="I98" s="157"/>
      <c r="J98" s="157"/>
      <c r="K98" s="157"/>
      <c r="L98" s="8"/>
      <c r="M98" s="8"/>
      <c r="N98" s="8"/>
      <c r="O98" s="8"/>
      <c r="P98" s="8"/>
    </row>
    <row r="99" spans="3:18">
      <c r="C99" s="8"/>
      <c r="D99" s="8"/>
      <c r="E99" s="8"/>
      <c r="F99" s="157"/>
      <c r="G99" s="157"/>
      <c r="H99" s="157"/>
      <c r="I99" s="157"/>
      <c r="J99" s="157"/>
      <c r="K99" s="157"/>
      <c r="L99" s="8"/>
      <c r="M99" s="8"/>
      <c r="N99" s="8"/>
      <c r="O99" s="8"/>
      <c r="P99" s="8"/>
    </row>
    <row r="100" spans="3:18">
      <c r="C100" s="8"/>
      <c r="D100" s="8"/>
      <c r="E100" s="8"/>
      <c r="F100" s="157"/>
      <c r="G100" s="157"/>
      <c r="H100" s="157"/>
      <c r="I100" s="157"/>
      <c r="J100" s="157"/>
      <c r="K100" s="157"/>
      <c r="L100" s="8"/>
      <c r="M100" s="8"/>
      <c r="N100" s="8"/>
      <c r="O100" s="8"/>
      <c r="P100" s="8"/>
    </row>
    <row r="101" spans="3:18">
      <c r="C101" s="8"/>
      <c r="D101" s="8"/>
      <c r="E101" s="8"/>
      <c r="F101" s="157"/>
      <c r="G101" s="157"/>
      <c r="H101" s="157"/>
      <c r="I101" s="157"/>
      <c r="J101" s="157"/>
      <c r="K101" s="157"/>
      <c r="L101" s="8"/>
      <c r="M101" s="8"/>
      <c r="N101" s="8"/>
      <c r="O101" s="8"/>
      <c r="P101" s="8"/>
    </row>
    <row r="102" spans="3:18">
      <c r="C102" s="8"/>
      <c r="D102" s="8"/>
      <c r="E102" s="8"/>
      <c r="F102" s="157"/>
      <c r="G102" s="157"/>
      <c r="H102" s="157"/>
      <c r="I102" s="157"/>
      <c r="J102" s="157"/>
      <c r="K102" s="157"/>
      <c r="L102" s="8"/>
      <c r="M102" s="8"/>
      <c r="N102" s="8"/>
      <c r="O102" s="8"/>
      <c r="P102" s="8"/>
    </row>
    <row r="103" spans="3:18">
      <c r="C103" s="8"/>
      <c r="D103" s="8"/>
      <c r="E103" s="8"/>
      <c r="F103" s="157"/>
      <c r="G103" s="157"/>
      <c r="H103" s="157"/>
      <c r="I103" s="157"/>
      <c r="J103" s="157"/>
      <c r="K103" s="157"/>
      <c r="L103" s="8"/>
      <c r="M103" s="8"/>
      <c r="N103" s="8"/>
      <c r="O103" s="8"/>
      <c r="P103" s="8"/>
    </row>
    <row r="104" spans="3:18">
      <c r="C104" s="8"/>
      <c r="D104" s="8"/>
      <c r="E104" s="8"/>
      <c r="F104" s="157"/>
      <c r="G104" s="157"/>
      <c r="H104" s="157"/>
      <c r="I104" s="157"/>
      <c r="J104" s="157"/>
      <c r="K104" s="157"/>
      <c r="L104" s="8"/>
      <c r="M104" s="8"/>
      <c r="N104" s="8"/>
      <c r="O104" s="8"/>
      <c r="P104" s="8"/>
    </row>
    <row r="105" spans="3:18">
      <c r="C105" s="8"/>
      <c r="D105" s="8"/>
      <c r="E105" s="8"/>
      <c r="F105" s="157"/>
      <c r="G105" s="157"/>
      <c r="H105" s="157"/>
      <c r="I105" s="157"/>
      <c r="J105" s="157"/>
      <c r="K105" s="157"/>
      <c r="L105" s="8"/>
      <c r="M105" s="8"/>
      <c r="N105" s="8"/>
      <c r="O105" s="8"/>
      <c r="P105" s="8"/>
    </row>
    <row r="106" spans="3:18">
      <c r="C106" s="8"/>
      <c r="D106" s="8"/>
      <c r="E106" s="8"/>
      <c r="F106" s="157"/>
      <c r="G106" s="157"/>
      <c r="H106" s="157"/>
      <c r="I106" s="157"/>
      <c r="J106" s="157"/>
      <c r="K106" s="157"/>
      <c r="L106" s="8"/>
      <c r="M106" s="8"/>
      <c r="N106" s="8"/>
      <c r="O106" s="8"/>
      <c r="P106" s="8"/>
    </row>
    <row r="107" spans="3:18">
      <c r="C107" s="8"/>
      <c r="D107" s="8"/>
      <c r="E107" s="8"/>
      <c r="F107" s="157"/>
      <c r="G107" s="157"/>
      <c r="H107" s="157"/>
      <c r="I107" s="157"/>
      <c r="J107" s="157"/>
      <c r="K107" s="157"/>
      <c r="L107" s="8"/>
      <c r="M107" s="8"/>
      <c r="N107" s="8"/>
      <c r="O107" s="8"/>
      <c r="P107" s="8"/>
    </row>
    <row r="108" spans="3:18">
      <c r="C108" s="8"/>
      <c r="D108" s="8"/>
      <c r="E108" s="8"/>
      <c r="F108" s="157"/>
      <c r="G108" s="157"/>
      <c r="H108" s="157"/>
      <c r="I108" s="157"/>
      <c r="J108" s="157"/>
      <c r="K108" s="157"/>
      <c r="L108" s="8"/>
      <c r="M108" s="8"/>
      <c r="N108" s="8"/>
      <c r="O108" s="8"/>
      <c r="P108" s="8"/>
    </row>
    <row r="109" spans="3:18">
      <c r="C109" s="8"/>
      <c r="D109" s="8"/>
      <c r="E109" s="8"/>
      <c r="F109" s="157"/>
      <c r="G109" s="157"/>
      <c r="H109" s="157"/>
      <c r="I109" s="157"/>
      <c r="J109" s="157"/>
      <c r="K109" s="157"/>
      <c r="L109" s="8"/>
      <c r="M109" s="8"/>
      <c r="N109" s="8"/>
      <c r="O109" s="8"/>
      <c r="P109" s="8"/>
    </row>
    <row r="110" spans="3:18">
      <c r="C110" s="8"/>
      <c r="D110" s="8"/>
      <c r="E110" s="8"/>
      <c r="F110" s="157"/>
      <c r="G110" s="157"/>
      <c r="H110" s="157"/>
      <c r="I110" s="157"/>
      <c r="J110" s="157"/>
      <c r="K110" s="157"/>
      <c r="L110" s="8"/>
      <c r="M110" s="8"/>
      <c r="N110" s="8"/>
      <c r="O110" s="8"/>
      <c r="P110" s="8"/>
    </row>
    <row r="111" spans="3:18">
      <c r="C111" s="8"/>
      <c r="D111" s="8"/>
      <c r="E111" s="8"/>
      <c r="F111" s="157"/>
      <c r="G111" s="157"/>
      <c r="H111" s="157"/>
      <c r="I111" s="157"/>
      <c r="J111" s="157"/>
      <c r="K111" s="157"/>
      <c r="L111" s="8"/>
      <c r="M111" s="8"/>
      <c r="N111" s="8"/>
      <c r="O111" s="8"/>
      <c r="P111" s="8"/>
    </row>
    <row r="112" spans="3:18">
      <c r="F112" s="161"/>
      <c r="G112" s="161"/>
      <c r="H112" s="161"/>
      <c r="I112" s="161"/>
      <c r="J112" s="161"/>
      <c r="K112" s="161"/>
    </row>
    <row r="113" spans="6:11">
      <c r="F113" s="97"/>
      <c r="G113" s="97"/>
      <c r="H113" s="97"/>
      <c r="I113" s="97"/>
      <c r="J113" s="97"/>
      <c r="K113" s="97"/>
    </row>
    <row r="114" spans="6:11">
      <c r="F114" s="97"/>
      <c r="G114" s="97"/>
      <c r="H114" s="97"/>
      <c r="I114" s="97"/>
      <c r="J114" s="97"/>
      <c r="K114" s="97"/>
    </row>
    <row r="115" spans="6:11">
      <c r="F115" s="97"/>
      <c r="G115" s="97"/>
      <c r="H115" s="97"/>
      <c r="I115" s="97"/>
      <c r="J115" s="97"/>
      <c r="K115" s="97"/>
    </row>
    <row r="116" spans="6:11">
      <c r="F116" s="97"/>
      <c r="G116" s="97"/>
      <c r="H116" s="97"/>
      <c r="I116" s="97"/>
      <c r="J116" s="97"/>
      <c r="K116" s="97"/>
    </row>
    <row r="117" spans="6:11">
      <c r="F117" s="97"/>
      <c r="G117" s="97"/>
      <c r="H117" s="97"/>
      <c r="I117" s="97"/>
      <c r="J117" s="97"/>
      <c r="K117" s="97"/>
    </row>
    <row r="118" spans="6:11">
      <c r="F118" s="97"/>
      <c r="G118" s="97"/>
      <c r="H118" s="97"/>
      <c r="I118" s="97"/>
      <c r="J118" s="97"/>
      <c r="K118" s="97"/>
    </row>
    <row r="119" spans="6:11">
      <c r="F119" s="97"/>
      <c r="G119" s="97"/>
      <c r="H119" s="97"/>
      <c r="I119" s="97"/>
      <c r="J119" s="97"/>
      <c r="K119" s="97"/>
    </row>
    <row r="120" spans="6:11">
      <c r="F120" s="97"/>
      <c r="G120" s="97"/>
      <c r="H120" s="97"/>
      <c r="I120" s="97"/>
      <c r="J120" s="97"/>
      <c r="K120" s="97"/>
    </row>
    <row r="121" spans="6:11">
      <c r="F121" s="97"/>
      <c r="G121" s="97"/>
      <c r="H121" s="97"/>
      <c r="I121" s="97"/>
      <c r="J121" s="97"/>
      <c r="K121" s="97"/>
    </row>
    <row r="122" spans="6:11">
      <c r="F122" s="97"/>
      <c r="G122" s="97"/>
      <c r="H122" s="97"/>
      <c r="I122" s="97"/>
      <c r="J122" s="97"/>
      <c r="K122" s="97"/>
    </row>
    <row r="123" spans="6:11">
      <c r="F123" s="97"/>
      <c r="G123" s="97"/>
      <c r="H123" s="97"/>
      <c r="I123" s="97"/>
      <c r="J123" s="97"/>
      <c r="K123" s="97"/>
    </row>
    <row r="124" spans="6:11">
      <c r="F124" s="97"/>
      <c r="G124" s="97"/>
      <c r="H124" s="97"/>
      <c r="I124" s="97"/>
      <c r="J124" s="97"/>
      <c r="K124" s="97"/>
    </row>
    <row r="125" spans="6:11">
      <c r="F125" s="97"/>
      <c r="G125" s="97"/>
      <c r="H125" s="97"/>
      <c r="I125" s="97"/>
      <c r="J125" s="97"/>
      <c r="K125" s="97"/>
    </row>
    <row r="126" spans="6:11">
      <c r="F126" s="97"/>
      <c r="G126" s="97"/>
      <c r="H126" s="97"/>
      <c r="I126" s="97"/>
      <c r="J126" s="97"/>
      <c r="K126" s="97"/>
    </row>
    <row r="127" spans="6:11">
      <c r="F127" s="97"/>
      <c r="G127" s="97"/>
      <c r="H127" s="97"/>
      <c r="I127" s="97"/>
      <c r="J127" s="97"/>
      <c r="K127" s="97"/>
    </row>
    <row r="128" spans="6:11">
      <c r="F128" s="97"/>
      <c r="G128" s="97"/>
      <c r="H128" s="97"/>
      <c r="I128" s="97"/>
      <c r="J128" s="97"/>
      <c r="K128" s="97"/>
    </row>
    <row r="129" spans="6:11">
      <c r="F129" s="97"/>
      <c r="G129" s="97"/>
      <c r="H129" s="97"/>
      <c r="I129" s="97"/>
      <c r="J129" s="97"/>
      <c r="K129" s="97"/>
    </row>
    <row r="130" spans="6:11">
      <c r="F130" s="97"/>
      <c r="G130" s="97"/>
      <c r="H130" s="97"/>
      <c r="I130" s="97"/>
      <c r="J130" s="97"/>
      <c r="K130" s="97"/>
    </row>
    <row r="131" spans="6:11">
      <c r="F131" s="97"/>
      <c r="G131" s="97"/>
      <c r="H131" s="97"/>
      <c r="I131" s="97"/>
      <c r="J131" s="97"/>
      <c r="K131" s="97"/>
    </row>
    <row r="132" spans="6:11">
      <c r="F132" s="97"/>
      <c r="G132" s="97"/>
      <c r="H132" s="97"/>
      <c r="I132" s="97"/>
      <c r="J132" s="97"/>
      <c r="K132" s="97"/>
    </row>
    <row r="133" spans="6:11">
      <c r="F133" s="97"/>
      <c r="G133" s="97"/>
      <c r="H133" s="97"/>
      <c r="I133" s="97"/>
      <c r="J133" s="97"/>
      <c r="K133" s="97"/>
    </row>
    <row r="134" spans="6:11">
      <c r="F134" s="97"/>
      <c r="G134" s="97"/>
      <c r="H134" s="97"/>
      <c r="I134" s="97"/>
      <c r="J134" s="97"/>
      <c r="K134" s="97"/>
    </row>
    <row r="135" spans="6:11">
      <c r="F135" s="97"/>
      <c r="G135" s="97"/>
      <c r="H135" s="97"/>
      <c r="I135" s="97"/>
      <c r="J135" s="97"/>
      <c r="K135" s="97"/>
    </row>
    <row r="136" spans="6:11">
      <c r="F136" s="97"/>
      <c r="G136" s="97"/>
      <c r="H136" s="97"/>
      <c r="I136" s="97"/>
      <c r="J136" s="97"/>
      <c r="K136" s="97"/>
    </row>
    <row r="137" spans="6:11">
      <c r="F137" s="97"/>
      <c r="G137" s="97"/>
      <c r="H137" s="97"/>
      <c r="I137" s="97"/>
      <c r="J137" s="97"/>
      <c r="K137" s="97"/>
    </row>
    <row r="138" spans="6:11">
      <c r="F138" s="97"/>
      <c r="G138" s="97"/>
      <c r="H138" s="97"/>
      <c r="I138" s="97"/>
      <c r="J138" s="97"/>
      <c r="K138" s="97"/>
    </row>
    <row r="139" spans="6:11">
      <c r="F139" s="97"/>
      <c r="G139" s="97"/>
      <c r="H139" s="97"/>
      <c r="I139" s="97"/>
      <c r="J139" s="97"/>
      <c r="K139" s="97"/>
    </row>
    <row r="140" spans="6:11">
      <c r="F140" s="97"/>
      <c r="G140" s="97"/>
      <c r="H140" s="97"/>
      <c r="I140" s="97"/>
      <c r="J140" s="97"/>
      <c r="K140" s="97"/>
    </row>
    <row r="141" spans="6:11">
      <c r="F141" s="97"/>
      <c r="G141" s="97"/>
      <c r="H141" s="97"/>
      <c r="I141" s="97"/>
      <c r="J141" s="97"/>
      <c r="K141" s="97"/>
    </row>
    <row r="142" spans="6:11">
      <c r="F142" s="97"/>
      <c r="G142" s="97"/>
      <c r="H142" s="97"/>
      <c r="I142" s="97"/>
      <c r="J142" s="97"/>
      <c r="K142" s="97"/>
    </row>
    <row r="143" spans="6:11">
      <c r="F143" s="97"/>
      <c r="G143" s="97"/>
      <c r="H143" s="97"/>
      <c r="I143" s="97"/>
      <c r="J143" s="97"/>
      <c r="K143" s="97"/>
    </row>
    <row r="144" spans="6:11">
      <c r="F144" s="97"/>
      <c r="G144" s="97"/>
      <c r="H144" s="97"/>
      <c r="I144" s="97"/>
      <c r="J144" s="97"/>
      <c r="K144" s="97"/>
    </row>
    <row r="145" spans="6:11">
      <c r="F145" s="97"/>
      <c r="G145" s="97"/>
      <c r="H145" s="97"/>
      <c r="I145" s="97"/>
      <c r="J145" s="97"/>
      <c r="K145" s="97"/>
    </row>
    <row r="146" spans="6:11">
      <c r="F146" s="97"/>
      <c r="G146" s="97"/>
      <c r="H146" s="97"/>
      <c r="I146" s="97"/>
      <c r="J146" s="97"/>
      <c r="K146" s="97"/>
    </row>
    <row r="147" spans="6:11">
      <c r="F147" s="97"/>
      <c r="G147" s="97"/>
      <c r="H147" s="97"/>
      <c r="I147" s="97"/>
      <c r="J147" s="97"/>
      <c r="K147" s="97"/>
    </row>
    <row r="148" spans="6:11">
      <c r="F148" s="97"/>
      <c r="G148" s="97"/>
      <c r="H148" s="97"/>
      <c r="I148" s="97"/>
      <c r="J148" s="97"/>
      <c r="K148" s="97"/>
    </row>
    <row r="149" spans="6:11">
      <c r="F149" s="97"/>
      <c r="G149" s="97"/>
      <c r="H149" s="97"/>
      <c r="I149" s="97"/>
      <c r="J149" s="97"/>
      <c r="K149" s="97"/>
    </row>
    <row r="150" spans="6:11">
      <c r="F150" s="97"/>
      <c r="G150" s="97"/>
      <c r="H150" s="97"/>
      <c r="I150" s="97"/>
      <c r="J150" s="97"/>
      <c r="K150" s="97"/>
    </row>
    <row r="151" spans="6:11">
      <c r="F151" s="97"/>
      <c r="G151" s="97"/>
      <c r="H151" s="97"/>
      <c r="I151" s="97"/>
      <c r="J151" s="97"/>
      <c r="K151" s="97"/>
    </row>
    <row r="152" spans="6:11">
      <c r="F152" s="97"/>
      <c r="G152" s="97"/>
      <c r="H152" s="97"/>
      <c r="I152" s="97"/>
      <c r="J152" s="97"/>
      <c r="K152" s="97"/>
    </row>
    <row r="153" spans="6:11">
      <c r="F153" s="97"/>
      <c r="G153" s="97"/>
      <c r="H153" s="97"/>
      <c r="I153" s="97"/>
      <c r="J153" s="97"/>
      <c r="K153" s="97"/>
    </row>
    <row r="154" spans="6:11">
      <c r="F154" s="97"/>
      <c r="G154" s="97"/>
      <c r="H154" s="97"/>
      <c r="I154" s="97"/>
      <c r="J154" s="97"/>
      <c r="K154" s="97"/>
    </row>
    <row r="155" spans="6:11">
      <c r="F155" s="97"/>
      <c r="G155" s="97"/>
      <c r="H155" s="97"/>
      <c r="I155" s="97"/>
      <c r="J155" s="97"/>
      <c r="K155" s="97"/>
    </row>
    <row r="156" spans="6:11">
      <c r="F156" s="97"/>
      <c r="G156" s="97"/>
      <c r="H156" s="97"/>
      <c r="I156" s="97"/>
      <c r="J156" s="97"/>
      <c r="K156" s="97"/>
    </row>
    <row r="157" spans="6:11">
      <c r="F157" s="97"/>
      <c r="G157" s="97"/>
      <c r="H157" s="97"/>
      <c r="I157" s="97"/>
      <c r="J157" s="97"/>
      <c r="K157" s="97"/>
    </row>
    <row r="158" spans="6:11">
      <c r="F158" s="97"/>
      <c r="G158" s="97"/>
      <c r="H158" s="97"/>
      <c r="I158" s="97"/>
      <c r="J158" s="97"/>
      <c r="K158" s="97"/>
    </row>
    <row r="159" spans="6:11">
      <c r="F159" s="97"/>
      <c r="G159" s="97"/>
      <c r="H159" s="97"/>
      <c r="I159" s="97"/>
      <c r="J159" s="97"/>
      <c r="K159" s="97"/>
    </row>
    <row r="160" spans="6:11">
      <c r="F160" s="97"/>
      <c r="G160" s="97"/>
      <c r="H160" s="97"/>
      <c r="I160" s="97"/>
      <c r="J160" s="97"/>
      <c r="K160" s="97"/>
    </row>
    <row r="161" spans="6:11">
      <c r="F161" s="97"/>
      <c r="G161" s="97"/>
      <c r="H161" s="97"/>
      <c r="I161" s="97"/>
      <c r="J161" s="97"/>
      <c r="K161" s="97"/>
    </row>
    <row r="162" spans="6:11">
      <c r="F162" s="97"/>
      <c r="G162" s="97"/>
      <c r="H162" s="97"/>
      <c r="I162" s="97"/>
      <c r="J162" s="97"/>
      <c r="K162" s="97"/>
    </row>
    <row r="163" spans="6:11">
      <c r="F163" s="97"/>
      <c r="G163" s="97"/>
      <c r="H163" s="97"/>
      <c r="I163" s="97"/>
      <c r="J163" s="97"/>
      <c r="K163" s="97"/>
    </row>
    <row r="164" spans="6:11">
      <c r="F164" s="97"/>
      <c r="G164" s="97"/>
      <c r="H164" s="97"/>
      <c r="I164" s="97"/>
      <c r="J164" s="97"/>
      <c r="K164" s="97"/>
    </row>
    <row r="165" spans="6:11">
      <c r="F165" s="97"/>
      <c r="G165" s="97"/>
      <c r="H165" s="97"/>
      <c r="I165" s="97"/>
      <c r="J165" s="97"/>
      <c r="K165" s="97"/>
    </row>
    <row r="166" spans="6:11">
      <c r="F166" s="97"/>
      <c r="G166" s="97"/>
      <c r="H166" s="97"/>
      <c r="I166" s="97"/>
      <c r="J166" s="97"/>
      <c r="K166" s="97"/>
    </row>
    <row r="167" spans="6:11">
      <c r="F167" s="97"/>
      <c r="G167" s="97"/>
      <c r="H167" s="97"/>
      <c r="I167" s="97"/>
      <c r="J167" s="97"/>
      <c r="K167" s="97"/>
    </row>
    <row r="168" spans="6:11">
      <c r="F168" s="97"/>
      <c r="G168" s="97"/>
      <c r="H168" s="97"/>
      <c r="I168" s="97"/>
      <c r="J168" s="97"/>
      <c r="K168" s="97"/>
    </row>
    <row r="169" spans="6:11">
      <c r="F169" s="97"/>
      <c r="G169" s="97"/>
      <c r="H169" s="97"/>
      <c r="I169" s="97"/>
      <c r="J169" s="97"/>
      <c r="K169" s="97"/>
    </row>
    <row r="170" spans="6:11">
      <c r="F170" s="97"/>
      <c r="G170" s="97"/>
      <c r="H170" s="97"/>
      <c r="I170" s="97"/>
      <c r="J170" s="97"/>
      <c r="K170" s="97"/>
    </row>
    <row r="171" spans="6:11">
      <c r="F171" s="97"/>
      <c r="G171" s="97"/>
      <c r="H171" s="97"/>
      <c r="I171" s="97"/>
      <c r="J171" s="97"/>
      <c r="K171" s="97"/>
    </row>
    <row r="172" spans="6:11">
      <c r="F172" s="97"/>
      <c r="G172" s="97"/>
      <c r="H172" s="97"/>
      <c r="I172" s="97"/>
      <c r="J172" s="97"/>
      <c r="K172" s="97"/>
    </row>
    <row r="173" spans="6:11">
      <c r="F173" s="97"/>
      <c r="G173" s="97"/>
      <c r="H173" s="97"/>
      <c r="I173" s="97"/>
      <c r="J173" s="97"/>
      <c r="K173" s="97"/>
    </row>
    <row r="174" spans="6:11">
      <c r="F174" s="97"/>
      <c r="G174" s="97"/>
      <c r="H174" s="97"/>
      <c r="I174" s="97"/>
      <c r="J174" s="97"/>
      <c r="K174" s="97"/>
    </row>
    <row r="175" spans="6:11">
      <c r="F175" s="97"/>
      <c r="G175" s="97"/>
      <c r="H175" s="97"/>
      <c r="I175" s="97"/>
      <c r="J175" s="97"/>
      <c r="K175" s="97"/>
    </row>
    <row r="176" spans="6:11">
      <c r="F176" s="97"/>
      <c r="G176" s="97"/>
      <c r="H176" s="97"/>
      <c r="I176" s="97"/>
      <c r="J176" s="97"/>
      <c r="K176" s="97"/>
    </row>
    <row r="177" spans="6:11">
      <c r="F177" s="97"/>
      <c r="G177" s="97"/>
      <c r="H177" s="97"/>
      <c r="I177" s="97"/>
      <c r="J177" s="97"/>
      <c r="K177" s="97"/>
    </row>
    <row r="178" spans="6:11">
      <c r="F178" s="97"/>
      <c r="G178" s="97"/>
      <c r="H178" s="97"/>
      <c r="I178" s="97"/>
      <c r="J178" s="97"/>
      <c r="K178" s="97"/>
    </row>
    <row r="179" spans="6:11">
      <c r="F179" s="97"/>
      <c r="G179" s="97"/>
      <c r="H179" s="97"/>
      <c r="I179" s="97"/>
      <c r="J179" s="97"/>
      <c r="K179" s="97"/>
    </row>
    <row r="180" spans="6:11">
      <c r="F180" s="97"/>
      <c r="G180" s="97"/>
      <c r="H180" s="97"/>
      <c r="I180" s="97"/>
      <c r="J180" s="97"/>
      <c r="K180" s="97"/>
    </row>
    <row r="181" spans="6:11">
      <c r="F181" s="97"/>
      <c r="G181" s="97"/>
      <c r="H181" s="97"/>
      <c r="I181" s="97"/>
      <c r="J181" s="97"/>
      <c r="K181" s="97"/>
    </row>
    <row r="182" spans="6:11">
      <c r="F182" s="97"/>
      <c r="G182" s="97"/>
      <c r="H182" s="97"/>
      <c r="I182" s="97"/>
      <c r="J182" s="97"/>
      <c r="K182" s="97"/>
    </row>
    <row r="183" spans="6:11">
      <c r="F183" s="97"/>
      <c r="G183" s="97"/>
      <c r="H183" s="97"/>
      <c r="I183" s="97"/>
      <c r="J183" s="97"/>
      <c r="K183" s="97"/>
    </row>
    <row r="184" spans="6:11">
      <c r="F184" s="97"/>
      <c r="G184" s="97"/>
      <c r="H184" s="97"/>
      <c r="I184" s="97"/>
      <c r="J184" s="97"/>
      <c r="K184" s="97"/>
    </row>
    <row r="185" spans="6:11">
      <c r="F185" s="97"/>
      <c r="G185" s="97"/>
      <c r="H185" s="97"/>
      <c r="I185" s="97"/>
      <c r="J185" s="97"/>
      <c r="K185" s="97"/>
    </row>
    <row r="186" spans="6:11">
      <c r="F186" s="97"/>
      <c r="G186" s="97"/>
      <c r="H186" s="97"/>
      <c r="I186" s="97"/>
      <c r="J186" s="97"/>
      <c r="K186" s="97"/>
    </row>
    <row r="187" spans="6:11">
      <c r="F187" s="97"/>
      <c r="G187" s="97"/>
      <c r="H187" s="97"/>
      <c r="I187" s="97"/>
      <c r="J187" s="97"/>
      <c r="K187" s="97"/>
    </row>
    <row r="188" spans="6:11">
      <c r="F188" s="97"/>
      <c r="G188" s="97"/>
      <c r="H188" s="97"/>
      <c r="I188" s="97"/>
      <c r="J188" s="97"/>
      <c r="K188" s="97"/>
    </row>
    <row r="189" spans="6:11">
      <c r="F189" s="97"/>
      <c r="G189" s="97"/>
      <c r="H189" s="97"/>
      <c r="I189" s="97"/>
      <c r="J189" s="97"/>
      <c r="K189" s="97"/>
    </row>
    <row r="190" spans="6:11">
      <c r="F190" s="97"/>
      <c r="G190" s="97"/>
      <c r="H190" s="97"/>
      <c r="I190" s="97"/>
      <c r="J190" s="97"/>
      <c r="K190" s="97"/>
    </row>
    <row r="191" spans="6:11">
      <c r="F191" s="97"/>
      <c r="G191" s="97"/>
      <c r="H191" s="97"/>
      <c r="I191" s="97"/>
      <c r="J191" s="97"/>
      <c r="K191" s="97"/>
    </row>
    <row r="192" spans="6:11">
      <c r="F192" s="97"/>
      <c r="G192" s="97"/>
      <c r="H192" s="97"/>
      <c r="I192" s="97"/>
      <c r="J192" s="97"/>
      <c r="K192" s="97"/>
    </row>
    <row r="193" spans="6:11">
      <c r="F193" s="97"/>
      <c r="G193" s="97"/>
      <c r="H193" s="97"/>
      <c r="I193" s="97"/>
      <c r="J193" s="97"/>
      <c r="K193" s="97"/>
    </row>
    <row r="194" spans="6:11">
      <c r="F194" s="97"/>
      <c r="G194" s="97"/>
      <c r="H194" s="97"/>
      <c r="I194" s="97"/>
      <c r="J194" s="97"/>
      <c r="K194" s="97"/>
    </row>
    <row r="195" spans="6:11">
      <c r="F195" s="97"/>
      <c r="G195" s="97"/>
      <c r="H195" s="97"/>
      <c r="I195" s="97"/>
      <c r="J195" s="97"/>
      <c r="K195" s="97"/>
    </row>
    <row r="196" spans="6:11">
      <c r="F196" s="97"/>
      <c r="G196" s="97"/>
      <c r="H196" s="97"/>
      <c r="I196" s="97"/>
      <c r="J196" s="97"/>
      <c r="K196" s="97"/>
    </row>
    <row r="197" spans="6:11">
      <c r="F197" s="97"/>
      <c r="G197" s="97"/>
      <c r="H197" s="97"/>
      <c r="I197" s="97"/>
      <c r="J197" s="97"/>
      <c r="K197" s="97"/>
    </row>
    <row r="198" spans="6:11">
      <c r="F198" s="97"/>
      <c r="G198" s="97"/>
      <c r="H198" s="97"/>
      <c r="I198" s="97"/>
      <c r="J198" s="97"/>
      <c r="K198" s="97"/>
    </row>
    <row r="199" spans="6:11">
      <c r="F199" s="97"/>
      <c r="G199" s="97"/>
      <c r="H199" s="97"/>
      <c r="I199" s="97"/>
      <c r="J199" s="97"/>
      <c r="K199" s="97"/>
    </row>
    <row r="200" spans="6:11">
      <c r="F200" s="97"/>
      <c r="G200" s="97"/>
      <c r="H200" s="97"/>
      <c r="I200" s="97"/>
      <c r="J200" s="97"/>
      <c r="K200" s="97"/>
    </row>
    <row r="201" spans="6:11">
      <c r="F201" s="97"/>
      <c r="G201" s="97"/>
      <c r="H201" s="97"/>
      <c r="I201" s="97"/>
      <c r="J201" s="97"/>
      <c r="K201" s="97"/>
    </row>
    <row r="202" spans="6:11">
      <c r="F202" s="97"/>
      <c r="G202" s="97"/>
      <c r="H202" s="97"/>
      <c r="I202" s="97"/>
      <c r="J202" s="97"/>
      <c r="K202" s="97"/>
    </row>
    <row r="203" spans="6:11">
      <c r="F203" s="97"/>
      <c r="G203" s="97"/>
      <c r="H203" s="97"/>
      <c r="I203" s="97"/>
      <c r="J203" s="97"/>
      <c r="K203" s="97"/>
    </row>
    <row r="204" spans="6:11">
      <c r="F204" s="97"/>
      <c r="G204" s="97"/>
      <c r="H204" s="97"/>
      <c r="I204" s="97"/>
      <c r="J204" s="97"/>
      <c r="K204" s="97"/>
    </row>
    <row r="205" spans="6:11">
      <c r="F205" s="97"/>
      <c r="G205" s="97"/>
      <c r="H205" s="97"/>
      <c r="I205" s="97"/>
      <c r="J205" s="97"/>
      <c r="K205" s="97"/>
    </row>
    <row r="206" spans="6:11">
      <c r="F206" s="97"/>
      <c r="G206" s="97"/>
      <c r="H206" s="97"/>
      <c r="I206" s="97"/>
      <c r="J206" s="97"/>
      <c r="K206" s="97"/>
    </row>
    <row r="207" spans="6:11">
      <c r="F207" s="97"/>
      <c r="G207" s="97"/>
      <c r="H207" s="97"/>
      <c r="I207" s="97"/>
      <c r="J207" s="97"/>
      <c r="K207" s="97"/>
    </row>
    <row r="208" spans="6:11">
      <c r="F208" s="97"/>
      <c r="G208" s="97"/>
      <c r="H208" s="97"/>
      <c r="I208" s="97"/>
      <c r="J208" s="97"/>
      <c r="K208" s="97"/>
    </row>
    <row r="209" spans="6:11">
      <c r="F209" s="97"/>
      <c r="G209" s="97"/>
      <c r="H209" s="97"/>
      <c r="I209" s="97"/>
      <c r="J209" s="97"/>
      <c r="K209" s="97"/>
    </row>
    <row r="210" spans="6:11">
      <c r="F210" s="97"/>
      <c r="G210" s="97"/>
      <c r="H210" s="97"/>
      <c r="I210" s="97"/>
      <c r="J210" s="97"/>
      <c r="K210" s="97"/>
    </row>
    <row r="211" spans="6:11">
      <c r="F211" s="97"/>
      <c r="G211" s="97"/>
      <c r="H211" s="97"/>
      <c r="I211" s="97"/>
      <c r="J211" s="97"/>
      <c r="K211" s="97"/>
    </row>
    <row r="212" spans="6:11">
      <c r="F212" s="97"/>
      <c r="G212" s="97"/>
      <c r="H212" s="97"/>
      <c r="I212" s="97"/>
      <c r="J212" s="97"/>
      <c r="K212" s="97"/>
    </row>
    <row r="213" spans="6:11">
      <c r="F213" s="97"/>
      <c r="G213" s="97"/>
      <c r="H213" s="97"/>
      <c r="I213" s="97"/>
      <c r="J213" s="97"/>
      <c r="K213" s="97"/>
    </row>
    <row r="214" spans="6:11">
      <c r="F214" s="97"/>
      <c r="G214" s="97"/>
      <c r="H214" s="97"/>
      <c r="I214" s="97"/>
      <c r="J214" s="97"/>
      <c r="K214" s="97"/>
    </row>
    <row r="215" spans="6:11">
      <c r="F215" s="97"/>
      <c r="G215" s="97"/>
      <c r="H215" s="97"/>
      <c r="I215" s="97"/>
      <c r="J215" s="97"/>
      <c r="K215" s="97"/>
    </row>
    <row r="216" spans="6:11">
      <c r="F216" s="97"/>
      <c r="G216" s="97"/>
      <c r="H216" s="97"/>
      <c r="I216" s="97"/>
      <c r="J216" s="97"/>
      <c r="K216" s="97"/>
    </row>
    <row r="217" spans="6:11">
      <c r="F217" s="97"/>
      <c r="G217" s="97"/>
      <c r="H217" s="97"/>
      <c r="I217" s="97"/>
      <c r="J217" s="97"/>
      <c r="K217" s="97"/>
    </row>
    <row r="218" spans="6:11">
      <c r="F218" s="97"/>
      <c r="G218" s="97"/>
      <c r="H218" s="97"/>
      <c r="I218" s="97"/>
      <c r="J218" s="97"/>
      <c r="K218" s="97"/>
    </row>
    <row r="219" spans="6:11">
      <c r="F219" s="97"/>
      <c r="G219" s="97"/>
      <c r="H219" s="97"/>
      <c r="I219" s="97"/>
      <c r="J219" s="97"/>
      <c r="K219" s="97"/>
    </row>
    <row r="220" spans="6:11">
      <c r="F220" s="97"/>
      <c r="G220" s="97"/>
      <c r="H220" s="97"/>
      <c r="I220" s="97"/>
      <c r="J220" s="97"/>
      <c r="K220" s="97"/>
    </row>
    <row r="221" spans="6:11">
      <c r="F221" s="97"/>
      <c r="G221" s="97"/>
      <c r="H221" s="97"/>
      <c r="I221" s="97"/>
      <c r="J221" s="97"/>
      <c r="K221" s="97"/>
    </row>
    <row r="222" spans="6:11">
      <c r="F222" s="97"/>
      <c r="G222" s="97"/>
      <c r="H222" s="97"/>
      <c r="I222" s="97"/>
      <c r="J222" s="97"/>
      <c r="K222" s="97"/>
    </row>
    <row r="223" spans="6:11">
      <c r="F223" s="97"/>
      <c r="G223" s="97"/>
      <c r="H223" s="97"/>
      <c r="I223" s="97"/>
      <c r="J223" s="97"/>
      <c r="K223" s="97"/>
    </row>
    <row r="224" spans="6:11">
      <c r="F224" s="97"/>
      <c r="G224" s="97"/>
      <c r="H224" s="97"/>
      <c r="I224" s="97"/>
      <c r="J224" s="97"/>
      <c r="K224" s="97"/>
    </row>
    <row r="225" spans="6:11">
      <c r="F225" s="97"/>
      <c r="G225" s="97"/>
      <c r="H225" s="97"/>
      <c r="I225" s="97"/>
      <c r="J225" s="97"/>
      <c r="K225" s="97"/>
    </row>
    <row r="226" spans="6:11">
      <c r="F226" s="97"/>
      <c r="G226" s="97"/>
      <c r="H226" s="97"/>
      <c r="I226" s="97"/>
      <c r="J226" s="97"/>
      <c r="K226" s="97"/>
    </row>
    <row r="227" spans="6:11">
      <c r="F227" s="97"/>
      <c r="G227" s="97"/>
      <c r="H227" s="97"/>
      <c r="I227" s="97"/>
      <c r="J227" s="97"/>
      <c r="K227" s="97"/>
    </row>
    <row r="228" spans="6:11">
      <c r="F228" s="97"/>
      <c r="G228" s="97"/>
      <c r="H228" s="97"/>
      <c r="I228" s="97"/>
      <c r="J228" s="97"/>
      <c r="K228" s="97"/>
    </row>
    <row r="229" spans="6:11">
      <c r="F229" s="97"/>
      <c r="G229" s="97"/>
      <c r="H229" s="97"/>
      <c r="I229" s="97"/>
      <c r="J229" s="97"/>
      <c r="K229" s="97"/>
    </row>
    <row r="230" spans="6:11">
      <c r="F230" s="97"/>
      <c r="G230" s="97"/>
      <c r="H230" s="97"/>
      <c r="I230" s="97"/>
      <c r="J230" s="97"/>
      <c r="K230" s="97"/>
    </row>
    <row r="231" spans="6:11">
      <c r="F231" s="97"/>
      <c r="G231" s="97"/>
      <c r="H231" s="97"/>
      <c r="I231" s="97"/>
      <c r="J231" s="97"/>
      <c r="K231" s="97"/>
    </row>
    <row r="232" spans="6:11">
      <c r="F232" s="97"/>
      <c r="G232" s="97"/>
      <c r="H232" s="97"/>
      <c r="I232" s="97"/>
      <c r="J232" s="97"/>
      <c r="K232" s="97"/>
    </row>
    <row r="233" spans="6:11">
      <c r="F233" s="97"/>
      <c r="G233" s="97"/>
      <c r="H233" s="97"/>
      <c r="I233" s="97"/>
      <c r="J233" s="97"/>
      <c r="K233" s="97"/>
    </row>
    <row r="234" spans="6:11">
      <c r="F234" s="97"/>
      <c r="G234" s="97"/>
      <c r="H234" s="97"/>
      <c r="I234" s="97"/>
      <c r="J234" s="97"/>
      <c r="K234" s="97"/>
    </row>
    <row r="235" spans="6:11">
      <c r="F235" s="97"/>
      <c r="G235" s="97"/>
      <c r="H235" s="97"/>
      <c r="I235" s="97"/>
      <c r="J235" s="97"/>
      <c r="K235" s="97"/>
    </row>
    <row r="236" spans="6:11">
      <c r="F236" s="97"/>
      <c r="G236" s="97"/>
      <c r="H236" s="97"/>
      <c r="I236" s="97"/>
      <c r="J236" s="97"/>
      <c r="K236" s="97"/>
    </row>
    <row r="237" spans="6:11">
      <c r="F237" s="97"/>
      <c r="G237" s="97"/>
      <c r="H237" s="97"/>
      <c r="I237" s="97"/>
      <c r="J237" s="97"/>
      <c r="K237" s="97"/>
    </row>
    <row r="238" spans="6:11">
      <c r="F238" s="97"/>
      <c r="G238" s="97"/>
      <c r="H238" s="97"/>
      <c r="I238" s="97"/>
      <c r="J238" s="97"/>
      <c r="K238" s="97"/>
    </row>
    <row r="239" spans="6:11">
      <c r="F239" s="97"/>
      <c r="G239" s="97"/>
      <c r="H239" s="97"/>
      <c r="I239" s="97"/>
      <c r="J239" s="97"/>
      <c r="K239" s="97"/>
    </row>
    <row r="240" spans="6:11">
      <c r="F240" s="97"/>
      <c r="G240" s="97"/>
      <c r="H240" s="97"/>
      <c r="I240" s="97"/>
      <c r="J240" s="97"/>
      <c r="K240" s="97"/>
    </row>
    <row r="241" spans="6:11">
      <c r="F241" s="97"/>
      <c r="G241" s="97"/>
      <c r="H241" s="97"/>
      <c r="I241" s="97"/>
      <c r="J241" s="97"/>
      <c r="K241" s="97"/>
    </row>
    <row r="242" spans="6:11">
      <c r="F242" s="97"/>
      <c r="G242" s="97"/>
      <c r="H242" s="97"/>
      <c r="I242" s="97"/>
      <c r="J242" s="97"/>
      <c r="K242" s="97"/>
    </row>
    <row r="243" spans="6:11">
      <c r="F243" s="97"/>
      <c r="G243" s="97"/>
      <c r="H243" s="97"/>
      <c r="I243" s="97"/>
      <c r="J243" s="97"/>
      <c r="K243" s="97"/>
    </row>
    <row r="244" spans="6:11">
      <c r="F244" s="97"/>
      <c r="G244" s="97"/>
      <c r="H244" s="97"/>
      <c r="I244" s="97"/>
      <c r="J244" s="97"/>
      <c r="K244" s="97"/>
    </row>
    <row r="245" spans="6:11">
      <c r="F245" s="97"/>
      <c r="G245" s="97"/>
      <c r="H245" s="97"/>
      <c r="I245" s="97"/>
      <c r="J245" s="97"/>
      <c r="K245" s="97"/>
    </row>
    <row r="246" spans="6:11">
      <c r="F246" s="97"/>
      <c r="G246" s="97"/>
      <c r="H246" s="97"/>
      <c r="I246" s="97"/>
      <c r="J246" s="97"/>
      <c r="K246" s="97"/>
    </row>
    <row r="247" spans="6:11">
      <c r="F247" s="97"/>
      <c r="G247" s="97"/>
      <c r="H247" s="97"/>
      <c r="I247" s="97"/>
      <c r="J247" s="97"/>
      <c r="K247" s="97"/>
    </row>
    <row r="248" spans="6:11">
      <c r="F248" s="97"/>
      <c r="G248" s="97"/>
      <c r="H248" s="97"/>
      <c r="I248" s="97"/>
      <c r="J248" s="97"/>
      <c r="K248" s="97"/>
    </row>
    <row r="249" spans="6:11">
      <c r="F249" s="97"/>
      <c r="G249" s="97"/>
      <c r="H249" s="97"/>
      <c r="I249" s="97"/>
      <c r="J249" s="97"/>
      <c r="K249" s="97"/>
    </row>
    <row r="250" spans="6:11">
      <c r="F250" s="97"/>
      <c r="G250" s="97"/>
      <c r="H250" s="97"/>
      <c r="I250" s="97"/>
      <c r="J250" s="97"/>
      <c r="K250" s="97"/>
    </row>
    <row r="251" spans="6:11">
      <c r="F251" s="97"/>
      <c r="G251" s="97"/>
      <c r="H251" s="97"/>
      <c r="I251" s="97"/>
      <c r="J251" s="97"/>
      <c r="K251" s="97"/>
    </row>
    <row r="252" spans="6:11">
      <c r="F252" s="97"/>
      <c r="G252" s="97"/>
      <c r="H252" s="97"/>
      <c r="I252" s="97"/>
      <c r="J252" s="97"/>
      <c r="K252" s="97"/>
    </row>
    <row r="253" spans="6:11">
      <c r="F253" s="97"/>
      <c r="G253" s="97"/>
      <c r="H253" s="97"/>
      <c r="I253" s="97"/>
      <c r="J253" s="97"/>
      <c r="K253" s="97"/>
    </row>
    <row r="254" spans="6:11">
      <c r="F254" s="97"/>
      <c r="G254" s="97"/>
      <c r="H254" s="97"/>
      <c r="I254" s="97"/>
      <c r="J254" s="97"/>
      <c r="K254" s="97"/>
    </row>
    <row r="255" spans="6:11">
      <c r="F255" s="97"/>
      <c r="G255" s="97"/>
      <c r="H255" s="97"/>
      <c r="I255" s="97"/>
      <c r="J255" s="97"/>
      <c r="K255" s="97"/>
    </row>
    <row r="256" spans="6:11">
      <c r="F256" s="97"/>
      <c r="G256" s="97"/>
      <c r="H256" s="97"/>
      <c r="I256" s="97"/>
      <c r="J256" s="97"/>
      <c r="K256" s="97"/>
    </row>
    <row r="257" spans="6:11">
      <c r="F257" s="97"/>
      <c r="G257" s="97"/>
      <c r="H257" s="97"/>
      <c r="I257" s="97"/>
      <c r="J257" s="97"/>
      <c r="K257" s="97"/>
    </row>
    <row r="258" spans="6:11">
      <c r="F258" s="97"/>
      <c r="G258" s="97"/>
      <c r="H258" s="97"/>
      <c r="I258" s="97"/>
      <c r="J258" s="97"/>
      <c r="K258" s="97"/>
    </row>
    <row r="259" spans="6:11">
      <c r="F259" s="97"/>
      <c r="G259" s="97"/>
      <c r="H259" s="97"/>
      <c r="I259" s="97"/>
      <c r="J259" s="97"/>
      <c r="K259" s="97"/>
    </row>
    <row r="260" spans="6:11">
      <c r="F260" s="97"/>
      <c r="G260" s="97"/>
      <c r="H260" s="97"/>
      <c r="I260" s="97"/>
      <c r="J260" s="97"/>
      <c r="K260" s="97"/>
    </row>
    <row r="261" spans="6:11">
      <c r="F261" s="97"/>
      <c r="G261" s="97"/>
      <c r="H261" s="97"/>
      <c r="I261" s="97"/>
      <c r="J261" s="97"/>
      <c r="K261" s="97"/>
    </row>
    <row r="262" spans="6:11">
      <c r="F262" s="97"/>
      <c r="G262" s="97"/>
      <c r="H262" s="97"/>
      <c r="I262" s="97"/>
      <c r="J262" s="97"/>
      <c r="K262" s="97"/>
    </row>
    <row r="263" spans="6:11">
      <c r="F263" s="97"/>
      <c r="G263" s="97"/>
      <c r="H263" s="97"/>
      <c r="I263" s="97"/>
      <c r="J263" s="97"/>
      <c r="K263" s="97"/>
    </row>
    <row r="264" spans="6:11">
      <c r="F264" s="97"/>
      <c r="G264" s="97"/>
      <c r="H264" s="97"/>
      <c r="I264" s="97"/>
      <c r="J264" s="97"/>
      <c r="K264" s="97"/>
    </row>
    <row r="265" spans="6:11">
      <c r="F265" s="97"/>
      <c r="G265" s="97"/>
      <c r="H265" s="97"/>
      <c r="I265" s="97"/>
      <c r="J265" s="97"/>
      <c r="K265" s="97"/>
    </row>
    <row r="266" spans="6:11">
      <c r="F266" s="97"/>
      <c r="G266" s="97"/>
      <c r="H266" s="97"/>
      <c r="I266" s="97"/>
      <c r="J266" s="97"/>
      <c r="K266" s="97"/>
    </row>
    <row r="267" spans="6:11">
      <c r="F267" s="97"/>
      <c r="G267" s="97"/>
      <c r="H267" s="97"/>
      <c r="I267" s="97"/>
      <c r="J267" s="97"/>
      <c r="K267" s="97"/>
    </row>
    <row r="268" spans="6:11">
      <c r="F268" s="97"/>
      <c r="G268" s="97"/>
      <c r="H268" s="97"/>
      <c r="I268" s="97"/>
      <c r="J268" s="97"/>
      <c r="K268" s="97"/>
    </row>
    <row r="269" spans="6:11">
      <c r="F269" s="97"/>
      <c r="G269" s="97"/>
      <c r="H269" s="97"/>
      <c r="I269" s="97"/>
      <c r="J269" s="97"/>
      <c r="K269" s="97"/>
    </row>
    <row r="270" spans="6:11">
      <c r="F270" s="97"/>
      <c r="G270" s="97"/>
      <c r="H270" s="97"/>
      <c r="I270" s="97"/>
      <c r="J270" s="97"/>
      <c r="K270" s="97"/>
    </row>
    <row r="271" spans="6:11">
      <c r="F271" s="97"/>
      <c r="G271" s="97"/>
      <c r="H271" s="97"/>
      <c r="I271" s="97"/>
      <c r="J271" s="97"/>
      <c r="K271" s="97"/>
    </row>
    <row r="272" spans="6:11">
      <c r="F272" s="97"/>
      <c r="G272" s="97"/>
      <c r="H272" s="97"/>
      <c r="I272" s="97"/>
      <c r="J272" s="97"/>
      <c r="K272" s="97"/>
    </row>
    <row r="273" spans="6:11">
      <c r="F273" s="97"/>
      <c r="G273" s="97"/>
      <c r="H273" s="97"/>
      <c r="I273" s="97"/>
      <c r="J273" s="97"/>
      <c r="K273" s="97"/>
    </row>
    <row r="274" spans="6:11">
      <c r="F274" s="97"/>
      <c r="G274" s="97"/>
      <c r="H274" s="97"/>
      <c r="I274" s="97"/>
      <c r="J274" s="97"/>
      <c r="K274" s="97"/>
    </row>
    <row r="275" spans="6:11">
      <c r="F275" s="97"/>
      <c r="G275" s="97"/>
      <c r="H275" s="97"/>
      <c r="I275" s="97"/>
      <c r="J275" s="97"/>
      <c r="K275" s="97"/>
    </row>
    <row r="276" spans="6:11">
      <c r="F276" s="97"/>
      <c r="G276" s="97"/>
      <c r="H276" s="97"/>
      <c r="I276" s="97"/>
      <c r="J276" s="97"/>
      <c r="K276" s="97"/>
    </row>
    <row r="277" spans="6:11">
      <c r="F277" s="97"/>
      <c r="G277" s="97"/>
      <c r="H277" s="97"/>
      <c r="I277" s="97"/>
      <c r="J277" s="97"/>
      <c r="K277" s="97"/>
    </row>
    <row r="278" spans="6:11">
      <c r="F278" s="97"/>
      <c r="G278" s="97"/>
      <c r="H278" s="97"/>
      <c r="I278" s="97"/>
      <c r="J278" s="97"/>
      <c r="K278" s="97"/>
    </row>
    <row r="279" spans="6:11">
      <c r="F279" s="97"/>
      <c r="G279" s="97"/>
      <c r="H279" s="97"/>
      <c r="I279" s="97"/>
      <c r="J279" s="97"/>
      <c r="K279" s="97"/>
    </row>
    <row r="280" spans="6:11">
      <c r="F280" s="97"/>
      <c r="G280" s="97"/>
      <c r="H280" s="97"/>
      <c r="I280" s="97"/>
      <c r="J280" s="97"/>
      <c r="K280" s="97"/>
    </row>
    <row r="281" spans="6:11">
      <c r="F281" s="97"/>
      <c r="G281" s="97"/>
      <c r="H281" s="97"/>
      <c r="I281" s="97"/>
      <c r="J281" s="97"/>
      <c r="K281" s="97"/>
    </row>
    <row r="282" spans="6:11">
      <c r="F282" s="97"/>
      <c r="G282" s="97"/>
      <c r="H282" s="97"/>
      <c r="I282" s="97"/>
      <c r="J282" s="97"/>
      <c r="K282" s="97"/>
    </row>
    <row r="283" spans="6:11">
      <c r="F283" s="97"/>
      <c r="G283" s="97"/>
      <c r="H283" s="97"/>
      <c r="I283" s="97"/>
      <c r="J283" s="97"/>
      <c r="K283" s="97"/>
    </row>
    <row r="284" spans="6:11">
      <c r="F284" s="97"/>
      <c r="G284" s="97"/>
      <c r="H284" s="97"/>
      <c r="I284" s="97"/>
      <c r="J284" s="97"/>
      <c r="K284" s="97"/>
    </row>
    <row r="285" spans="6:11">
      <c r="F285" s="97"/>
      <c r="G285" s="97"/>
      <c r="H285" s="97"/>
      <c r="I285" s="97"/>
      <c r="J285" s="97"/>
      <c r="K285" s="97"/>
    </row>
    <row r="286" spans="6:11">
      <c r="F286" s="97"/>
      <c r="G286" s="97"/>
      <c r="H286" s="97"/>
      <c r="I286" s="97"/>
      <c r="J286" s="97"/>
      <c r="K286" s="97"/>
    </row>
    <row r="287" spans="6:11">
      <c r="F287" s="97"/>
      <c r="G287" s="97"/>
      <c r="H287" s="97"/>
      <c r="I287" s="97"/>
      <c r="J287" s="97"/>
      <c r="K287" s="97"/>
    </row>
    <row r="288" spans="6:11">
      <c r="F288" s="97"/>
      <c r="G288" s="97"/>
      <c r="H288" s="97"/>
      <c r="I288" s="97"/>
      <c r="J288" s="97"/>
      <c r="K288" s="97"/>
    </row>
    <row r="289" spans="6:11">
      <c r="F289" s="97"/>
      <c r="G289" s="97"/>
      <c r="H289" s="97"/>
      <c r="I289" s="97"/>
      <c r="J289" s="97"/>
      <c r="K289" s="97"/>
    </row>
    <row r="290" spans="6:11">
      <c r="F290" s="97"/>
      <c r="G290" s="97"/>
      <c r="H290" s="97"/>
      <c r="I290" s="97"/>
      <c r="J290" s="97"/>
      <c r="K290" s="97"/>
    </row>
    <row r="291" spans="6:11">
      <c r="F291" s="97"/>
      <c r="G291" s="97"/>
      <c r="H291" s="97"/>
      <c r="I291" s="97"/>
      <c r="J291" s="97"/>
      <c r="K291" s="97"/>
    </row>
    <row r="292" spans="6:11">
      <c r="F292" s="97"/>
      <c r="G292" s="97"/>
      <c r="H292" s="97"/>
      <c r="I292" s="97"/>
      <c r="J292" s="97"/>
      <c r="K292" s="97"/>
    </row>
    <row r="293" spans="6:11">
      <c r="F293" s="97"/>
      <c r="G293" s="97"/>
      <c r="H293" s="97"/>
      <c r="I293" s="97"/>
      <c r="J293" s="97"/>
      <c r="K293" s="97"/>
    </row>
    <row r="294" spans="6:11">
      <c r="F294" s="97"/>
      <c r="G294" s="97"/>
      <c r="H294" s="97"/>
      <c r="I294" s="97"/>
      <c r="J294" s="97"/>
      <c r="K294" s="97"/>
    </row>
    <row r="295" spans="6:11">
      <c r="F295" s="97"/>
      <c r="G295" s="97"/>
      <c r="H295" s="97"/>
      <c r="I295" s="97"/>
      <c r="J295" s="97"/>
      <c r="K295" s="97"/>
    </row>
    <row r="296" spans="6:11">
      <c r="F296" s="97"/>
      <c r="G296" s="97"/>
      <c r="H296" s="97"/>
      <c r="I296" s="97"/>
      <c r="J296" s="97"/>
      <c r="K296" s="97"/>
    </row>
    <row r="297" spans="6:11">
      <c r="F297" s="97"/>
      <c r="G297" s="97"/>
      <c r="H297" s="97"/>
      <c r="I297" s="97"/>
      <c r="J297" s="97"/>
      <c r="K297" s="97"/>
    </row>
    <row r="298" spans="6:11">
      <c r="F298" s="97"/>
      <c r="G298" s="97"/>
      <c r="H298" s="97"/>
      <c r="I298" s="97"/>
      <c r="J298" s="97"/>
      <c r="K298" s="97"/>
    </row>
    <row r="299" spans="6:11">
      <c r="F299" s="97"/>
      <c r="G299" s="97"/>
      <c r="H299" s="97"/>
      <c r="I299" s="97"/>
      <c r="J299" s="97"/>
      <c r="K299" s="97"/>
    </row>
    <row r="300" spans="6:11">
      <c r="F300" s="97"/>
      <c r="G300" s="97"/>
      <c r="H300" s="97"/>
      <c r="I300" s="97"/>
      <c r="J300" s="97"/>
      <c r="K300" s="97"/>
    </row>
    <row r="301" spans="6:11">
      <c r="F301" s="97"/>
      <c r="G301" s="97"/>
      <c r="H301" s="97"/>
      <c r="I301" s="97"/>
      <c r="J301" s="97"/>
      <c r="K301" s="97"/>
    </row>
    <row r="302" spans="6:11">
      <c r="F302" s="97"/>
      <c r="G302" s="97"/>
      <c r="H302" s="97"/>
      <c r="I302" s="97"/>
      <c r="J302" s="97"/>
      <c r="K302" s="97"/>
    </row>
    <row r="303" spans="6:11">
      <c r="F303" s="97"/>
      <c r="G303" s="97"/>
      <c r="H303" s="97"/>
      <c r="I303" s="97"/>
      <c r="J303" s="97"/>
      <c r="K303" s="97"/>
    </row>
    <row r="304" spans="6:11">
      <c r="F304" s="97"/>
      <c r="G304" s="97"/>
      <c r="H304" s="97"/>
      <c r="I304" s="97"/>
      <c r="J304" s="97"/>
      <c r="K304" s="97"/>
    </row>
    <row r="305" spans="6:11">
      <c r="F305" s="97"/>
      <c r="G305" s="97"/>
      <c r="H305" s="97"/>
      <c r="I305" s="97"/>
      <c r="J305" s="97"/>
      <c r="K305" s="97"/>
    </row>
    <row r="306" spans="6:11">
      <c r="F306" s="97"/>
      <c r="G306" s="97"/>
      <c r="H306" s="97"/>
      <c r="I306" s="97"/>
      <c r="J306" s="97"/>
      <c r="K306" s="97"/>
    </row>
    <row r="307" spans="6:11">
      <c r="F307" s="97"/>
      <c r="G307" s="97"/>
      <c r="H307" s="97"/>
      <c r="I307" s="97"/>
      <c r="J307" s="97"/>
      <c r="K307" s="97"/>
    </row>
    <row r="308" spans="6:11">
      <c r="F308" s="97"/>
      <c r="G308" s="97"/>
      <c r="H308" s="97"/>
      <c r="I308" s="97"/>
      <c r="J308" s="97"/>
      <c r="K308" s="97"/>
    </row>
    <row r="309" spans="6:11">
      <c r="F309" s="97"/>
      <c r="G309" s="97"/>
      <c r="H309" s="97"/>
      <c r="I309" s="97"/>
      <c r="J309" s="97"/>
      <c r="K309" s="97"/>
    </row>
    <row r="310" spans="6:11">
      <c r="F310" s="97"/>
      <c r="G310" s="97"/>
      <c r="H310" s="97"/>
      <c r="I310" s="97"/>
      <c r="J310" s="97"/>
      <c r="K310" s="97"/>
    </row>
    <row r="311" spans="6:11">
      <c r="F311" s="97"/>
      <c r="G311" s="97"/>
      <c r="H311" s="97"/>
      <c r="I311" s="97"/>
      <c r="J311" s="97"/>
      <c r="K311" s="97"/>
    </row>
    <row r="312" spans="6:11">
      <c r="F312" s="97"/>
      <c r="G312" s="97"/>
      <c r="H312" s="97"/>
      <c r="I312" s="97"/>
      <c r="J312" s="97"/>
      <c r="K312" s="97"/>
    </row>
    <row r="313" spans="6:11">
      <c r="F313" s="97"/>
      <c r="G313" s="97"/>
      <c r="H313" s="97"/>
      <c r="I313" s="97"/>
      <c r="J313" s="97"/>
      <c r="K313" s="97"/>
    </row>
    <row r="314" spans="6:11">
      <c r="F314" s="97"/>
      <c r="G314" s="97"/>
      <c r="H314" s="97"/>
      <c r="I314" s="97"/>
      <c r="J314" s="97"/>
      <c r="K314" s="97"/>
    </row>
    <row r="315" spans="6:11">
      <c r="F315" s="97"/>
      <c r="G315" s="97"/>
      <c r="H315" s="97"/>
      <c r="I315" s="97"/>
      <c r="J315" s="97"/>
      <c r="K315" s="97"/>
    </row>
    <row r="316" spans="6:11">
      <c r="F316" s="97"/>
      <c r="G316" s="97"/>
      <c r="H316" s="97"/>
      <c r="I316" s="97"/>
      <c r="J316" s="97"/>
      <c r="K316" s="97"/>
    </row>
    <row r="317" spans="6:11">
      <c r="F317" s="97"/>
      <c r="G317" s="97"/>
      <c r="H317" s="97"/>
      <c r="I317" s="97"/>
      <c r="J317" s="97"/>
      <c r="K317" s="97"/>
    </row>
    <row r="318" spans="6:11">
      <c r="F318" s="97"/>
      <c r="G318" s="97"/>
      <c r="H318" s="97"/>
      <c r="I318" s="97"/>
      <c r="J318" s="97"/>
      <c r="K318" s="97"/>
    </row>
    <row r="319" spans="6:11">
      <c r="F319" s="97"/>
      <c r="G319" s="97"/>
      <c r="H319" s="97"/>
      <c r="I319" s="97"/>
      <c r="J319" s="97"/>
      <c r="K319" s="97"/>
    </row>
    <row r="320" spans="6:11">
      <c r="F320" s="97"/>
      <c r="G320" s="97"/>
      <c r="H320" s="97"/>
      <c r="I320" s="97"/>
      <c r="J320" s="97"/>
      <c r="K320" s="97"/>
    </row>
    <row r="321" spans="6:11">
      <c r="F321" s="97"/>
      <c r="G321" s="97"/>
      <c r="H321" s="97"/>
      <c r="I321" s="97"/>
      <c r="J321" s="97"/>
      <c r="K321" s="97"/>
    </row>
    <row r="322" spans="6:11">
      <c r="F322" s="97"/>
      <c r="G322" s="97"/>
      <c r="H322" s="97"/>
      <c r="I322" s="97"/>
      <c r="J322" s="97"/>
      <c r="K322" s="97"/>
    </row>
    <row r="323" spans="6:11">
      <c r="F323" s="97"/>
      <c r="G323" s="97"/>
      <c r="H323" s="97"/>
      <c r="I323" s="97"/>
      <c r="J323" s="97"/>
      <c r="K323" s="97"/>
    </row>
    <row r="324" spans="6:11">
      <c r="F324" s="97"/>
      <c r="G324" s="97"/>
      <c r="H324" s="97"/>
      <c r="I324" s="97"/>
      <c r="J324" s="97"/>
      <c r="K324" s="97"/>
    </row>
    <row r="325" spans="6:11">
      <c r="F325" s="97"/>
      <c r="G325" s="97"/>
      <c r="H325" s="97"/>
      <c r="I325" s="97"/>
      <c r="J325" s="97"/>
      <c r="K325" s="97"/>
    </row>
    <row r="326" spans="6:11">
      <c r="F326" s="97"/>
      <c r="G326" s="97"/>
      <c r="H326" s="97"/>
      <c r="I326" s="97"/>
      <c r="J326" s="97"/>
      <c r="K326" s="97"/>
    </row>
    <row r="327" spans="6:11">
      <c r="F327" s="97"/>
      <c r="G327" s="97"/>
      <c r="H327" s="97"/>
      <c r="I327" s="97"/>
      <c r="J327" s="97"/>
      <c r="K327" s="97"/>
    </row>
    <row r="328" spans="6:11">
      <c r="F328" s="97"/>
      <c r="G328" s="97"/>
      <c r="H328" s="97"/>
      <c r="I328" s="97"/>
      <c r="J328" s="97"/>
      <c r="K328" s="97"/>
    </row>
    <row r="329" spans="6:11">
      <c r="F329" s="97"/>
      <c r="G329" s="97"/>
      <c r="H329" s="97"/>
      <c r="I329" s="97"/>
      <c r="J329" s="97"/>
      <c r="K329" s="97"/>
    </row>
    <row r="330" spans="6:11">
      <c r="F330" s="97"/>
      <c r="G330" s="97"/>
      <c r="H330" s="97"/>
      <c r="I330" s="97"/>
      <c r="J330" s="97"/>
      <c r="K330" s="97"/>
    </row>
    <row r="331" spans="6:11">
      <c r="F331" s="97"/>
      <c r="G331" s="97"/>
      <c r="H331" s="97"/>
      <c r="I331" s="97"/>
      <c r="J331" s="97"/>
      <c r="K331" s="97"/>
    </row>
    <row r="332" spans="6:11">
      <c r="F332" s="97"/>
      <c r="G332" s="97"/>
      <c r="H332" s="97"/>
      <c r="I332" s="97"/>
      <c r="J332" s="97"/>
      <c r="K332" s="97"/>
    </row>
    <row r="333" spans="6:11">
      <c r="F333" s="97"/>
      <c r="G333" s="97"/>
      <c r="H333" s="97"/>
      <c r="I333" s="97"/>
      <c r="J333" s="97"/>
      <c r="K333" s="97"/>
    </row>
    <row r="334" spans="6:11">
      <c r="F334" s="97"/>
      <c r="G334" s="97"/>
      <c r="H334" s="97"/>
      <c r="I334" s="97"/>
      <c r="J334" s="97"/>
      <c r="K334" s="97"/>
    </row>
    <row r="335" spans="6:11">
      <c r="F335" s="97"/>
      <c r="G335" s="97"/>
      <c r="H335" s="97"/>
      <c r="I335" s="97"/>
      <c r="J335" s="97"/>
      <c r="K335" s="97"/>
    </row>
    <row r="336" spans="6:11">
      <c r="F336" s="97"/>
      <c r="G336" s="97"/>
      <c r="H336" s="97"/>
      <c r="I336" s="97"/>
      <c r="J336" s="97"/>
      <c r="K336" s="97"/>
    </row>
    <row r="337" spans="6:11">
      <c r="F337" s="97"/>
      <c r="G337" s="97"/>
      <c r="H337" s="97"/>
      <c r="I337" s="97"/>
      <c r="J337" s="97"/>
      <c r="K337" s="97"/>
    </row>
    <row r="338" spans="6:11">
      <c r="F338" s="97"/>
      <c r="G338" s="97"/>
      <c r="H338" s="97"/>
      <c r="I338" s="97"/>
      <c r="J338" s="97"/>
      <c r="K338" s="97"/>
    </row>
    <row r="339" spans="6:11">
      <c r="F339" s="97"/>
      <c r="G339" s="97"/>
      <c r="H339" s="97"/>
      <c r="I339" s="97"/>
      <c r="J339" s="97"/>
      <c r="K339" s="97"/>
    </row>
    <row r="340" spans="6:11">
      <c r="F340" s="97"/>
      <c r="G340" s="97"/>
      <c r="H340" s="97"/>
      <c r="I340" s="97"/>
      <c r="J340" s="97"/>
      <c r="K340" s="97"/>
    </row>
    <row r="341" spans="6:11">
      <c r="F341" s="97"/>
      <c r="G341" s="97"/>
      <c r="H341" s="97"/>
      <c r="I341" s="97"/>
      <c r="J341" s="97"/>
      <c r="K341" s="97"/>
    </row>
    <row r="342" spans="6:11">
      <c r="F342" s="97"/>
      <c r="G342" s="97"/>
      <c r="H342" s="97"/>
      <c r="I342" s="97"/>
      <c r="J342" s="97"/>
      <c r="K342" s="97"/>
    </row>
    <row r="343" spans="6:11">
      <c r="F343" s="97"/>
      <c r="G343" s="97"/>
      <c r="H343" s="97"/>
      <c r="I343" s="97"/>
      <c r="J343" s="97"/>
      <c r="K343" s="97"/>
    </row>
    <row r="344" spans="6:11">
      <c r="F344" s="97"/>
      <c r="G344" s="97"/>
      <c r="H344" s="97"/>
      <c r="I344" s="97"/>
      <c r="J344" s="97"/>
      <c r="K344" s="97"/>
    </row>
    <row r="345" spans="6:11">
      <c r="F345" s="97"/>
      <c r="G345" s="97"/>
      <c r="H345" s="97"/>
      <c r="I345" s="97"/>
      <c r="J345" s="97"/>
      <c r="K345" s="97"/>
    </row>
    <row r="346" spans="6:11">
      <c r="F346" s="97"/>
      <c r="G346" s="97"/>
      <c r="H346" s="97"/>
      <c r="I346" s="97"/>
      <c r="J346" s="97"/>
      <c r="K346" s="97"/>
    </row>
    <row r="347" spans="6:11">
      <c r="F347" s="97"/>
      <c r="G347" s="97"/>
      <c r="H347" s="97"/>
      <c r="I347" s="97"/>
      <c r="J347" s="97"/>
      <c r="K347" s="97"/>
    </row>
    <row r="348" spans="6:11">
      <c r="F348" s="97"/>
      <c r="G348" s="97"/>
      <c r="H348" s="97"/>
      <c r="I348" s="97"/>
      <c r="J348" s="97"/>
      <c r="K348" s="97"/>
    </row>
    <row r="349" spans="6:11">
      <c r="F349" s="97"/>
      <c r="G349" s="97"/>
      <c r="H349" s="97"/>
      <c r="I349" s="97"/>
      <c r="J349" s="97"/>
      <c r="K349" s="97"/>
    </row>
    <row r="350" spans="6:11">
      <c r="F350" s="97"/>
      <c r="G350" s="97"/>
      <c r="H350" s="97"/>
      <c r="I350" s="97"/>
      <c r="J350" s="97"/>
      <c r="K350" s="97"/>
    </row>
    <row r="351" spans="6:11">
      <c r="F351" s="97"/>
      <c r="G351" s="97"/>
      <c r="H351" s="97"/>
      <c r="I351" s="97"/>
      <c r="J351" s="97"/>
      <c r="K351" s="97"/>
    </row>
    <row r="352" spans="6:11">
      <c r="F352" s="97"/>
      <c r="G352" s="97"/>
      <c r="H352" s="97"/>
      <c r="I352" s="97"/>
      <c r="J352" s="97"/>
      <c r="K352" s="97"/>
    </row>
    <row r="353" spans="6:11">
      <c r="F353" s="97"/>
      <c r="G353" s="97"/>
      <c r="H353" s="97"/>
      <c r="I353" s="97"/>
      <c r="J353" s="97"/>
      <c r="K353" s="97"/>
    </row>
    <row r="354" spans="6:11">
      <c r="F354" s="97"/>
      <c r="G354" s="97"/>
      <c r="H354" s="97"/>
      <c r="I354" s="97"/>
      <c r="J354" s="97"/>
      <c r="K354" s="97"/>
    </row>
    <row r="355" spans="6:11">
      <c r="F355" s="97"/>
      <c r="G355" s="97"/>
      <c r="H355" s="97"/>
      <c r="I355" s="97"/>
      <c r="J355" s="97"/>
      <c r="K355" s="97"/>
    </row>
    <row r="356" spans="6:11">
      <c r="F356" s="97"/>
      <c r="G356" s="97"/>
      <c r="H356" s="97"/>
      <c r="I356" s="97"/>
      <c r="J356" s="97"/>
      <c r="K356" s="97"/>
    </row>
    <row r="357" spans="6:11">
      <c r="F357" s="97"/>
      <c r="G357" s="97"/>
      <c r="H357" s="97"/>
      <c r="I357" s="97"/>
      <c r="J357" s="97"/>
      <c r="K357" s="97"/>
    </row>
    <row r="358" spans="6:11">
      <c r="F358" s="97"/>
      <c r="G358" s="97"/>
      <c r="H358" s="97"/>
      <c r="I358" s="97"/>
      <c r="J358" s="97"/>
      <c r="K358" s="97"/>
    </row>
    <row r="359" spans="6:11">
      <c r="F359" s="97"/>
      <c r="G359" s="97"/>
      <c r="H359" s="97"/>
      <c r="I359" s="97"/>
      <c r="J359" s="97"/>
      <c r="K359" s="97"/>
    </row>
    <row r="360" spans="6:11">
      <c r="F360" s="97"/>
      <c r="G360" s="97"/>
      <c r="H360" s="97"/>
      <c r="I360" s="97"/>
      <c r="J360" s="97"/>
      <c r="K360" s="97"/>
    </row>
    <row r="361" spans="6:11">
      <c r="F361" s="97"/>
      <c r="G361" s="97"/>
      <c r="H361" s="97"/>
      <c r="I361" s="97"/>
      <c r="J361" s="97"/>
      <c r="K361" s="97"/>
    </row>
    <row r="362" spans="6:11">
      <c r="F362" s="97"/>
      <c r="G362" s="97"/>
      <c r="H362" s="97"/>
      <c r="I362" s="97"/>
      <c r="J362" s="97"/>
      <c r="K362" s="97"/>
    </row>
    <row r="363" spans="6:11">
      <c r="F363" s="97"/>
      <c r="G363" s="97"/>
      <c r="H363" s="97"/>
      <c r="I363" s="97"/>
      <c r="J363" s="97"/>
      <c r="K363" s="97"/>
    </row>
    <row r="364" spans="6:11">
      <c r="F364" s="97"/>
      <c r="G364" s="97"/>
      <c r="H364" s="97"/>
      <c r="I364" s="97"/>
      <c r="J364" s="97"/>
      <c r="K364" s="97"/>
    </row>
  </sheetData>
  <mergeCells count="13">
    <mergeCell ref="T32:AF32"/>
    <mergeCell ref="A32:B32"/>
    <mergeCell ref="Q32:R32"/>
    <mergeCell ref="Q33:R33"/>
    <mergeCell ref="B8:L8"/>
    <mergeCell ref="B9:L9"/>
    <mergeCell ref="K2:M2"/>
    <mergeCell ref="Q57:R57"/>
    <mergeCell ref="Q58:R58"/>
    <mergeCell ref="A3:H3"/>
    <mergeCell ref="B5:L5"/>
    <mergeCell ref="B6:L6"/>
    <mergeCell ref="B7:L7"/>
  </mergeCells>
  <conditionalFormatting sqref="C25:H30">
    <cfRule type="expression" dxfId="57" priority="6">
      <formula>ISERROR(C25)</formula>
    </cfRule>
  </conditionalFormatting>
  <conditionalFormatting sqref="C12:AW24">
    <cfRule type="expression" dxfId="56" priority="5">
      <formula>ISERROR(C12)</formula>
    </cfRule>
  </conditionalFormatting>
  <conditionalFormatting sqref="C34:O81">
    <cfRule type="expression" dxfId="55" priority="3">
      <formula>ISERROR(C34)</formula>
    </cfRule>
  </conditionalFormatting>
  <conditionalFormatting sqref="T34:AF81">
    <cfRule type="expression" dxfId="54" priority="1">
      <formula>ISERROR(T34)</formula>
    </cfRule>
  </conditionalFormatting>
  <hyperlinks>
    <hyperlink ref="K2" location="'Information och Innehåll'!A1" display="Tillbaka till Information och Innehåll"/>
    <hyperlink ref="Q35" location="V1.1.1!A1" display="V1.1.1"/>
    <hyperlink ref="Q36" location="V1.1.2!A1" display="V1.1.2"/>
    <hyperlink ref="Q37" location="V1.1.3!A1" display="V1.1.3"/>
    <hyperlink ref="Q38" location="V2.1.1!A1" display="V2.1.1"/>
    <hyperlink ref="Q39" location="V2.1.2!A1" display="V2.1.2"/>
    <hyperlink ref="Q41" location="V3.1.2!A1" display="V3.1.2"/>
    <hyperlink ref="Q40" location="V3.1.1!A1" display="V3.1.1"/>
    <hyperlink ref="Q42" location="V3.1.3!A1" display="V3.1.3"/>
    <hyperlink ref="Q44" location="V4.1.1!A1" display="V4.1.1"/>
    <hyperlink ref="Q45" location="V4.2.1!A1" display="V4.2.1"/>
    <hyperlink ref="Q46" location="V4.2.2!A1" display="V4.2.2"/>
    <hyperlink ref="Q47" location="V4.2.3!A1" display="V4.2.3"/>
    <hyperlink ref="Q48" location="V4.2.4!A1" display="V4.2.4"/>
    <hyperlink ref="Q49" location="V5.1.1!A1" display="V5.1.1"/>
    <hyperlink ref="Q50" location="V5.1.2!A1" display="V5.1.2"/>
    <hyperlink ref="R35" location="B1.1.1!A1" display="B1.1.1"/>
    <hyperlink ref="R36" location="B1.1.2!A1" display="B1.1.2"/>
    <hyperlink ref="R37" location="B1.2.1!A1" display="B1.2.1"/>
    <hyperlink ref="R38" location="B1.2.2!A1" display="B1.2.2"/>
    <hyperlink ref="R39" location="B1.2.3!A1" display="B1.2.3"/>
    <hyperlink ref="R40" location="B2.1.1!A1" display="B2.1.1"/>
    <hyperlink ref="R42" location="B2.2.1!A1" display="B2.2.1"/>
    <hyperlink ref="R43" location="B2.2.2!A1" display="B2.2.2"/>
    <hyperlink ref="R44" location="B2.2.3!A1" display="B2.2.3"/>
    <hyperlink ref="R45" location="B2.2.4!A1" display="B2.2.4"/>
    <hyperlink ref="R46" location="B3.1.1!A1" display="B3.1.1"/>
    <hyperlink ref="R47" location="B3.1.2!A1" display="B3.1.2"/>
    <hyperlink ref="R50" location="B4.1.1!A1" display="B4.1.1"/>
    <hyperlink ref="R51" location="B5.1.1!A1" display="B5.1.1"/>
    <hyperlink ref="R52" location="B5.1.2!A1" display="B5.1.2"/>
    <hyperlink ref="R53" location="B5.1.3!A1" display="B5.1.3"/>
    <hyperlink ref="R48" location="B3.1.3!A1" display="B3.1.3"/>
    <hyperlink ref="R41" location="B2.1.2!A1" display="B2.1.2"/>
    <hyperlink ref="Q51" location="V5.1.3!A1" display="V5.1.3"/>
    <hyperlink ref="R49" location="B3.2.1!A1" display="B3.2.1"/>
    <hyperlink ref="Q43" location="B3.2.1!A1" display="V3.2.1"/>
    <hyperlink ref="Q60" location="'V1.1.1 DATA'!A1" display="V1.1.1"/>
    <hyperlink ref="Q61" location="'V1.1.2 DATA'!A1" display="V1.1.2"/>
    <hyperlink ref="Q62" location="'V1.1.3 Data'!A1" display="V1.1.3"/>
    <hyperlink ref="Q63" location="'V2.1.1 DATA'!A1" display="V2.1.1"/>
    <hyperlink ref="Q64" location="'V2.1.2 DATA'!A1" display="V2.1.2"/>
    <hyperlink ref="Q66" location="'V3.1.2 DATA'!A1" display="V3.1.2"/>
    <hyperlink ref="Q65" location="'V3.1.1 DATA'!A1" display="V3.1.1"/>
    <hyperlink ref="Q67" location="'V3.1.3 DATA'!A1" display="V3.1.3"/>
    <hyperlink ref="Q68" location="'V3.2.1 DATA'!A1" display="V3.2.1"/>
    <hyperlink ref="Q69" location="'V4.1.1 DATA'!A1" display="V4.1.1"/>
    <hyperlink ref="Q70" location="'V4.2.1 DATA'!A1" display="V4.2.1"/>
    <hyperlink ref="Q72" location="'V4.2.3 DATA'!A1" display="V4.2.3"/>
    <hyperlink ref="Q73" location="'V4.2.4 DATA'!A1" display="V4.2.4"/>
    <hyperlink ref="Q74" location="'V5.1.1 DATA'!A1" display="V5.1.1"/>
    <hyperlink ref="Q75" location="'V5.1.2 DATA'!A1" display="V5.1.2"/>
    <hyperlink ref="R60" location="'B1.1.1 DATA'!A1" display="B1.1.1"/>
    <hyperlink ref="R61" location="'B1.1.2 DATA'!A1" display="B1.1.2"/>
    <hyperlink ref="R62" location="'B1.2.1 DATA'!A1" display="B1.2.1"/>
    <hyperlink ref="R63" location="'B1.2.2 DATA'!A1" display="B1.2.2"/>
    <hyperlink ref="R64" location="'B1.2.3 DATA'!A1" display="B1.2.3"/>
    <hyperlink ref="R65" location="'B2.1.1 DATA'!A1" display="B2.1.1"/>
    <hyperlink ref="R67" location="'B2.2.1 DATA'!A1" display="B2.2.1"/>
    <hyperlink ref="R68" location="'B2.2.2 DATA'!A1" display="B2.2.2"/>
    <hyperlink ref="R69" location="'B2.2.3 DATA'!A1" display="B2.2.3"/>
    <hyperlink ref="R70" location="'B2.2.4 DATA'!A1" display="B2.2.4"/>
    <hyperlink ref="R71" location="'B3.1.1 DATA'!A1" display="B3.1.1"/>
    <hyperlink ref="R72" location="'B3.1.2 DATA'!A1" display="B3.1.2"/>
    <hyperlink ref="R74" location="'B3.2.1 DATA'!A1" display="B3.2.1"/>
    <hyperlink ref="R75" location="'B4.1.1 DATA'!A1" display="B4.1.1"/>
    <hyperlink ref="R76" location="'B5.1.1 DATA'!A1" display="B5.1.1"/>
    <hyperlink ref="R77" location="'B5.1.2 DATA'!A1" display="B5.1.2"/>
    <hyperlink ref="R78" location="'B5.1.3 DATA'!A1" display="B5.1.3"/>
    <hyperlink ref="R66" location="'B2.1.2 DATA'!A1" display="B2.1.2"/>
    <hyperlink ref="Q76" location="'V5.1.3 DATA'!A1" display="V5.1.3"/>
    <hyperlink ref="R73" location="'B3.1.3 DATA'!A1" display="B3.1.3"/>
    <hyperlink ref="Q71" location="'V4.2.2 DATA'!A1" display="V4.2.2"/>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18366"/>
  </sheetPr>
  <dimension ref="A2:AA55"/>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405</v>
      </c>
      <c r="C3" s="338"/>
      <c r="D3" s="338"/>
      <c r="E3" s="338"/>
      <c r="F3" s="338"/>
      <c r="G3" s="338"/>
      <c r="H3" s="338"/>
      <c r="I3" s="338"/>
      <c r="J3" s="338"/>
      <c r="K3" s="338"/>
      <c r="L3" s="338"/>
      <c r="M3" s="338"/>
      <c r="N3" s="338"/>
      <c r="O3" s="338"/>
      <c r="P3" s="338"/>
      <c r="Q3" s="338"/>
      <c r="R3" s="338"/>
      <c r="S3" s="338"/>
      <c r="T3" s="338"/>
    </row>
    <row r="4" spans="1:20" ht="30.75">
      <c r="B4" s="366" t="s">
        <v>645</v>
      </c>
      <c r="C4" s="366"/>
      <c r="D4" s="366"/>
      <c r="E4" s="366"/>
      <c r="F4" s="366"/>
      <c r="G4" s="366"/>
      <c r="H4" s="366"/>
      <c r="I4" s="366"/>
      <c r="J4" s="366"/>
      <c r="K4" s="366"/>
      <c r="L4" s="366"/>
      <c r="M4" s="366"/>
      <c r="N4" s="366"/>
      <c r="O4" s="366"/>
      <c r="P4" s="366"/>
      <c r="Q4" s="366"/>
      <c r="R4" s="366"/>
      <c r="S4" s="366"/>
      <c r="T4" s="366"/>
    </row>
    <row r="5" spans="1:20" ht="18">
      <c r="B5" s="340" t="s">
        <v>313</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122"/>
      <c r="O10" s="122"/>
      <c r="P10" s="122"/>
      <c r="Q10" s="122"/>
      <c r="R10" s="122"/>
      <c r="S10" s="122"/>
      <c r="T10" s="122"/>
    </row>
    <row r="11" spans="1:20" ht="14.45" customHeight="1">
      <c r="B11" s="336" t="s">
        <v>40</v>
      </c>
      <c r="C11" s="336"/>
      <c r="D11" s="336"/>
      <c r="E11" s="336"/>
      <c r="F11" s="336"/>
      <c r="G11" s="336"/>
      <c r="H11" s="336"/>
      <c r="I11" s="336"/>
      <c r="J11" s="336"/>
      <c r="K11" s="336"/>
      <c r="L11" s="336"/>
      <c r="N11" s="55" t="s">
        <v>211</v>
      </c>
      <c r="O11" s="55" t="s">
        <v>286</v>
      </c>
    </row>
    <row r="12" spans="1:20">
      <c r="B12" s="119"/>
      <c r="C12" s="337" t="s">
        <v>583</v>
      </c>
      <c r="D12" s="337"/>
      <c r="E12" s="337"/>
      <c r="F12" s="337"/>
      <c r="G12" s="337"/>
      <c r="H12" s="337"/>
      <c r="I12" s="337"/>
      <c r="J12" s="337"/>
      <c r="K12" s="337"/>
      <c r="L12" s="337"/>
      <c r="N12" s="55" t="s">
        <v>287</v>
      </c>
      <c r="O12" t="s">
        <v>42</v>
      </c>
      <c r="P12" t="s">
        <v>6</v>
      </c>
      <c r="Q12" t="s">
        <v>5</v>
      </c>
    </row>
    <row r="13" spans="1:20">
      <c r="B13" s="117"/>
      <c r="C13" s="332" t="s">
        <v>584</v>
      </c>
      <c r="D13" s="332"/>
      <c r="E13" s="332"/>
      <c r="F13" s="332"/>
      <c r="G13" s="332"/>
      <c r="H13" s="332"/>
      <c r="I13" s="332"/>
      <c r="J13" s="332"/>
      <c r="K13" s="332"/>
      <c r="L13" s="332"/>
      <c r="N13" s="3">
        <v>2010</v>
      </c>
      <c r="O13" s="200">
        <v>411</v>
      </c>
      <c r="P13" s="200">
        <v>466</v>
      </c>
      <c r="Q13" s="200">
        <v>359</v>
      </c>
    </row>
    <row r="14" spans="1:20" ht="14.45" customHeight="1">
      <c r="B14" s="117"/>
      <c r="C14" s="333" t="s">
        <v>292</v>
      </c>
      <c r="D14" s="333"/>
      <c r="E14" s="333"/>
      <c r="F14" s="333"/>
      <c r="G14" s="333"/>
      <c r="H14" s="333"/>
      <c r="I14" s="333"/>
      <c r="J14" s="333"/>
      <c r="K14" s="333"/>
      <c r="L14" s="333"/>
      <c r="N14" s="3">
        <v>2011</v>
      </c>
      <c r="O14" s="200">
        <v>438</v>
      </c>
      <c r="P14" s="200">
        <v>504</v>
      </c>
      <c r="Q14" s="200">
        <v>375</v>
      </c>
    </row>
    <row r="15" spans="1:20" ht="14.45" customHeight="1">
      <c r="B15" s="117"/>
      <c r="C15" s="333" t="s">
        <v>587</v>
      </c>
      <c r="D15" s="333"/>
      <c r="E15" s="333"/>
      <c r="F15" s="333"/>
      <c r="G15" s="333"/>
      <c r="H15" s="333"/>
      <c r="I15" s="333"/>
      <c r="J15" s="333"/>
      <c r="K15" s="333"/>
      <c r="L15" s="333"/>
      <c r="N15" s="3">
        <v>2012</v>
      </c>
      <c r="O15" s="200">
        <v>423</v>
      </c>
      <c r="P15" s="200">
        <v>477</v>
      </c>
      <c r="Q15" s="200">
        <v>372</v>
      </c>
    </row>
    <row r="16" spans="1:20">
      <c r="A16" s="3"/>
      <c r="B16" s="119"/>
      <c r="C16" s="119"/>
      <c r="D16" s="119"/>
      <c r="E16" s="119"/>
      <c r="F16" s="119"/>
      <c r="G16" s="119"/>
      <c r="H16" s="119"/>
      <c r="I16" s="119"/>
      <c r="J16" s="119"/>
      <c r="K16" s="119"/>
      <c r="L16" s="122"/>
      <c r="N16" s="3">
        <v>2013</v>
      </c>
      <c r="O16" s="200">
        <v>401</v>
      </c>
      <c r="P16" s="200">
        <v>444</v>
      </c>
      <c r="Q16" s="200">
        <v>360</v>
      </c>
    </row>
    <row r="17" spans="1:26" ht="14.45" customHeight="1">
      <c r="A17" s="3"/>
      <c r="B17" s="124" t="s">
        <v>41</v>
      </c>
      <c r="C17" s="122"/>
      <c r="D17" s="122"/>
      <c r="E17" s="122"/>
      <c r="F17" s="122"/>
      <c r="G17" s="122"/>
      <c r="H17" s="122"/>
      <c r="I17" s="122"/>
      <c r="J17" s="122"/>
      <c r="K17" s="122"/>
      <c r="L17" s="122"/>
      <c r="N17" s="3">
        <v>2014</v>
      </c>
      <c r="O17" s="200">
        <v>405</v>
      </c>
      <c r="P17" s="200">
        <v>452</v>
      </c>
      <c r="Q17" s="200">
        <v>360</v>
      </c>
    </row>
    <row r="18" spans="1:26" ht="14.45" customHeight="1">
      <c r="A18" s="3"/>
      <c r="B18" s="122"/>
      <c r="C18" s="362" t="s">
        <v>295</v>
      </c>
      <c r="D18" s="362"/>
      <c r="E18" s="362"/>
      <c r="F18" s="362"/>
      <c r="G18" s="362"/>
      <c r="H18" s="362"/>
      <c r="I18" s="362"/>
      <c r="J18" s="362"/>
      <c r="K18" s="362"/>
      <c r="L18" s="362"/>
      <c r="N18" s="3">
        <v>2015</v>
      </c>
      <c r="O18" s="200">
        <v>435</v>
      </c>
      <c r="P18" s="200">
        <v>474</v>
      </c>
      <c r="Q18" s="200">
        <v>399</v>
      </c>
    </row>
    <row r="19" spans="1:26" ht="14.45" customHeight="1">
      <c r="A19" s="3"/>
      <c r="B19" s="122"/>
      <c r="C19" s="362" t="s">
        <v>296</v>
      </c>
      <c r="D19" s="362"/>
      <c r="E19" s="362"/>
      <c r="F19" s="362"/>
      <c r="G19" s="362"/>
      <c r="H19" s="362"/>
      <c r="I19" s="362"/>
      <c r="J19" s="362"/>
      <c r="K19" s="362"/>
      <c r="L19" s="362"/>
      <c r="N19" s="3">
        <v>2016</v>
      </c>
      <c r="O19" s="200"/>
      <c r="P19" s="200"/>
      <c r="Q19" s="200"/>
    </row>
    <row r="20" spans="1:26" ht="14.45" customHeight="1">
      <c r="A20" s="3"/>
      <c r="B20" s="122"/>
      <c r="C20" s="353" t="s">
        <v>358</v>
      </c>
      <c r="D20" s="353"/>
      <c r="E20" s="353"/>
      <c r="F20" s="353"/>
      <c r="G20" s="353"/>
      <c r="H20" s="353"/>
      <c r="I20" s="353"/>
      <c r="J20" s="353"/>
      <c r="K20" s="353"/>
      <c r="L20" s="353"/>
      <c r="N20" s="3">
        <v>2017</v>
      </c>
      <c r="O20" s="200"/>
      <c r="P20" s="200"/>
      <c r="Q20" s="200"/>
    </row>
    <row r="21" spans="1:26" ht="14.45" customHeight="1">
      <c r="A21" s="3"/>
      <c r="B21" s="122"/>
      <c r="C21" s="333" t="s">
        <v>356</v>
      </c>
      <c r="D21" s="333"/>
      <c r="E21" s="333"/>
      <c r="F21" s="333"/>
      <c r="G21" s="333"/>
      <c r="H21" s="333"/>
      <c r="I21" s="333"/>
      <c r="J21" s="333"/>
      <c r="K21" s="333"/>
      <c r="L21" s="333"/>
      <c r="N21" s="3">
        <v>2018</v>
      </c>
      <c r="O21" s="200"/>
      <c r="P21" s="200"/>
      <c r="Q21" s="200"/>
    </row>
    <row r="22" spans="1:26">
      <c r="A22" s="3"/>
      <c r="B22" s="122"/>
      <c r="C22" s="333"/>
      <c r="D22" s="333"/>
      <c r="E22" s="333"/>
      <c r="F22" s="333"/>
      <c r="G22" s="333"/>
      <c r="H22" s="333"/>
      <c r="I22" s="333"/>
      <c r="J22" s="333"/>
      <c r="K22" s="333"/>
      <c r="L22" s="333"/>
      <c r="N22" s="3">
        <v>2019</v>
      </c>
      <c r="O22" s="200"/>
      <c r="P22" s="200"/>
      <c r="Q22" s="200"/>
    </row>
    <row r="23" spans="1:26" ht="14.45" customHeight="1">
      <c r="A23" s="3"/>
      <c r="B23" s="122"/>
      <c r="C23" s="333"/>
      <c r="D23" s="333"/>
      <c r="E23" s="333"/>
      <c r="F23" s="333"/>
      <c r="G23" s="333"/>
      <c r="H23" s="333"/>
      <c r="I23" s="333"/>
      <c r="J23" s="333"/>
      <c r="K23" s="333"/>
      <c r="L23" s="333"/>
      <c r="N23" s="3">
        <v>2020</v>
      </c>
      <c r="O23" s="200"/>
      <c r="P23" s="200"/>
      <c r="Q23" s="200"/>
    </row>
    <row r="24" spans="1:26">
      <c r="A24" s="3"/>
      <c r="B24" s="122"/>
      <c r="C24" s="335" t="s">
        <v>321</v>
      </c>
      <c r="D24" s="335"/>
      <c r="E24" s="335"/>
      <c r="F24" s="335"/>
      <c r="G24" s="335"/>
      <c r="H24" s="335"/>
      <c r="I24" s="335"/>
      <c r="J24" s="335"/>
      <c r="K24" s="335"/>
      <c r="L24" s="335"/>
      <c r="N24" s="3">
        <v>2021</v>
      </c>
      <c r="O24" s="200"/>
      <c r="P24" s="200"/>
      <c r="Q24" s="200"/>
      <c r="S24" s="11"/>
      <c r="T24" s="11"/>
    </row>
    <row r="25" spans="1:26">
      <c r="A25" s="3"/>
      <c r="B25" s="122"/>
      <c r="C25" s="335"/>
      <c r="D25" s="335"/>
      <c r="E25" s="335"/>
      <c r="F25" s="335"/>
      <c r="G25" s="335"/>
      <c r="H25" s="335"/>
      <c r="I25" s="335"/>
      <c r="J25" s="335"/>
      <c r="K25" s="335"/>
      <c r="L25" s="335"/>
      <c r="N25" s="3">
        <v>2022</v>
      </c>
      <c r="O25" s="200"/>
      <c r="P25" s="200"/>
      <c r="Q25" s="200"/>
      <c r="S25" s="11"/>
      <c r="T25" s="11"/>
    </row>
    <row r="26" spans="1:26" ht="14.45" customHeight="1">
      <c r="A26" s="3"/>
      <c r="B26" s="119"/>
      <c r="C26" s="335"/>
      <c r="D26" s="335"/>
      <c r="E26" s="335"/>
      <c r="F26" s="335"/>
      <c r="G26" s="335"/>
      <c r="H26" s="335"/>
      <c r="I26" s="335"/>
      <c r="J26" s="335"/>
      <c r="K26" s="335"/>
      <c r="L26" s="335"/>
      <c r="N26" s="3">
        <v>2023</v>
      </c>
      <c r="O26" s="200"/>
      <c r="P26" s="200"/>
      <c r="Q26" s="200"/>
      <c r="S26" s="11"/>
      <c r="T26" s="11"/>
    </row>
    <row r="27" spans="1:26">
      <c r="B27" s="119"/>
      <c r="C27" s="118"/>
      <c r="D27" s="118"/>
      <c r="E27" s="118"/>
      <c r="F27" s="118"/>
      <c r="G27" s="118"/>
      <c r="H27" s="118"/>
      <c r="I27" s="118"/>
      <c r="J27" s="118"/>
      <c r="K27" s="118"/>
      <c r="L27" s="118"/>
      <c r="N27" s="3">
        <v>2024</v>
      </c>
      <c r="O27" s="200"/>
      <c r="P27" s="200"/>
      <c r="Q27" s="200"/>
      <c r="S27" s="11"/>
      <c r="T27" s="11"/>
    </row>
    <row r="28" spans="1:26">
      <c r="B28" s="119"/>
      <c r="C28" s="118"/>
      <c r="D28" s="118"/>
      <c r="E28" s="118"/>
      <c r="F28" s="118"/>
      <c r="G28" s="118"/>
      <c r="H28" s="118"/>
      <c r="I28" s="118"/>
      <c r="J28" s="118"/>
      <c r="K28" s="118"/>
      <c r="L28" s="118"/>
      <c r="N28" s="3">
        <v>2025</v>
      </c>
      <c r="O28" s="200"/>
      <c r="P28" s="200"/>
      <c r="Q28" s="200"/>
      <c r="S28" s="11"/>
      <c r="T28" s="11"/>
    </row>
    <row r="29" spans="1:26">
      <c r="B29" s="119"/>
      <c r="C29" s="118"/>
      <c r="D29" s="118"/>
      <c r="E29" s="118"/>
      <c r="F29" s="118"/>
      <c r="G29" s="118"/>
      <c r="H29" s="118"/>
      <c r="I29" s="118"/>
      <c r="J29" s="118"/>
      <c r="K29" s="118"/>
      <c r="L29" s="118"/>
      <c r="S29" s="11"/>
      <c r="T29" s="11"/>
    </row>
    <row r="30" spans="1:26">
      <c r="B30" s="122"/>
      <c r="C30" s="119"/>
      <c r="D30" s="119"/>
      <c r="E30" s="119"/>
      <c r="F30" s="119"/>
      <c r="G30" s="119"/>
      <c r="H30" s="119"/>
      <c r="I30" s="119"/>
      <c r="J30" s="119"/>
      <c r="K30" s="119"/>
      <c r="L30" s="119"/>
      <c r="M30" s="9"/>
      <c r="N30" s="122"/>
      <c r="O30" s="34"/>
      <c r="P30" s="35"/>
      <c r="Q30" s="35"/>
      <c r="R30" s="35"/>
      <c r="S30" s="35"/>
      <c r="T30" s="122"/>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19"/>
      <c r="C33" s="119"/>
      <c r="D33" s="119"/>
      <c r="E33" s="119"/>
      <c r="F33" s="119"/>
      <c r="G33" s="119"/>
      <c r="H33" s="119"/>
      <c r="I33" s="119"/>
      <c r="J33" s="119"/>
      <c r="K33" s="119"/>
      <c r="L33" s="119"/>
      <c r="M33" s="119"/>
      <c r="N33" s="119"/>
      <c r="O33" s="119"/>
      <c r="P33" s="119"/>
      <c r="Q33" s="119"/>
      <c r="R33" s="119"/>
      <c r="S33" s="119"/>
      <c r="T33" s="119"/>
      <c r="V33" s="319" t="s">
        <v>65</v>
      </c>
      <c r="W33" s="320"/>
      <c r="X33" s="11"/>
      <c r="Y33" s="319" t="s">
        <v>66</v>
      </c>
      <c r="Z33" s="320"/>
    </row>
    <row r="34" spans="1:27">
      <c r="B34" s="119"/>
      <c r="C34" s="119"/>
      <c r="D34" s="119"/>
      <c r="E34" s="119"/>
      <c r="F34" s="119"/>
      <c r="G34" s="119"/>
      <c r="H34" s="119"/>
      <c r="I34" s="119"/>
      <c r="J34" s="119"/>
      <c r="K34" s="119"/>
      <c r="L34" s="119"/>
      <c r="M34" s="119"/>
      <c r="N34" s="119"/>
      <c r="O34" s="119"/>
      <c r="P34" s="119"/>
      <c r="Q34" s="119"/>
      <c r="R34" s="119"/>
      <c r="S34" s="119"/>
      <c r="T34" s="119"/>
      <c r="V34" s="56" t="s">
        <v>61</v>
      </c>
      <c r="W34" s="56" t="s">
        <v>62</v>
      </c>
      <c r="X34" s="11"/>
      <c r="Y34" s="56" t="s">
        <v>61</v>
      </c>
      <c r="Z34" s="56" t="s">
        <v>62</v>
      </c>
    </row>
    <row r="35" spans="1:27">
      <c r="B35" s="119"/>
      <c r="C35" s="119"/>
      <c r="D35" s="119"/>
      <c r="E35" s="119"/>
      <c r="F35" s="119"/>
      <c r="G35" s="119"/>
      <c r="H35" s="119"/>
      <c r="I35" s="119"/>
      <c r="J35" s="119"/>
      <c r="K35" s="119"/>
      <c r="L35" s="119"/>
      <c r="M35" s="119"/>
      <c r="N35" s="119"/>
      <c r="O35" s="119"/>
      <c r="P35" s="119"/>
      <c r="Q35" s="119"/>
      <c r="R35" s="119"/>
      <c r="S35" s="119"/>
      <c r="T35" s="119"/>
      <c r="V35" s="244" t="s">
        <v>392</v>
      </c>
      <c r="W35" s="244" t="s">
        <v>448</v>
      </c>
      <c r="X35" s="11"/>
      <c r="Y35" s="244" t="s">
        <v>392</v>
      </c>
      <c r="Z35" s="244" t="s">
        <v>448</v>
      </c>
    </row>
    <row r="36" spans="1:27">
      <c r="B36" s="119"/>
      <c r="C36" s="119"/>
      <c r="D36" s="119"/>
      <c r="E36" s="119"/>
      <c r="F36" s="119"/>
      <c r="G36" s="119"/>
      <c r="H36" s="119"/>
      <c r="I36" s="119"/>
      <c r="J36" s="119"/>
      <c r="K36" s="119"/>
      <c r="L36" s="119"/>
      <c r="M36" s="119"/>
      <c r="N36" s="119"/>
      <c r="O36" s="119"/>
      <c r="P36" s="119"/>
      <c r="Q36" s="119"/>
      <c r="R36" s="119"/>
      <c r="S36" s="119"/>
      <c r="T36" s="119"/>
      <c r="V36" s="244" t="s">
        <v>393</v>
      </c>
      <c r="W36" s="244" t="s">
        <v>449</v>
      </c>
      <c r="X36" s="11"/>
      <c r="Y36" s="244" t="s">
        <v>393</v>
      </c>
      <c r="Z36" s="244" t="s">
        <v>449</v>
      </c>
    </row>
    <row r="37" spans="1:27">
      <c r="B37" s="119"/>
      <c r="C37" s="119"/>
      <c r="D37" s="119"/>
      <c r="E37" s="119"/>
      <c r="F37" s="119"/>
      <c r="G37" s="119"/>
      <c r="H37" s="119"/>
      <c r="I37" s="119"/>
      <c r="J37" s="119"/>
      <c r="K37" s="119"/>
      <c r="L37" s="119"/>
      <c r="M37" s="119"/>
      <c r="N37" s="119"/>
      <c r="O37" s="119"/>
      <c r="P37" s="119"/>
      <c r="Q37" s="119"/>
      <c r="R37" s="119"/>
      <c r="S37" s="119"/>
      <c r="T37" s="119"/>
      <c r="V37" s="244" t="s">
        <v>394</v>
      </c>
      <c r="W37" s="244" t="s">
        <v>450</v>
      </c>
      <c r="X37" s="11"/>
      <c r="Y37" s="244" t="s">
        <v>394</v>
      </c>
      <c r="Z37" s="244" t="s">
        <v>450</v>
      </c>
    </row>
    <row r="38" spans="1:27">
      <c r="B38" s="119"/>
      <c r="C38" s="119"/>
      <c r="D38" s="119"/>
      <c r="E38" s="119"/>
      <c r="F38" s="119"/>
      <c r="G38" s="119"/>
      <c r="H38" s="119"/>
      <c r="I38" s="119"/>
      <c r="J38" s="119"/>
      <c r="K38" s="119"/>
      <c r="L38" s="119"/>
      <c r="M38" s="119"/>
      <c r="N38" s="119"/>
      <c r="O38" s="119"/>
      <c r="P38" s="119"/>
      <c r="Q38" s="119"/>
      <c r="R38" s="119"/>
      <c r="S38" s="119"/>
      <c r="T38" s="119"/>
      <c r="V38" s="244" t="s">
        <v>434</v>
      </c>
      <c r="W38" s="244" t="s">
        <v>451</v>
      </c>
      <c r="X38" s="11"/>
      <c r="Y38" s="244" t="s">
        <v>434</v>
      </c>
      <c r="Z38" s="244" t="s">
        <v>451</v>
      </c>
    </row>
    <row r="39" spans="1:27">
      <c r="B39" s="119"/>
      <c r="C39" s="119"/>
      <c r="D39" s="119"/>
      <c r="E39" s="119"/>
      <c r="F39" s="119"/>
      <c r="G39" s="119"/>
      <c r="H39" s="119"/>
      <c r="I39" s="119"/>
      <c r="J39" s="119"/>
      <c r="K39" s="119"/>
      <c r="L39" s="119"/>
      <c r="M39" s="119"/>
      <c r="N39" s="119"/>
      <c r="O39" s="119"/>
      <c r="P39" s="119"/>
      <c r="Q39" s="119"/>
      <c r="R39" s="119"/>
      <c r="S39" s="119"/>
      <c r="T39" s="119"/>
      <c r="V39" s="244" t="s">
        <v>435</v>
      </c>
      <c r="W39" s="244" t="s">
        <v>452</v>
      </c>
      <c r="Y39" s="244" t="s">
        <v>435</v>
      </c>
      <c r="Z39" s="244" t="s">
        <v>452</v>
      </c>
    </row>
    <row r="40" spans="1:27">
      <c r="B40" s="119"/>
      <c r="C40" s="119"/>
      <c r="D40" s="119"/>
      <c r="E40" s="119"/>
      <c r="F40" s="119"/>
      <c r="G40" s="119"/>
      <c r="H40" s="119"/>
      <c r="I40" s="119"/>
      <c r="J40" s="119"/>
      <c r="K40" s="119"/>
      <c r="L40" s="119"/>
      <c r="M40" s="119"/>
      <c r="N40" s="119"/>
      <c r="O40" s="119"/>
      <c r="P40" s="119"/>
      <c r="Q40" s="119"/>
      <c r="R40" s="119"/>
      <c r="S40" s="119"/>
      <c r="T40" s="119"/>
      <c r="V40" s="244" t="s">
        <v>436</v>
      </c>
      <c r="W40" s="244" t="s">
        <v>453</v>
      </c>
      <c r="Y40" s="244" t="s">
        <v>436</v>
      </c>
      <c r="Z40" s="244" t="s">
        <v>453</v>
      </c>
    </row>
    <row r="41" spans="1:27">
      <c r="B41" s="119"/>
      <c r="C41" s="119"/>
      <c r="D41" s="119"/>
      <c r="E41" s="119"/>
      <c r="F41" s="119"/>
      <c r="G41" s="119"/>
      <c r="H41" s="119"/>
      <c r="I41" s="119"/>
      <c r="J41" s="119"/>
      <c r="K41" s="119"/>
      <c r="L41" s="119"/>
      <c r="M41" s="119"/>
      <c r="N41" s="119"/>
      <c r="O41" s="119"/>
      <c r="P41" s="119"/>
      <c r="Q41" s="119"/>
      <c r="R41" s="119"/>
      <c r="S41" s="119"/>
      <c r="T41" s="119"/>
      <c r="V41" s="244" t="s">
        <v>437</v>
      </c>
      <c r="W41" s="245" t="s">
        <v>454</v>
      </c>
      <c r="Y41" s="244" t="s">
        <v>437</v>
      </c>
      <c r="Z41" s="245" t="s">
        <v>454</v>
      </c>
    </row>
    <row r="42" spans="1:27">
      <c r="B42" s="119"/>
      <c r="C42" s="119"/>
      <c r="D42" s="119"/>
      <c r="E42" s="119"/>
      <c r="F42" s="119"/>
      <c r="G42" s="119"/>
      <c r="H42" s="119"/>
      <c r="I42" s="119"/>
      <c r="J42" s="119"/>
      <c r="K42" s="119"/>
      <c r="L42" s="119"/>
      <c r="M42" s="119"/>
      <c r="N42" s="119"/>
      <c r="O42" s="119"/>
      <c r="P42" s="119"/>
      <c r="Q42" s="119"/>
      <c r="R42" s="119"/>
      <c r="S42" s="119"/>
      <c r="T42" s="119"/>
      <c r="V42" s="244" t="s">
        <v>438</v>
      </c>
      <c r="W42" s="244" t="s">
        <v>455</v>
      </c>
      <c r="Y42" s="244" t="s">
        <v>438</v>
      </c>
      <c r="Z42" s="244" t="s">
        <v>455</v>
      </c>
    </row>
    <row r="43" spans="1:27">
      <c r="B43" s="119"/>
      <c r="C43" s="119"/>
      <c r="D43" s="119"/>
      <c r="E43" s="119"/>
      <c r="F43" s="119"/>
      <c r="G43" s="119"/>
      <c r="H43" s="119"/>
      <c r="I43" s="119"/>
      <c r="J43" s="119"/>
      <c r="K43" s="119"/>
      <c r="L43" s="119"/>
      <c r="M43" s="119"/>
      <c r="N43" s="119"/>
      <c r="O43" s="119"/>
      <c r="P43" s="119"/>
      <c r="Q43" s="119"/>
      <c r="R43" s="119"/>
      <c r="S43" s="119"/>
      <c r="T43" s="119"/>
      <c r="V43" s="245" t="s">
        <v>439</v>
      </c>
      <c r="W43" s="244" t="s">
        <v>456</v>
      </c>
      <c r="Y43" s="244" t="s">
        <v>439</v>
      </c>
      <c r="Z43" s="244" t="s">
        <v>456</v>
      </c>
    </row>
    <row r="44" spans="1:27">
      <c r="B44" s="119"/>
      <c r="C44" s="119"/>
      <c r="D44" s="119"/>
      <c r="E44" s="119"/>
      <c r="F44" s="119"/>
      <c r="G44" s="119"/>
      <c r="H44" s="119"/>
      <c r="I44" s="119"/>
      <c r="J44" s="119"/>
      <c r="K44" s="119"/>
      <c r="L44" s="119"/>
      <c r="M44" s="119"/>
      <c r="N44" s="119"/>
      <c r="O44" s="119"/>
      <c r="P44" s="119"/>
      <c r="Q44" s="119"/>
      <c r="R44" s="119"/>
      <c r="S44" s="119"/>
      <c r="T44" s="119"/>
      <c r="V44" s="244" t="s">
        <v>440</v>
      </c>
      <c r="W44" s="244" t="s">
        <v>457</v>
      </c>
      <c r="Y44" s="244" t="s">
        <v>440</v>
      </c>
      <c r="Z44" s="244" t="s">
        <v>457</v>
      </c>
    </row>
    <row r="45" spans="1:27">
      <c r="B45" s="119"/>
      <c r="C45" s="119"/>
      <c r="D45" s="119"/>
      <c r="E45" s="119"/>
      <c r="F45" s="119"/>
      <c r="G45" s="119"/>
      <c r="H45" s="119"/>
      <c r="I45" s="119"/>
      <c r="J45" s="119"/>
      <c r="K45" s="119"/>
      <c r="L45" s="119"/>
      <c r="M45" s="119"/>
      <c r="N45" s="119"/>
      <c r="O45" s="119"/>
      <c r="P45" s="119"/>
      <c r="Q45" s="119"/>
      <c r="R45" s="119"/>
      <c r="S45" s="119"/>
      <c r="T45" s="119"/>
      <c r="V45" s="244" t="s">
        <v>441</v>
      </c>
      <c r="W45" s="244" t="s">
        <v>458</v>
      </c>
      <c r="Y45" s="244" t="s">
        <v>441</v>
      </c>
      <c r="Z45" s="244" t="s">
        <v>458</v>
      </c>
    </row>
    <row r="46" spans="1:27">
      <c r="B46" s="119"/>
      <c r="C46" s="119"/>
      <c r="D46" s="119"/>
      <c r="E46" s="119"/>
      <c r="F46" s="119"/>
      <c r="G46" s="119"/>
      <c r="H46" s="119"/>
      <c r="I46" s="119"/>
      <c r="J46" s="119"/>
      <c r="K46" s="119"/>
      <c r="L46" s="119"/>
      <c r="M46" s="119"/>
      <c r="N46" s="119"/>
      <c r="O46" s="119"/>
      <c r="P46" s="119"/>
      <c r="Q46" s="119"/>
      <c r="R46" s="119"/>
      <c r="S46" s="119"/>
      <c r="T46" s="119"/>
      <c r="V46" s="244" t="s">
        <v>442</v>
      </c>
      <c r="W46" s="244" t="s">
        <v>459</v>
      </c>
      <c r="Y46" s="244" t="s">
        <v>442</v>
      </c>
      <c r="Z46" s="244" t="s">
        <v>459</v>
      </c>
      <c r="AA46" s="9"/>
    </row>
    <row r="47" spans="1:27">
      <c r="B47" s="119"/>
      <c r="C47" s="119"/>
      <c r="D47" s="119"/>
      <c r="E47" s="119"/>
      <c r="F47" s="119"/>
      <c r="G47" s="119"/>
      <c r="H47" s="119"/>
      <c r="I47" s="119"/>
      <c r="J47" s="119"/>
      <c r="K47" s="119"/>
      <c r="L47" s="119"/>
      <c r="M47" s="119"/>
      <c r="N47" s="119"/>
      <c r="O47" s="119"/>
      <c r="P47" s="119"/>
      <c r="Q47" s="119"/>
      <c r="R47" s="119"/>
      <c r="S47" s="119"/>
      <c r="T47" s="119"/>
      <c r="V47" s="244" t="s">
        <v>443</v>
      </c>
      <c r="W47" s="244" t="s">
        <v>460</v>
      </c>
      <c r="Y47" s="244" t="s">
        <v>443</v>
      </c>
      <c r="Z47" s="244" t="s">
        <v>460</v>
      </c>
      <c r="AA47" s="9"/>
    </row>
    <row r="48" spans="1:27">
      <c r="B48" s="119"/>
      <c r="C48" s="119"/>
      <c r="D48" s="119"/>
      <c r="E48" s="119"/>
      <c r="F48" s="119"/>
      <c r="G48" s="119"/>
      <c r="H48" s="119"/>
      <c r="I48" s="119"/>
      <c r="J48" s="119"/>
      <c r="K48" s="119"/>
      <c r="L48" s="119"/>
      <c r="M48" s="119"/>
      <c r="N48" s="119"/>
      <c r="O48" s="119"/>
      <c r="P48" s="119"/>
      <c r="Q48" s="119"/>
      <c r="R48" s="119"/>
      <c r="S48" s="119"/>
      <c r="T48" s="119"/>
      <c r="V48" s="244" t="s">
        <v>444</v>
      </c>
      <c r="W48" s="245" t="s">
        <v>461</v>
      </c>
      <c r="Y48" s="244" t="s">
        <v>444</v>
      </c>
      <c r="Z48" s="245" t="s">
        <v>461</v>
      </c>
      <c r="AA48" s="9"/>
    </row>
    <row r="49" spans="2:27">
      <c r="B49" s="119"/>
      <c r="C49" s="119"/>
      <c r="D49" s="119"/>
      <c r="E49" s="119"/>
      <c r="F49" s="119"/>
      <c r="G49" s="119"/>
      <c r="H49" s="119"/>
      <c r="I49" s="119"/>
      <c r="J49" s="119"/>
      <c r="K49" s="119"/>
      <c r="L49" s="119"/>
      <c r="M49" s="119"/>
      <c r="N49" s="119"/>
      <c r="O49" s="119"/>
      <c r="P49" s="119"/>
      <c r="Q49" s="119"/>
      <c r="R49" s="119"/>
      <c r="S49" s="119"/>
      <c r="T49" s="119"/>
      <c r="V49" s="244" t="s">
        <v>445</v>
      </c>
      <c r="W49" s="244" t="s">
        <v>462</v>
      </c>
      <c r="X49" s="9"/>
      <c r="Y49" s="244" t="s">
        <v>445</v>
      </c>
      <c r="Z49" s="244" t="s">
        <v>462</v>
      </c>
      <c r="AA49" s="9"/>
    </row>
    <row r="50" spans="2:27">
      <c r="B50" s="119"/>
      <c r="C50" s="119"/>
      <c r="D50" s="119"/>
      <c r="E50" s="119"/>
      <c r="F50" s="119"/>
      <c r="G50" s="119"/>
      <c r="H50" s="119"/>
      <c r="I50" s="119"/>
      <c r="J50" s="119"/>
      <c r="K50" s="119"/>
      <c r="L50" s="119"/>
      <c r="M50" s="119"/>
      <c r="N50" s="119"/>
      <c r="O50" s="119"/>
      <c r="P50" s="119"/>
      <c r="Q50" s="119"/>
      <c r="R50" s="119"/>
      <c r="S50" s="119"/>
      <c r="T50" s="119"/>
      <c r="V50" s="246" t="s">
        <v>446</v>
      </c>
      <c r="W50" s="244" t="s">
        <v>463</v>
      </c>
      <c r="X50" s="9"/>
      <c r="Y50" s="246" t="s">
        <v>446</v>
      </c>
      <c r="Z50" s="244" t="s">
        <v>463</v>
      </c>
      <c r="AA50" s="9"/>
    </row>
    <row r="51" spans="2:27">
      <c r="B51" s="119"/>
      <c r="C51" s="119"/>
      <c r="D51" s="119"/>
      <c r="E51" s="119"/>
      <c r="F51" s="119"/>
      <c r="G51" s="119"/>
      <c r="H51" s="119"/>
      <c r="I51" s="119"/>
      <c r="J51" s="119"/>
      <c r="K51" s="119"/>
      <c r="L51" s="119"/>
      <c r="M51" s="119"/>
      <c r="N51" s="119"/>
      <c r="O51" s="119"/>
      <c r="P51" s="119"/>
      <c r="Q51" s="119"/>
      <c r="R51" s="119"/>
      <c r="S51" s="119"/>
      <c r="T51" s="119"/>
      <c r="V51" s="247" t="s">
        <v>447</v>
      </c>
      <c r="W51" s="244" t="s">
        <v>464</v>
      </c>
      <c r="X51" s="9"/>
      <c r="Y51" s="247" t="s">
        <v>447</v>
      </c>
      <c r="Z51" s="244" t="s">
        <v>464</v>
      </c>
      <c r="AA51" s="9"/>
    </row>
    <row r="52" spans="2:27">
      <c r="B52" s="119"/>
      <c r="C52" s="119"/>
      <c r="D52" s="119"/>
      <c r="E52" s="119"/>
      <c r="F52" s="119"/>
      <c r="G52" s="119"/>
      <c r="H52" s="119"/>
      <c r="I52" s="119"/>
      <c r="J52" s="119"/>
      <c r="K52" s="119"/>
      <c r="L52" s="119"/>
      <c r="M52" s="119"/>
      <c r="N52" s="119"/>
      <c r="O52" s="119"/>
      <c r="P52" s="119"/>
      <c r="Q52" s="119"/>
      <c r="R52" s="119"/>
      <c r="S52" s="119"/>
      <c r="T52" s="119"/>
      <c r="V52" s="295"/>
      <c r="W52" s="244" t="s">
        <v>465</v>
      </c>
      <c r="X52" s="9"/>
      <c r="Y52" s="284"/>
      <c r="Z52" s="244" t="s">
        <v>465</v>
      </c>
      <c r="AA52" s="9"/>
    </row>
    <row r="53" spans="2:27">
      <c r="B53" s="119"/>
      <c r="C53" s="119"/>
      <c r="D53" s="119"/>
      <c r="E53" s="119"/>
      <c r="F53" s="119"/>
      <c r="G53" s="119"/>
      <c r="H53" s="119"/>
      <c r="I53" s="119"/>
      <c r="J53" s="119"/>
      <c r="K53" s="119"/>
      <c r="L53" s="119"/>
      <c r="M53" s="119"/>
      <c r="N53" s="119"/>
      <c r="O53" s="119"/>
      <c r="P53" s="119"/>
      <c r="Q53" s="119"/>
      <c r="R53" s="119"/>
      <c r="S53" s="119"/>
      <c r="T53" s="119"/>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sheetData>
  <mergeCells count="21">
    <mergeCell ref="B3:T3"/>
    <mergeCell ref="B4:T4"/>
    <mergeCell ref="B5:T5"/>
    <mergeCell ref="R7:T7"/>
    <mergeCell ref="B9:L9"/>
    <mergeCell ref="N9:T9"/>
    <mergeCell ref="C15:L15"/>
    <mergeCell ref="C18:L18"/>
    <mergeCell ref="C19:L19"/>
    <mergeCell ref="C20:L20"/>
    <mergeCell ref="B11:L11"/>
    <mergeCell ref="C12:L12"/>
    <mergeCell ref="C13:L13"/>
    <mergeCell ref="C14:L14"/>
    <mergeCell ref="Y32:Z32"/>
    <mergeCell ref="Y33:Z33"/>
    <mergeCell ref="C21:L23"/>
    <mergeCell ref="C24:L26"/>
    <mergeCell ref="B32:T32"/>
    <mergeCell ref="V32:W32"/>
    <mergeCell ref="V33:W33"/>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pageSetup paperSize="9"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B49073"/>
  </sheetPr>
  <dimension ref="A1:R59"/>
  <sheetViews>
    <sheetView showGridLines="0" showRowColHeaders="0" zoomScale="70" zoomScaleNormal="70" workbookViewId="0"/>
  </sheetViews>
  <sheetFormatPr defaultRowHeight="14.25"/>
  <cols>
    <col min="1" max="1" width="15.796875" customWidth="1"/>
    <col min="2" max="3" width="26.796875" customWidth="1"/>
    <col min="4" max="14" width="12.796875" customWidth="1"/>
    <col min="16" max="17" width="12.796875" customWidth="1"/>
  </cols>
  <sheetData>
    <row r="1" spans="1:17" ht="15.75">
      <c r="A1" s="16" t="s">
        <v>341</v>
      </c>
    </row>
    <row r="2" spans="1:17" ht="15.75">
      <c r="A2" s="26" t="s">
        <v>34</v>
      </c>
      <c r="C2" s="27">
        <v>42977</v>
      </c>
      <c r="M2" s="342" t="s">
        <v>44</v>
      </c>
      <c r="N2" s="342"/>
      <c r="O2" s="342"/>
      <c r="P2" s="342"/>
      <c r="Q2" s="342"/>
    </row>
    <row r="3" spans="1:17" ht="23.25">
      <c r="A3" s="343" t="s">
        <v>7</v>
      </c>
      <c r="B3" s="343"/>
      <c r="C3" s="343"/>
      <c r="D3" s="343"/>
      <c r="E3" s="343"/>
      <c r="F3" s="343"/>
      <c r="G3" s="343"/>
      <c r="H3" s="343"/>
      <c r="I3" s="343"/>
      <c r="J3" s="343"/>
      <c r="K3" s="343"/>
      <c r="L3" s="343"/>
      <c r="M3" s="343"/>
      <c r="N3" s="343"/>
      <c r="O3" s="343"/>
      <c r="P3" s="343"/>
      <c r="Q3" s="343"/>
    </row>
    <row r="4" spans="1:17">
      <c r="A4" s="119"/>
      <c r="B4" s="119"/>
      <c r="C4" s="119"/>
      <c r="D4" s="119"/>
      <c r="E4" s="119"/>
      <c r="F4" s="119"/>
      <c r="G4" s="119"/>
      <c r="H4" s="119"/>
      <c r="I4" s="119"/>
      <c r="J4" s="119"/>
      <c r="K4" s="119"/>
      <c r="L4" s="119"/>
      <c r="M4" s="119"/>
      <c r="N4" s="119"/>
      <c r="O4" s="119"/>
      <c r="P4" s="119"/>
      <c r="Q4" s="119"/>
    </row>
    <row r="5" spans="1:17">
      <c r="A5" s="119"/>
      <c r="B5" s="337" t="s">
        <v>374</v>
      </c>
      <c r="C5" s="337"/>
      <c r="D5" s="337"/>
      <c r="E5" s="337"/>
      <c r="F5" s="337"/>
      <c r="G5" s="337"/>
      <c r="H5" s="337"/>
      <c r="I5" s="337"/>
      <c r="J5" s="337"/>
      <c r="K5" s="337"/>
      <c r="L5" s="119"/>
      <c r="M5" s="119"/>
      <c r="N5" s="119"/>
      <c r="O5" s="119"/>
      <c r="P5" s="119"/>
      <c r="Q5" s="119"/>
    </row>
    <row r="6" spans="1:17">
      <c r="A6" s="119"/>
      <c r="B6" s="337" t="s">
        <v>332</v>
      </c>
      <c r="C6" s="337"/>
      <c r="D6" s="337"/>
      <c r="E6" s="337"/>
      <c r="F6" s="337"/>
      <c r="G6" s="337"/>
      <c r="H6" s="337"/>
      <c r="I6" s="337"/>
      <c r="J6" s="337"/>
      <c r="K6" s="337"/>
      <c r="L6" s="119"/>
      <c r="M6" s="119"/>
      <c r="N6" s="119"/>
      <c r="O6" s="119"/>
      <c r="P6" s="119"/>
      <c r="Q6" s="119"/>
    </row>
    <row r="7" spans="1:17">
      <c r="A7" s="119"/>
      <c r="B7" s="333" t="s">
        <v>585</v>
      </c>
      <c r="C7" s="333"/>
      <c r="D7" s="333"/>
      <c r="E7" s="333"/>
      <c r="F7" s="333"/>
      <c r="G7" s="333"/>
      <c r="H7" s="333"/>
      <c r="I7" s="333"/>
      <c r="J7" s="333"/>
      <c r="K7" s="333"/>
      <c r="L7" s="119"/>
      <c r="M7" s="119"/>
      <c r="N7" s="119"/>
      <c r="O7" s="119"/>
      <c r="P7" s="119"/>
      <c r="Q7" s="119"/>
    </row>
    <row r="8" spans="1:17">
      <c r="A8" s="119"/>
      <c r="B8" s="333" t="s">
        <v>586</v>
      </c>
      <c r="C8" s="333"/>
      <c r="D8" s="333"/>
      <c r="E8" s="333"/>
      <c r="F8" s="333"/>
      <c r="G8" s="333"/>
      <c r="H8" s="333"/>
      <c r="I8" s="333"/>
      <c r="J8" s="333"/>
      <c r="K8" s="333"/>
      <c r="L8" s="119"/>
      <c r="M8" s="119"/>
      <c r="N8" s="119"/>
      <c r="O8" s="119"/>
      <c r="P8" s="119"/>
      <c r="Q8" s="119"/>
    </row>
    <row r="9" spans="1:17">
      <c r="A9" s="119"/>
      <c r="B9" s="119"/>
      <c r="C9" s="119"/>
      <c r="D9" s="119"/>
      <c r="E9" s="119"/>
      <c r="F9" s="119"/>
      <c r="G9" s="119"/>
      <c r="H9" s="119"/>
      <c r="I9" s="119"/>
      <c r="J9" s="119"/>
      <c r="K9" s="119"/>
      <c r="L9" s="119"/>
      <c r="M9" s="119"/>
      <c r="N9" s="119"/>
      <c r="O9" s="119"/>
      <c r="P9" s="119"/>
      <c r="Q9" s="119"/>
    </row>
    <row r="10" spans="1:17" ht="15.75">
      <c r="A10" s="26"/>
      <c r="C10" s="27"/>
    </row>
    <row r="11" spans="1:17" ht="23.65" thickBot="1">
      <c r="A11" s="130" t="s">
        <v>2</v>
      </c>
      <c r="B11" s="130" t="s">
        <v>3</v>
      </c>
      <c r="C11" s="130" t="s">
        <v>209</v>
      </c>
      <c r="M11" s="321" t="s">
        <v>46</v>
      </c>
      <c r="N11" s="321"/>
      <c r="O11" s="11"/>
      <c r="P11" s="318" t="s">
        <v>46</v>
      </c>
      <c r="Q11" s="318"/>
    </row>
    <row r="12" spans="1:17">
      <c r="A12" s="89">
        <v>2010</v>
      </c>
      <c r="B12" t="s">
        <v>5</v>
      </c>
      <c r="C12">
        <v>359</v>
      </c>
      <c r="M12" s="319" t="s">
        <v>65</v>
      </c>
      <c r="N12" s="320"/>
      <c r="O12" s="11"/>
      <c r="P12" s="319" t="s">
        <v>66</v>
      </c>
      <c r="Q12" s="320"/>
    </row>
    <row r="13" spans="1:17">
      <c r="A13" s="89">
        <v>2010</v>
      </c>
      <c r="B13" t="s">
        <v>6</v>
      </c>
      <c r="C13">
        <v>466</v>
      </c>
      <c r="M13" s="56" t="s">
        <v>61</v>
      </c>
      <c r="N13" s="56" t="s">
        <v>62</v>
      </c>
      <c r="O13" s="11"/>
      <c r="P13" s="56" t="s">
        <v>61</v>
      </c>
      <c r="Q13" s="56" t="s">
        <v>62</v>
      </c>
    </row>
    <row r="14" spans="1:17">
      <c r="A14" s="89">
        <v>2010</v>
      </c>
      <c r="B14" t="s">
        <v>42</v>
      </c>
      <c r="C14">
        <v>411</v>
      </c>
      <c r="M14" s="244" t="s">
        <v>392</v>
      </c>
      <c r="N14" s="244" t="s">
        <v>448</v>
      </c>
      <c r="O14" s="11"/>
      <c r="P14" s="244" t="s">
        <v>392</v>
      </c>
      <c r="Q14" s="244" t="s">
        <v>448</v>
      </c>
    </row>
    <row r="15" spans="1:17">
      <c r="A15" s="89">
        <v>2011</v>
      </c>
      <c r="B15" t="s">
        <v>5</v>
      </c>
      <c r="C15">
        <v>375</v>
      </c>
      <c r="M15" s="244" t="s">
        <v>393</v>
      </c>
      <c r="N15" s="244" t="s">
        <v>449</v>
      </c>
      <c r="O15" s="11"/>
      <c r="P15" s="244" t="s">
        <v>393</v>
      </c>
      <c r="Q15" s="244" t="s">
        <v>449</v>
      </c>
    </row>
    <row r="16" spans="1:17">
      <c r="A16" s="89">
        <v>2011</v>
      </c>
      <c r="B16" t="s">
        <v>6</v>
      </c>
      <c r="C16">
        <v>504</v>
      </c>
      <c r="M16" s="244" t="s">
        <v>394</v>
      </c>
      <c r="N16" s="244" t="s">
        <v>450</v>
      </c>
      <c r="O16" s="11"/>
      <c r="P16" s="244" t="s">
        <v>394</v>
      </c>
      <c r="Q16" s="244" t="s">
        <v>450</v>
      </c>
    </row>
    <row r="17" spans="1:18">
      <c r="A17" s="89">
        <v>2011</v>
      </c>
      <c r="B17" t="s">
        <v>42</v>
      </c>
      <c r="C17">
        <v>438</v>
      </c>
      <c r="M17" s="244" t="s">
        <v>434</v>
      </c>
      <c r="N17" s="244" t="s">
        <v>451</v>
      </c>
      <c r="O17" s="11"/>
      <c r="P17" s="244" t="s">
        <v>434</v>
      </c>
      <c r="Q17" s="244" t="s">
        <v>451</v>
      </c>
    </row>
    <row r="18" spans="1:18">
      <c r="A18" s="89">
        <v>2012</v>
      </c>
      <c r="B18" t="s">
        <v>5</v>
      </c>
      <c r="C18">
        <v>372</v>
      </c>
      <c r="M18" s="244" t="s">
        <v>435</v>
      </c>
      <c r="N18" s="244" t="s">
        <v>452</v>
      </c>
      <c r="P18" s="244" t="s">
        <v>435</v>
      </c>
      <c r="Q18" s="244" t="s">
        <v>452</v>
      </c>
    </row>
    <row r="19" spans="1:18">
      <c r="A19" s="89">
        <v>2012</v>
      </c>
      <c r="B19" t="s">
        <v>6</v>
      </c>
      <c r="C19">
        <v>477</v>
      </c>
      <c r="M19" s="244" t="s">
        <v>436</v>
      </c>
      <c r="N19" s="244" t="s">
        <v>453</v>
      </c>
      <c r="P19" s="244" t="s">
        <v>436</v>
      </c>
      <c r="Q19" s="244" t="s">
        <v>453</v>
      </c>
    </row>
    <row r="20" spans="1:18">
      <c r="A20" s="89">
        <v>2012</v>
      </c>
      <c r="B20" t="s">
        <v>42</v>
      </c>
      <c r="C20">
        <v>423</v>
      </c>
      <c r="M20" s="244" t="s">
        <v>437</v>
      </c>
      <c r="N20" s="245" t="s">
        <v>454</v>
      </c>
      <c r="P20" s="244" t="s">
        <v>437</v>
      </c>
      <c r="Q20" s="245" t="s">
        <v>454</v>
      </c>
    </row>
    <row r="21" spans="1:18">
      <c r="A21" s="89">
        <v>2013</v>
      </c>
      <c r="B21" t="s">
        <v>5</v>
      </c>
      <c r="C21">
        <v>360</v>
      </c>
      <c r="M21" s="244" t="s">
        <v>438</v>
      </c>
      <c r="N21" s="244" t="s">
        <v>455</v>
      </c>
      <c r="P21" s="244" t="s">
        <v>438</v>
      </c>
      <c r="Q21" s="244" t="s">
        <v>455</v>
      </c>
    </row>
    <row r="22" spans="1:18">
      <c r="A22" s="89">
        <v>2013</v>
      </c>
      <c r="B22" t="s">
        <v>6</v>
      </c>
      <c r="C22">
        <v>444</v>
      </c>
      <c r="M22" s="245" t="s">
        <v>439</v>
      </c>
      <c r="N22" s="244" t="s">
        <v>456</v>
      </c>
      <c r="P22" s="244" t="s">
        <v>439</v>
      </c>
      <c r="Q22" s="244" t="s">
        <v>456</v>
      </c>
    </row>
    <row r="23" spans="1:18">
      <c r="A23" s="89">
        <v>2013</v>
      </c>
      <c r="B23" t="s">
        <v>42</v>
      </c>
      <c r="C23">
        <v>401</v>
      </c>
      <c r="M23" s="244" t="s">
        <v>440</v>
      </c>
      <c r="N23" s="244" t="s">
        <v>457</v>
      </c>
      <c r="P23" s="244" t="s">
        <v>440</v>
      </c>
      <c r="Q23" s="244" t="s">
        <v>457</v>
      </c>
    </row>
    <row r="24" spans="1:18">
      <c r="A24" s="89">
        <v>2014</v>
      </c>
      <c r="B24" t="s">
        <v>5</v>
      </c>
      <c r="C24">
        <v>360</v>
      </c>
      <c r="M24" s="244" t="s">
        <v>441</v>
      </c>
      <c r="N24" s="244" t="s">
        <v>458</v>
      </c>
      <c r="P24" s="244" t="s">
        <v>441</v>
      </c>
      <c r="Q24" s="244" t="s">
        <v>458</v>
      </c>
    </row>
    <row r="25" spans="1:18">
      <c r="A25" s="89">
        <v>2014</v>
      </c>
      <c r="B25" t="s">
        <v>6</v>
      </c>
      <c r="C25">
        <v>452</v>
      </c>
      <c r="M25" s="244" t="s">
        <v>442</v>
      </c>
      <c r="N25" s="244" t="s">
        <v>459</v>
      </c>
      <c r="P25" s="244" t="s">
        <v>442</v>
      </c>
      <c r="Q25" s="244" t="s">
        <v>459</v>
      </c>
    </row>
    <row r="26" spans="1:18">
      <c r="A26" s="89">
        <v>2014</v>
      </c>
      <c r="B26" t="s">
        <v>42</v>
      </c>
      <c r="C26">
        <v>405</v>
      </c>
      <c r="M26" s="244" t="s">
        <v>443</v>
      </c>
      <c r="N26" s="244" t="s">
        <v>460</v>
      </c>
      <c r="P26" s="244" t="s">
        <v>443</v>
      </c>
      <c r="Q26" s="244" t="s">
        <v>460</v>
      </c>
      <c r="R26" s="9"/>
    </row>
    <row r="27" spans="1:18">
      <c r="A27" s="89">
        <v>2015</v>
      </c>
      <c r="B27" t="s">
        <v>5</v>
      </c>
      <c r="C27">
        <v>399</v>
      </c>
      <c r="M27" s="244" t="s">
        <v>444</v>
      </c>
      <c r="N27" s="245" t="s">
        <v>461</v>
      </c>
      <c r="P27" s="244" t="s">
        <v>444</v>
      </c>
      <c r="Q27" s="245" t="s">
        <v>461</v>
      </c>
      <c r="R27" s="9"/>
    </row>
    <row r="28" spans="1:18">
      <c r="A28" s="89">
        <v>2015</v>
      </c>
      <c r="B28" t="s">
        <v>6</v>
      </c>
      <c r="C28">
        <v>474</v>
      </c>
      <c r="M28" s="244" t="s">
        <v>445</v>
      </c>
      <c r="N28" s="244" t="s">
        <v>462</v>
      </c>
      <c r="O28" s="9"/>
      <c r="P28" s="244" t="s">
        <v>445</v>
      </c>
      <c r="Q28" s="244" t="s">
        <v>462</v>
      </c>
      <c r="R28" s="9"/>
    </row>
    <row r="29" spans="1:18">
      <c r="A29" s="89">
        <v>2015</v>
      </c>
      <c r="B29" t="s">
        <v>42</v>
      </c>
      <c r="C29">
        <v>435</v>
      </c>
      <c r="M29" s="246" t="s">
        <v>446</v>
      </c>
      <c r="N29" s="244" t="s">
        <v>463</v>
      </c>
      <c r="O29" s="9"/>
      <c r="P29" s="246" t="s">
        <v>446</v>
      </c>
      <c r="Q29" s="244" t="s">
        <v>463</v>
      </c>
      <c r="R29" s="9"/>
    </row>
    <row r="30" spans="1:18">
      <c r="A30" s="89">
        <v>2016</v>
      </c>
      <c r="B30" t="s">
        <v>5</v>
      </c>
      <c r="M30" s="247" t="s">
        <v>447</v>
      </c>
      <c r="N30" s="244" t="s">
        <v>464</v>
      </c>
      <c r="O30" s="9"/>
      <c r="P30" s="247" t="s">
        <v>447</v>
      </c>
      <c r="Q30" s="244" t="s">
        <v>464</v>
      </c>
      <c r="R30" s="9"/>
    </row>
    <row r="31" spans="1:18">
      <c r="A31" s="89">
        <v>2016</v>
      </c>
      <c r="B31" t="s">
        <v>6</v>
      </c>
      <c r="M31" s="295"/>
      <c r="N31" s="244" t="s">
        <v>465</v>
      </c>
      <c r="O31" s="9"/>
      <c r="P31" s="284"/>
      <c r="Q31" s="244" t="s">
        <v>465</v>
      </c>
      <c r="R31" s="9"/>
    </row>
    <row r="32" spans="1:18">
      <c r="A32" s="89">
        <v>2016</v>
      </c>
      <c r="B32" t="s">
        <v>42</v>
      </c>
      <c r="M32" s="204"/>
      <c r="N32" s="248" t="s">
        <v>466</v>
      </c>
      <c r="O32" s="9"/>
      <c r="P32" s="257"/>
      <c r="Q32" s="258" t="s">
        <v>466</v>
      </c>
      <c r="R32" s="9"/>
    </row>
    <row r="33" spans="1:18">
      <c r="A33" s="89">
        <v>2017</v>
      </c>
      <c r="B33" t="s">
        <v>5</v>
      </c>
      <c r="M33" s="256"/>
      <c r="N33" s="254"/>
      <c r="O33" s="9"/>
      <c r="P33" s="256"/>
      <c r="Q33" s="254"/>
      <c r="R33" s="9"/>
    </row>
    <row r="34" spans="1:18">
      <c r="A34" s="89">
        <v>2017</v>
      </c>
      <c r="B34" t="s">
        <v>6</v>
      </c>
      <c r="M34" s="242"/>
      <c r="N34" s="254"/>
      <c r="O34" s="9"/>
      <c r="P34" s="242"/>
      <c r="Q34" s="254"/>
      <c r="R34" s="9"/>
    </row>
    <row r="35" spans="1:18">
      <c r="A35" s="89">
        <v>2017</v>
      </c>
      <c r="B35" t="s">
        <v>42</v>
      </c>
    </row>
    <row r="36" spans="1:18">
      <c r="A36" s="89">
        <v>2018</v>
      </c>
      <c r="B36" t="s">
        <v>5</v>
      </c>
    </row>
    <row r="37" spans="1:18">
      <c r="A37" s="89">
        <v>2018</v>
      </c>
      <c r="B37" t="s">
        <v>6</v>
      </c>
    </row>
    <row r="38" spans="1:18">
      <c r="A38" s="89">
        <v>2018</v>
      </c>
      <c r="B38" t="s">
        <v>42</v>
      </c>
    </row>
    <row r="39" spans="1:18">
      <c r="A39" s="89">
        <v>2019</v>
      </c>
      <c r="B39" t="s">
        <v>5</v>
      </c>
    </row>
    <row r="40" spans="1:18">
      <c r="A40" s="89">
        <v>2019</v>
      </c>
      <c r="B40" t="s">
        <v>6</v>
      </c>
    </row>
    <row r="41" spans="1:18">
      <c r="A41" s="89">
        <v>2019</v>
      </c>
      <c r="B41" t="s">
        <v>42</v>
      </c>
    </row>
    <row r="42" spans="1:18">
      <c r="A42" s="89">
        <v>2020</v>
      </c>
      <c r="B42" t="s">
        <v>5</v>
      </c>
    </row>
    <row r="43" spans="1:18">
      <c r="A43" s="89">
        <v>2020</v>
      </c>
      <c r="B43" t="s">
        <v>6</v>
      </c>
    </row>
    <row r="44" spans="1:18">
      <c r="A44" s="89">
        <v>2020</v>
      </c>
      <c r="B44" t="s">
        <v>42</v>
      </c>
    </row>
    <row r="45" spans="1:18">
      <c r="A45" s="89">
        <v>2021</v>
      </c>
      <c r="B45" t="s">
        <v>5</v>
      </c>
    </row>
    <row r="46" spans="1:18">
      <c r="A46" s="89">
        <v>2021</v>
      </c>
      <c r="B46" t="s">
        <v>6</v>
      </c>
    </row>
    <row r="47" spans="1:18">
      <c r="A47" s="89">
        <v>2021</v>
      </c>
      <c r="B47" t="s">
        <v>42</v>
      </c>
    </row>
    <row r="48" spans="1:18">
      <c r="A48" s="89">
        <v>2022</v>
      </c>
      <c r="B48" t="s">
        <v>5</v>
      </c>
    </row>
    <row r="49" spans="1:2">
      <c r="A49" s="89">
        <v>2022</v>
      </c>
      <c r="B49" t="s">
        <v>6</v>
      </c>
    </row>
    <row r="50" spans="1:2">
      <c r="A50" s="89">
        <v>2022</v>
      </c>
      <c r="B50" t="s">
        <v>42</v>
      </c>
    </row>
    <row r="51" spans="1:2">
      <c r="A51" s="89">
        <v>2023</v>
      </c>
      <c r="B51" t="s">
        <v>5</v>
      </c>
    </row>
    <row r="52" spans="1:2">
      <c r="A52" s="89">
        <v>2023</v>
      </c>
      <c r="B52" t="s">
        <v>6</v>
      </c>
    </row>
    <row r="53" spans="1:2">
      <c r="A53" s="89">
        <v>2023</v>
      </c>
      <c r="B53" t="s">
        <v>42</v>
      </c>
    </row>
    <row r="54" spans="1:2">
      <c r="A54" s="89">
        <v>2024</v>
      </c>
      <c r="B54" t="s">
        <v>5</v>
      </c>
    </row>
    <row r="55" spans="1:2">
      <c r="A55" s="89">
        <v>2024</v>
      </c>
      <c r="B55" t="s">
        <v>6</v>
      </c>
    </row>
    <row r="56" spans="1:2">
      <c r="A56" s="89">
        <v>2024</v>
      </c>
      <c r="B56" t="s">
        <v>42</v>
      </c>
    </row>
    <row r="57" spans="1:2">
      <c r="A57" s="89">
        <v>2025</v>
      </c>
      <c r="B57" t="s">
        <v>5</v>
      </c>
    </row>
    <row r="58" spans="1:2">
      <c r="A58" s="89">
        <v>2025</v>
      </c>
      <c r="B58" t="s">
        <v>6</v>
      </c>
    </row>
    <row r="59" spans="1:2">
      <c r="A59" s="89">
        <v>2025</v>
      </c>
      <c r="B59" t="s">
        <v>42</v>
      </c>
    </row>
  </sheetData>
  <mergeCells count="10">
    <mergeCell ref="M11:N11"/>
    <mergeCell ref="P11:Q11"/>
    <mergeCell ref="M12:N12"/>
    <mergeCell ref="P12:Q12"/>
    <mergeCell ref="M2:Q2"/>
    <mergeCell ref="A3:Q3"/>
    <mergeCell ref="B5:K5"/>
    <mergeCell ref="B6:K6"/>
    <mergeCell ref="B7:K7"/>
    <mergeCell ref="B8:K8"/>
  </mergeCells>
  <hyperlinks>
    <hyperlink ref="M2" location="'Information och Innehåll'!A1" display="Tillbaka till Information och Innehåll"/>
    <hyperlink ref="M14" location="V1.1.1!A1" display="V1.1.1"/>
    <hyperlink ref="M15" location="V1.1.2!A1" display="V1.1.2"/>
    <hyperlink ref="M16" location="V1.1.3!A1" display="V1.1.3"/>
    <hyperlink ref="M17" location="V2.1.1!A1" display="V2.1.1"/>
    <hyperlink ref="M18" location="V2.1.2!A1" display="V2.1.2"/>
    <hyperlink ref="M20" location="V3.1.2!A1" display="V3.1.2"/>
    <hyperlink ref="M19" location="V3.1.1!A1" display="V3.1.1"/>
    <hyperlink ref="M21" location="V3.1.3!A1" display="V3.1.3"/>
    <hyperlink ref="M23" location="V4.1.1!A1" display="V4.1.1"/>
    <hyperlink ref="M24" location="V4.2.1!A1" display="V4.2.1"/>
    <hyperlink ref="M25" location="V4.2.2!A1" display="V4.2.2"/>
    <hyperlink ref="M26" location="V4.2.3!A1" display="V4.2.3"/>
    <hyperlink ref="M27" location="V4.2.4!A1" display="V4.2.4"/>
    <hyperlink ref="M28" location="V5.1.1!A1" display="V5.1.1"/>
    <hyperlink ref="M29" location="V5.1.2!A1" display="V5.1.2"/>
    <hyperlink ref="N14" location="B1.1.1!A1" display="B1.1.1"/>
    <hyperlink ref="N15" location="B1.1.2!A1" display="B1.1.2"/>
    <hyperlink ref="N16" location="B1.2.1!A1" display="B1.2.1"/>
    <hyperlink ref="N17" location="B1.2.2!A1" display="B1.2.2"/>
    <hyperlink ref="N18" location="B1.2.3!A1" display="B1.2.3"/>
    <hyperlink ref="N19" location="B2.1.1!A1" display="B2.1.1"/>
    <hyperlink ref="N21" location="B2.2.1!A1" display="B2.2.1"/>
    <hyperlink ref="N22" location="B2.2.2!A1" display="B2.2.2"/>
    <hyperlink ref="N23" location="B2.2.3!A1" display="B2.2.3"/>
    <hyperlink ref="N24" location="B2.2.4!A1" display="B2.2.4"/>
    <hyperlink ref="N25" location="B3.1.1!A1" display="B3.1.1"/>
    <hyperlink ref="N26" location="B3.1.2!A1" display="B3.1.2"/>
    <hyperlink ref="N29" location="B4.1.1!A1" display="B4.1.1"/>
    <hyperlink ref="N30" location="B5.1.1!A1" display="B5.1.1"/>
    <hyperlink ref="N31" location="B5.1.2!A1" display="B5.1.2"/>
    <hyperlink ref="N32" location="B5.1.3!A1" display="B5.1.3"/>
    <hyperlink ref="N27" location="B3.1.3!A1" display="B3.1.3"/>
    <hyperlink ref="N20" location="B2.1.2!A1" display="B2.1.2"/>
    <hyperlink ref="M30" location="V5.1.3!A1" display="V5.1.3"/>
    <hyperlink ref="N28" location="B3.2.1!A1" display="B3.2.1"/>
    <hyperlink ref="M22" location="B3.2.1!A1" display="V3.2.1"/>
    <hyperlink ref="P14" location="'V1.1.1 DATA'!A1" display="V1.1.1"/>
    <hyperlink ref="P15" location="'V1.1.2 DATA'!A1" display="V1.1.2"/>
    <hyperlink ref="P16" location="'V1.1.3 Data'!A1" display="V1.1.3"/>
    <hyperlink ref="P17" location="'V2.1.1 DATA'!A1" display="V2.1.1"/>
    <hyperlink ref="P18" location="'V2.1.2 DATA'!A1" display="V2.1.2"/>
    <hyperlink ref="P20" location="'V3.1.2 DATA'!A1" display="V3.1.2"/>
    <hyperlink ref="P19" location="'V3.1.1 DATA'!A1" display="V3.1.1"/>
    <hyperlink ref="P21" location="'V3.1.3 DATA'!A1" display="V3.1.3"/>
    <hyperlink ref="P22" location="'V3.2.1 DATA'!A1" display="V3.2.1"/>
    <hyperlink ref="P23" location="'V4.1.1 DATA'!A1" display="V4.1.1"/>
    <hyperlink ref="P24" location="'V4.2.1 DATA'!A1" display="V4.2.1"/>
    <hyperlink ref="P26" location="'V4.2.3 DATA'!A1" display="V4.2.3"/>
    <hyperlink ref="P27" location="'V4.2.4 DATA'!A1" display="V4.2.4"/>
    <hyperlink ref="P28" location="'V5.1.1 DATA'!A1" display="V5.1.1"/>
    <hyperlink ref="P29" location="'V5.1.2 DATA'!A1" display="V5.1.2"/>
    <hyperlink ref="Q14" location="'B1.1.1 DATA'!A1" display="B1.1.1"/>
    <hyperlink ref="Q15" location="'B1.1.2 DATA'!A1" display="B1.1.2"/>
    <hyperlink ref="Q16" location="'B1.2.1 DATA'!A1" display="B1.2.1"/>
    <hyperlink ref="Q17" location="'B1.2.2 DATA'!A1" display="B1.2.2"/>
    <hyperlink ref="Q18" location="'B1.2.3 DATA'!A1" display="B1.2.3"/>
    <hyperlink ref="Q19" location="'B2.1.1 DATA'!A1" display="B2.1.1"/>
    <hyperlink ref="Q21" location="'B2.2.1 DATA'!A1" display="B2.2.1"/>
    <hyperlink ref="Q22" location="'B2.2.2 DATA'!A1" display="B2.2.2"/>
    <hyperlink ref="Q23" location="'B2.2.3 DATA'!A1" display="B2.2.3"/>
    <hyperlink ref="Q24" location="'B2.2.4 DATA'!A1" display="B2.2.4"/>
    <hyperlink ref="Q25" location="'B3.1.1 DATA'!A1" display="B3.1.1"/>
    <hyperlink ref="Q26" location="'B3.1.2 DATA'!A1" display="B3.1.2"/>
    <hyperlink ref="Q28" location="'B3.2.1 DATA'!A1" display="B3.2.1"/>
    <hyperlink ref="Q29" location="'B4.1.1 DATA'!A1" display="B4.1.1"/>
    <hyperlink ref="Q30" location="'B5.1.1 DATA'!A1" display="B5.1.1"/>
    <hyperlink ref="Q31" location="'B5.1.2 DATA'!A1" display="B5.1.2"/>
    <hyperlink ref="Q32" location="'B5.1.3 DATA'!A1" display="B5.1.3"/>
    <hyperlink ref="Q20" location="'B2.1.2 DATA'!A1" display="B2.1.2"/>
    <hyperlink ref="P30" location="'V5.1.3 DATA'!A1" display="V5.1.3"/>
    <hyperlink ref="Q27" location="'B3.1.3 DATA'!A1" display="B3.1.3"/>
    <hyperlink ref="P25" location="'V4.2.2 DATA'!A1" display="V4.2.2"/>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18366"/>
  </sheetPr>
  <dimension ref="A2:AA56"/>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405</v>
      </c>
      <c r="C3" s="338"/>
      <c r="D3" s="338"/>
      <c r="E3" s="338"/>
      <c r="F3" s="338"/>
      <c r="G3" s="338"/>
      <c r="H3" s="338"/>
      <c r="I3" s="338"/>
      <c r="J3" s="338"/>
      <c r="K3" s="338"/>
      <c r="L3" s="338"/>
      <c r="M3" s="338"/>
      <c r="N3" s="338"/>
      <c r="O3" s="338"/>
      <c r="P3" s="338"/>
      <c r="Q3" s="338"/>
      <c r="R3" s="338"/>
      <c r="S3" s="338"/>
      <c r="T3" s="338"/>
    </row>
    <row r="4" spans="1:20" ht="30.75">
      <c r="B4" s="366" t="s">
        <v>494</v>
      </c>
      <c r="C4" s="366"/>
      <c r="D4" s="366"/>
      <c r="E4" s="366"/>
      <c r="F4" s="366"/>
      <c r="G4" s="366"/>
      <c r="H4" s="366"/>
      <c r="I4" s="366"/>
      <c r="J4" s="366"/>
      <c r="K4" s="366"/>
      <c r="L4" s="366"/>
      <c r="M4" s="366"/>
      <c r="N4" s="366"/>
      <c r="O4" s="366"/>
      <c r="P4" s="366"/>
      <c r="Q4" s="366"/>
      <c r="R4" s="366"/>
      <c r="S4" s="366"/>
      <c r="T4" s="366"/>
    </row>
    <row r="5" spans="1:20" ht="18">
      <c r="B5" s="340" t="s">
        <v>313</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122"/>
      <c r="O10" s="122"/>
      <c r="P10" s="122"/>
      <c r="Q10" s="122"/>
      <c r="R10" s="122"/>
      <c r="S10" s="122"/>
      <c r="T10" s="122"/>
    </row>
    <row r="11" spans="1:20">
      <c r="B11" s="336" t="s">
        <v>40</v>
      </c>
      <c r="C11" s="336"/>
      <c r="D11" s="336"/>
      <c r="E11" s="336"/>
      <c r="F11" s="336"/>
      <c r="G11" s="336"/>
      <c r="H11" s="336"/>
      <c r="I11" s="336"/>
      <c r="J11" s="336"/>
      <c r="K11" s="336"/>
      <c r="L11" s="336"/>
      <c r="N11" s="87" t="s">
        <v>211</v>
      </c>
      <c r="O11" s="87" t="s">
        <v>286</v>
      </c>
    </row>
    <row r="12" spans="1:20">
      <c r="B12" s="119"/>
      <c r="C12" s="337" t="s">
        <v>588</v>
      </c>
      <c r="D12" s="337"/>
      <c r="E12" s="337"/>
      <c r="F12" s="337"/>
      <c r="G12" s="337"/>
      <c r="H12" s="337"/>
      <c r="I12" s="337"/>
      <c r="J12" s="337"/>
      <c r="K12" s="337"/>
      <c r="L12" s="337"/>
      <c r="N12" s="87" t="s">
        <v>287</v>
      </c>
      <c r="O12" s="86" t="s">
        <v>242</v>
      </c>
    </row>
    <row r="13" spans="1:20">
      <c r="B13" s="117"/>
      <c r="C13" s="332" t="s">
        <v>589</v>
      </c>
      <c r="D13" s="332"/>
      <c r="E13" s="332"/>
      <c r="F13" s="332"/>
      <c r="G13" s="332"/>
      <c r="H13" s="332"/>
      <c r="I13" s="332"/>
      <c r="J13" s="332"/>
      <c r="K13" s="332"/>
      <c r="L13" s="332"/>
      <c r="N13" s="88">
        <v>2016</v>
      </c>
      <c r="O13" s="86">
        <v>0.8</v>
      </c>
    </row>
    <row r="14" spans="1:20">
      <c r="B14" s="117"/>
      <c r="C14" s="333" t="s">
        <v>292</v>
      </c>
      <c r="D14" s="333"/>
      <c r="E14" s="333"/>
      <c r="F14" s="333"/>
      <c r="G14" s="333"/>
      <c r="H14" s="333"/>
      <c r="I14" s="333"/>
      <c r="J14" s="333"/>
      <c r="K14" s="333"/>
      <c r="L14" s="333"/>
      <c r="N14" s="88">
        <v>2017</v>
      </c>
      <c r="O14" s="86">
        <v>0.71111111111111114</v>
      </c>
    </row>
    <row r="15" spans="1:20">
      <c r="B15" s="117"/>
      <c r="C15" s="333" t="s">
        <v>592</v>
      </c>
      <c r="D15" s="333"/>
      <c r="E15" s="333"/>
      <c r="F15" s="333"/>
      <c r="G15" s="333"/>
      <c r="H15" s="333"/>
      <c r="I15" s="333"/>
      <c r="J15" s="333"/>
      <c r="K15" s="333"/>
      <c r="L15" s="333"/>
      <c r="N15" s="88">
        <v>2018</v>
      </c>
      <c r="O15" s="86"/>
    </row>
    <row r="16" spans="1:20">
      <c r="A16" s="3"/>
      <c r="B16" s="117"/>
      <c r="C16" s="118"/>
      <c r="D16" s="118"/>
      <c r="E16" s="118"/>
      <c r="F16" s="118"/>
      <c r="G16" s="118"/>
      <c r="H16" s="118"/>
      <c r="I16" s="118"/>
      <c r="J16" s="118"/>
      <c r="K16" s="118"/>
      <c r="L16" s="117"/>
      <c r="N16" s="88">
        <v>2019</v>
      </c>
      <c r="O16" s="86"/>
    </row>
    <row r="17" spans="1:26">
      <c r="A17" s="3"/>
      <c r="B17" s="336" t="s">
        <v>41</v>
      </c>
      <c r="C17" s="336"/>
      <c r="D17" s="336"/>
      <c r="E17" s="336"/>
      <c r="F17" s="336"/>
      <c r="G17" s="336"/>
      <c r="H17" s="336"/>
      <c r="I17" s="336"/>
      <c r="J17" s="336"/>
      <c r="K17" s="336"/>
      <c r="L17" s="336"/>
      <c r="N17" s="88">
        <v>2020</v>
      </c>
      <c r="O17" s="86"/>
    </row>
    <row r="18" spans="1:26">
      <c r="A18" s="3"/>
      <c r="B18" s="119"/>
      <c r="C18" s="333" t="s">
        <v>295</v>
      </c>
      <c r="D18" s="333"/>
      <c r="E18" s="333"/>
      <c r="F18" s="333"/>
      <c r="G18" s="333"/>
      <c r="H18" s="333"/>
      <c r="I18" s="333"/>
      <c r="J18" s="333"/>
      <c r="K18" s="333"/>
      <c r="L18" s="333"/>
      <c r="N18" s="88">
        <v>2021</v>
      </c>
      <c r="O18" s="86"/>
    </row>
    <row r="19" spans="1:26">
      <c r="A19" s="3"/>
      <c r="B19" s="117"/>
      <c r="C19" s="333" t="s">
        <v>318</v>
      </c>
      <c r="D19" s="333"/>
      <c r="E19" s="333"/>
      <c r="F19" s="333"/>
      <c r="G19" s="333"/>
      <c r="H19" s="333"/>
      <c r="I19" s="333"/>
      <c r="J19" s="333"/>
      <c r="K19" s="333"/>
      <c r="L19" s="333"/>
      <c r="N19" s="88">
        <v>2022</v>
      </c>
      <c r="O19" s="86"/>
    </row>
    <row r="20" spans="1:26">
      <c r="A20" s="3"/>
      <c r="B20" s="117"/>
      <c r="C20" s="333" t="s">
        <v>369</v>
      </c>
      <c r="D20" s="333"/>
      <c r="E20" s="333"/>
      <c r="F20" s="333"/>
      <c r="G20" s="333"/>
      <c r="H20" s="333"/>
      <c r="I20" s="333"/>
      <c r="J20" s="333"/>
      <c r="K20" s="333"/>
      <c r="L20" s="333"/>
      <c r="N20" s="88">
        <v>2023</v>
      </c>
      <c r="O20" s="86"/>
    </row>
    <row r="21" spans="1:26">
      <c r="A21" s="3"/>
      <c r="B21" s="117"/>
      <c r="C21" s="58" t="str">
        <f>"--&gt;"</f>
        <v>--&gt;</v>
      </c>
      <c r="D21" s="334" t="s">
        <v>212</v>
      </c>
      <c r="E21" s="334"/>
      <c r="F21" s="334"/>
      <c r="G21" s="334"/>
      <c r="H21" s="334"/>
      <c r="I21" s="334"/>
      <c r="J21" s="334"/>
      <c r="K21" s="334"/>
      <c r="L21" s="334"/>
      <c r="N21" s="88">
        <v>2024</v>
      </c>
      <c r="O21" s="86"/>
    </row>
    <row r="22" spans="1:26">
      <c r="A22" s="3"/>
      <c r="B22" s="117"/>
      <c r="C22" s="117"/>
      <c r="D22" s="334"/>
      <c r="E22" s="334"/>
      <c r="F22" s="334"/>
      <c r="G22" s="334"/>
      <c r="H22" s="334"/>
      <c r="I22" s="334"/>
      <c r="J22" s="334"/>
      <c r="K22" s="334"/>
      <c r="L22" s="334"/>
      <c r="N22" s="88">
        <v>2025</v>
      </c>
      <c r="O22" s="86"/>
    </row>
    <row r="23" spans="1:26">
      <c r="A23" s="3"/>
      <c r="B23" s="117"/>
      <c r="C23" s="333" t="s">
        <v>356</v>
      </c>
      <c r="D23" s="333"/>
      <c r="E23" s="333"/>
      <c r="F23" s="333"/>
      <c r="G23" s="333"/>
      <c r="H23" s="333"/>
      <c r="I23" s="333"/>
      <c r="J23" s="333"/>
      <c r="K23" s="333"/>
      <c r="L23" s="333"/>
    </row>
    <row r="24" spans="1:26">
      <c r="A24" s="3"/>
      <c r="B24" s="117"/>
      <c r="C24" s="333"/>
      <c r="D24" s="333"/>
      <c r="E24" s="333"/>
      <c r="F24" s="333"/>
      <c r="G24" s="333"/>
      <c r="H24" s="333"/>
      <c r="I24" s="333"/>
      <c r="J24" s="333"/>
      <c r="K24" s="333"/>
      <c r="L24" s="333"/>
      <c r="S24" s="11"/>
      <c r="T24" s="11"/>
    </row>
    <row r="25" spans="1:26">
      <c r="A25" s="3"/>
      <c r="B25" s="117"/>
      <c r="C25" s="333"/>
      <c r="D25" s="333"/>
      <c r="E25" s="333"/>
      <c r="F25" s="333"/>
      <c r="G25" s="333"/>
      <c r="H25" s="333"/>
      <c r="I25" s="333"/>
      <c r="J25" s="333"/>
      <c r="K25" s="333"/>
      <c r="L25" s="333"/>
      <c r="Q25" s="2"/>
      <c r="S25" s="11"/>
      <c r="T25" s="11"/>
    </row>
    <row r="26" spans="1:26">
      <c r="A26" s="3"/>
      <c r="B26" s="117"/>
      <c r="C26" s="363" t="s">
        <v>320</v>
      </c>
      <c r="D26" s="363"/>
      <c r="E26" s="363"/>
      <c r="F26" s="363"/>
      <c r="G26" s="363"/>
      <c r="H26" s="363"/>
      <c r="I26" s="363"/>
      <c r="J26" s="363"/>
      <c r="K26" s="363"/>
      <c r="L26" s="363"/>
      <c r="Q26" s="2"/>
      <c r="S26" s="11"/>
      <c r="T26" s="11"/>
    </row>
    <row r="27" spans="1:26">
      <c r="B27" s="118"/>
      <c r="C27" s="363"/>
      <c r="D27" s="363"/>
      <c r="E27" s="363"/>
      <c r="F27" s="363"/>
      <c r="G27" s="363"/>
      <c r="H27" s="363"/>
      <c r="I27" s="363"/>
      <c r="J27" s="363"/>
      <c r="K27" s="363"/>
      <c r="L27" s="363"/>
      <c r="Q27" s="2"/>
      <c r="S27" s="11"/>
      <c r="T27" s="11"/>
    </row>
    <row r="28" spans="1:26">
      <c r="B28" s="118"/>
      <c r="C28" s="363"/>
      <c r="D28" s="363"/>
      <c r="E28" s="363"/>
      <c r="F28" s="363"/>
      <c r="G28" s="363"/>
      <c r="H28" s="363"/>
      <c r="I28" s="363"/>
      <c r="J28" s="363"/>
      <c r="K28" s="363"/>
      <c r="L28" s="363"/>
      <c r="Q28" s="2"/>
      <c r="S28" s="11"/>
      <c r="T28" s="11"/>
    </row>
    <row r="29" spans="1:26">
      <c r="B29" s="83"/>
      <c r="C29" s="351"/>
      <c r="D29" s="351"/>
      <c r="E29" s="351"/>
      <c r="F29" s="351"/>
      <c r="G29" s="351"/>
      <c r="H29" s="351"/>
      <c r="I29" s="351"/>
      <c r="J29" s="351"/>
      <c r="K29" s="351"/>
      <c r="L29" s="351"/>
      <c r="S29" s="11"/>
      <c r="T29" s="11"/>
    </row>
    <row r="30" spans="1:26">
      <c r="B30" s="122"/>
      <c r="C30" s="351"/>
      <c r="D30" s="351"/>
      <c r="E30" s="351"/>
      <c r="F30" s="351"/>
      <c r="G30" s="351"/>
      <c r="H30" s="351"/>
      <c r="I30" s="351"/>
      <c r="J30" s="351"/>
      <c r="K30" s="351"/>
      <c r="L30" s="351"/>
      <c r="M30" s="9"/>
      <c r="N30" s="122"/>
      <c r="O30" s="34"/>
      <c r="P30" s="35"/>
      <c r="Q30" s="35"/>
      <c r="R30" s="35"/>
      <c r="S30" s="35"/>
      <c r="T30" s="122"/>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19"/>
      <c r="C33" s="119"/>
      <c r="D33" s="119"/>
      <c r="E33" s="119"/>
      <c r="F33" s="119"/>
      <c r="G33" s="119"/>
      <c r="H33" s="119"/>
      <c r="I33" s="119"/>
      <c r="J33" s="119"/>
      <c r="K33" s="119"/>
      <c r="L33" s="119"/>
      <c r="M33" s="119"/>
      <c r="N33" s="119"/>
      <c r="O33" s="119"/>
      <c r="P33" s="119"/>
      <c r="Q33" s="119"/>
      <c r="R33" s="119"/>
      <c r="S33" s="119"/>
      <c r="T33" s="119"/>
      <c r="V33" s="319" t="s">
        <v>65</v>
      </c>
      <c r="W33" s="320"/>
      <c r="X33" s="11"/>
      <c r="Y33" s="319" t="s">
        <v>66</v>
      </c>
      <c r="Z33" s="320"/>
    </row>
    <row r="34" spans="1:27">
      <c r="B34" s="119"/>
      <c r="C34" s="119"/>
      <c r="D34" s="119"/>
      <c r="E34" s="119"/>
      <c r="F34" s="119"/>
      <c r="G34" s="119"/>
      <c r="H34" s="119"/>
      <c r="I34" s="119"/>
      <c r="J34" s="119"/>
      <c r="K34" s="119"/>
      <c r="L34" s="119"/>
      <c r="M34" s="119"/>
      <c r="N34" s="119"/>
      <c r="O34" s="119"/>
      <c r="P34" s="119"/>
      <c r="Q34" s="119"/>
      <c r="R34" s="119"/>
      <c r="S34" s="119"/>
      <c r="T34" s="119"/>
      <c r="V34" s="56" t="s">
        <v>61</v>
      </c>
      <c r="W34" s="56" t="s">
        <v>62</v>
      </c>
      <c r="X34" s="11"/>
      <c r="Y34" s="56" t="s">
        <v>61</v>
      </c>
      <c r="Z34" s="56" t="s">
        <v>62</v>
      </c>
    </row>
    <row r="35" spans="1:27">
      <c r="B35" s="119"/>
      <c r="C35" s="119"/>
      <c r="D35" s="119"/>
      <c r="E35" s="119"/>
      <c r="F35" s="119"/>
      <c r="G35" s="119"/>
      <c r="H35" s="119"/>
      <c r="I35" s="119"/>
      <c r="J35" s="119"/>
      <c r="K35" s="119"/>
      <c r="L35" s="119"/>
      <c r="M35" s="119"/>
      <c r="N35" s="119"/>
      <c r="O35" s="119"/>
      <c r="P35" s="119"/>
      <c r="Q35" s="119"/>
      <c r="R35" s="119"/>
      <c r="S35" s="119"/>
      <c r="T35" s="119"/>
      <c r="V35" s="244" t="s">
        <v>392</v>
      </c>
      <c r="W35" s="244" t="s">
        <v>448</v>
      </c>
      <c r="X35" s="11"/>
      <c r="Y35" s="244" t="s">
        <v>392</v>
      </c>
      <c r="Z35" s="244" t="s">
        <v>448</v>
      </c>
    </row>
    <row r="36" spans="1:27">
      <c r="B36" s="119"/>
      <c r="C36" s="119"/>
      <c r="D36" s="119"/>
      <c r="E36" s="119"/>
      <c r="F36" s="119"/>
      <c r="G36" s="119"/>
      <c r="H36" s="119"/>
      <c r="I36" s="119"/>
      <c r="J36" s="119"/>
      <c r="K36" s="119"/>
      <c r="L36" s="119"/>
      <c r="M36" s="119"/>
      <c r="N36" s="119"/>
      <c r="O36" s="119"/>
      <c r="P36" s="119"/>
      <c r="Q36" s="119"/>
      <c r="R36" s="119"/>
      <c r="S36" s="119"/>
      <c r="T36" s="119"/>
      <c r="V36" s="244" t="s">
        <v>393</v>
      </c>
      <c r="W36" s="244" t="s">
        <v>449</v>
      </c>
      <c r="X36" s="11"/>
      <c r="Y36" s="244" t="s">
        <v>393</v>
      </c>
      <c r="Z36" s="244" t="s">
        <v>449</v>
      </c>
    </row>
    <row r="37" spans="1:27">
      <c r="B37" s="119"/>
      <c r="C37" s="119"/>
      <c r="D37" s="119"/>
      <c r="E37" s="119"/>
      <c r="F37" s="119"/>
      <c r="G37" s="119"/>
      <c r="H37" s="119"/>
      <c r="I37" s="119"/>
      <c r="J37" s="119"/>
      <c r="K37" s="119"/>
      <c r="L37" s="119"/>
      <c r="M37" s="119"/>
      <c r="N37" s="119"/>
      <c r="O37" s="119"/>
      <c r="P37" s="119"/>
      <c r="Q37" s="119"/>
      <c r="R37" s="119"/>
      <c r="S37" s="119"/>
      <c r="T37" s="119"/>
      <c r="V37" s="244" t="s">
        <v>394</v>
      </c>
      <c r="W37" s="244" t="s">
        <v>450</v>
      </c>
      <c r="X37" s="11"/>
      <c r="Y37" s="244" t="s">
        <v>394</v>
      </c>
      <c r="Z37" s="244" t="s">
        <v>450</v>
      </c>
    </row>
    <row r="38" spans="1:27">
      <c r="B38" s="119"/>
      <c r="C38" s="119"/>
      <c r="D38" s="119"/>
      <c r="E38" s="119"/>
      <c r="F38" s="119"/>
      <c r="G38" s="119"/>
      <c r="H38" s="119"/>
      <c r="I38" s="119"/>
      <c r="J38" s="119"/>
      <c r="K38" s="119"/>
      <c r="L38" s="119"/>
      <c r="M38" s="119"/>
      <c r="N38" s="119"/>
      <c r="O38" s="119"/>
      <c r="P38" s="119"/>
      <c r="Q38" s="119"/>
      <c r="R38" s="119"/>
      <c r="S38" s="119"/>
      <c r="T38" s="119"/>
      <c r="V38" s="244" t="s">
        <v>434</v>
      </c>
      <c r="W38" s="244" t="s">
        <v>451</v>
      </c>
      <c r="X38" s="11"/>
      <c r="Y38" s="244" t="s">
        <v>434</v>
      </c>
      <c r="Z38" s="244" t="s">
        <v>451</v>
      </c>
    </row>
    <row r="39" spans="1:27">
      <c r="B39" s="119"/>
      <c r="C39" s="119"/>
      <c r="D39" s="119"/>
      <c r="E39" s="119"/>
      <c r="F39" s="119"/>
      <c r="G39" s="119"/>
      <c r="H39" s="119"/>
      <c r="I39" s="119"/>
      <c r="J39" s="119"/>
      <c r="K39" s="119"/>
      <c r="L39" s="119"/>
      <c r="M39" s="119"/>
      <c r="N39" s="119"/>
      <c r="O39" s="119"/>
      <c r="P39" s="119"/>
      <c r="Q39" s="119"/>
      <c r="R39" s="119"/>
      <c r="S39" s="119"/>
      <c r="T39" s="119"/>
      <c r="V39" s="244" t="s">
        <v>435</v>
      </c>
      <c r="W39" s="244" t="s">
        <v>452</v>
      </c>
      <c r="Y39" s="244" t="s">
        <v>435</v>
      </c>
      <c r="Z39" s="244" t="s">
        <v>452</v>
      </c>
    </row>
    <row r="40" spans="1:27">
      <c r="B40" s="119"/>
      <c r="C40" s="119"/>
      <c r="D40" s="119"/>
      <c r="E40" s="119"/>
      <c r="F40" s="119"/>
      <c r="G40" s="119"/>
      <c r="H40" s="119"/>
      <c r="I40" s="119"/>
      <c r="J40" s="119"/>
      <c r="K40" s="119"/>
      <c r="L40" s="119"/>
      <c r="M40" s="119"/>
      <c r="N40" s="119"/>
      <c r="O40" s="119"/>
      <c r="P40" s="119"/>
      <c r="Q40" s="119"/>
      <c r="R40" s="119"/>
      <c r="S40" s="119"/>
      <c r="T40" s="119"/>
      <c r="V40" s="244" t="s">
        <v>436</v>
      </c>
      <c r="W40" s="244" t="s">
        <v>453</v>
      </c>
      <c r="Y40" s="244" t="s">
        <v>436</v>
      </c>
      <c r="Z40" s="244" t="s">
        <v>453</v>
      </c>
    </row>
    <row r="41" spans="1:27">
      <c r="B41" s="119"/>
      <c r="C41" s="119"/>
      <c r="D41" s="119"/>
      <c r="E41" s="119"/>
      <c r="F41" s="119"/>
      <c r="G41" s="119"/>
      <c r="H41" s="119"/>
      <c r="I41" s="119"/>
      <c r="J41" s="119"/>
      <c r="K41" s="119"/>
      <c r="L41" s="119"/>
      <c r="M41" s="119"/>
      <c r="N41" s="119"/>
      <c r="O41" s="119"/>
      <c r="P41" s="119"/>
      <c r="Q41" s="119"/>
      <c r="R41" s="119"/>
      <c r="S41" s="119"/>
      <c r="T41" s="119"/>
      <c r="V41" s="244" t="s">
        <v>437</v>
      </c>
      <c r="W41" s="245" t="s">
        <v>454</v>
      </c>
      <c r="Y41" s="244" t="s">
        <v>437</v>
      </c>
      <c r="Z41" s="245" t="s">
        <v>454</v>
      </c>
    </row>
    <row r="42" spans="1:27">
      <c r="B42" s="119"/>
      <c r="C42" s="119"/>
      <c r="D42" s="119"/>
      <c r="E42" s="119"/>
      <c r="F42" s="119"/>
      <c r="G42" s="119"/>
      <c r="H42" s="119"/>
      <c r="I42" s="119"/>
      <c r="J42" s="119"/>
      <c r="K42" s="119"/>
      <c r="L42" s="119"/>
      <c r="M42" s="119"/>
      <c r="N42" s="119"/>
      <c r="O42" s="119"/>
      <c r="P42" s="119"/>
      <c r="Q42" s="119"/>
      <c r="R42" s="119"/>
      <c r="S42" s="119"/>
      <c r="T42" s="119"/>
      <c r="V42" s="244" t="s">
        <v>438</v>
      </c>
      <c r="W42" s="244" t="s">
        <v>455</v>
      </c>
      <c r="Y42" s="244" t="s">
        <v>438</v>
      </c>
      <c r="Z42" s="244" t="s">
        <v>455</v>
      </c>
    </row>
    <row r="43" spans="1:27">
      <c r="B43" s="119"/>
      <c r="C43" s="119"/>
      <c r="D43" s="119"/>
      <c r="E43" s="119"/>
      <c r="F43" s="119"/>
      <c r="G43" s="119"/>
      <c r="H43" s="119"/>
      <c r="I43" s="119"/>
      <c r="J43" s="119"/>
      <c r="K43" s="119"/>
      <c r="L43" s="119"/>
      <c r="M43" s="119"/>
      <c r="N43" s="119"/>
      <c r="O43" s="119"/>
      <c r="P43" s="119"/>
      <c r="Q43" s="119"/>
      <c r="R43" s="119"/>
      <c r="S43" s="119"/>
      <c r="T43" s="119"/>
      <c r="V43" s="245" t="s">
        <v>439</v>
      </c>
      <c r="W43" s="244" t="s">
        <v>456</v>
      </c>
      <c r="Y43" s="244" t="s">
        <v>439</v>
      </c>
      <c r="Z43" s="244" t="s">
        <v>456</v>
      </c>
    </row>
    <row r="44" spans="1:27">
      <c r="B44" s="119"/>
      <c r="C44" s="119"/>
      <c r="D44" s="119"/>
      <c r="E44" s="119"/>
      <c r="F44" s="119"/>
      <c r="G44" s="119"/>
      <c r="H44" s="119"/>
      <c r="I44" s="119"/>
      <c r="J44" s="119"/>
      <c r="K44" s="119"/>
      <c r="L44" s="119"/>
      <c r="M44" s="119"/>
      <c r="N44" s="119"/>
      <c r="O44" s="119"/>
      <c r="P44" s="119"/>
      <c r="Q44" s="119"/>
      <c r="R44" s="119"/>
      <c r="S44" s="119"/>
      <c r="T44" s="119"/>
      <c r="V44" s="244" t="s">
        <v>440</v>
      </c>
      <c r="W44" s="244" t="s">
        <v>457</v>
      </c>
      <c r="Y44" s="244" t="s">
        <v>440</v>
      </c>
      <c r="Z44" s="244" t="s">
        <v>457</v>
      </c>
    </row>
    <row r="45" spans="1:27">
      <c r="B45" s="119"/>
      <c r="C45" s="119"/>
      <c r="D45" s="119"/>
      <c r="E45" s="119"/>
      <c r="F45" s="119"/>
      <c r="G45" s="119"/>
      <c r="H45" s="119"/>
      <c r="I45" s="119"/>
      <c r="J45" s="119"/>
      <c r="K45" s="119"/>
      <c r="L45" s="119"/>
      <c r="M45" s="119"/>
      <c r="N45" s="119"/>
      <c r="O45" s="119"/>
      <c r="P45" s="119"/>
      <c r="Q45" s="119"/>
      <c r="R45" s="119"/>
      <c r="S45" s="119"/>
      <c r="T45" s="119"/>
      <c r="V45" s="244" t="s">
        <v>441</v>
      </c>
      <c r="W45" s="244" t="s">
        <v>458</v>
      </c>
      <c r="Y45" s="244" t="s">
        <v>441</v>
      </c>
      <c r="Z45" s="244" t="s">
        <v>458</v>
      </c>
    </row>
    <row r="46" spans="1:27">
      <c r="B46" s="119"/>
      <c r="C46" s="119"/>
      <c r="D46" s="119"/>
      <c r="E46" s="119"/>
      <c r="F46" s="119"/>
      <c r="G46" s="119"/>
      <c r="H46" s="119"/>
      <c r="I46" s="119"/>
      <c r="J46" s="119"/>
      <c r="K46" s="119"/>
      <c r="L46" s="119"/>
      <c r="M46" s="119"/>
      <c r="N46" s="119"/>
      <c r="O46" s="119"/>
      <c r="P46" s="119"/>
      <c r="Q46" s="119"/>
      <c r="R46" s="119"/>
      <c r="S46" s="119"/>
      <c r="T46" s="119"/>
      <c r="V46" s="244" t="s">
        <v>442</v>
      </c>
      <c r="W46" s="244" t="s">
        <v>459</v>
      </c>
      <c r="Y46" s="244" t="s">
        <v>442</v>
      </c>
      <c r="Z46" s="244" t="s">
        <v>459</v>
      </c>
    </row>
    <row r="47" spans="1:27">
      <c r="B47" s="119"/>
      <c r="C47" s="119"/>
      <c r="D47" s="119"/>
      <c r="E47" s="119"/>
      <c r="F47" s="119"/>
      <c r="G47" s="119"/>
      <c r="H47" s="119"/>
      <c r="I47" s="119"/>
      <c r="J47" s="119"/>
      <c r="K47" s="119"/>
      <c r="L47" s="119"/>
      <c r="M47" s="119"/>
      <c r="N47" s="119"/>
      <c r="O47" s="119"/>
      <c r="P47" s="119"/>
      <c r="Q47" s="119"/>
      <c r="R47" s="119"/>
      <c r="S47" s="119"/>
      <c r="T47" s="119"/>
      <c r="V47" s="244" t="s">
        <v>443</v>
      </c>
      <c r="W47" s="244" t="s">
        <v>460</v>
      </c>
      <c r="Y47" s="244" t="s">
        <v>443</v>
      </c>
      <c r="Z47" s="244" t="s">
        <v>460</v>
      </c>
    </row>
    <row r="48" spans="1:27">
      <c r="B48" s="119"/>
      <c r="C48" s="119"/>
      <c r="D48" s="119"/>
      <c r="E48" s="119"/>
      <c r="F48" s="119"/>
      <c r="G48" s="119"/>
      <c r="H48" s="119"/>
      <c r="I48" s="119"/>
      <c r="J48" s="119"/>
      <c r="K48" s="119"/>
      <c r="L48" s="119"/>
      <c r="M48" s="119"/>
      <c r="N48" s="119"/>
      <c r="O48" s="119"/>
      <c r="P48" s="119"/>
      <c r="Q48" s="119"/>
      <c r="R48" s="119"/>
      <c r="S48" s="119"/>
      <c r="T48" s="119"/>
      <c r="V48" s="244" t="s">
        <v>444</v>
      </c>
      <c r="W48" s="245" t="s">
        <v>461</v>
      </c>
      <c r="Y48" s="244" t="s">
        <v>444</v>
      </c>
      <c r="Z48" s="245" t="s">
        <v>461</v>
      </c>
      <c r="AA48" s="9"/>
    </row>
    <row r="49" spans="2:27">
      <c r="B49" s="119"/>
      <c r="C49" s="119"/>
      <c r="D49" s="119"/>
      <c r="E49" s="119"/>
      <c r="F49" s="119"/>
      <c r="G49" s="119"/>
      <c r="H49" s="119"/>
      <c r="I49" s="119"/>
      <c r="J49" s="119"/>
      <c r="K49" s="119"/>
      <c r="L49" s="119"/>
      <c r="M49" s="119"/>
      <c r="N49" s="119"/>
      <c r="O49" s="119"/>
      <c r="P49" s="119"/>
      <c r="Q49" s="119"/>
      <c r="R49" s="119"/>
      <c r="S49" s="119"/>
      <c r="T49" s="119"/>
      <c r="V49" s="244" t="s">
        <v>445</v>
      </c>
      <c r="W49" s="244" t="s">
        <v>462</v>
      </c>
      <c r="X49" s="9"/>
      <c r="Y49" s="244" t="s">
        <v>445</v>
      </c>
      <c r="Z49" s="244" t="s">
        <v>462</v>
      </c>
      <c r="AA49" s="9"/>
    </row>
    <row r="50" spans="2:27">
      <c r="B50" s="119"/>
      <c r="C50" s="119"/>
      <c r="D50" s="119"/>
      <c r="E50" s="119"/>
      <c r="F50" s="119"/>
      <c r="G50" s="119"/>
      <c r="H50" s="119"/>
      <c r="I50" s="119"/>
      <c r="J50" s="119"/>
      <c r="K50" s="119"/>
      <c r="L50" s="119"/>
      <c r="M50" s="119"/>
      <c r="N50" s="119"/>
      <c r="O50" s="119"/>
      <c r="P50" s="119"/>
      <c r="Q50" s="119"/>
      <c r="R50" s="119"/>
      <c r="S50" s="119"/>
      <c r="T50" s="119"/>
      <c r="V50" s="246" t="s">
        <v>446</v>
      </c>
      <c r="W50" s="244" t="s">
        <v>463</v>
      </c>
      <c r="X50" s="9"/>
      <c r="Y50" s="246" t="s">
        <v>446</v>
      </c>
      <c r="Z50" s="244" t="s">
        <v>463</v>
      </c>
      <c r="AA50" s="9"/>
    </row>
    <row r="51" spans="2:27">
      <c r="B51" s="119"/>
      <c r="C51" s="119"/>
      <c r="D51" s="119"/>
      <c r="E51" s="119"/>
      <c r="F51" s="119"/>
      <c r="G51" s="119"/>
      <c r="H51" s="119"/>
      <c r="I51" s="119"/>
      <c r="J51" s="119"/>
      <c r="K51" s="119"/>
      <c r="L51" s="119"/>
      <c r="M51" s="119"/>
      <c r="N51" s="119"/>
      <c r="O51" s="119"/>
      <c r="P51" s="119"/>
      <c r="Q51" s="119"/>
      <c r="R51" s="119"/>
      <c r="S51" s="119"/>
      <c r="T51" s="119"/>
      <c r="V51" s="247" t="s">
        <v>447</v>
      </c>
      <c r="W51" s="244" t="s">
        <v>464</v>
      </c>
      <c r="X51" s="9"/>
      <c r="Y51" s="247" t="s">
        <v>447</v>
      </c>
      <c r="Z51" s="244" t="s">
        <v>464</v>
      </c>
      <c r="AA51" s="9"/>
    </row>
    <row r="52" spans="2:27">
      <c r="B52" s="119"/>
      <c r="C52" s="119"/>
      <c r="D52" s="119"/>
      <c r="E52" s="119"/>
      <c r="F52" s="119"/>
      <c r="G52" s="119"/>
      <c r="H52" s="119"/>
      <c r="I52" s="119"/>
      <c r="J52" s="119"/>
      <c r="K52" s="119"/>
      <c r="L52" s="119"/>
      <c r="M52" s="119"/>
      <c r="N52" s="119"/>
      <c r="O52" s="119"/>
      <c r="P52" s="119"/>
      <c r="Q52" s="119"/>
      <c r="R52" s="119"/>
      <c r="S52" s="119"/>
      <c r="T52" s="119"/>
      <c r="V52" s="295"/>
      <c r="W52" s="244" t="s">
        <v>465</v>
      </c>
      <c r="X52" s="9"/>
      <c r="Y52" s="284"/>
      <c r="Z52" s="244" t="s">
        <v>465</v>
      </c>
      <c r="AA52" s="9"/>
    </row>
    <row r="53" spans="2:27">
      <c r="B53" s="119"/>
      <c r="C53" s="119"/>
      <c r="D53" s="119"/>
      <c r="E53" s="119"/>
      <c r="F53" s="119"/>
      <c r="G53" s="119"/>
      <c r="H53" s="119"/>
      <c r="I53" s="119"/>
      <c r="J53" s="119"/>
      <c r="K53" s="119"/>
      <c r="L53" s="119"/>
      <c r="M53" s="119"/>
      <c r="N53" s="119"/>
      <c r="O53" s="119"/>
      <c r="P53" s="119"/>
      <c r="Q53" s="119"/>
      <c r="R53" s="119"/>
      <c r="S53" s="119"/>
      <c r="T53" s="119"/>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row r="56" spans="2:27">
      <c r="V56" s="9"/>
      <c r="W56" s="9"/>
      <c r="X56" s="9"/>
      <c r="Y56" s="9"/>
      <c r="Z56" s="9"/>
      <c r="AA56" s="9"/>
    </row>
  </sheetData>
  <mergeCells count="24">
    <mergeCell ref="B3:T3"/>
    <mergeCell ref="B4:T4"/>
    <mergeCell ref="B5:T5"/>
    <mergeCell ref="R7:T7"/>
    <mergeCell ref="B9:L9"/>
    <mergeCell ref="N9:T9"/>
    <mergeCell ref="C26:L28"/>
    <mergeCell ref="B11:L11"/>
    <mergeCell ref="C12:L12"/>
    <mergeCell ref="C13:L13"/>
    <mergeCell ref="C14:L14"/>
    <mergeCell ref="C15:L15"/>
    <mergeCell ref="B17:L17"/>
    <mergeCell ref="C18:L18"/>
    <mergeCell ref="C19:L19"/>
    <mergeCell ref="C20:L20"/>
    <mergeCell ref="D21:L22"/>
    <mergeCell ref="C23:L25"/>
    <mergeCell ref="C29:L30"/>
    <mergeCell ref="B32:T32"/>
    <mergeCell ref="V32:W32"/>
    <mergeCell ref="Y32:Z32"/>
    <mergeCell ref="V33:W33"/>
    <mergeCell ref="Y33:Z33"/>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9073"/>
  </sheetPr>
  <dimension ref="A1:Q89"/>
  <sheetViews>
    <sheetView showGridLines="0" showRowColHeaders="0" zoomScale="70" zoomScaleNormal="70" workbookViewId="0"/>
  </sheetViews>
  <sheetFormatPr defaultRowHeight="14.25"/>
  <cols>
    <col min="1" max="1" width="15.796875" customWidth="1"/>
    <col min="2" max="8" width="26.796875" customWidth="1"/>
    <col min="9" max="15" width="12.796875" customWidth="1"/>
  </cols>
  <sheetData>
    <row r="1" spans="1:14" ht="15.75">
      <c r="A1" s="16" t="s">
        <v>342</v>
      </c>
      <c r="B1" s="121"/>
      <c r="C1" s="121"/>
      <c r="D1" s="121"/>
      <c r="E1" s="121"/>
      <c r="F1" s="121"/>
      <c r="G1" s="121"/>
    </row>
    <row r="2" spans="1:14" ht="15.75">
      <c r="A2" s="26" t="s">
        <v>34</v>
      </c>
      <c r="C2" s="27">
        <v>42977</v>
      </c>
      <c r="G2" s="342" t="s">
        <v>44</v>
      </c>
      <c r="H2" s="342"/>
    </row>
    <row r="3" spans="1:14" ht="23.65" thickBot="1">
      <c r="A3" s="354" t="s">
        <v>7</v>
      </c>
      <c r="B3" s="354"/>
      <c r="C3" s="354"/>
      <c r="D3" s="354"/>
      <c r="E3" s="354"/>
      <c r="F3" s="354"/>
      <c r="G3" s="354"/>
      <c r="H3" s="354"/>
      <c r="J3" s="321" t="s">
        <v>46</v>
      </c>
      <c r="K3" s="321"/>
      <c r="L3" s="11"/>
      <c r="M3" s="318" t="s">
        <v>46</v>
      </c>
      <c r="N3" s="318"/>
    </row>
    <row r="4" spans="1:14">
      <c r="A4" s="119"/>
      <c r="B4" s="119"/>
      <c r="C4" s="119"/>
      <c r="D4" s="119"/>
      <c r="E4" s="119"/>
      <c r="F4" s="119"/>
      <c r="G4" s="119"/>
      <c r="H4" s="119"/>
      <c r="J4" s="319" t="s">
        <v>65</v>
      </c>
      <c r="K4" s="320"/>
      <c r="L4" s="11"/>
      <c r="M4" s="319" t="s">
        <v>66</v>
      </c>
      <c r="N4" s="320"/>
    </row>
    <row r="5" spans="1:14">
      <c r="A5" s="119"/>
      <c r="B5" s="352" t="s">
        <v>374</v>
      </c>
      <c r="C5" s="352"/>
      <c r="D5" s="352"/>
      <c r="E5" s="352"/>
      <c r="F5" s="352"/>
      <c r="G5" s="352"/>
      <c r="H5" s="352"/>
      <c r="J5" s="56" t="s">
        <v>61</v>
      </c>
      <c r="K5" s="56" t="s">
        <v>62</v>
      </c>
      <c r="L5" s="11"/>
      <c r="M5" s="56" t="s">
        <v>61</v>
      </c>
      <c r="N5" s="56" t="s">
        <v>62</v>
      </c>
    </row>
    <row r="6" spans="1:14">
      <c r="A6" s="119"/>
      <c r="B6" s="352" t="s">
        <v>326</v>
      </c>
      <c r="C6" s="352"/>
      <c r="D6" s="352"/>
      <c r="E6" s="352"/>
      <c r="F6" s="352"/>
      <c r="G6" s="352"/>
      <c r="H6" s="352"/>
      <c r="J6" s="244" t="s">
        <v>392</v>
      </c>
      <c r="K6" s="244" t="s">
        <v>448</v>
      </c>
      <c r="L6" s="11"/>
      <c r="M6" s="244" t="s">
        <v>392</v>
      </c>
      <c r="N6" s="244" t="s">
        <v>448</v>
      </c>
    </row>
    <row r="7" spans="1:14">
      <c r="A7" s="119"/>
      <c r="B7" s="352" t="s">
        <v>331</v>
      </c>
      <c r="C7" s="352"/>
      <c r="D7" s="352"/>
      <c r="E7" s="352"/>
      <c r="F7" s="352"/>
      <c r="G7" s="352"/>
      <c r="H7" s="352"/>
      <c r="J7" s="244" t="s">
        <v>393</v>
      </c>
      <c r="K7" s="244" t="s">
        <v>449</v>
      </c>
      <c r="L7" s="11"/>
      <c r="M7" s="244" t="s">
        <v>393</v>
      </c>
      <c r="N7" s="244" t="s">
        <v>449</v>
      </c>
    </row>
    <row r="8" spans="1:14">
      <c r="A8" s="119"/>
      <c r="B8" s="353" t="s">
        <v>325</v>
      </c>
      <c r="C8" s="353"/>
      <c r="D8" s="353"/>
      <c r="E8" s="353"/>
      <c r="F8" s="353"/>
      <c r="G8" s="353"/>
      <c r="H8" s="353"/>
      <c r="J8" s="244" t="s">
        <v>394</v>
      </c>
      <c r="K8" s="244" t="s">
        <v>450</v>
      </c>
      <c r="L8" s="11"/>
      <c r="M8" s="244" t="s">
        <v>394</v>
      </c>
      <c r="N8" s="244" t="s">
        <v>450</v>
      </c>
    </row>
    <row r="9" spans="1:14">
      <c r="A9" s="119"/>
      <c r="B9" s="353" t="s">
        <v>590</v>
      </c>
      <c r="C9" s="353"/>
      <c r="D9" s="353"/>
      <c r="E9" s="353"/>
      <c r="F9" s="353"/>
      <c r="G9" s="353"/>
      <c r="H9" s="353"/>
      <c r="J9" s="244" t="s">
        <v>434</v>
      </c>
      <c r="K9" s="244" t="s">
        <v>451</v>
      </c>
      <c r="L9" s="11"/>
      <c r="M9" s="244" t="s">
        <v>434</v>
      </c>
      <c r="N9" s="244" t="s">
        <v>451</v>
      </c>
    </row>
    <row r="10" spans="1:14">
      <c r="A10" s="119"/>
      <c r="B10" s="123" t="s">
        <v>591</v>
      </c>
      <c r="C10" s="123"/>
      <c r="D10" s="123"/>
      <c r="E10" s="123"/>
      <c r="F10" s="123"/>
      <c r="G10" s="123"/>
      <c r="H10" s="123"/>
      <c r="J10" s="244" t="s">
        <v>435</v>
      </c>
      <c r="K10" s="244" t="s">
        <v>452</v>
      </c>
      <c r="M10" s="244" t="s">
        <v>435</v>
      </c>
      <c r="N10" s="244" t="s">
        <v>452</v>
      </c>
    </row>
    <row r="11" spans="1:14">
      <c r="A11" s="119"/>
      <c r="B11" s="119"/>
      <c r="C11" s="119"/>
      <c r="D11" s="119"/>
      <c r="E11" s="119"/>
      <c r="F11" s="119"/>
      <c r="G11" s="119"/>
      <c r="H11" s="119"/>
      <c r="J11" s="244" t="s">
        <v>436</v>
      </c>
      <c r="K11" s="244" t="s">
        <v>453</v>
      </c>
      <c r="M11" s="244" t="s">
        <v>436</v>
      </c>
      <c r="N11" s="244" t="s">
        <v>453</v>
      </c>
    </row>
    <row r="12" spans="1:14" ht="15.75">
      <c r="A12" s="26"/>
      <c r="C12" s="27"/>
      <c r="J12" s="244" t="s">
        <v>437</v>
      </c>
      <c r="K12" s="245" t="s">
        <v>454</v>
      </c>
      <c r="M12" s="244" t="s">
        <v>437</v>
      </c>
      <c r="N12" s="245" t="s">
        <v>454</v>
      </c>
    </row>
    <row r="13" spans="1:14">
      <c r="A13" s="133" t="s">
        <v>2</v>
      </c>
      <c r="B13" s="133" t="s">
        <v>203</v>
      </c>
      <c r="C13" s="133" t="s">
        <v>153</v>
      </c>
      <c r="D13" s="133" t="s">
        <v>158</v>
      </c>
      <c r="E13" s="133" t="s">
        <v>162</v>
      </c>
      <c r="F13" s="133" t="s">
        <v>178</v>
      </c>
      <c r="G13" s="133" t="s">
        <v>188</v>
      </c>
      <c r="H13" s="134" t="s">
        <v>209</v>
      </c>
      <c r="I13" s="79"/>
      <c r="J13" s="244" t="s">
        <v>438</v>
      </c>
      <c r="K13" s="244" t="s">
        <v>455</v>
      </c>
      <c r="M13" s="244" t="s">
        <v>438</v>
      </c>
      <c r="N13" s="244" t="s">
        <v>455</v>
      </c>
    </row>
    <row r="14" spans="1:14">
      <c r="A14" s="2">
        <v>2016</v>
      </c>
      <c r="B14" s="2" t="s">
        <v>242</v>
      </c>
      <c r="C14" s="79">
        <f>COUNTIF(C$39:C$53,"=1")/COUNT(C$39:C$53)</f>
        <v>0.92307692307692313</v>
      </c>
      <c r="D14" s="79">
        <f>COUNTIF(C$54:C$58,"=1")/COUNT(C$54:C$58)</f>
        <v>1</v>
      </c>
      <c r="E14" s="79">
        <f>COUNTIF(C$59:C$62,"=1")/COUNT(C$59:C$62)</f>
        <v>0.5</v>
      </c>
      <c r="F14" s="79">
        <f>COUNTIF(C$63:C$77,"=1")/COUNT(C$63:C$77)</f>
        <v>0.75</v>
      </c>
      <c r="G14" s="79">
        <f>COUNTIF(C$78:C$87,"=1")/COUNT(C$78:C$87)</f>
        <v>0.77777777777777779</v>
      </c>
      <c r="H14" s="79">
        <f>COUNTIF(C$39:C$87,"=1")/COUNT(C$39:C$87)</f>
        <v>0.8</v>
      </c>
      <c r="I14" s="79"/>
      <c r="J14" s="245" t="s">
        <v>439</v>
      </c>
      <c r="K14" s="244" t="s">
        <v>456</v>
      </c>
      <c r="M14" s="244" t="s">
        <v>439</v>
      </c>
      <c r="N14" s="244" t="s">
        <v>456</v>
      </c>
    </row>
    <row r="15" spans="1:14">
      <c r="A15">
        <v>2017</v>
      </c>
      <c r="B15" s="2" t="s">
        <v>242</v>
      </c>
      <c r="C15" s="79">
        <f>COUNTIF(D$39:D$53,"=1")/COUNT(D$39:D$53)</f>
        <v>0.8666666666666667</v>
      </c>
      <c r="D15" s="79">
        <f>COUNTIF(D$54:D$58,"=1")/COUNT(D$54:D$58)</f>
        <v>1</v>
      </c>
      <c r="E15" s="79">
        <f>COUNTIF(D$59:D$62,"=1")/COUNT(D$59:D$62)</f>
        <v>0.75</v>
      </c>
      <c r="F15" s="79">
        <f>COUNTIF(D$63:D$77,"=1")/COUNT(D$63:D$77)</f>
        <v>0.6</v>
      </c>
      <c r="G15" s="79">
        <f>COUNTIF(D$78:D$87,"=1")/COUNT(D$78:D$87)</f>
        <v>0.55555555555555558</v>
      </c>
      <c r="H15" s="79">
        <f>COUNTIF(D$39:D$87,"=1")/COUNT(D$39:D$87)</f>
        <v>0.71111111111111114</v>
      </c>
      <c r="I15" s="79"/>
      <c r="J15" s="244" t="s">
        <v>440</v>
      </c>
      <c r="K15" s="244" t="s">
        <v>457</v>
      </c>
      <c r="M15" s="244" t="s">
        <v>440</v>
      </c>
      <c r="N15" s="244" t="s">
        <v>457</v>
      </c>
    </row>
    <row r="16" spans="1:14">
      <c r="A16" s="2">
        <v>2018</v>
      </c>
      <c r="B16" s="2" t="s">
        <v>242</v>
      </c>
      <c r="C16" s="79" t="e">
        <f>COUNTIF(E$39:E$53,"=1")/COUNT(E$39:E$53)</f>
        <v>#DIV/0!</v>
      </c>
      <c r="D16" s="79" t="e">
        <f>COUNTIF(E$54:E$58,"=1")/COUNT(E$54:E$58)</f>
        <v>#DIV/0!</v>
      </c>
      <c r="E16" s="79" t="e">
        <f>COUNTIF(E$59:E$62,"=1")/COUNT(E$59:E$62)</f>
        <v>#DIV/0!</v>
      </c>
      <c r="F16" s="79" t="e">
        <f>COUNTIF(E$63:E$77,"=1")/COUNT(E$63:E$77)</f>
        <v>#DIV/0!</v>
      </c>
      <c r="G16" s="79" t="e">
        <f>COUNTIF(E$78:E$87,"=1")/COUNT(E$78:E$87)</f>
        <v>#DIV/0!</v>
      </c>
      <c r="H16" s="79" t="e">
        <f>COUNTIF(E$39:E$87,"=1")/COUNT(E$39:E$87)</f>
        <v>#DIV/0!</v>
      </c>
      <c r="I16" s="79"/>
      <c r="J16" s="244" t="s">
        <v>441</v>
      </c>
      <c r="K16" s="244" t="s">
        <v>458</v>
      </c>
      <c r="M16" s="244" t="s">
        <v>441</v>
      </c>
      <c r="N16" s="244" t="s">
        <v>458</v>
      </c>
    </row>
    <row r="17" spans="1:15">
      <c r="A17">
        <v>2019</v>
      </c>
      <c r="B17" s="2" t="s">
        <v>242</v>
      </c>
      <c r="C17" s="79" t="e">
        <f>COUNTIF(F$39:F$53,"=1")/COUNT(F$39:F$53)</f>
        <v>#DIV/0!</v>
      </c>
      <c r="D17" s="79" t="e">
        <f>COUNTIF(F$54:F$58,"=1")/COUNT(F$54:F$58)</f>
        <v>#DIV/0!</v>
      </c>
      <c r="E17" s="79" t="e">
        <f>COUNTIF(F$59:F$62,"=1")/COUNT(F$59:F$62)</f>
        <v>#DIV/0!</v>
      </c>
      <c r="F17" s="79" t="e">
        <f>COUNTIF(F$63:F$77,"=1")/COUNT(F$63:F$77)</f>
        <v>#DIV/0!</v>
      </c>
      <c r="G17" s="79" t="e">
        <f>COUNTIF(F$78:F$87,"=1")/COUNT(F$78:F$87)</f>
        <v>#DIV/0!</v>
      </c>
      <c r="H17" s="79" t="e">
        <f>COUNTIF(F$39:F$87,"=1")/COUNT(F$39:F$87)</f>
        <v>#DIV/0!</v>
      </c>
      <c r="I17" s="79"/>
      <c r="J17" s="244" t="s">
        <v>442</v>
      </c>
      <c r="K17" s="244" t="s">
        <v>459</v>
      </c>
      <c r="M17" s="244" t="s">
        <v>442</v>
      </c>
      <c r="N17" s="244" t="s">
        <v>459</v>
      </c>
      <c r="O17" s="9"/>
    </row>
    <row r="18" spans="1:15">
      <c r="A18" s="2">
        <v>2020</v>
      </c>
      <c r="B18" s="2" t="s">
        <v>242</v>
      </c>
      <c r="C18" s="79" t="e">
        <f>COUNTIF(G$39:G$53,"=1")/COUNT(G$39:G$53)</f>
        <v>#DIV/0!</v>
      </c>
      <c r="D18" s="79" t="e">
        <f>COUNTIF(G$54:G$58,"=1")/COUNT(G$54:G$58)</f>
        <v>#DIV/0!</v>
      </c>
      <c r="E18" s="79" t="e">
        <f>COUNTIF(G$59:G$62,"=1")/COUNT(G$59:G$62)</f>
        <v>#DIV/0!</v>
      </c>
      <c r="F18" s="79" t="e">
        <f>COUNTIF(G$63:G$77,"=1")/COUNT(G$63:G$77)</f>
        <v>#DIV/0!</v>
      </c>
      <c r="G18" s="79" t="e">
        <f>COUNTIF(G$78:G$87,"=1")/COUNT(G$78:G$87)</f>
        <v>#DIV/0!</v>
      </c>
      <c r="H18" s="79" t="e">
        <f>COUNTIF(G$39:G$87,"=1")/COUNT(G$39:G$87)</f>
        <v>#DIV/0!</v>
      </c>
      <c r="I18" s="79"/>
      <c r="J18" s="244" t="s">
        <v>443</v>
      </c>
      <c r="K18" s="244" t="s">
        <v>460</v>
      </c>
      <c r="M18" s="244" t="s">
        <v>443</v>
      </c>
      <c r="N18" s="244" t="s">
        <v>460</v>
      </c>
      <c r="O18" s="9"/>
    </row>
    <row r="19" spans="1:15">
      <c r="A19">
        <v>2021</v>
      </c>
      <c r="B19" s="2" t="s">
        <v>242</v>
      </c>
      <c r="C19" s="79" t="e">
        <f>COUNTIF(H$39:H$53,"=1")/COUNT(H$39:H$53)</f>
        <v>#DIV/0!</v>
      </c>
      <c r="D19" s="79" t="e">
        <f>COUNTIF(H$54:H$58,"=1")/COUNT(H$54:H$58)</f>
        <v>#DIV/0!</v>
      </c>
      <c r="E19" s="79" t="e">
        <f>COUNTIF(H$59:H$62,"=1")/COUNT(H$59:H$62)</f>
        <v>#DIV/0!</v>
      </c>
      <c r="F19" s="79" t="e">
        <f>COUNTIF(H$63:H$77,"=1")/COUNT(H$63:H$77)</f>
        <v>#DIV/0!</v>
      </c>
      <c r="G19" s="79" t="e">
        <f>COUNTIF(H$78:H$87,"=1")/COUNT(H$78:H$87)</f>
        <v>#DIV/0!</v>
      </c>
      <c r="H19" s="79" t="e">
        <f>COUNTIF(H$39:H$87,"=1")/COUNT(H$39:H$87)</f>
        <v>#DIV/0!</v>
      </c>
      <c r="I19" s="79"/>
      <c r="J19" s="244" t="s">
        <v>444</v>
      </c>
      <c r="K19" s="245" t="s">
        <v>461</v>
      </c>
      <c r="M19" s="244" t="s">
        <v>444</v>
      </c>
      <c r="N19" s="245" t="s">
        <v>461</v>
      </c>
      <c r="O19" s="9"/>
    </row>
    <row r="20" spans="1:15">
      <c r="A20" s="2">
        <v>2022</v>
      </c>
      <c r="B20" s="2" t="s">
        <v>242</v>
      </c>
      <c r="C20" s="79" t="e">
        <f>COUNTIF(I$39:I$53,"=1")/COUNT(I$39:I$53)</f>
        <v>#DIV/0!</v>
      </c>
      <c r="D20" s="79" t="e">
        <f>COUNTIF(I$54:I$58,"=1")/COUNT(I$54:I$58)</f>
        <v>#DIV/0!</v>
      </c>
      <c r="E20" s="79" t="e">
        <f>COUNTIF(I$59:I$62,"=1")/COUNT(I$59:I$62)</f>
        <v>#DIV/0!</v>
      </c>
      <c r="F20" s="79" t="e">
        <f>COUNTIF(I$63:I$77,"=1")/COUNT(I$63:I$77)</f>
        <v>#DIV/0!</v>
      </c>
      <c r="G20" s="79" t="e">
        <f>COUNTIF(I$78:I$87,"=1")/COUNT(I$78:I$87)</f>
        <v>#DIV/0!</v>
      </c>
      <c r="H20" s="79" t="e">
        <f>COUNTIF(I$39:I$87,"=1")/COUNT(I$39:I$87)</f>
        <v>#DIV/0!</v>
      </c>
      <c r="I20" s="79"/>
      <c r="J20" s="244" t="s">
        <v>445</v>
      </c>
      <c r="K20" s="244" t="s">
        <v>462</v>
      </c>
      <c r="L20" s="9"/>
      <c r="M20" s="244" t="s">
        <v>445</v>
      </c>
      <c r="N20" s="244" t="s">
        <v>462</v>
      </c>
      <c r="O20" s="9"/>
    </row>
    <row r="21" spans="1:15">
      <c r="A21">
        <v>2023</v>
      </c>
      <c r="B21" s="2" t="s">
        <v>242</v>
      </c>
      <c r="C21" s="79" t="e">
        <f>COUNTIF(J$39:J$53,"=1")/COUNT(J$39:J$53)</f>
        <v>#DIV/0!</v>
      </c>
      <c r="D21" s="79" t="e">
        <f>COUNTIF(J$54:J$58,"=1")/COUNT(J$54:J$58)</f>
        <v>#DIV/0!</v>
      </c>
      <c r="E21" s="79" t="e">
        <f>COUNTIF(J$59:J$62,"=1")/COUNT(J$59:J$62)</f>
        <v>#DIV/0!</v>
      </c>
      <c r="F21" s="79" t="e">
        <f>COUNTIF(J$63:J$77,"=1")/COUNT(J$63:J$77)</f>
        <v>#DIV/0!</v>
      </c>
      <c r="G21" s="79" t="e">
        <f>COUNTIF(J$78:J$87,"=1")/COUNT(J$78:J$87)</f>
        <v>#DIV/0!</v>
      </c>
      <c r="H21" s="79" t="e">
        <f>COUNTIF(J$39:J$87,"=1")/COUNT(J$39:J$87)</f>
        <v>#DIV/0!</v>
      </c>
      <c r="I21" s="79"/>
      <c r="J21" s="246" t="s">
        <v>446</v>
      </c>
      <c r="K21" s="244" t="s">
        <v>463</v>
      </c>
      <c r="L21" s="9"/>
      <c r="M21" s="246" t="s">
        <v>446</v>
      </c>
      <c r="N21" s="244" t="s">
        <v>463</v>
      </c>
      <c r="O21" s="9"/>
    </row>
    <row r="22" spans="1:15">
      <c r="A22" s="2">
        <v>2024</v>
      </c>
      <c r="B22" s="2" t="s">
        <v>242</v>
      </c>
      <c r="C22" s="79" t="e">
        <f>COUNTIF(K$39:K$53,"=1")/COUNT(K$39:K$53)</f>
        <v>#DIV/0!</v>
      </c>
      <c r="D22" s="79" t="e">
        <f>COUNTIF(K$54:K$58,"=1")/COUNT(K$54:K$58)</f>
        <v>#DIV/0!</v>
      </c>
      <c r="E22" s="79" t="e">
        <f>COUNTIF(K$59:K$62,"=1")/COUNT(K$59:K$62)</f>
        <v>#DIV/0!</v>
      </c>
      <c r="F22" s="79" t="e">
        <f>COUNTIF(K$63:K$77,"=1")/COUNT(K$63:K$77)</f>
        <v>#DIV/0!</v>
      </c>
      <c r="G22" s="79" t="e">
        <f>COUNTIF(K$78:K$87,"=1")/COUNT(K$78:K$87)</f>
        <v>#DIV/0!</v>
      </c>
      <c r="H22" s="79" t="e">
        <f>COUNTIF(K$39:K$87,"=1")/COUNT(K$39:K$87)</f>
        <v>#DIV/0!</v>
      </c>
      <c r="I22" s="79"/>
      <c r="J22" s="247" t="s">
        <v>447</v>
      </c>
      <c r="K22" s="244" t="s">
        <v>464</v>
      </c>
      <c r="L22" s="9"/>
      <c r="M22" s="247" t="s">
        <v>447</v>
      </c>
      <c r="N22" s="244" t="s">
        <v>464</v>
      </c>
      <c r="O22" s="9"/>
    </row>
    <row r="23" spans="1:15">
      <c r="A23">
        <v>2025</v>
      </c>
      <c r="B23" s="2" t="s">
        <v>242</v>
      </c>
      <c r="C23" s="79" t="e">
        <f>COUNTIF(L$39:L$53,"=1")/COUNT(L$39:L$53)</f>
        <v>#DIV/0!</v>
      </c>
      <c r="D23" s="79" t="e">
        <f>COUNTIF(L$54:L$58,"=1")/COUNT(L$54:L$58)</f>
        <v>#DIV/0!</v>
      </c>
      <c r="E23" s="79" t="e">
        <f>COUNTIF(L$59:L$62,"=1")/COUNT(L$59:L$62)</f>
        <v>#DIV/0!</v>
      </c>
      <c r="F23" s="79" t="e">
        <f>COUNTIF(L$63:L$77,"=1")/COUNT(L$63:L$77)</f>
        <v>#DIV/0!</v>
      </c>
      <c r="G23" s="79" t="e">
        <f>COUNTIF(L$78:L$87,"=1")/COUNT(L$78:L$87)</f>
        <v>#DIV/0!</v>
      </c>
      <c r="H23" s="79" t="e">
        <f>COUNTIF(L$39:L$87,"=1")/COUNT(L$39:L$87)</f>
        <v>#DIV/0!</v>
      </c>
      <c r="I23" s="79"/>
      <c r="J23" s="295"/>
      <c r="K23" s="244" t="s">
        <v>465</v>
      </c>
      <c r="L23" s="9"/>
      <c r="M23" s="284"/>
      <c r="N23" s="244" t="s">
        <v>465</v>
      </c>
      <c r="O23" s="9"/>
    </row>
    <row r="24" spans="1:15">
      <c r="D24" s="79"/>
      <c r="E24" s="79"/>
      <c r="F24" s="79"/>
      <c r="G24" s="79"/>
      <c r="H24" s="79"/>
      <c r="I24" s="79"/>
      <c r="J24" s="204"/>
      <c r="K24" s="248" t="s">
        <v>466</v>
      </c>
      <c r="L24" s="9"/>
      <c r="M24" s="257"/>
      <c r="N24" s="258" t="s">
        <v>466</v>
      </c>
      <c r="O24" s="9"/>
    </row>
    <row r="25" spans="1:15">
      <c r="D25" s="79"/>
      <c r="E25" s="79"/>
      <c r="F25" s="79"/>
      <c r="G25" s="79"/>
      <c r="H25" s="79"/>
      <c r="I25" s="79"/>
      <c r="J25" s="256"/>
      <c r="K25" s="254"/>
      <c r="L25" s="9"/>
      <c r="M25" s="256"/>
      <c r="N25" s="254"/>
      <c r="O25" s="9"/>
    </row>
    <row r="26" spans="1:15">
      <c r="D26" s="79"/>
      <c r="E26" s="79"/>
      <c r="F26" s="79"/>
      <c r="G26" s="79"/>
      <c r="H26" s="79"/>
      <c r="I26" s="79"/>
      <c r="J26" s="242"/>
      <c r="K26" s="254"/>
      <c r="L26" s="9"/>
      <c r="M26" s="242"/>
      <c r="N26" s="254"/>
      <c r="O26" s="9"/>
    </row>
    <row r="27" spans="1:15">
      <c r="D27" s="79"/>
      <c r="E27" s="79"/>
      <c r="F27" s="79"/>
      <c r="G27" s="79"/>
      <c r="H27" s="79"/>
      <c r="I27" s="79"/>
    </row>
    <row r="28" spans="1:15">
      <c r="D28" s="79"/>
      <c r="E28" s="79"/>
      <c r="F28" s="79"/>
      <c r="G28" s="79"/>
      <c r="H28" s="79"/>
      <c r="I28" s="79"/>
    </row>
    <row r="29" spans="1:15">
      <c r="D29" s="79"/>
      <c r="E29" s="79"/>
      <c r="F29" s="79"/>
      <c r="G29" s="79"/>
      <c r="H29" s="79"/>
      <c r="I29" s="79"/>
    </row>
    <row r="30" spans="1:15">
      <c r="D30" s="79"/>
      <c r="E30" s="79"/>
      <c r="F30" s="79"/>
      <c r="G30" s="79"/>
      <c r="H30" s="79"/>
      <c r="I30" s="79"/>
    </row>
    <row r="31" spans="1:15">
      <c r="D31" s="79"/>
      <c r="E31" s="79"/>
      <c r="F31" s="79"/>
      <c r="G31" s="79"/>
      <c r="H31" s="79"/>
      <c r="I31" s="79"/>
    </row>
    <row r="32" spans="1:15">
      <c r="D32" s="79"/>
      <c r="E32" s="79"/>
      <c r="F32" s="79"/>
      <c r="G32" s="79"/>
      <c r="H32" s="79"/>
      <c r="I32" s="79"/>
    </row>
    <row r="33" spans="1:17">
      <c r="D33" s="79"/>
      <c r="E33" s="79"/>
      <c r="F33" s="79"/>
      <c r="G33" s="79"/>
      <c r="H33" s="79"/>
      <c r="I33" s="79"/>
    </row>
    <row r="34" spans="1:17">
      <c r="D34" s="79"/>
      <c r="E34" s="79"/>
      <c r="F34" s="79"/>
      <c r="G34" s="79"/>
      <c r="H34" s="79"/>
      <c r="I34" s="79"/>
    </row>
    <row r="35" spans="1:17">
      <c r="C35" s="79"/>
      <c r="D35" s="79"/>
      <c r="E35" s="79"/>
      <c r="F35" s="79"/>
      <c r="G35" s="79"/>
      <c r="H35" s="79"/>
    </row>
    <row r="37" spans="1:17" ht="18">
      <c r="A37" s="355" t="s">
        <v>195</v>
      </c>
      <c r="B37" s="355"/>
      <c r="C37" s="59"/>
      <c r="D37" s="59"/>
      <c r="E37" s="59"/>
      <c r="F37" s="59"/>
      <c r="G37" s="59"/>
      <c r="H37" s="59"/>
      <c r="I37" s="59"/>
      <c r="J37" s="59"/>
      <c r="K37" s="59"/>
      <c r="L37" s="59"/>
    </row>
    <row r="38" spans="1:17" ht="18">
      <c r="A38" s="81" t="s">
        <v>199</v>
      </c>
      <c r="B38" s="80" t="s">
        <v>210</v>
      </c>
      <c r="C38" s="150">
        <v>2016</v>
      </c>
      <c r="D38" s="151">
        <v>2017</v>
      </c>
      <c r="E38" s="151">
        <v>2018</v>
      </c>
      <c r="F38" s="151">
        <v>2019</v>
      </c>
      <c r="G38" s="151">
        <v>2020</v>
      </c>
      <c r="H38" s="151">
        <v>2021</v>
      </c>
      <c r="I38" s="151">
        <v>2022</v>
      </c>
      <c r="J38" s="151">
        <v>2023</v>
      </c>
      <c r="K38" s="151">
        <v>2024</v>
      </c>
      <c r="L38" s="151">
        <v>2025</v>
      </c>
    </row>
    <row r="39" spans="1:17">
      <c r="A39" s="68" t="s">
        <v>189</v>
      </c>
      <c r="B39" t="s">
        <v>153</v>
      </c>
      <c r="C39" s="82">
        <v>1</v>
      </c>
      <c r="D39" s="82">
        <v>1</v>
      </c>
      <c r="E39" s="82"/>
      <c r="F39" s="82"/>
      <c r="G39" s="82"/>
      <c r="H39" s="82"/>
      <c r="I39" s="82"/>
      <c r="J39" s="82"/>
      <c r="K39" s="82"/>
      <c r="L39" s="82"/>
      <c r="M39" s="8"/>
      <c r="N39" s="8"/>
      <c r="O39" s="8"/>
      <c r="P39" s="8"/>
      <c r="Q39" s="8"/>
    </row>
    <row r="40" spans="1:17">
      <c r="A40" s="69" t="s">
        <v>141</v>
      </c>
      <c r="B40" t="s">
        <v>153</v>
      </c>
      <c r="C40" s="82">
        <v>1</v>
      </c>
      <c r="D40" s="82">
        <v>1</v>
      </c>
      <c r="E40" s="82"/>
      <c r="F40" s="82"/>
      <c r="G40" s="82"/>
      <c r="H40" s="82"/>
      <c r="I40" s="82"/>
      <c r="J40" s="82"/>
      <c r="K40" s="82"/>
      <c r="L40" s="82"/>
      <c r="M40" s="82"/>
      <c r="N40" s="82"/>
      <c r="O40" s="8"/>
      <c r="P40" s="8"/>
      <c r="Q40" s="8"/>
    </row>
    <row r="41" spans="1:17">
      <c r="A41" s="69" t="s">
        <v>143</v>
      </c>
      <c r="B41" t="s">
        <v>153</v>
      </c>
      <c r="C41" s="82">
        <v>1</v>
      </c>
      <c r="D41" s="82">
        <v>0</v>
      </c>
      <c r="E41" s="82"/>
      <c r="F41" s="82"/>
      <c r="G41" s="82"/>
      <c r="H41" s="82"/>
      <c r="I41" s="82"/>
      <c r="J41" s="82"/>
      <c r="K41" s="82"/>
      <c r="L41" s="82"/>
      <c r="M41" s="82"/>
      <c r="N41" s="82"/>
      <c r="O41" s="8"/>
      <c r="P41" s="8"/>
      <c r="Q41" s="8"/>
    </row>
    <row r="42" spans="1:17">
      <c r="A42" s="69" t="s">
        <v>152</v>
      </c>
      <c r="B42" t="s">
        <v>153</v>
      </c>
      <c r="C42" s="82" t="s">
        <v>207</v>
      </c>
      <c r="D42" s="82">
        <v>1</v>
      </c>
      <c r="E42" s="82"/>
      <c r="F42" s="82"/>
      <c r="G42" s="82"/>
      <c r="H42" s="82"/>
      <c r="I42" s="82"/>
      <c r="J42" s="82"/>
      <c r="K42" s="82"/>
      <c r="L42" s="82"/>
      <c r="M42" s="82"/>
      <c r="N42" s="82"/>
      <c r="O42" s="8"/>
      <c r="P42" s="8"/>
      <c r="Q42" s="8"/>
    </row>
    <row r="43" spans="1:17">
      <c r="A43" s="69" t="s">
        <v>146</v>
      </c>
      <c r="B43" t="s">
        <v>153</v>
      </c>
      <c r="C43" s="82">
        <v>1</v>
      </c>
      <c r="D43" s="82">
        <v>1</v>
      </c>
      <c r="E43" s="82"/>
      <c r="F43" s="82"/>
      <c r="G43" s="82"/>
      <c r="H43" s="82"/>
      <c r="I43" s="82"/>
      <c r="J43" s="82"/>
      <c r="K43" s="82"/>
      <c r="L43" s="82"/>
      <c r="M43" s="82"/>
      <c r="N43" s="82"/>
      <c r="O43" s="8"/>
      <c r="P43" s="8"/>
      <c r="Q43" s="8"/>
    </row>
    <row r="44" spans="1:17">
      <c r="A44" s="69" t="s">
        <v>142</v>
      </c>
      <c r="B44" t="s">
        <v>153</v>
      </c>
      <c r="C44" s="82" t="s">
        <v>207</v>
      </c>
      <c r="D44" s="82">
        <v>1</v>
      </c>
      <c r="E44" s="82"/>
      <c r="F44" s="82"/>
      <c r="G44" s="82"/>
      <c r="H44" s="82"/>
      <c r="I44" s="82"/>
      <c r="J44" s="82"/>
      <c r="K44" s="82"/>
      <c r="L44" s="82"/>
      <c r="M44" s="82"/>
      <c r="N44" s="82"/>
      <c r="O44" s="8"/>
      <c r="P44" s="8"/>
      <c r="Q44" s="8"/>
    </row>
    <row r="45" spans="1:17">
      <c r="A45" s="69" t="s">
        <v>148</v>
      </c>
      <c r="B45" t="s">
        <v>153</v>
      </c>
      <c r="C45" s="82">
        <v>1</v>
      </c>
      <c r="D45" s="82">
        <v>1</v>
      </c>
      <c r="E45" s="82"/>
      <c r="F45" s="82"/>
      <c r="G45" s="82"/>
      <c r="H45" s="82"/>
      <c r="I45" s="82"/>
      <c r="J45" s="82"/>
      <c r="K45" s="82"/>
      <c r="L45" s="82"/>
      <c r="M45" s="82"/>
      <c r="N45" s="82"/>
      <c r="O45" s="8"/>
      <c r="P45" s="8"/>
      <c r="Q45" s="8"/>
    </row>
    <row r="46" spans="1:17">
      <c r="A46" s="69" t="s">
        <v>149</v>
      </c>
      <c r="B46" t="s">
        <v>153</v>
      </c>
      <c r="C46" s="82">
        <v>1</v>
      </c>
      <c r="D46" s="82">
        <v>1</v>
      </c>
      <c r="E46" s="82"/>
      <c r="F46" s="82"/>
      <c r="G46" s="82"/>
      <c r="H46" s="82"/>
      <c r="I46" s="82"/>
      <c r="J46" s="82"/>
      <c r="K46" s="82"/>
      <c r="L46" s="82"/>
      <c r="M46" s="82"/>
      <c r="N46" s="82"/>
      <c r="O46" s="8"/>
      <c r="P46" s="8"/>
      <c r="Q46" s="8"/>
    </row>
    <row r="47" spans="1:17">
      <c r="A47" s="69" t="s">
        <v>147</v>
      </c>
      <c r="B47" t="s">
        <v>153</v>
      </c>
      <c r="C47" s="82">
        <v>1</v>
      </c>
      <c r="D47" s="82">
        <v>1</v>
      </c>
      <c r="E47" s="82"/>
      <c r="F47" s="82"/>
      <c r="G47" s="82"/>
      <c r="H47" s="82"/>
      <c r="I47" s="82"/>
      <c r="J47" s="82"/>
      <c r="K47" s="82"/>
      <c r="L47" s="82"/>
      <c r="M47" s="82"/>
      <c r="N47" s="82"/>
      <c r="O47" s="8"/>
      <c r="P47" s="8"/>
      <c r="Q47" s="8"/>
    </row>
    <row r="48" spans="1:17">
      <c r="A48" s="68" t="s">
        <v>190</v>
      </c>
      <c r="B48" t="s">
        <v>153</v>
      </c>
      <c r="C48" s="82">
        <v>1</v>
      </c>
      <c r="D48" s="82">
        <v>1</v>
      </c>
      <c r="E48" s="82"/>
      <c r="F48" s="82"/>
      <c r="G48" s="82"/>
      <c r="H48" s="82"/>
      <c r="I48" s="82"/>
      <c r="J48" s="82"/>
      <c r="K48" s="82"/>
      <c r="L48" s="82"/>
      <c r="M48" s="82"/>
      <c r="N48" s="82"/>
      <c r="O48" s="82"/>
      <c r="P48" s="82"/>
      <c r="Q48" s="8"/>
    </row>
    <row r="49" spans="1:17">
      <c r="A49" s="69" t="s">
        <v>145</v>
      </c>
      <c r="B49" t="s">
        <v>153</v>
      </c>
      <c r="C49" s="82">
        <v>0</v>
      </c>
      <c r="D49" s="82">
        <v>1</v>
      </c>
      <c r="E49" s="82"/>
      <c r="F49" s="82"/>
      <c r="G49" s="82"/>
      <c r="H49" s="82"/>
      <c r="I49" s="82"/>
      <c r="J49" s="82"/>
      <c r="K49" s="82"/>
      <c r="L49" s="82"/>
      <c r="M49" s="82"/>
      <c r="N49" s="82"/>
      <c r="O49" s="82"/>
      <c r="P49" s="82"/>
      <c r="Q49" s="8"/>
    </row>
    <row r="50" spans="1:17">
      <c r="A50" s="68" t="s">
        <v>191</v>
      </c>
      <c r="B50" t="s">
        <v>153</v>
      </c>
      <c r="C50" s="82">
        <v>1</v>
      </c>
      <c r="D50" s="82">
        <v>1</v>
      </c>
      <c r="E50" s="82"/>
      <c r="F50" s="82"/>
      <c r="G50" s="82"/>
      <c r="H50" s="82"/>
      <c r="I50" s="82"/>
      <c r="J50" s="82"/>
      <c r="K50" s="82"/>
      <c r="L50" s="82"/>
      <c r="M50" s="82"/>
      <c r="N50" s="82"/>
      <c r="O50" s="82"/>
      <c r="P50" s="82"/>
      <c r="Q50" s="8"/>
    </row>
    <row r="51" spans="1:17">
      <c r="A51" s="69" t="s">
        <v>150</v>
      </c>
      <c r="B51" t="s">
        <v>153</v>
      </c>
      <c r="C51" s="82">
        <v>1</v>
      </c>
      <c r="D51" s="82">
        <v>0</v>
      </c>
      <c r="E51" s="82"/>
      <c r="F51" s="82"/>
      <c r="G51" s="82"/>
      <c r="H51" s="82"/>
      <c r="I51" s="82"/>
      <c r="J51" s="82"/>
      <c r="K51" s="82"/>
      <c r="L51" s="82"/>
      <c r="M51" s="82"/>
      <c r="N51" s="82"/>
      <c r="O51" s="82"/>
      <c r="P51" s="82"/>
      <c r="Q51" s="8"/>
    </row>
    <row r="52" spans="1:17">
      <c r="A52" s="69" t="s">
        <v>151</v>
      </c>
      <c r="B52" t="s">
        <v>153</v>
      </c>
      <c r="C52" s="82">
        <v>1</v>
      </c>
      <c r="D52" s="82">
        <v>1</v>
      </c>
      <c r="E52" s="82"/>
      <c r="F52" s="82"/>
      <c r="G52" s="82"/>
      <c r="H52" s="82"/>
      <c r="I52" s="82"/>
      <c r="J52" s="82"/>
      <c r="K52" s="82"/>
      <c r="L52" s="82"/>
      <c r="M52" s="82"/>
      <c r="N52" s="82"/>
      <c r="O52" s="82"/>
      <c r="P52" s="82"/>
      <c r="Q52" s="8"/>
    </row>
    <row r="53" spans="1:17">
      <c r="A53" s="69" t="s">
        <v>144</v>
      </c>
      <c r="B53" t="s">
        <v>153</v>
      </c>
      <c r="C53" s="82">
        <v>1</v>
      </c>
      <c r="D53" s="82">
        <v>1</v>
      </c>
      <c r="E53" s="82"/>
      <c r="F53" s="82"/>
      <c r="G53" s="82"/>
      <c r="H53" s="82"/>
      <c r="I53" s="82"/>
      <c r="J53" s="82"/>
      <c r="K53" s="82"/>
      <c r="L53" s="82"/>
      <c r="M53" s="82"/>
      <c r="N53" s="82"/>
      <c r="O53" s="82"/>
      <c r="P53" s="82"/>
      <c r="Q53" s="8"/>
    </row>
    <row r="54" spans="1:17">
      <c r="A54" s="69" t="s">
        <v>154</v>
      </c>
      <c r="B54" s="71" t="s">
        <v>158</v>
      </c>
      <c r="C54" s="82"/>
      <c r="D54" s="82" t="s">
        <v>207</v>
      </c>
      <c r="E54" s="82"/>
      <c r="F54" s="82"/>
      <c r="G54" s="82"/>
      <c r="H54" s="82"/>
      <c r="I54" s="82"/>
      <c r="J54" s="82"/>
      <c r="K54" s="82"/>
      <c r="L54" s="82"/>
      <c r="M54" s="82"/>
      <c r="N54" s="82"/>
      <c r="O54" s="82"/>
      <c r="P54" s="82"/>
      <c r="Q54" s="8"/>
    </row>
    <row r="55" spans="1:17">
      <c r="A55" s="69" t="s">
        <v>155</v>
      </c>
      <c r="B55" s="71" t="s">
        <v>158</v>
      </c>
      <c r="C55" s="82" t="s">
        <v>207</v>
      </c>
      <c r="D55" s="82">
        <v>1</v>
      </c>
      <c r="E55" s="82"/>
      <c r="F55" s="82"/>
      <c r="G55" s="82"/>
      <c r="H55" s="82"/>
      <c r="I55" s="82"/>
      <c r="J55" s="82"/>
      <c r="K55" s="82"/>
      <c r="L55" s="82"/>
      <c r="M55" s="82"/>
      <c r="N55" s="82"/>
      <c r="O55" s="82"/>
      <c r="P55" s="82"/>
      <c r="Q55" s="8"/>
    </row>
    <row r="56" spans="1:17">
      <c r="A56" s="69" t="s">
        <v>156</v>
      </c>
      <c r="B56" s="71" t="s">
        <v>158</v>
      </c>
      <c r="C56" s="82">
        <v>1</v>
      </c>
      <c r="D56" s="82" t="s">
        <v>207</v>
      </c>
      <c r="E56" s="82"/>
      <c r="F56" s="82"/>
      <c r="G56" s="82"/>
      <c r="H56" s="82"/>
      <c r="I56" s="82"/>
      <c r="J56" s="82"/>
      <c r="K56" s="82"/>
      <c r="L56" s="82"/>
      <c r="M56" s="82"/>
      <c r="N56" s="82"/>
      <c r="O56" s="82"/>
      <c r="P56" s="82"/>
      <c r="Q56" s="8"/>
    </row>
    <row r="57" spans="1:17">
      <c r="A57" s="69" t="s">
        <v>157</v>
      </c>
      <c r="B57" s="71" t="s">
        <v>158</v>
      </c>
      <c r="C57" s="82">
        <v>1</v>
      </c>
      <c r="D57" s="82">
        <v>1</v>
      </c>
      <c r="E57" s="82"/>
      <c r="F57" s="82"/>
      <c r="G57" s="82"/>
      <c r="H57" s="82"/>
      <c r="I57" s="82"/>
      <c r="J57" s="82"/>
      <c r="K57" s="82"/>
      <c r="L57" s="82"/>
      <c r="M57" s="82"/>
      <c r="N57" s="82"/>
      <c r="O57" s="82"/>
      <c r="P57" s="82"/>
      <c r="Q57" s="8"/>
    </row>
    <row r="58" spans="1:17">
      <c r="A58" s="68" t="s">
        <v>192</v>
      </c>
      <c r="B58" s="71" t="s">
        <v>158</v>
      </c>
      <c r="C58" s="82" t="s">
        <v>207</v>
      </c>
      <c r="D58" s="82" t="s">
        <v>207</v>
      </c>
      <c r="E58" s="82"/>
      <c r="F58" s="82"/>
      <c r="G58" s="82"/>
      <c r="H58" s="82"/>
      <c r="I58" s="82"/>
      <c r="J58" s="82"/>
      <c r="K58" s="82"/>
      <c r="L58" s="82"/>
      <c r="M58" s="82"/>
      <c r="N58" s="82"/>
      <c r="O58" s="82"/>
      <c r="P58" s="82"/>
      <c r="Q58" s="8"/>
    </row>
    <row r="59" spans="1:17">
      <c r="A59" s="69" t="s">
        <v>159</v>
      </c>
      <c r="B59" s="71" t="s">
        <v>162</v>
      </c>
      <c r="C59" s="82">
        <v>0</v>
      </c>
      <c r="D59" s="82">
        <v>0</v>
      </c>
      <c r="E59" s="82"/>
      <c r="F59" s="82"/>
      <c r="G59" s="82"/>
      <c r="H59" s="82"/>
      <c r="I59" s="82"/>
      <c r="J59" s="82"/>
      <c r="K59" s="82"/>
      <c r="L59" s="82"/>
      <c r="M59" s="82"/>
      <c r="N59" s="82"/>
      <c r="O59" s="82"/>
      <c r="P59" s="82"/>
      <c r="Q59" s="8"/>
    </row>
    <row r="60" spans="1:17">
      <c r="A60" s="69" t="s">
        <v>160</v>
      </c>
      <c r="B60" s="71" t="s">
        <v>162</v>
      </c>
      <c r="C60" s="82">
        <v>1</v>
      </c>
      <c r="D60" s="82">
        <v>1</v>
      </c>
      <c r="E60" s="82"/>
      <c r="F60" s="82"/>
      <c r="G60" s="82"/>
      <c r="H60" s="82"/>
      <c r="I60" s="82"/>
      <c r="J60" s="82"/>
      <c r="K60" s="82"/>
      <c r="L60" s="82"/>
      <c r="M60" s="82"/>
      <c r="N60" s="82"/>
      <c r="O60" s="82"/>
      <c r="P60" s="82"/>
      <c r="Q60" s="8"/>
    </row>
    <row r="61" spans="1:17">
      <c r="A61" s="68" t="s">
        <v>193</v>
      </c>
      <c r="B61" s="71" t="s">
        <v>162</v>
      </c>
      <c r="C61" s="82">
        <v>1</v>
      </c>
      <c r="D61" s="82">
        <v>1</v>
      </c>
      <c r="E61" s="82"/>
      <c r="F61" s="82"/>
      <c r="G61" s="82"/>
      <c r="H61" s="82"/>
      <c r="I61" s="82"/>
      <c r="J61" s="82"/>
      <c r="K61" s="82"/>
      <c r="L61" s="82"/>
      <c r="M61" s="82"/>
      <c r="N61" s="82"/>
      <c r="O61" s="82"/>
      <c r="P61" s="82"/>
      <c r="Q61" s="8"/>
    </row>
    <row r="62" spans="1:17">
      <c r="A62" s="69" t="s">
        <v>161</v>
      </c>
      <c r="B62" s="71" t="s">
        <v>162</v>
      </c>
      <c r="C62" s="82">
        <v>0</v>
      </c>
      <c r="D62" s="82">
        <v>1</v>
      </c>
      <c r="E62" s="82"/>
      <c r="F62" s="82"/>
      <c r="G62" s="82"/>
      <c r="H62" s="82"/>
      <c r="I62" s="82"/>
      <c r="J62" s="82"/>
      <c r="K62" s="82"/>
      <c r="L62" s="82"/>
      <c r="M62" s="82"/>
      <c r="N62" s="82"/>
      <c r="O62" s="82"/>
      <c r="P62" s="82"/>
      <c r="Q62" s="8"/>
    </row>
    <row r="63" spans="1:17">
      <c r="A63" s="69" t="s">
        <v>163</v>
      </c>
      <c r="B63" s="71" t="s">
        <v>178</v>
      </c>
      <c r="C63" s="82" t="s">
        <v>207</v>
      </c>
      <c r="D63" s="82">
        <v>0</v>
      </c>
      <c r="E63" s="82"/>
      <c r="F63" s="82"/>
      <c r="G63" s="82"/>
      <c r="H63" s="82"/>
      <c r="I63" s="82"/>
      <c r="J63" s="82"/>
      <c r="K63" s="82"/>
      <c r="L63" s="82"/>
      <c r="M63" s="82"/>
      <c r="N63" s="82"/>
      <c r="O63" s="82"/>
      <c r="P63" s="82"/>
      <c r="Q63" s="8"/>
    </row>
    <row r="64" spans="1:17">
      <c r="A64" s="69" t="s">
        <v>164</v>
      </c>
      <c r="B64" s="71" t="s">
        <v>178</v>
      </c>
      <c r="C64" s="82">
        <v>1</v>
      </c>
      <c r="D64" s="82">
        <v>1</v>
      </c>
      <c r="E64" s="82"/>
      <c r="F64" s="82"/>
      <c r="G64" s="82"/>
      <c r="H64" s="82"/>
      <c r="I64" s="82"/>
      <c r="J64" s="82"/>
      <c r="K64" s="82"/>
      <c r="L64" s="82"/>
      <c r="M64" s="82"/>
      <c r="N64" s="82"/>
      <c r="O64" s="82"/>
      <c r="P64" s="82"/>
      <c r="Q64" s="8"/>
    </row>
    <row r="65" spans="1:17">
      <c r="A65" s="69" t="s">
        <v>165</v>
      </c>
      <c r="B65" s="71" t="s">
        <v>178</v>
      </c>
      <c r="C65" s="82">
        <v>1</v>
      </c>
      <c r="D65" s="82">
        <v>1</v>
      </c>
      <c r="E65" s="82"/>
      <c r="F65" s="82"/>
      <c r="G65" s="82"/>
      <c r="H65" s="82"/>
      <c r="I65" s="82"/>
      <c r="J65" s="82"/>
      <c r="K65" s="82"/>
      <c r="L65" s="82"/>
      <c r="M65" s="82"/>
      <c r="N65" s="82"/>
      <c r="O65" s="82"/>
      <c r="P65" s="82"/>
      <c r="Q65" s="8"/>
    </row>
    <row r="66" spans="1:17">
      <c r="A66" s="69" t="s">
        <v>166</v>
      </c>
      <c r="B66" s="71" t="s">
        <v>178</v>
      </c>
      <c r="C66" s="82" t="s">
        <v>207</v>
      </c>
      <c r="D66" s="82">
        <v>0</v>
      </c>
      <c r="E66" s="82"/>
      <c r="F66" s="82"/>
      <c r="G66" s="82"/>
      <c r="H66" s="82"/>
      <c r="I66" s="82"/>
      <c r="J66" s="82"/>
      <c r="K66" s="82"/>
      <c r="L66" s="82"/>
      <c r="M66" s="82"/>
      <c r="N66" s="82"/>
      <c r="O66" s="82"/>
      <c r="P66" s="82"/>
      <c r="Q66" s="8"/>
    </row>
    <row r="67" spans="1:17">
      <c r="A67" s="69" t="s">
        <v>167</v>
      </c>
      <c r="B67" s="71" t="s">
        <v>178</v>
      </c>
      <c r="C67" s="82">
        <v>0</v>
      </c>
      <c r="D67" s="82">
        <v>1</v>
      </c>
      <c r="E67" s="82"/>
      <c r="F67" s="82"/>
      <c r="G67" s="82"/>
      <c r="H67" s="82"/>
      <c r="I67" s="82"/>
      <c r="J67" s="82"/>
      <c r="K67" s="82"/>
      <c r="L67" s="82"/>
      <c r="M67" s="82"/>
      <c r="N67" s="82"/>
      <c r="O67" s="82"/>
      <c r="P67" s="82"/>
      <c r="Q67" s="8"/>
    </row>
    <row r="68" spans="1:17">
      <c r="A68" s="69" t="s">
        <v>168</v>
      </c>
      <c r="B68" s="71" t="s">
        <v>178</v>
      </c>
      <c r="C68" s="82">
        <v>1</v>
      </c>
      <c r="D68" s="82">
        <v>1</v>
      </c>
      <c r="E68" s="82"/>
      <c r="F68" s="82"/>
      <c r="G68" s="82"/>
      <c r="H68" s="82"/>
      <c r="I68" s="82"/>
      <c r="J68" s="82"/>
      <c r="K68" s="82"/>
      <c r="L68" s="82"/>
      <c r="M68" s="82"/>
      <c r="N68" s="82"/>
      <c r="O68" s="82"/>
      <c r="P68" s="82"/>
      <c r="Q68" s="8"/>
    </row>
    <row r="69" spans="1:17">
      <c r="A69" s="69" t="s">
        <v>169</v>
      </c>
      <c r="B69" s="71" t="s">
        <v>178</v>
      </c>
      <c r="C69" s="82">
        <v>1</v>
      </c>
      <c r="D69" s="82">
        <v>0</v>
      </c>
      <c r="E69" s="82"/>
      <c r="F69" s="82"/>
      <c r="G69" s="82"/>
      <c r="H69" s="82"/>
      <c r="I69" s="82"/>
      <c r="J69" s="82"/>
      <c r="K69" s="82"/>
      <c r="L69" s="82"/>
      <c r="M69" s="82"/>
      <c r="N69" s="82"/>
      <c r="O69" s="82"/>
      <c r="P69" s="82"/>
      <c r="Q69" s="8"/>
    </row>
    <row r="70" spans="1:17">
      <c r="A70" s="69" t="s">
        <v>170</v>
      </c>
      <c r="B70" s="71" t="s">
        <v>178</v>
      </c>
      <c r="C70" s="82">
        <v>0</v>
      </c>
      <c r="D70" s="82">
        <v>1</v>
      </c>
      <c r="E70" s="82"/>
      <c r="F70" s="82"/>
      <c r="G70" s="82"/>
      <c r="H70" s="82"/>
      <c r="I70" s="82"/>
      <c r="J70" s="82"/>
      <c r="K70" s="82"/>
      <c r="L70" s="82"/>
      <c r="M70" s="82"/>
      <c r="N70" s="82"/>
      <c r="O70" s="82"/>
      <c r="P70" s="82"/>
      <c r="Q70" s="8"/>
    </row>
    <row r="71" spans="1:17">
      <c r="A71" s="69" t="s">
        <v>171</v>
      </c>
      <c r="B71" s="71" t="s">
        <v>178</v>
      </c>
      <c r="C71" s="82" t="s">
        <v>207</v>
      </c>
      <c r="D71" s="82">
        <v>0</v>
      </c>
      <c r="E71" s="82"/>
      <c r="F71" s="82"/>
      <c r="G71" s="82"/>
      <c r="H71" s="82"/>
      <c r="I71" s="82"/>
      <c r="J71" s="82"/>
      <c r="K71" s="82"/>
      <c r="L71" s="82"/>
      <c r="M71" s="82"/>
      <c r="N71" s="82"/>
      <c r="O71" s="82"/>
      <c r="P71" s="82"/>
      <c r="Q71" s="8"/>
    </row>
    <row r="72" spans="1:17">
      <c r="A72" s="69" t="s">
        <v>172</v>
      </c>
      <c r="B72" s="71" t="s">
        <v>178</v>
      </c>
      <c r="C72" s="82">
        <v>0</v>
      </c>
      <c r="D72" s="82">
        <v>0</v>
      </c>
      <c r="E72" s="82"/>
      <c r="F72" s="82"/>
      <c r="G72" s="82"/>
      <c r="H72" s="82"/>
      <c r="I72" s="82"/>
      <c r="J72" s="82"/>
      <c r="K72" s="82"/>
      <c r="L72" s="82"/>
      <c r="M72" s="82"/>
      <c r="N72" s="82"/>
      <c r="O72" s="82"/>
      <c r="P72" s="82"/>
      <c r="Q72" s="8"/>
    </row>
    <row r="73" spans="1:17">
      <c r="A73" s="69" t="s">
        <v>173</v>
      </c>
      <c r="B73" s="71" t="s">
        <v>178</v>
      </c>
      <c r="C73" s="82">
        <v>1</v>
      </c>
      <c r="D73" s="82">
        <v>1</v>
      </c>
      <c r="E73" s="82"/>
      <c r="F73" s="82"/>
      <c r="G73" s="82"/>
      <c r="H73" s="82"/>
      <c r="I73" s="82"/>
      <c r="J73" s="82"/>
      <c r="K73" s="82"/>
      <c r="L73" s="82"/>
      <c r="M73" s="82"/>
      <c r="N73" s="82"/>
      <c r="O73" s="82"/>
      <c r="P73" s="82"/>
      <c r="Q73" s="8"/>
    </row>
    <row r="74" spans="1:17">
      <c r="A74" s="69" t="s">
        <v>174</v>
      </c>
      <c r="B74" s="71" t="s">
        <v>178</v>
      </c>
      <c r="C74" s="82">
        <v>1</v>
      </c>
      <c r="D74" s="82">
        <v>0</v>
      </c>
      <c r="E74" s="82"/>
      <c r="F74" s="82"/>
      <c r="G74" s="82"/>
      <c r="H74" s="82"/>
      <c r="I74" s="82"/>
      <c r="J74" s="82"/>
      <c r="K74" s="82"/>
      <c r="L74" s="82"/>
      <c r="M74" s="82"/>
      <c r="N74" s="82"/>
      <c r="O74" s="82"/>
      <c r="P74" s="82"/>
      <c r="Q74" s="8"/>
    </row>
    <row r="75" spans="1:17">
      <c r="A75" s="69" t="s">
        <v>175</v>
      </c>
      <c r="B75" s="71" t="s">
        <v>178</v>
      </c>
      <c r="C75" s="82">
        <v>1</v>
      </c>
      <c r="D75" s="82">
        <v>1</v>
      </c>
      <c r="E75" s="82"/>
      <c r="F75" s="82"/>
      <c r="G75" s="82"/>
      <c r="H75" s="82"/>
      <c r="I75" s="82"/>
      <c r="J75" s="82"/>
      <c r="K75" s="82"/>
      <c r="L75" s="82"/>
      <c r="M75" s="82"/>
      <c r="N75" s="82"/>
      <c r="O75" s="82"/>
      <c r="P75" s="82"/>
      <c r="Q75" s="8"/>
    </row>
    <row r="76" spans="1:17">
      <c r="A76" s="69" t="s">
        <v>176</v>
      </c>
      <c r="B76" s="71" t="s">
        <v>178</v>
      </c>
      <c r="C76" s="82">
        <v>1</v>
      </c>
      <c r="D76" s="82">
        <v>1</v>
      </c>
      <c r="E76" s="82"/>
      <c r="F76" s="82"/>
      <c r="G76" s="82"/>
      <c r="H76" s="82"/>
      <c r="I76" s="82"/>
      <c r="J76" s="82"/>
      <c r="K76" s="82"/>
      <c r="L76" s="82"/>
      <c r="M76" s="82"/>
      <c r="N76" s="82"/>
      <c r="O76" s="82"/>
      <c r="P76" s="82"/>
      <c r="Q76" s="8"/>
    </row>
    <row r="77" spans="1:17">
      <c r="A77" s="69" t="s">
        <v>177</v>
      </c>
      <c r="B77" s="71" t="s">
        <v>178</v>
      </c>
      <c r="C77" s="82">
        <v>1</v>
      </c>
      <c r="D77" s="82">
        <v>1</v>
      </c>
      <c r="E77" s="82"/>
      <c r="F77" s="82"/>
      <c r="G77" s="82"/>
      <c r="H77" s="82"/>
      <c r="I77" s="82"/>
      <c r="J77" s="82"/>
      <c r="K77" s="82"/>
      <c r="L77" s="82"/>
      <c r="M77" s="82"/>
      <c r="N77" s="82"/>
      <c r="O77" s="82"/>
      <c r="P77" s="82"/>
      <c r="Q77" s="8"/>
    </row>
    <row r="78" spans="1:17">
      <c r="A78" s="68" t="s">
        <v>194</v>
      </c>
      <c r="B78" s="71" t="s">
        <v>188</v>
      </c>
      <c r="C78" s="82">
        <v>1</v>
      </c>
      <c r="D78" s="82">
        <v>1</v>
      </c>
      <c r="E78" s="82"/>
      <c r="F78" s="82"/>
      <c r="G78" s="82"/>
      <c r="H78" s="82"/>
      <c r="I78" s="82"/>
      <c r="J78" s="82"/>
      <c r="K78" s="82"/>
      <c r="L78" s="82"/>
      <c r="M78" s="82"/>
      <c r="N78" s="82"/>
      <c r="O78" s="82"/>
      <c r="P78" s="82"/>
      <c r="Q78" s="8"/>
    </row>
    <row r="79" spans="1:17">
      <c r="A79" s="69" t="s">
        <v>184</v>
      </c>
      <c r="B79" s="71" t="s">
        <v>188</v>
      </c>
      <c r="C79" s="82">
        <v>0</v>
      </c>
      <c r="D79" s="82">
        <v>0</v>
      </c>
      <c r="E79" s="82"/>
      <c r="F79" s="82"/>
      <c r="G79" s="82"/>
      <c r="H79" s="82"/>
      <c r="I79" s="82"/>
      <c r="J79" s="82"/>
      <c r="K79" s="82"/>
      <c r="L79" s="82"/>
      <c r="M79" s="82"/>
      <c r="N79" s="82"/>
      <c r="O79" s="82"/>
      <c r="P79" s="82"/>
      <c r="Q79" s="8"/>
    </row>
    <row r="80" spans="1:17">
      <c r="A80" s="69" t="s">
        <v>182</v>
      </c>
      <c r="B80" s="71" t="s">
        <v>188</v>
      </c>
      <c r="C80" s="82">
        <v>1</v>
      </c>
      <c r="D80" s="82">
        <v>1</v>
      </c>
      <c r="E80" s="82"/>
      <c r="F80" s="82"/>
      <c r="G80" s="82"/>
      <c r="H80" s="82"/>
      <c r="I80" s="82"/>
      <c r="J80" s="82"/>
      <c r="K80" s="82"/>
      <c r="L80" s="82"/>
      <c r="M80" s="82"/>
      <c r="N80" s="82"/>
      <c r="O80" s="82"/>
      <c r="P80" s="82"/>
      <c r="Q80" s="8"/>
    </row>
    <row r="81" spans="1:17">
      <c r="A81" s="69" t="s">
        <v>181</v>
      </c>
      <c r="B81" s="71" t="s">
        <v>188</v>
      </c>
      <c r="C81" s="82">
        <v>1</v>
      </c>
      <c r="D81" s="82">
        <v>1</v>
      </c>
      <c r="E81" s="82"/>
      <c r="F81" s="82"/>
      <c r="G81" s="82"/>
      <c r="H81" s="82"/>
      <c r="I81" s="82"/>
      <c r="J81" s="82"/>
      <c r="K81" s="82"/>
      <c r="L81" s="82"/>
      <c r="M81" s="82"/>
      <c r="N81" s="82"/>
      <c r="O81" s="82"/>
      <c r="P81" s="82"/>
      <c r="Q81" s="8"/>
    </row>
    <row r="82" spans="1:17">
      <c r="A82" s="69" t="s">
        <v>179</v>
      </c>
      <c r="B82" s="71" t="s">
        <v>188</v>
      </c>
      <c r="C82" s="82">
        <v>1</v>
      </c>
      <c r="D82" s="82">
        <v>1</v>
      </c>
      <c r="E82" s="82"/>
      <c r="F82" s="82"/>
      <c r="G82" s="82"/>
      <c r="H82" s="82"/>
      <c r="I82" s="82"/>
      <c r="J82" s="82"/>
      <c r="K82" s="82"/>
      <c r="L82" s="82"/>
      <c r="M82" s="82"/>
      <c r="N82" s="82"/>
      <c r="O82" s="82"/>
      <c r="P82" s="82"/>
      <c r="Q82" s="8"/>
    </row>
    <row r="83" spans="1:17">
      <c r="A83" s="69" t="s">
        <v>185</v>
      </c>
      <c r="B83" s="71" t="s">
        <v>188</v>
      </c>
      <c r="C83" s="82">
        <v>1</v>
      </c>
      <c r="D83" s="82">
        <v>0</v>
      </c>
      <c r="E83" s="82"/>
      <c r="F83" s="82"/>
      <c r="G83" s="82"/>
      <c r="H83" s="82"/>
      <c r="I83" s="82"/>
      <c r="J83" s="82"/>
      <c r="K83" s="82"/>
      <c r="L83" s="82"/>
      <c r="M83" s="82"/>
      <c r="N83" s="82"/>
      <c r="O83" s="82"/>
      <c r="P83" s="82"/>
      <c r="Q83" s="8"/>
    </row>
    <row r="84" spans="1:17">
      <c r="A84" s="70" t="s">
        <v>187</v>
      </c>
      <c r="B84" s="71" t="s">
        <v>188</v>
      </c>
      <c r="C84" s="82">
        <v>1</v>
      </c>
      <c r="D84" s="82">
        <v>0</v>
      </c>
      <c r="E84" s="82"/>
      <c r="F84" s="82"/>
      <c r="G84" s="82"/>
      <c r="H84" s="82"/>
      <c r="I84" s="82"/>
      <c r="J84" s="82"/>
      <c r="K84" s="82"/>
      <c r="L84" s="82"/>
      <c r="M84" s="82"/>
      <c r="N84" s="82"/>
      <c r="O84" s="82"/>
      <c r="P84" s="82"/>
      <c r="Q84" s="8"/>
    </row>
    <row r="85" spans="1:17">
      <c r="A85" s="69" t="s">
        <v>186</v>
      </c>
      <c r="B85" s="71" t="s">
        <v>188</v>
      </c>
      <c r="C85" s="82">
        <v>0</v>
      </c>
      <c r="D85" s="82">
        <v>0</v>
      </c>
      <c r="E85" s="82"/>
      <c r="F85" s="82"/>
      <c r="G85" s="82"/>
      <c r="H85" s="82"/>
      <c r="I85" s="82"/>
      <c r="J85" s="82"/>
      <c r="K85" s="82"/>
      <c r="L85" s="82"/>
      <c r="M85" s="82"/>
      <c r="N85" s="82"/>
      <c r="O85" s="82"/>
      <c r="P85" s="82"/>
      <c r="Q85" s="8"/>
    </row>
    <row r="86" spans="1:17">
      <c r="A86" s="69" t="s">
        <v>183</v>
      </c>
      <c r="B86" s="71" t="s">
        <v>188</v>
      </c>
      <c r="C86" s="82" t="s">
        <v>207</v>
      </c>
      <c r="D86" s="82">
        <v>1</v>
      </c>
      <c r="E86" s="82"/>
      <c r="F86" s="82"/>
      <c r="G86" s="82"/>
      <c r="H86" s="82"/>
      <c r="I86" s="82"/>
      <c r="J86" s="82"/>
      <c r="K86" s="82"/>
      <c r="L86" s="82"/>
      <c r="M86" s="82"/>
      <c r="N86" s="82"/>
      <c r="O86" s="82"/>
      <c r="P86" s="82"/>
      <c r="Q86" s="8"/>
    </row>
    <row r="87" spans="1:17">
      <c r="A87" s="69" t="s">
        <v>180</v>
      </c>
      <c r="B87" s="71" t="s">
        <v>188</v>
      </c>
      <c r="C87" s="82">
        <v>1</v>
      </c>
      <c r="D87" s="82" t="s">
        <v>207</v>
      </c>
      <c r="E87" s="82"/>
      <c r="F87" s="82"/>
      <c r="G87" s="82"/>
      <c r="H87" s="82"/>
      <c r="I87" s="82"/>
      <c r="J87" s="82"/>
      <c r="K87" s="82"/>
      <c r="L87" s="82"/>
      <c r="M87" s="82"/>
      <c r="N87" s="82"/>
      <c r="O87" s="82"/>
      <c r="P87" s="82"/>
      <c r="Q87" s="8"/>
    </row>
    <row r="88" spans="1:17">
      <c r="C88" s="82"/>
      <c r="D88" s="82"/>
      <c r="E88" s="82"/>
      <c r="F88" s="82"/>
      <c r="G88" s="82"/>
      <c r="H88" s="82"/>
      <c r="I88" s="82"/>
      <c r="J88" s="82"/>
      <c r="K88" s="82"/>
      <c r="L88" s="82"/>
      <c r="M88" s="82"/>
      <c r="N88" s="82"/>
      <c r="O88" s="82"/>
      <c r="P88" s="82"/>
      <c r="Q88" s="8"/>
    </row>
    <row r="89" spans="1:17">
      <c r="C89" s="8"/>
      <c r="D89" s="8"/>
      <c r="E89" s="8"/>
      <c r="F89" s="8"/>
      <c r="G89" s="8"/>
      <c r="H89" s="8"/>
      <c r="I89" s="8"/>
      <c r="J89" s="8"/>
      <c r="K89" s="8"/>
      <c r="L89" s="8"/>
      <c r="M89" s="8"/>
      <c r="N89" s="8"/>
      <c r="O89" s="8"/>
      <c r="P89" s="8"/>
      <c r="Q89" s="8"/>
    </row>
  </sheetData>
  <autoFilter ref="A38:L87">
    <sortState ref="A39:L87">
      <sortCondition ref="B38:B87"/>
    </sortState>
  </autoFilter>
  <mergeCells count="12">
    <mergeCell ref="G2:H2"/>
    <mergeCell ref="A3:H3"/>
    <mergeCell ref="B5:H5"/>
    <mergeCell ref="B6:H6"/>
    <mergeCell ref="B7:H7"/>
    <mergeCell ref="B9:H9"/>
    <mergeCell ref="A37:B37"/>
    <mergeCell ref="J3:K3"/>
    <mergeCell ref="M3:N3"/>
    <mergeCell ref="J4:K4"/>
    <mergeCell ref="M4:N4"/>
    <mergeCell ref="B8:H8"/>
  </mergeCells>
  <conditionalFormatting sqref="C14:H23">
    <cfRule type="expression" dxfId="51" priority="3">
      <formula>ISERROR(C14)</formula>
    </cfRule>
  </conditionalFormatting>
  <conditionalFormatting sqref="I15:I31">
    <cfRule type="expression" dxfId="50" priority="2">
      <formula>ISERROR(I15)</formula>
    </cfRule>
  </conditionalFormatting>
  <conditionalFormatting sqref="I13">
    <cfRule type="expression" dxfId="49" priority="1">
      <formula>ISERROR(I13)</formula>
    </cfRule>
  </conditionalFormatting>
  <hyperlinks>
    <hyperlink ref="G2" location="'Information och Innehåll'!A1" display="Tillbaka till Information och Innehåll"/>
    <hyperlink ref="J6" location="V1.1.1!A1" display="V1.1.1"/>
    <hyperlink ref="J7" location="V1.1.2!A1" display="V1.1.2"/>
    <hyperlink ref="J8" location="V1.1.3!A1" display="V1.1.3"/>
    <hyperlink ref="J9" location="V2.1.1!A1" display="V2.1.1"/>
    <hyperlink ref="J10" location="V2.1.2!A1" display="V2.1.2"/>
    <hyperlink ref="J12" location="V3.1.2!A1" display="V3.1.2"/>
    <hyperlink ref="J11" location="V3.1.1!A1" display="V3.1.1"/>
    <hyperlink ref="J13" location="V3.1.3!A1" display="V3.1.3"/>
    <hyperlink ref="J15" location="V4.1.1!A1" display="V4.1.1"/>
    <hyperlink ref="J16" location="V4.2.1!A1" display="V4.2.1"/>
    <hyperlink ref="J17" location="V4.2.2!A1" display="V4.2.2"/>
    <hyperlink ref="J18" location="V4.2.3!A1" display="V4.2.3"/>
    <hyperlink ref="J19" location="V4.2.4!A1" display="V4.2.4"/>
    <hyperlink ref="J20" location="V5.1.1!A1" display="V5.1.1"/>
    <hyperlink ref="J21" location="V5.1.2!A1" display="V5.1.2"/>
    <hyperlink ref="K6" location="B1.1.1!A1" display="B1.1.1"/>
    <hyperlink ref="K7" location="B1.1.2!A1" display="B1.1.2"/>
    <hyperlink ref="K8" location="B1.2.1!A1" display="B1.2.1"/>
    <hyperlink ref="K9" location="B1.2.2!A1" display="B1.2.2"/>
    <hyperlink ref="K10" location="B1.2.3!A1" display="B1.2.3"/>
    <hyperlink ref="K11" location="B2.1.1!A1" display="B2.1.1"/>
    <hyperlink ref="K13" location="B2.2.1!A1" display="B2.2.1"/>
    <hyperlink ref="K14" location="B2.2.2!A1" display="B2.2.2"/>
    <hyperlink ref="K15" location="B2.2.3!A1" display="B2.2.3"/>
    <hyperlink ref="K16" location="B2.2.4!A1" display="B2.2.4"/>
    <hyperlink ref="K17" location="B3.1.1!A1" display="B3.1.1"/>
    <hyperlink ref="K18" location="B3.1.2!A1" display="B3.1.2"/>
    <hyperlink ref="K21" location="B4.1.1!A1" display="B4.1.1"/>
    <hyperlink ref="K22" location="B5.1.1!A1" display="B5.1.1"/>
    <hyperlink ref="K23" location="B5.1.2!A1" display="B5.1.2"/>
    <hyperlink ref="K24" location="B5.1.3!A1" display="B5.1.3"/>
    <hyperlink ref="K19" location="B3.1.3!A1" display="B3.1.3"/>
    <hyperlink ref="K12" location="B2.1.2!A1" display="B2.1.2"/>
    <hyperlink ref="J22" location="V5.1.3!A1" display="V5.1.3"/>
    <hyperlink ref="K20" location="B3.2.1!A1" display="B3.2.1"/>
    <hyperlink ref="J14" location="B3.2.1!A1" display="V3.2.1"/>
    <hyperlink ref="M6" location="'V1.1.1 DATA'!A1" display="V1.1.1"/>
    <hyperlink ref="M7" location="'V1.1.2 DATA'!A1" display="V1.1.2"/>
    <hyperlink ref="M8" location="'V1.1.3 Data'!A1" display="V1.1.3"/>
    <hyperlink ref="M9" location="'V2.1.1 DATA'!A1" display="V2.1.1"/>
    <hyperlink ref="M10" location="'V2.1.2 DATA'!A1" display="V2.1.2"/>
    <hyperlink ref="M12" location="'V3.1.2 DATA'!A1" display="V3.1.2"/>
    <hyperlink ref="M11" location="'V3.1.1 DATA'!A1" display="V3.1.1"/>
    <hyperlink ref="M13" location="'V3.1.3 DATA'!A1" display="V3.1.3"/>
    <hyperlink ref="M14" location="'V3.2.1 DATA'!A1" display="V3.2.1"/>
    <hyperlink ref="M15" location="'V4.1.1 DATA'!A1" display="V4.1.1"/>
    <hyperlink ref="M16" location="'V4.2.1 DATA'!A1" display="V4.2.1"/>
    <hyperlink ref="M18" location="'V4.2.3 DATA'!A1" display="V4.2.3"/>
    <hyperlink ref="M19" location="'V4.2.4 DATA'!A1" display="V4.2.4"/>
    <hyperlink ref="M20" location="'V5.1.1 DATA'!A1" display="V5.1.1"/>
    <hyperlink ref="M21" location="'V5.1.2 DATA'!A1" display="V5.1.2"/>
    <hyperlink ref="N6" location="'B1.1.1 DATA'!A1" display="B1.1.1"/>
    <hyperlink ref="N7" location="'B1.1.2 DATA'!A1" display="B1.1.2"/>
    <hyperlink ref="N8" location="'B1.2.1 DATA'!A1" display="B1.2.1"/>
    <hyperlink ref="N9" location="'B1.2.2 DATA'!A1" display="B1.2.2"/>
    <hyperlink ref="N10" location="'B1.2.3 DATA'!A1" display="B1.2.3"/>
    <hyperlink ref="N11" location="'B2.1.1 DATA'!A1" display="B2.1.1"/>
    <hyperlink ref="N13" location="'B2.2.1 DATA'!A1" display="B2.2.1"/>
    <hyperlink ref="N14" location="'B2.2.2 DATA'!A1" display="B2.2.2"/>
    <hyperlink ref="N15" location="'B2.2.3 DATA'!A1" display="B2.2.3"/>
    <hyperlink ref="N16" location="'B2.2.4 DATA'!A1" display="B2.2.4"/>
    <hyperlink ref="N17" location="'B3.1.1 DATA'!A1" display="B3.1.1"/>
    <hyperlink ref="N18" location="'B3.1.2 DATA'!A1" display="B3.1.2"/>
    <hyperlink ref="N20" location="'B3.2.1 DATA'!A1" display="B3.2.1"/>
    <hyperlink ref="N21" location="'B4.1.1 DATA'!A1" display="B4.1.1"/>
    <hyperlink ref="N22" location="'B5.1.1 DATA'!A1" display="B5.1.1"/>
    <hyperlink ref="N23" location="'B5.1.2 DATA'!A1" display="B5.1.2"/>
    <hyperlink ref="N24" location="'B5.1.3 DATA'!A1" display="B5.1.3"/>
    <hyperlink ref="N12" location="'B2.1.2 DATA'!A1" display="B2.1.2"/>
    <hyperlink ref="M22" location="'V5.1.3 DATA'!A1" display="V5.1.3"/>
    <hyperlink ref="N19" location="'B3.1.3 DATA'!A1" display="B3.1.3"/>
    <hyperlink ref="M17" location="'V4.2.2 DATA'!A1" display="V4.2.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B49073"/>
  </sheetPr>
  <dimension ref="A1:X59"/>
  <sheetViews>
    <sheetView showGridLines="0" showRowColHeaders="0" zoomScale="70" zoomScaleNormal="70" workbookViewId="0"/>
  </sheetViews>
  <sheetFormatPr defaultRowHeight="14.25"/>
  <cols>
    <col min="1" max="1" width="5.796875" customWidth="1"/>
    <col min="2" max="17" width="12.796875" customWidth="1"/>
    <col min="18" max="18" width="5.796875" customWidth="1"/>
    <col min="19" max="20" width="12.796875" customWidth="1"/>
    <col min="21" max="21" width="2.796875" customWidth="1"/>
    <col min="22" max="23" width="12.796875" customWidth="1"/>
  </cols>
  <sheetData>
    <row r="1" spans="1:23" ht="15.75">
      <c r="A1" s="16" t="s">
        <v>303</v>
      </c>
    </row>
    <row r="2" spans="1:23" ht="15.75">
      <c r="A2" s="26" t="s">
        <v>34</v>
      </c>
      <c r="C2" s="27">
        <v>42927</v>
      </c>
      <c r="N2" s="342" t="s">
        <v>44</v>
      </c>
      <c r="O2" s="342"/>
      <c r="P2" s="342"/>
      <c r="Q2" s="342"/>
    </row>
    <row r="3" spans="1:23" ht="23.65" thickBot="1">
      <c r="A3" s="343" t="s">
        <v>7</v>
      </c>
      <c r="B3" s="343"/>
      <c r="C3" s="343"/>
      <c r="D3" s="343"/>
      <c r="E3" s="343"/>
      <c r="F3" s="343"/>
      <c r="G3" s="343"/>
      <c r="H3" s="343"/>
      <c r="I3" s="343"/>
      <c r="J3" s="343"/>
      <c r="K3" s="343"/>
      <c r="L3" s="343"/>
      <c r="M3" s="343"/>
      <c r="N3" s="343"/>
      <c r="O3" s="343"/>
      <c r="P3" s="343"/>
      <c r="Q3" s="343"/>
      <c r="S3" s="321" t="s">
        <v>46</v>
      </c>
      <c r="T3" s="321"/>
      <c r="U3" s="11"/>
      <c r="V3" s="318" t="s">
        <v>46</v>
      </c>
      <c r="W3" s="318"/>
    </row>
    <row r="4" spans="1:23">
      <c r="A4" s="119"/>
      <c r="B4" s="119"/>
      <c r="C4" s="119"/>
      <c r="D4" s="119"/>
      <c r="E4" s="119"/>
      <c r="F4" s="119"/>
      <c r="G4" s="119"/>
      <c r="H4" s="119"/>
      <c r="I4" s="119"/>
      <c r="J4" s="119"/>
      <c r="K4" s="119"/>
      <c r="L4" s="119"/>
      <c r="M4" s="119"/>
      <c r="N4" s="119"/>
      <c r="O4" s="119"/>
      <c r="P4" s="119"/>
      <c r="Q4" s="119"/>
      <c r="S4" s="319" t="s">
        <v>65</v>
      </c>
      <c r="T4" s="320"/>
      <c r="U4" s="11"/>
      <c r="V4" s="319" t="s">
        <v>66</v>
      </c>
      <c r="W4" s="320"/>
    </row>
    <row r="5" spans="1:23">
      <c r="A5" s="119"/>
      <c r="B5" s="337" t="s">
        <v>374</v>
      </c>
      <c r="C5" s="337"/>
      <c r="D5" s="337"/>
      <c r="E5" s="337"/>
      <c r="F5" s="337"/>
      <c r="G5" s="337"/>
      <c r="H5" s="337"/>
      <c r="I5" s="337"/>
      <c r="J5" s="337"/>
      <c r="K5" s="337"/>
      <c r="L5" s="119"/>
      <c r="M5" s="119"/>
      <c r="N5" s="119"/>
      <c r="O5" s="119"/>
      <c r="P5" s="119"/>
      <c r="Q5" s="119"/>
      <c r="S5" s="56" t="s">
        <v>61</v>
      </c>
      <c r="T5" s="56" t="s">
        <v>62</v>
      </c>
      <c r="U5" s="11"/>
      <c r="V5" s="56" t="s">
        <v>61</v>
      </c>
      <c r="W5" s="56" t="s">
        <v>62</v>
      </c>
    </row>
    <row r="6" spans="1:23">
      <c r="A6" s="119"/>
      <c r="B6" s="337" t="s">
        <v>330</v>
      </c>
      <c r="C6" s="337"/>
      <c r="D6" s="337"/>
      <c r="E6" s="337"/>
      <c r="F6" s="337"/>
      <c r="G6" s="337"/>
      <c r="H6" s="337"/>
      <c r="I6" s="337"/>
      <c r="J6" s="337"/>
      <c r="K6" s="337"/>
      <c r="L6" s="119"/>
      <c r="M6" s="119"/>
      <c r="N6" s="119"/>
      <c r="O6" s="119"/>
      <c r="P6" s="119"/>
      <c r="Q6" s="119"/>
      <c r="S6" s="244" t="s">
        <v>392</v>
      </c>
      <c r="T6" s="244" t="s">
        <v>448</v>
      </c>
      <c r="U6" s="11"/>
      <c r="V6" s="244" t="s">
        <v>392</v>
      </c>
      <c r="W6" s="244" t="s">
        <v>448</v>
      </c>
    </row>
    <row r="7" spans="1:23">
      <c r="A7" s="119"/>
      <c r="B7" s="333" t="s">
        <v>509</v>
      </c>
      <c r="C7" s="333"/>
      <c r="D7" s="333"/>
      <c r="E7" s="333"/>
      <c r="F7" s="333"/>
      <c r="G7" s="333"/>
      <c r="H7" s="333"/>
      <c r="I7" s="333"/>
      <c r="J7" s="333"/>
      <c r="K7" s="333"/>
      <c r="L7" s="119"/>
      <c r="M7" s="119"/>
      <c r="N7" s="119"/>
      <c r="O7" s="119"/>
      <c r="P7" s="119"/>
      <c r="Q7" s="119"/>
      <c r="S7" s="244" t="s">
        <v>393</v>
      </c>
      <c r="T7" s="244" t="s">
        <v>449</v>
      </c>
      <c r="U7" s="11"/>
      <c r="V7" s="244" t="s">
        <v>393</v>
      </c>
      <c r="W7" s="244" t="s">
        <v>449</v>
      </c>
    </row>
    <row r="8" spans="1:23">
      <c r="A8" s="119"/>
      <c r="B8" s="333" t="s">
        <v>511</v>
      </c>
      <c r="C8" s="333"/>
      <c r="D8" s="333"/>
      <c r="E8" s="333"/>
      <c r="F8" s="333"/>
      <c r="G8" s="333"/>
      <c r="H8" s="333"/>
      <c r="I8" s="333"/>
      <c r="J8" s="333"/>
      <c r="K8" s="333"/>
      <c r="L8" s="119"/>
      <c r="M8" s="119"/>
      <c r="N8" s="119"/>
      <c r="O8" s="119"/>
      <c r="P8" s="119"/>
      <c r="Q8" s="119"/>
      <c r="S8" s="244" t="s">
        <v>394</v>
      </c>
      <c r="T8" s="244" t="s">
        <v>450</v>
      </c>
      <c r="U8" s="11"/>
      <c r="V8" s="244" t="s">
        <v>394</v>
      </c>
      <c r="W8" s="244" t="s">
        <v>450</v>
      </c>
    </row>
    <row r="9" spans="1:23">
      <c r="A9" s="119"/>
      <c r="B9" s="119"/>
      <c r="C9" s="119"/>
      <c r="D9" s="119"/>
      <c r="E9" s="119"/>
      <c r="F9" s="119"/>
      <c r="G9" s="119"/>
      <c r="H9" s="119"/>
      <c r="I9" s="119"/>
      <c r="J9" s="119"/>
      <c r="K9" s="119"/>
      <c r="L9" s="119"/>
      <c r="M9" s="119"/>
      <c r="N9" s="119"/>
      <c r="O9" s="119"/>
      <c r="P9" s="119"/>
      <c r="Q9" s="119"/>
      <c r="S9" s="244" t="s">
        <v>434</v>
      </c>
      <c r="T9" s="244" t="s">
        <v>451</v>
      </c>
      <c r="U9" s="11"/>
      <c r="V9" s="244" t="s">
        <v>434</v>
      </c>
      <c r="W9" s="244" t="s">
        <v>451</v>
      </c>
    </row>
    <row r="10" spans="1:23" ht="15.75">
      <c r="R10" s="50"/>
      <c r="S10" s="244" t="s">
        <v>435</v>
      </c>
      <c r="T10" s="244" t="s">
        <v>452</v>
      </c>
      <c r="V10" s="244" t="s">
        <v>435</v>
      </c>
      <c r="W10" s="244" t="s">
        <v>452</v>
      </c>
    </row>
    <row r="11" spans="1:23">
      <c r="A11" s="130" t="s">
        <v>2</v>
      </c>
      <c r="B11" s="130" t="s">
        <v>3</v>
      </c>
      <c r="C11" s="130" t="s">
        <v>9</v>
      </c>
      <c r="D11" s="130" t="s">
        <v>10</v>
      </c>
      <c r="E11" s="130" t="s">
        <v>11</v>
      </c>
      <c r="F11" s="130" t="s">
        <v>12</v>
      </c>
      <c r="G11" s="130" t="s">
        <v>13</v>
      </c>
      <c r="H11" s="130" t="s">
        <v>14</v>
      </c>
      <c r="I11" s="130" t="s">
        <v>15</v>
      </c>
      <c r="J11" s="130" t="s">
        <v>16</v>
      </c>
      <c r="K11" s="130" t="s">
        <v>17</v>
      </c>
      <c r="L11" s="130" t="s">
        <v>18</v>
      </c>
      <c r="M11" s="130" t="s">
        <v>19</v>
      </c>
      <c r="N11" s="130" t="s">
        <v>20</v>
      </c>
      <c r="O11" s="130" t="s">
        <v>21</v>
      </c>
      <c r="P11" s="130" t="s">
        <v>4</v>
      </c>
      <c r="Q11" s="130" t="s">
        <v>53</v>
      </c>
      <c r="S11" s="244" t="s">
        <v>436</v>
      </c>
      <c r="T11" s="244" t="s">
        <v>453</v>
      </c>
      <c r="V11" s="244" t="s">
        <v>436</v>
      </c>
      <c r="W11" s="244" t="s">
        <v>453</v>
      </c>
    </row>
    <row r="12" spans="1:23">
      <c r="A12" s="15">
        <v>2010</v>
      </c>
      <c r="B12" s="15" t="s">
        <v>5</v>
      </c>
      <c r="C12" s="15">
        <v>101.3</v>
      </c>
      <c r="D12" s="15">
        <v>130.31</v>
      </c>
      <c r="E12" s="15">
        <v>107.35</v>
      </c>
      <c r="F12" s="15">
        <v>68.2</v>
      </c>
      <c r="G12" s="15">
        <v>62.84</v>
      </c>
      <c r="H12" s="15">
        <v>87.12</v>
      </c>
      <c r="I12" s="15">
        <v>102.52</v>
      </c>
      <c r="J12" s="15">
        <v>61.02</v>
      </c>
      <c r="K12" s="15">
        <v>47.64</v>
      </c>
      <c r="L12" s="15">
        <v>34.17</v>
      </c>
      <c r="M12" s="15">
        <v>42.78</v>
      </c>
      <c r="N12" s="15">
        <v>17.670000000000002</v>
      </c>
      <c r="O12" s="15">
        <v>29.25</v>
      </c>
      <c r="P12" s="15">
        <v>35.42</v>
      </c>
      <c r="Q12" s="15">
        <v>74.3</v>
      </c>
      <c r="S12" s="244" t="s">
        <v>437</v>
      </c>
      <c r="T12" s="245" t="s">
        <v>454</v>
      </c>
      <c r="V12" s="244" t="s">
        <v>437</v>
      </c>
      <c r="W12" s="245" t="s">
        <v>454</v>
      </c>
    </row>
    <row r="13" spans="1:23">
      <c r="A13" s="8">
        <v>2010</v>
      </c>
      <c r="B13" s="8" t="s">
        <v>6</v>
      </c>
      <c r="C13" s="8">
        <v>246.44</v>
      </c>
      <c r="D13" s="8">
        <v>155.52000000000001</v>
      </c>
      <c r="E13" s="8">
        <v>93.94</v>
      </c>
      <c r="F13" s="8">
        <v>126.93</v>
      </c>
      <c r="G13" s="8">
        <v>107.45</v>
      </c>
      <c r="H13" s="8">
        <v>133.91</v>
      </c>
      <c r="I13" s="8">
        <v>119.07</v>
      </c>
      <c r="J13" s="8">
        <v>69.319999999999993</v>
      </c>
      <c r="K13" s="8">
        <v>45.95</v>
      </c>
      <c r="L13" s="8">
        <v>50.14</v>
      </c>
      <c r="M13" s="8">
        <v>30.33</v>
      </c>
      <c r="N13" s="8">
        <v>28.8</v>
      </c>
      <c r="O13" s="8">
        <v>45.93</v>
      </c>
      <c r="P13" s="8">
        <v>35.909999999999997</v>
      </c>
      <c r="Q13" s="8">
        <v>101.78</v>
      </c>
      <c r="S13" s="244" t="s">
        <v>438</v>
      </c>
      <c r="T13" s="244" t="s">
        <v>455</v>
      </c>
      <c r="V13" s="244" t="s">
        <v>438</v>
      </c>
      <c r="W13" s="244" t="s">
        <v>455</v>
      </c>
    </row>
    <row r="14" spans="1:23">
      <c r="A14" s="14">
        <v>2010</v>
      </c>
      <c r="B14" s="14" t="s">
        <v>42</v>
      </c>
      <c r="C14" s="14">
        <v>172.45</v>
      </c>
      <c r="D14" s="14">
        <v>142.57</v>
      </c>
      <c r="E14" s="14">
        <v>100.8</v>
      </c>
      <c r="F14" s="14">
        <v>96.94</v>
      </c>
      <c r="G14" s="14">
        <v>84.8</v>
      </c>
      <c r="H14" s="14">
        <v>110.07</v>
      </c>
      <c r="I14" s="14">
        <v>110.71</v>
      </c>
      <c r="J14" s="14">
        <v>65.17</v>
      </c>
      <c r="K14" s="14">
        <v>46.8</v>
      </c>
      <c r="L14" s="14">
        <v>42.15</v>
      </c>
      <c r="M14" s="14">
        <v>36.299999999999997</v>
      </c>
      <c r="N14" s="14">
        <v>23.8</v>
      </c>
      <c r="O14" s="14">
        <v>38.99</v>
      </c>
      <c r="P14" s="14">
        <v>35.74</v>
      </c>
      <c r="Q14" s="14">
        <v>88.2</v>
      </c>
      <c r="S14" s="245" t="s">
        <v>439</v>
      </c>
      <c r="T14" s="244" t="s">
        <v>456</v>
      </c>
      <c r="V14" s="244" t="s">
        <v>439</v>
      </c>
      <c r="W14" s="244" t="s">
        <v>456</v>
      </c>
    </row>
    <row r="15" spans="1:23">
      <c r="A15" s="15">
        <v>2011</v>
      </c>
      <c r="B15" s="15" t="s">
        <v>5</v>
      </c>
      <c r="C15" s="15">
        <v>154.46</v>
      </c>
      <c r="D15" s="15">
        <v>96.26</v>
      </c>
      <c r="E15" s="15">
        <v>110.54</v>
      </c>
      <c r="F15" s="15">
        <v>65.33</v>
      </c>
      <c r="G15" s="15">
        <v>80.41</v>
      </c>
      <c r="H15" s="15">
        <v>75.819999999999993</v>
      </c>
      <c r="I15" s="15">
        <v>60.27</v>
      </c>
      <c r="J15" s="15">
        <v>56</v>
      </c>
      <c r="K15" s="15">
        <v>55</v>
      </c>
      <c r="L15" s="15">
        <v>41.02</v>
      </c>
      <c r="M15" s="15">
        <v>28.67</v>
      </c>
      <c r="N15" s="15">
        <v>30.51</v>
      </c>
      <c r="O15" s="15">
        <v>52.75</v>
      </c>
      <c r="P15" s="15">
        <v>13.83</v>
      </c>
      <c r="Q15" s="15">
        <v>73.989999999999995</v>
      </c>
      <c r="S15" s="244" t="s">
        <v>440</v>
      </c>
      <c r="T15" s="244" t="s">
        <v>457</v>
      </c>
      <c r="V15" s="244" t="s">
        <v>440</v>
      </c>
      <c r="W15" s="244" t="s">
        <v>457</v>
      </c>
    </row>
    <row r="16" spans="1:23">
      <c r="A16" s="8">
        <v>2011</v>
      </c>
      <c r="B16" s="8" t="s">
        <v>6</v>
      </c>
      <c r="C16" s="8">
        <v>286.3</v>
      </c>
      <c r="D16" s="8">
        <v>206.89</v>
      </c>
      <c r="E16" s="8">
        <v>101.61</v>
      </c>
      <c r="F16" s="8">
        <v>118.3</v>
      </c>
      <c r="G16" s="8">
        <v>120.44</v>
      </c>
      <c r="H16" s="8">
        <v>109.86</v>
      </c>
      <c r="I16" s="8">
        <v>80.010000000000005</v>
      </c>
      <c r="J16" s="8">
        <v>87.71</v>
      </c>
      <c r="K16" s="8">
        <v>61.08</v>
      </c>
      <c r="L16" s="8">
        <v>32.29</v>
      </c>
      <c r="M16" s="8">
        <v>44.68</v>
      </c>
      <c r="N16" s="8">
        <v>36.049999999999997</v>
      </c>
      <c r="O16" s="8">
        <v>42.09</v>
      </c>
      <c r="P16" s="8">
        <v>39.32</v>
      </c>
      <c r="Q16" s="8">
        <v>108.09</v>
      </c>
      <c r="S16" s="244" t="s">
        <v>441</v>
      </c>
      <c r="T16" s="244" t="s">
        <v>458</v>
      </c>
      <c r="V16" s="244" t="s">
        <v>441</v>
      </c>
      <c r="W16" s="244" t="s">
        <v>458</v>
      </c>
    </row>
    <row r="17" spans="1:24">
      <c r="A17" s="14">
        <v>2011</v>
      </c>
      <c r="B17" s="14" t="s">
        <v>42</v>
      </c>
      <c r="C17" s="14">
        <v>219.12</v>
      </c>
      <c r="D17" s="14">
        <v>150.11000000000001</v>
      </c>
      <c r="E17" s="14">
        <v>106.18</v>
      </c>
      <c r="F17" s="14">
        <v>91.31</v>
      </c>
      <c r="G17" s="14">
        <v>100.13</v>
      </c>
      <c r="H17" s="14">
        <v>92.51</v>
      </c>
      <c r="I17" s="14">
        <v>70.03</v>
      </c>
      <c r="J17" s="14">
        <v>71.8</v>
      </c>
      <c r="K17" s="14">
        <v>58.04</v>
      </c>
      <c r="L17" s="14">
        <v>36.65</v>
      </c>
      <c r="M17" s="14">
        <v>36.94</v>
      </c>
      <c r="N17" s="14">
        <v>33.549999999999997</v>
      </c>
      <c r="O17" s="14">
        <v>46.54</v>
      </c>
      <c r="P17" s="14">
        <v>30.64</v>
      </c>
      <c r="Q17" s="14">
        <v>91.22</v>
      </c>
      <c r="S17" s="244" t="s">
        <v>442</v>
      </c>
      <c r="T17" s="244" t="s">
        <v>459</v>
      </c>
      <c r="V17" s="244" t="s">
        <v>442</v>
      </c>
      <c r="W17" s="244" t="s">
        <v>459</v>
      </c>
    </row>
    <row r="18" spans="1:24">
      <c r="A18" s="15">
        <v>2012</v>
      </c>
      <c r="B18" s="15" t="s">
        <v>5</v>
      </c>
      <c r="C18" s="15">
        <v>140.52000000000001</v>
      </c>
      <c r="D18" s="15">
        <v>102.47</v>
      </c>
      <c r="E18" s="15">
        <v>104.06</v>
      </c>
      <c r="F18" s="15">
        <v>86.91</v>
      </c>
      <c r="G18" s="15">
        <v>100.28</v>
      </c>
      <c r="H18" s="15">
        <v>72.44</v>
      </c>
      <c r="I18" s="15">
        <v>61.95</v>
      </c>
      <c r="J18" s="15">
        <v>45.4</v>
      </c>
      <c r="K18" s="15">
        <v>43.7</v>
      </c>
      <c r="L18" s="15">
        <v>33.520000000000003</v>
      </c>
      <c r="M18" s="15">
        <v>57.35</v>
      </c>
      <c r="N18" s="15">
        <v>42.67</v>
      </c>
      <c r="O18" s="15">
        <v>35.03</v>
      </c>
      <c r="P18" s="15">
        <v>68.959999999999994</v>
      </c>
      <c r="Q18" s="15">
        <v>76.62</v>
      </c>
      <c r="S18" s="244" t="s">
        <v>443</v>
      </c>
      <c r="T18" s="244" t="s">
        <v>460</v>
      </c>
      <c r="V18" s="244" t="s">
        <v>443</v>
      </c>
      <c r="W18" s="244" t="s">
        <v>460</v>
      </c>
    </row>
    <row r="19" spans="1:24">
      <c r="A19" s="8">
        <v>2012</v>
      </c>
      <c r="B19" s="8" t="s">
        <v>6</v>
      </c>
      <c r="C19" s="8">
        <v>286.33999999999997</v>
      </c>
      <c r="D19" s="8">
        <v>149.27000000000001</v>
      </c>
      <c r="E19" s="8">
        <v>120.72</v>
      </c>
      <c r="F19" s="8">
        <v>124.34</v>
      </c>
      <c r="G19" s="8">
        <v>144.44999999999999</v>
      </c>
      <c r="H19" s="8">
        <v>115.87</v>
      </c>
      <c r="I19" s="8">
        <v>131.68</v>
      </c>
      <c r="J19" s="8">
        <v>68.34</v>
      </c>
      <c r="K19" s="8">
        <v>45.67</v>
      </c>
      <c r="L19" s="8">
        <v>41.7</v>
      </c>
      <c r="M19" s="8">
        <v>45.67</v>
      </c>
      <c r="N19" s="8">
        <v>42.99</v>
      </c>
      <c r="O19" s="8">
        <v>41.85</v>
      </c>
      <c r="P19" s="8">
        <v>43.33</v>
      </c>
      <c r="Q19" s="8">
        <v>110.6</v>
      </c>
      <c r="S19" s="244" t="s">
        <v>444</v>
      </c>
      <c r="T19" s="245" t="s">
        <v>461</v>
      </c>
      <c r="V19" s="244" t="s">
        <v>444</v>
      </c>
      <c r="W19" s="245" t="s">
        <v>461</v>
      </c>
    </row>
    <row r="20" spans="1:24">
      <c r="A20" s="14">
        <v>2012</v>
      </c>
      <c r="B20" s="14" t="s">
        <v>42</v>
      </c>
      <c r="C20" s="14">
        <v>211.85</v>
      </c>
      <c r="D20" s="14">
        <v>125.34</v>
      </c>
      <c r="E20" s="14">
        <v>112.21</v>
      </c>
      <c r="F20" s="14">
        <v>105.22</v>
      </c>
      <c r="G20" s="14">
        <v>122.11</v>
      </c>
      <c r="H20" s="14">
        <v>93.8</v>
      </c>
      <c r="I20" s="14">
        <v>96.31</v>
      </c>
      <c r="J20" s="14">
        <v>56.85</v>
      </c>
      <c r="K20" s="14">
        <v>44.68</v>
      </c>
      <c r="L20" s="14">
        <v>37.619999999999997</v>
      </c>
      <c r="M20" s="14">
        <v>51.35</v>
      </c>
      <c r="N20" s="14">
        <v>42.84</v>
      </c>
      <c r="O20" s="14">
        <v>39</v>
      </c>
      <c r="P20" s="14">
        <v>52.14</v>
      </c>
      <c r="Q20" s="14">
        <v>93.78</v>
      </c>
      <c r="S20" s="244" t="s">
        <v>445</v>
      </c>
      <c r="T20" s="244" t="s">
        <v>462</v>
      </c>
      <c r="V20" s="244" t="s">
        <v>445</v>
      </c>
      <c r="W20" s="244" t="s">
        <v>462</v>
      </c>
    </row>
    <row r="21" spans="1:24">
      <c r="A21" s="15">
        <v>2013</v>
      </c>
      <c r="B21" s="15" t="s">
        <v>5</v>
      </c>
      <c r="C21" s="15">
        <v>122.6</v>
      </c>
      <c r="D21" s="15">
        <v>86.76</v>
      </c>
      <c r="E21" s="15">
        <v>91.07</v>
      </c>
      <c r="F21" s="15">
        <v>57.33</v>
      </c>
      <c r="G21" s="15">
        <v>59.47</v>
      </c>
      <c r="H21" s="15">
        <v>62.25</v>
      </c>
      <c r="I21" s="15">
        <v>50.73</v>
      </c>
      <c r="J21" s="15">
        <v>72.150000000000006</v>
      </c>
      <c r="K21" s="15">
        <v>55.09</v>
      </c>
      <c r="L21" s="15">
        <v>35.17</v>
      </c>
      <c r="M21" s="15">
        <v>36.770000000000003</v>
      </c>
      <c r="N21" s="15">
        <v>32.79</v>
      </c>
      <c r="O21" s="15">
        <v>46.84</v>
      </c>
      <c r="P21" s="15">
        <v>68.319999999999993</v>
      </c>
      <c r="Q21" s="15">
        <v>66.27</v>
      </c>
      <c r="S21" s="246" t="s">
        <v>446</v>
      </c>
      <c r="T21" s="244" t="s">
        <v>463</v>
      </c>
      <c r="V21" s="246" t="s">
        <v>446</v>
      </c>
      <c r="W21" s="244" t="s">
        <v>463</v>
      </c>
    </row>
    <row r="22" spans="1:24">
      <c r="A22" s="8">
        <v>2013</v>
      </c>
      <c r="B22" s="8" t="s">
        <v>6</v>
      </c>
      <c r="C22" s="8">
        <v>180.22</v>
      </c>
      <c r="D22" s="8">
        <v>145.72999999999999</v>
      </c>
      <c r="E22" s="8">
        <v>105.56</v>
      </c>
      <c r="F22" s="8">
        <v>105.8</v>
      </c>
      <c r="G22" s="8">
        <v>110.54</v>
      </c>
      <c r="H22" s="8">
        <v>85.37</v>
      </c>
      <c r="I22" s="8">
        <v>92.49</v>
      </c>
      <c r="J22" s="8">
        <v>64.44</v>
      </c>
      <c r="K22" s="8">
        <v>59.04</v>
      </c>
      <c r="L22" s="8">
        <v>28.7</v>
      </c>
      <c r="M22" s="8">
        <v>27.01</v>
      </c>
      <c r="N22" s="8">
        <v>38.67</v>
      </c>
      <c r="O22" s="8">
        <v>25.44</v>
      </c>
      <c r="P22" s="8">
        <v>32.4</v>
      </c>
      <c r="Q22" s="8">
        <v>86.89</v>
      </c>
      <c r="S22" s="247" t="s">
        <v>447</v>
      </c>
      <c r="T22" s="244" t="s">
        <v>464</v>
      </c>
      <c r="U22" s="6"/>
      <c r="V22" s="247" t="s">
        <v>447</v>
      </c>
      <c r="W22" s="244" t="s">
        <v>464</v>
      </c>
      <c r="X22" s="6"/>
    </row>
    <row r="23" spans="1:24">
      <c r="A23" s="14">
        <v>2013</v>
      </c>
      <c r="B23" s="14" t="s">
        <v>42</v>
      </c>
      <c r="C23" s="14">
        <v>150.88</v>
      </c>
      <c r="D23" s="14">
        <v>115.64</v>
      </c>
      <c r="E23" s="14">
        <v>98.14</v>
      </c>
      <c r="F23" s="14">
        <v>81.03</v>
      </c>
      <c r="G23" s="14">
        <v>84.68</v>
      </c>
      <c r="H23" s="14">
        <v>73.650000000000006</v>
      </c>
      <c r="I23" s="14">
        <v>71.3</v>
      </c>
      <c r="J23" s="14">
        <v>68.31</v>
      </c>
      <c r="K23" s="14">
        <v>57.07</v>
      </c>
      <c r="L23" s="14">
        <v>31.92</v>
      </c>
      <c r="M23" s="14">
        <v>31.78</v>
      </c>
      <c r="N23" s="14">
        <v>35.96</v>
      </c>
      <c r="O23" s="14">
        <v>34.42</v>
      </c>
      <c r="P23" s="14">
        <v>44.79</v>
      </c>
      <c r="Q23" s="14">
        <v>76.680000000000007</v>
      </c>
      <c r="S23" s="295"/>
      <c r="T23" s="244" t="s">
        <v>465</v>
      </c>
      <c r="U23" s="6"/>
      <c r="V23" s="284"/>
      <c r="W23" s="244" t="s">
        <v>465</v>
      </c>
      <c r="X23" s="6"/>
    </row>
    <row r="24" spans="1:24">
      <c r="A24" s="15">
        <v>2014</v>
      </c>
      <c r="B24" s="15" t="s">
        <v>5</v>
      </c>
      <c r="C24" s="15">
        <v>118.54</v>
      </c>
      <c r="D24" s="15">
        <v>75.41</v>
      </c>
      <c r="E24" s="15">
        <v>70.819999999999993</v>
      </c>
      <c r="F24" s="15">
        <v>69.33</v>
      </c>
      <c r="G24" s="15">
        <v>56.86</v>
      </c>
      <c r="H24" s="15">
        <v>70.09</v>
      </c>
      <c r="I24" s="15">
        <v>60.54</v>
      </c>
      <c r="J24" s="15">
        <v>61.24</v>
      </c>
      <c r="K24" s="15">
        <v>53.98</v>
      </c>
      <c r="L24" s="15">
        <v>28.92</v>
      </c>
      <c r="M24" s="15">
        <v>26.59</v>
      </c>
      <c r="N24" s="15">
        <v>47.12</v>
      </c>
      <c r="O24" s="15">
        <v>23.27</v>
      </c>
      <c r="P24" s="15">
        <v>94.84</v>
      </c>
      <c r="Q24" s="15">
        <v>63.88</v>
      </c>
      <c r="S24" s="204"/>
      <c r="T24" s="248" t="s">
        <v>466</v>
      </c>
      <c r="U24" s="6"/>
      <c r="V24" s="257"/>
      <c r="W24" s="258" t="s">
        <v>466</v>
      </c>
      <c r="X24" s="6"/>
    </row>
    <row r="25" spans="1:24">
      <c r="A25" s="8">
        <v>2014</v>
      </c>
      <c r="B25" s="8" t="s">
        <v>6</v>
      </c>
      <c r="C25" s="8">
        <v>186.86</v>
      </c>
      <c r="D25" s="8">
        <v>137.56</v>
      </c>
      <c r="E25" s="8">
        <v>141.09</v>
      </c>
      <c r="F25" s="8">
        <v>92.56</v>
      </c>
      <c r="G25" s="8">
        <v>130.31</v>
      </c>
      <c r="H25" s="8">
        <v>77.739999999999995</v>
      </c>
      <c r="I25" s="8">
        <v>85.57</v>
      </c>
      <c r="J25" s="8">
        <v>76.45</v>
      </c>
      <c r="K25" s="8">
        <v>55.52</v>
      </c>
      <c r="L25" s="8">
        <v>38.950000000000003</v>
      </c>
      <c r="M25" s="8">
        <v>33.24</v>
      </c>
      <c r="N25" s="8">
        <v>44.52</v>
      </c>
      <c r="O25" s="8">
        <v>33.94</v>
      </c>
      <c r="P25" s="8">
        <v>32.26</v>
      </c>
      <c r="Q25" s="8">
        <v>91.38</v>
      </c>
      <c r="S25" s="250"/>
      <c r="T25" s="251"/>
      <c r="U25" s="6"/>
      <c r="V25" s="250"/>
      <c r="W25" s="251"/>
      <c r="X25" s="6"/>
    </row>
    <row r="26" spans="1:24">
      <c r="A26" s="14">
        <v>2014</v>
      </c>
      <c r="B26" s="14" t="s">
        <v>42</v>
      </c>
      <c r="C26" s="14">
        <v>152.02000000000001</v>
      </c>
      <c r="D26" s="14">
        <v>105.84</v>
      </c>
      <c r="E26" s="14">
        <v>105.07</v>
      </c>
      <c r="F26" s="14">
        <v>80.69</v>
      </c>
      <c r="G26" s="14">
        <v>93.05</v>
      </c>
      <c r="H26" s="14">
        <v>73.849999999999994</v>
      </c>
      <c r="I26" s="14">
        <v>72.88</v>
      </c>
      <c r="J26" s="14">
        <v>68.8</v>
      </c>
      <c r="K26" s="14">
        <v>54.76</v>
      </c>
      <c r="L26" s="14">
        <v>33.96</v>
      </c>
      <c r="M26" s="14">
        <v>29.98</v>
      </c>
      <c r="N26" s="14">
        <v>45.73</v>
      </c>
      <c r="O26" s="14">
        <v>29.44</v>
      </c>
      <c r="P26" s="14">
        <v>53.91</v>
      </c>
      <c r="Q26" s="14">
        <v>77.75</v>
      </c>
      <c r="S26" s="249"/>
      <c r="T26" s="251"/>
      <c r="U26" s="6"/>
      <c r="V26" s="249"/>
      <c r="W26" s="251"/>
      <c r="X26" s="6"/>
    </row>
    <row r="27" spans="1:24">
      <c r="A27" s="15">
        <v>2015</v>
      </c>
      <c r="B27" s="15" t="s">
        <v>5</v>
      </c>
      <c r="C27" s="15">
        <v>98.67</v>
      </c>
      <c r="D27" s="15">
        <v>100.61</v>
      </c>
      <c r="E27" s="15">
        <v>92.9</v>
      </c>
      <c r="F27" s="15">
        <v>80.36</v>
      </c>
      <c r="G27" s="15">
        <v>83.79</v>
      </c>
      <c r="H27" s="15">
        <v>71.42</v>
      </c>
      <c r="I27" s="15">
        <v>56.44</v>
      </c>
      <c r="J27" s="15">
        <v>57.09</v>
      </c>
      <c r="K27" s="15">
        <v>39.020000000000003</v>
      </c>
      <c r="L27" s="15">
        <v>44.09</v>
      </c>
      <c r="M27" s="15">
        <v>32.28</v>
      </c>
      <c r="N27" s="15">
        <v>30.51</v>
      </c>
      <c r="O27" s="15">
        <v>46.1</v>
      </c>
      <c r="P27" s="15">
        <v>33.25</v>
      </c>
      <c r="Q27" s="15">
        <v>67.760000000000005</v>
      </c>
    </row>
    <row r="28" spans="1:24">
      <c r="A28" s="8">
        <v>2015</v>
      </c>
      <c r="B28" s="8" t="s">
        <v>6</v>
      </c>
      <c r="C28" s="8">
        <v>212.31</v>
      </c>
      <c r="D28" s="8">
        <v>155.88</v>
      </c>
      <c r="E28" s="8">
        <v>117.8</v>
      </c>
      <c r="F28" s="8">
        <v>91.79</v>
      </c>
      <c r="G28" s="8">
        <v>113.38</v>
      </c>
      <c r="H28" s="8">
        <v>93.39</v>
      </c>
      <c r="I28" s="8">
        <v>111.01</v>
      </c>
      <c r="J28" s="8">
        <v>60.03</v>
      </c>
      <c r="K28" s="8">
        <v>38.49</v>
      </c>
      <c r="L28" s="8">
        <v>35.26</v>
      </c>
      <c r="M28" s="8">
        <v>62.47</v>
      </c>
      <c r="N28" s="8">
        <v>36.85</v>
      </c>
      <c r="O28" s="8">
        <v>51.53</v>
      </c>
      <c r="P28" s="8">
        <v>28.57</v>
      </c>
      <c r="Q28" s="8">
        <v>94.38</v>
      </c>
    </row>
    <row r="29" spans="1:24">
      <c r="A29" s="14">
        <v>2015</v>
      </c>
      <c r="B29" s="14" t="s">
        <v>42</v>
      </c>
      <c r="C29" s="14">
        <v>154.15</v>
      </c>
      <c r="D29" s="14">
        <v>127.72</v>
      </c>
      <c r="E29" s="14">
        <v>104.99</v>
      </c>
      <c r="F29" s="14">
        <v>85.95</v>
      </c>
      <c r="G29" s="14">
        <v>98.31</v>
      </c>
      <c r="H29" s="14">
        <v>82.27</v>
      </c>
      <c r="I29" s="14">
        <v>83.28</v>
      </c>
      <c r="J29" s="14">
        <v>58.55</v>
      </c>
      <c r="K29" s="14">
        <v>38.75</v>
      </c>
      <c r="L29" s="14">
        <v>39.65</v>
      </c>
      <c r="M29" s="14">
        <v>47.62</v>
      </c>
      <c r="N29" s="14">
        <v>33.89</v>
      </c>
      <c r="O29" s="14">
        <v>49.21</v>
      </c>
      <c r="P29" s="14">
        <v>30.2</v>
      </c>
      <c r="Q29" s="14">
        <v>81.16</v>
      </c>
    </row>
    <row r="30" spans="1:24">
      <c r="A30" s="12">
        <v>2016</v>
      </c>
      <c r="B30" s="15" t="s">
        <v>5</v>
      </c>
      <c r="C30" s="12"/>
      <c r="D30" s="23"/>
      <c r="E30" s="23"/>
      <c r="F30" s="23"/>
      <c r="G30" s="23"/>
      <c r="H30" s="23"/>
      <c r="I30" s="23"/>
      <c r="J30" s="23"/>
      <c r="K30" s="23"/>
      <c r="L30" s="23"/>
      <c r="M30" s="23"/>
      <c r="N30" s="23"/>
      <c r="O30" s="23"/>
      <c r="P30" s="23"/>
      <c r="Q30" s="23"/>
    </row>
    <row r="31" spans="1:24">
      <c r="A31" s="9">
        <v>2016</v>
      </c>
      <c r="B31" s="8" t="s">
        <v>6</v>
      </c>
      <c r="C31" s="9"/>
      <c r="D31" s="25"/>
      <c r="E31" s="25"/>
      <c r="F31" s="25"/>
      <c r="G31" s="25"/>
      <c r="H31" s="25"/>
      <c r="I31" s="25"/>
      <c r="J31" s="25"/>
      <c r="K31" s="25"/>
      <c r="L31" s="25"/>
      <c r="M31" s="25"/>
      <c r="N31" s="25"/>
      <c r="O31" s="25"/>
      <c r="P31" s="25"/>
      <c r="Q31" s="25"/>
    </row>
    <row r="32" spans="1:24">
      <c r="A32" s="13">
        <v>2016</v>
      </c>
      <c r="B32" s="14" t="s">
        <v>42</v>
      </c>
      <c r="C32" s="13"/>
      <c r="D32" s="38"/>
      <c r="E32" s="38"/>
      <c r="F32" s="38"/>
      <c r="G32" s="38"/>
      <c r="H32" s="38"/>
      <c r="I32" s="38"/>
      <c r="J32" s="38"/>
      <c r="K32" s="38"/>
      <c r="L32" s="38"/>
      <c r="M32" s="38"/>
      <c r="N32" s="38"/>
      <c r="O32" s="38"/>
      <c r="P32" s="38"/>
      <c r="Q32" s="38"/>
    </row>
    <row r="33" spans="1:17">
      <c r="A33" s="12">
        <v>2017</v>
      </c>
      <c r="B33" s="15" t="s">
        <v>5</v>
      </c>
      <c r="C33" s="12"/>
      <c r="D33" s="23"/>
      <c r="E33" s="23"/>
      <c r="F33" s="23"/>
      <c r="G33" s="23"/>
      <c r="H33" s="23"/>
      <c r="I33" s="23"/>
      <c r="J33" s="23"/>
      <c r="K33" s="23"/>
      <c r="L33" s="23"/>
      <c r="M33" s="23"/>
      <c r="N33" s="23"/>
      <c r="O33" s="23"/>
      <c r="P33" s="23"/>
      <c r="Q33" s="23"/>
    </row>
    <row r="34" spans="1:17">
      <c r="A34" s="37">
        <v>2017</v>
      </c>
      <c r="B34" s="8" t="s">
        <v>6</v>
      </c>
      <c r="C34" s="9"/>
      <c r="D34" s="36"/>
      <c r="E34" s="36"/>
      <c r="F34" s="36"/>
      <c r="G34" s="36"/>
      <c r="H34" s="36"/>
      <c r="I34" s="36"/>
      <c r="J34" s="36"/>
      <c r="K34" s="36"/>
      <c r="L34" s="36"/>
      <c r="M34" s="36"/>
      <c r="N34" s="36"/>
      <c r="O34" s="36"/>
      <c r="P34" s="36"/>
      <c r="Q34" s="36"/>
    </row>
    <row r="35" spans="1:17">
      <c r="A35" s="39">
        <v>2017</v>
      </c>
      <c r="B35" s="14" t="s">
        <v>42</v>
      </c>
      <c r="C35" s="13"/>
      <c r="D35" s="24"/>
      <c r="E35" s="24"/>
      <c r="F35" s="24"/>
      <c r="G35" s="24"/>
      <c r="H35" s="24"/>
      <c r="I35" s="24"/>
      <c r="J35" s="24"/>
      <c r="K35" s="24"/>
      <c r="L35" s="24"/>
      <c r="M35" s="24"/>
      <c r="N35" s="24"/>
      <c r="O35" s="24"/>
      <c r="P35" s="24"/>
      <c r="Q35" s="24"/>
    </row>
    <row r="36" spans="1:17">
      <c r="A36" s="40">
        <v>2018</v>
      </c>
      <c r="B36" s="15" t="s">
        <v>5</v>
      </c>
      <c r="C36" s="12"/>
      <c r="D36" s="23"/>
      <c r="E36" s="23"/>
      <c r="F36" s="23"/>
      <c r="G36" s="23"/>
      <c r="H36" s="23"/>
      <c r="I36" s="23"/>
      <c r="J36" s="23"/>
      <c r="K36" s="23"/>
      <c r="L36" s="23"/>
      <c r="M36" s="23"/>
      <c r="N36" s="23"/>
      <c r="O36" s="23"/>
      <c r="P36" s="23"/>
      <c r="Q36" s="23"/>
    </row>
    <row r="37" spans="1:17">
      <c r="A37" s="37">
        <v>2018</v>
      </c>
      <c r="B37" s="8" t="s">
        <v>6</v>
      </c>
      <c r="C37" s="9"/>
      <c r="D37" s="36"/>
      <c r="E37" s="36"/>
      <c r="F37" s="36"/>
      <c r="G37" s="36"/>
      <c r="H37" s="36"/>
      <c r="I37" s="36"/>
      <c r="J37" s="36"/>
      <c r="K37" s="36"/>
      <c r="L37" s="36"/>
      <c r="M37" s="36"/>
      <c r="N37" s="36"/>
      <c r="O37" s="36"/>
      <c r="P37" s="36"/>
      <c r="Q37" s="36"/>
    </row>
    <row r="38" spans="1:17">
      <c r="A38" s="39">
        <v>2018</v>
      </c>
      <c r="B38" s="14" t="s">
        <v>42</v>
      </c>
      <c r="C38" s="13"/>
      <c r="D38" s="38"/>
      <c r="E38" s="38"/>
      <c r="F38" s="38"/>
      <c r="G38" s="38"/>
      <c r="H38" s="38"/>
      <c r="I38" s="38"/>
      <c r="J38" s="38"/>
      <c r="K38" s="38"/>
      <c r="L38" s="38"/>
      <c r="M38" s="38"/>
      <c r="N38" s="38"/>
      <c r="O38" s="38"/>
      <c r="P38" s="38"/>
      <c r="Q38" s="38"/>
    </row>
    <row r="39" spans="1:17">
      <c r="A39" s="40">
        <v>2019</v>
      </c>
      <c r="B39" s="15" t="s">
        <v>5</v>
      </c>
      <c r="C39" s="12"/>
      <c r="D39" s="41"/>
      <c r="E39" s="41"/>
      <c r="F39" s="41"/>
      <c r="G39" s="41"/>
      <c r="H39" s="41"/>
      <c r="I39" s="41"/>
      <c r="J39" s="41"/>
      <c r="K39" s="41"/>
      <c r="L39" s="41"/>
      <c r="M39" s="41"/>
      <c r="N39" s="41"/>
      <c r="O39" s="41"/>
      <c r="P39" s="41"/>
      <c r="Q39" s="41"/>
    </row>
    <row r="40" spans="1:17">
      <c r="A40" s="37">
        <v>2019</v>
      </c>
      <c r="B40" s="8" t="s">
        <v>6</v>
      </c>
      <c r="C40" s="9"/>
      <c r="D40" s="36"/>
      <c r="E40" s="36"/>
      <c r="F40" s="36"/>
      <c r="G40" s="36"/>
      <c r="H40" s="36"/>
      <c r="I40" s="36"/>
      <c r="J40" s="36"/>
      <c r="K40" s="36"/>
      <c r="L40" s="36"/>
      <c r="M40" s="36"/>
      <c r="N40" s="36"/>
      <c r="O40" s="36"/>
      <c r="P40" s="36"/>
      <c r="Q40" s="36"/>
    </row>
    <row r="41" spans="1:17">
      <c r="A41" s="39">
        <v>2019</v>
      </c>
      <c r="B41" s="14" t="s">
        <v>42</v>
      </c>
      <c r="C41" s="13"/>
      <c r="D41" s="38"/>
      <c r="E41" s="38"/>
      <c r="F41" s="38"/>
      <c r="G41" s="38"/>
      <c r="H41" s="38"/>
      <c r="I41" s="38"/>
      <c r="J41" s="38"/>
      <c r="K41" s="38"/>
      <c r="L41" s="38"/>
      <c r="M41" s="38"/>
      <c r="N41" s="38"/>
      <c r="O41" s="38"/>
      <c r="P41" s="38"/>
      <c r="Q41" s="38"/>
    </row>
    <row r="42" spans="1:17">
      <c r="A42" s="40">
        <v>2020</v>
      </c>
      <c r="B42" s="15" t="s">
        <v>5</v>
      </c>
      <c r="C42" s="12"/>
      <c r="D42" s="23"/>
      <c r="E42" s="23"/>
      <c r="F42" s="23"/>
      <c r="G42" s="23"/>
      <c r="H42" s="23"/>
      <c r="I42" s="23"/>
      <c r="J42" s="23"/>
      <c r="K42" s="23"/>
      <c r="L42" s="23"/>
      <c r="M42" s="23"/>
      <c r="N42" s="23"/>
      <c r="O42" s="23"/>
      <c r="P42" s="23"/>
      <c r="Q42" s="23"/>
    </row>
    <row r="43" spans="1:17">
      <c r="A43" s="37">
        <v>2020</v>
      </c>
      <c r="B43" s="8" t="s">
        <v>6</v>
      </c>
      <c r="C43" s="9"/>
      <c r="D43" s="25"/>
      <c r="E43" s="25"/>
      <c r="F43" s="25"/>
      <c r="G43" s="25"/>
      <c r="H43" s="25"/>
      <c r="I43" s="25"/>
      <c r="J43" s="25"/>
      <c r="K43" s="25"/>
      <c r="L43" s="25"/>
      <c r="M43" s="25"/>
      <c r="N43" s="25"/>
      <c r="O43" s="25"/>
      <c r="P43" s="25"/>
      <c r="Q43" s="25"/>
    </row>
    <row r="44" spans="1:17">
      <c r="A44" s="39">
        <v>2020</v>
      </c>
      <c r="B44" s="14" t="s">
        <v>42</v>
      </c>
      <c r="C44" s="13"/>
      <c r="D44" s="38"/>
      <c r="E44" s="38"/>
      <c r="F44" s="38"/>
      <c r="G44" s="38"/>
      <c r="H44" s="38"/>
      <c r="I44" s="38"/>
      <c r="J44" s="38"/>
      <c r="K44" s="38"/>
      <c r="L44" s="38"/>
      <c r="M44" s="38"/>
      <c r="N44" s="38"/>
      <c r="O44" s="38"/>
      <c r="P44" s="38"/>
      <c r="Q44" s="38"/>
    </row>
    <row r="45" spans="1:17">
      <c r="A45" s="40">
        <v>2021</v>
      </c>
      <c r="B45" s="15" t="s">
        <v>5</v>
      </c>
      <c r="C45" s="12"/>
      <c r="D45" s="41"/>
      <c r="E45" s="41"/>
      <c r="F45" s="41"/>
      <c r="G45" s="41"/>
      <c r="H45" s="41"/>
      <c r="I45" s="41"/>
      <c r="J45" s="41"/>
      <c r="K45" s="41"/>
      <c r="L45" s="41"/>
      <c r="M45" s="41"/>
      <c r="N45" s="41"/>
      <c r="O45" s="41"/>
      <c r="P45" s="41"/>
      <c r="Q45" s="41"/>
    </row>
    <row r="46" spans="1:17">
      <c r="A46" s="37">
        <v>2021</v>
      </c>
      <c r="B46" s="8" t="s">
        <v>6</v>
      </c>
      <c r="C46" s="9"/>
      <c r="D46" s="25"/>
      <c r="E46" s="25"/>
      <c r="F46" s="25"/>
      <c r="G46" s="25"/>
      <c r="H46" s="25"/>
      <c r="I46" s="25"/>
      <c r="J46" s="25"/>
      <c r="K46" s="25"/>
      <c r="L46" s="25"/>
      <c r="M46" s="25"/>
      <c r="N46" s="25"/>
      <c r="O46" s="25"/>
      <c r="P46" s="25"/>
      <c r="Q46" s="25"/>
    </row>
    <row r="47" spans="1:17">
      <c r="A47" s="39">
        <v>2021</v>
      </c>
      <c r="B47" s="14" t="s">
        <v>42</v>
      </c>
      <c r="C47" s="13"/>
      <c r="D47" s="24"/>
      <c r="E47" s="24"/>
      <c r="F47" s="24"/>
      <c r="G47" s="24"/>
      <c r="H47" s="24"/>
      <c r="I47" s="24"/>
      <c r="J47" s="24"/>
      <c r="K47" s="24"/>
      <c r="L47" s="24"/>
      <c r="M47" s="24"/>
      <c r="N47" s="24"/>
      <c r="O47" s="24"/>
      <c r="P47" s="24"/>
      <c r="Q47" s="24"/>
    </row>
    <row r="48" spans="1:17">
      <c r="A48" s="40">
        <v>2022</v>
      </c>
      <c r="B48" s="15" t="s">
        <v>5</v>
      </c>
      <c r="C48" s="12"/>
      <c r="D48" s="41"/>
      <c r="E48" s="41"/>
      <c r="F48" s="41"/>
      <c r="G48" s="41"/>
      <c r="H48" s="41"/>
      <c r="I48" s="41"/>
      <c r="J48" s="41"/>
      <c r="K48" s="41"/>
      <c r="L48" s="41"/>
      <c r="M48" s="41"/>
      <c r="N48" s="41"/>
      <c r="O48" s="41"/>
      <c r="P48" s="41"/>
      <c r="Q48" s="41"/>
    </row>
    <row r="49" spans="1:17">
      <c r="A49" s="37">
        <v>2022</v>
      </c>
      <c r="B49" s="8" t="s">
        <v>6</v>
      </c>
      <c r="C49" s="9"/>
      <c r="D49" s="25"/>
      <c r="E49" s="25"/>
      <c r="F49" s="25"/>
      <c r="G49" s="25"/>
      <c r="H49" s="25"/>
      <c r="I49" s="25"/>
      <c r="J49" s="25"/>
      <c r="K49" s="25"/>
      <c r="L49" s="25"/>
      <c r="M49" s="25"/>
      <c r="N49" s="25"/>
      <c r="O49" s="25"/>
      <c r="P49" s="25"/>
      <c r="Q49" s="25"/>
    </row>
    <row r="50" spans="1:17">
      <c r="A50" s="39">
        <v>2022</v>
      </c>
      <c r="B50" s="14" t="s">
        <v>42</v>
      </c>
      <c r="C50" s="13"/>
      <c r="D50" s="24"/>
      <c r="E50" s="24"/>
      <c r="F50" s="24"/>
      <c r="G50" s="24"/>
      <c r="H50" s="24"/>
      <c r="I50" s="24"/>
      <c r="J50" s="24"/>
      <c r="K50" s="24"/>
      <c r="L50" s="24"/>
      <c r="M50" s="24"/>
      <c r="N50" s="24"/>
      <c r="O50" s="24"/>
      <c r="P50" s="24"/>
      <c r="Q50" s="24"/>
    </row>
    <row r="51" spans="1:17">
      <c r="A51" s="40">
        <v>2023</v>
      </c>
      <c r="B51" s="15" t="s">
        <v>5</v>
      </c>
      <c r="C51" s="12"/>
      <c r="D51" s="12"/>
      <c r="E51" s="12"/>
      <c r="F51" s="12"/>
      <c r="G51" s="12"/>
      <c r="H51" s="12"/>
      <c r="I51" s="12"/>
      <c r="J51" s="12"/>
      <c r="K51" s="12"/>
      <c r="L51" s="12"/>
      <c r="M51" s="12"/>
      <c r="N51" s="12"/>
      <c r="O51" s="12"/>
      <c r="P51" s="12"/>
      <c r="Q51" s="12"/>
    </row>
    <row r="52" spans="1:17">
      <c r="A52" s="9">
        <v>2023</v>
      </c>
      <c r="B52" s="8" t="s">
        <v>6</v>
      </c>
      <c r="C52" s="9"/>
      <c r="D52" s="9"/>
      <c r="E52" s="9"/>
      <c r="F52" s="9"/>
      <c r="G52" s="9"/>
      <c r="H52" s="9"/>
      <c r="I52" s="9"/>
      <c r="J52" s="9"/>
      <c r="K52" s="9"/>
      <c r="L52" s="9"/>
      <c r="M52" s="9"/>
      <c r="N52" s="9"/>
      <c r="O52" s="9"/>
      <c r="P52" s="9"/>
      <c r="Q52" s="9"/>
    </row>
    <row r="53" spans="1:17">
      <c r="A53" s="39">
        <v>2023</v>
      </c>
      <c r="B53" s="14" t="s">
        <v>42</v>
      </c>
      <c r="C53" s="13"/>
      <c r="D53" s="13"/>
      <c r="E53" s="13"/>
      <c r="F53" s="13"/>
      <c r="G53" s="13"/>
      <c r="H53" s="13"/>
      <c r="I53" s="14"/>
      <c r="J53" s="14"/>
      <c r="K53" s="14"/>
      <c r="L53" s="14"/>
      <c r="M53" s="14"/>
      <c r="N53" s="14"/>
      <c r="O53" s="14"/>
      <c r="P53" s="14"/>
      <c r="Q53" s="14"/>
    </row>
    <row r="54" spans="1:17">
      <c r="A54" s="40">
        <v>2024</v>
      </c>
      <c r="B54" s="15" t="s">
        <v>5</v>
      </c>
      <c r="C54" s="12"/>
      <c r="D54" s="12"/>
      <c r="E54" s="12"/>
      <c r="F54" s="12"/>
      <c r="G54" s="12"/>
      <c r="H54" s="12"/>
      <c r="I54" s="15"/>
      <c r="J54" s="15"/>
      <c r="K54" s="15"/>
      <c r="L54" s="15"/>
      <c r="M54" s="15"/>
      <c r="N54" s="15"/>
      <c r="O54" s="15"/>
      <c r="P54" s="15"/>
      <c r="Q54" s="15"/>
    </row>
    <row r="55" spans="1:17">
      <c r="A55" s="37">
        <v>2024</v>
      </c>
      <c r="B55" s="8" t="s">
        <v>6</v>
      </c>
      <c r="C55" s="9"/>
      <c r="D55" s="9"/>
      <c r="E55" s="9"/>
      <c r="F55" s="9"/>
      <c r="G55" s="9"/>
      <c r="H55" s="9"/>
      <c r="I55" s="8"/>
      <c r="J55" s="8"/>
      <c r="K55" s="8"/>
      <c r="L55" s="8"/>
      <c r="M55" s="8"/>
      <c r="N55" s="8"/>
      <c r="O55" s="8"/>
      <c r="P55" s="8"/>
      <c r="Q55" s="8"/>
    </row>
    <row r="56" spans="1:17">
      <c r="A56" s="39">
        <v>2024</v>
      </c>
      <c r="B56" s="14" t="s">
        <v>42</v>
      </c>
      <c r="C56" s="13"/>
      <c r="D56" s="13"/>
      <c r="E56" s="13"/>
      <c r="F56" s="13"/>
      <c r="G56" s="13"/>
      <c r="H56" s="13"/>
      <c r="I56" s="14"/>
      <c r="J56" s="14"/>
      <c r="K56" s="14"/>
      <c r="L56" s="14"/>
      <c r="M56" s="14"/>
      <c r="N56" s="14"/>
      <c r="O56" s="14"/>
      <c r="P56" s="14"/>
      <c r="Q56" s="14"/>
    </row>
    <row r="57" spans="1:17">
      <c r="A57" s="40">
        <v>2025</v>
      </c>
      <c r="B57" s="15" t="s">
        <v>5</v>
      </c>
      <c r="C57" s="12"/>
      <c r="D57" s="12"/>
      <c r="E57" s="12"/>
      <c r="F57" s="12"/>
      <c r="G57" s="12"/>
      <c r="H57" s="12"/>
      <c r="I57" s="15"/>
      <c r="J57" s="15"/>
      <c r="K57" s="15"/>
      <c r="L57" s="15"/>
      <c r="M57" s="15"/>
      <c r="N57" s="15"/>
      <c r="O57" s="15"/>
      <c r="P57" s="15"/>
      <c r="Q57" s="15"/>
    </row>
    <row r="58" spans="1:17">
      <c r="A58" s="37">
        <v>2025</v>
      </c>
      <c r="B58" s="8" t="s">
        <v>6</v>
      </c>
      <c r="C58" s="9"/>
      <c r="D58" s="9"/>
      <c r="E58" s="9"/>
      <c r="F58" s="9"/>
      <c r="G58" s="9"/>
      <c r="H58" s="9"/>
      <c r="I58" s="8"/>
      <c r="J58" s="8"/>
      <c r="K58" s="8"/>
      <c r="L58" s="8"/>
      <c r="M58" s="8"/>
      <c r="N58" s="8"/>
      <c r="O58" s="8"/>
      <c r="P58" s="8"/>
      <c r="Q58" s="8"/>
    </row>
    <row r="59" spans="1:17">
      <c r="A59" s="39">
        <v>2025</v>
      </c>
      <c r="B59" s="14" t="s">
        <v>42</v>
      </c>
      <c r="C59" s="13"/>
      <c r="D59" s="13"/>
      <c r="E59" s="13"/>
      <c r="F59" s="13"/>
      <c r="G59" s="13"/>
      <c r="H59" s="13"/>
      <c r="I59" s="14"/>
      <c r="J59" s="14"/>
      <c r="K59" s="14"/>
      <c r="L59" s="14"/>
      <c r="M59" s="14"/>
      <c r="N59" s="14"/>
      <c r="O59" s="14"/>
      <c r="P59" s="14"/>
      <c r="Q59" s="14"/>
    </row>
  </sheetData>
  <mergeCells count="10">
    <mergeCell ref="B6:K6"/>
    <mergeCell ref="B7:K7"/>
    <mergeCell ref="B8:K8"/>
    <mergeCell ref="N2:Q2"/>
    <mergeCell ref="S3:T3"/>
    <mergeCell ref="V3:W3"/>
    <mergeCell ref="S4:T4"/>
    <mergeCell ref="V4:W4"/>
    <mergeCell ref="A3:Q3"/>
    <mergeCell ref="B5:K5"/>
  </mergeCells>
  <hyperlinks>
    <hyperlink ref="N2" location="'Information och Innehåll'!A1" display="Tillbaka till Information och Innehåll"/>
    <hyperlink ref="S6" location="V1.1.1!A1" display="V1.1.1"/>
    <hyperlink ref="S7" location="V1.1.2!A1" display="V1.1.2"/>
    <hyperlink ref="S8" location="V1.1.3!A1" display="V1.1.3"/>
    <hyperlink ref="S9" location="V2.1.1!A1" display="V2.1.1"/>
    <hyperlink ref="S10" location="V2.1.2!A1" display="V2.1.2"/>
    <hyperlink ref="S12" location="V3.1.2!A1" display="V3.1.2"/>
    <hyperlink ref="S11" location="V3.1.1!A1" display="V3.1.1"/>
    <hyperlink ref="S13" location="V3.1.3!A1" display="V3.1.3"/>
    <hyperlink ref="S15" location="V4.1.1!A1" display="V4.1.1"/>
    <hyperlink ref="S16" location="V4.2.1!A1" display="V4.2.1"/>
    <hyperlink ref="S17" location="V4.2.2!A1" display="V4.2.2"/>
    <hyperlink ref="S18" location="V4.2.3!A1" display="V4.2.3"/>
    <hyperlink ref="S19" location="V4.2.4!A1" display="V4.2.4"/>
    <hyperlink ref="S20" location="V5.1.1!A1" display="V5.1.1"/>
    <hyperlink ref="S21" location="V5.1.2!A1" display="V5.1.2"/>
    <hyperlink ref="T6" location="B1.1.1!A1" display="B1.1.1"/>
    <hyperlink ref="T7" location="B1.1.2!A1" display="B1.1.2"/>
    <hyperlink ref="T8" location="B1.2.1!A1" display="B1.2.1"/>
    <hyperlink ref="T9" location="B1.2.2!A1" display="B1.2.2"/>
    <hyperlink ref="T10" location="B1.2.3!A1" display="B1.2.3"/>
    <hyperlink ref="T11" location="B2.1.1!A1" display="B2.1.1"/>
    <hyperlink ref="T13" location="B2.2.1!A1" display="B2.2.1"/>
    <hyperlink ref="T14" location="B2.2.2!A1" display="B2.2.2"/>
    <hyperlink ref="T15" location="B2.2.3!A1" display="B2.2.3"/>
    <hyperlink ref="T16" location="B2.2.4!A1" display="B2.2.4"/>
    <hyperlink ref="T17" location="B3.1.1!A1" display="B3.1.1"/>
    <hyperlink ref="T18" location="B3.1.2!A1" display="B3.1.2"/>
    <hyperlink ref="T21" location="B4.1.1!A1" display="B4.1.1"/>
    <hyperlink ref="T22" location="B5.1.1!A1" display="B5.1.1"/>
    <hyperlink ref="T23" location="B5.1.2!A1" display="B5.1.2"/>
    <hyperlink ref="T24" location="B5.1.3!A1" display="B5.1.3"/>
    <hyperlink ref="T19" location="B3.1.3!A1" display="B3.1.3"/>
    <hyperlink ref="T12" location="B2.1.2!A1" display="B2.1.2"/>
    <hyperlink ref="S22" location="V5.1.3!A1" display="V5.1.3"/>
    <hyperlink ref="T20" location="B3.2.1!A1" display="B3.2.1"/>
    <hyperlink ref="S14" location="B3.2.1!A1" display="V3.2.1"/>
    <hyperlink ref="V6" location="'V1.1.1 DATA'!A1" display="V1.1.1"/>
    <hyperlink ref="V7" location="'V1.1.2 DATA'!A1" display="V1.1.2"/>
    <hyperlink ref="V8" location="'V1.1.3 Data'!A1" display="V1.1.3"/>
    <hyperlink ref="V9" location="'V2.1.1 DATA'!A1" display="V2.1.1"/>
    <hyperlink ref="V10" location="'V2.1.2 DATA'!A1" display="V2.1.2"/>
    <hyperlink ref="V12" location="'V3.1.2 DATA'!A1" display="V3.1.2"/>
    <hyperlink ref="V11" location="'V3.1.1 DATA'!A1" display="V3.1.1"/>
    <hyperlink ref="V13" location="'V3.1.3 DATA'!A1" display="V3.1.3"/>
    <hyperlink ref="V14" location="'V3.2.1 DATA'!A1" display="V3.2.1"/>
    <hyperlink ref="V15" location="'V4.1.1 DATA'!A1" display="V4.1.1"/>
    <hyperlink ref="V16" location="'V4.2.1 DATA'!A1" display="V4.2.1"/>
    <hyperlink ref="V18" location="'V4.2.3 DATA'!A1" display="V4.2.3"/>
    <hyperlink ref="V19" location="'V4.2.4 DATA'!A1" display="V4.2.4"/>
    <hyperlink ref="V20" location="'V5.1.1 DATA'!A1" display="V5.1.1"/>
    <hyperlink ref="V21" location="'V5.1.2 DATA'!A1" display="V5.1.2"/>
    <hyperlink ref="W6" location="'B1.1.1 DATA'!A1" display="B1.1.1"/>
    <hyperlink ref="W7" location="'B1.1.2 DATA'!A1" display="B1.1.2"/>
    <hyperlink ref="W8" location="'B1.2.1 DATA'!A1" display="B1.2.1"/>
    <hyperlink ref="W9" location="'B1.2.2 DATA'!A1" display="B1.2.2"/>
    <hyperlink ref="W10" location="'B1.2.3 DATA'!A1" display="B1.2.3"/>
    <hyperlink ref="W11" location="'B2.1.1 DATA'!A1" display="B2.1.1"/>
    <hyperlink ref="W13" location="'B2.2.1 DATA'!A1" display="B2.2.1"/>
    <hyperlink ref="W14" location="'B2.2.2 DATA'!A1" display="B2.2.2"/>
    <hyperlink ref="W15" location="'B2.2.3 DATA'!A1" display="B2.2.3"/>
    <hyperlink ref="W16" location="'B2.2.4 DATA'!A1" display="B2.2.4"/>
    <hyperlink ref="W17" location="'B3.1.1 DATA'!A1" display="B3.1.1"/>
    <hyperlink ref="W18" location="'B3.1.2 DATA'!A1" display="B3.1.2"/>
    <hyperlink ref="W20" location="'B3.2.1 DATA'!A1" display="B3.2.1"/>
    <hyperlink ref="W21" location="'B4.1.1 DATA'!A1" display="B4.1.1"/>
    <hyperlink ref="W22" location="'B5.1.1 DATA'!A1" display="B5.1.1"/>
    <hyperlink ref="W23" location="'B5.1.2 DATA'!A1" display="B5.1.2"/>
    <hyperlink ref="W24" location="'B5.1.3 DATA'!A1" display="B5.1.3"/>
    <hyperlink ref="W12" location="'B2.1.2 DATA'!A1" display="B2.1.2"/>
    <hyperlink ref="V22" location="'V5.1.3 DATA'!A1" display="V5.1.3"/>
    <hyperlink ref="W19" location="'B3.1.3 DATA'!A1" display="B3.1.3"/>
    <hyperlink ref="V17" location="'V4.2.2 DATA'!A1" display="V4.2.2"/>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18366"/>
  </sheetPr>
  <dimension ref="A2:AA56"/>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1" ht="21">
      <c r="P2" s="10"/>
      <c r="Q2" s="11"/>
      <c r="R2" s="11"/>
    </row>
    <row r="3" spans="1:21" ht="23.25">
      <c r="B3" s="338" t="s">
        <v>404</v>
      </c>
      <c r="C3" s="338"/>
      <c r="D3" s="338"/>
      <c r="E3" s="338"/>
      <c r="F3" s="338"/>
      <c r="G3" s="338"/>
      <c r="H3" s="338"/>
      <c r="I3" s="338"/>
      <c r="J3" s="338"/>
      <c r="K3" s="338"/>
      <c r="L3" s="338"/>
      <c r="M3" s="338"/>
      <c r="N3" s="338"/>
      <c r="O3" s="338"/>
      <c r="P3" s="338"/>
      <c r="Q3" s="338"/>
      <c r="R3" s="338"/>
      <c r="S3" s="338"/>
      <c r="T3" s="338"/>
    </row>
    <row r="4" spans="1:21" ht="30.75">
      <c r="B4" s="366" t="s">
        <v>495</v>
      </c>
      <c r="C4" s="366"/>
      <c r="D4" s="366"/>
      <c r="E4" s="366"/>
      <c r="F4" s="366"/>
      <c r="G4" s="366"/>
      <c r="H4" s="366"/>
      <c r="I4" s="366"/>
      <c r="J4" s="366"/>
      <c r="K4" s="366"/>
      <c r="L4" s="366"/>
      <c r="M4" s="366"/>
      <c r="N4" s="366"/>
      <c r="O4" s="366"/>
      <c r="P4" s="366"/>
      <c r="Q4" s="366"/>
      <c r="R4" s="366"/>
      <c r="S4" s="366"/>
      <c r="T4" s="366"/>
    </row>
    <row r="5" spans="1:21" ht="18">
      <c r="B5" s="340" t="s">
        <v>313</v>
      </c>
      <c r="C5" s="340"/>
      <c r="D5" s="340"/>
      <c r="E5" s="340"/>
      <c r="F5" s="340"/>
      <c r="G5" s="340"/>
      <c r="H5" s="340"/>
      <c r="I5" s="340"/>
      <c r="J5" s="340"/>
      <c r="K5" s="340"/>
      <c r="L5" s="340"/>
      <c r="M5" s="340"/>
      <c r="N5" s="340"/>
      <c r="O5" s="340"/>
      <c r="P5" s="340"/>
      <c r="Q5" s="340"/>
      <c r="R5" s="340"/>
      <c r="S5" s="340"/>
      <c r="T5" s="340"/>
    </row>
    <row r="6" spans="1:21">
      <c r="P6" s="11"/>
      <c r="Q6" s="11"/>
      <c r="R6" s="11"/>
    </row>
    <row r="7" spans="1:21" ht="15.75">
      <c r="B7" s="26" t="s">
        <v>35</v>
      </c>
      <c r="E7" s="27">
        <v>42977</v>
      </c>
      <c r="I7" s="114"/>
      <c r="P7" s="11"/>
      <c r="Q7" s="11"/>
      <c r="R7" s="342" t="s">
        <v>44</v>
      </c>
      <c r="S7" s="342"/>
      <c r="T7" s="342"/>
    </row>
    <row r="8" spans="1:21">
      <c r="P8" s="11"/>
      <c r="Q8" s="11"/>
      <c r="R8" s="11"/>
    </row>
    <row r="9" spans="1:21" ht="23.65" thickBot="1">
      <c r="B9" s="341" t="s">
        <v>7</v>
      </c>
      <c r="C9" s="341"/>
      <c r="D9" s="341"/>
      <c r="E9" s="341"/>
      <c r="F9" s="341"/>
      <c r="G9" s="341"/>
      <c r="H9" s="341"/>
      <c r="I9" s="341"/>
      <c r="J9" s="341"/>
      <c r="K9" s="341"/>
      <c r="L9" s="341"/>
      <c r="N9" s="331" t="s">
        <v>38</v>
      </c>
      <c r="O9" s="331"/>
      <c r="P9" s="331"/>
      <c r="Q9" s="331"/>
      <c r="R9" s="331"/>
      <c r="S9" s="331"/>
      <c r="T9" s="331"/>
    </row>
    <row r="10" spans="1:21" ht="23.25">
      <c r="B10" s="33"/>
      <c r="C10" s="33"/>
      <c r="D10" s="33"/>
      <c r="E10" s="33"/>
      <c r="F10" s="33"/>
      <c r="G10" s="33"/>
      <c r="H10" s="33"/>
      <c r="I10" s="33"/>
      <c r="J10" s="33"/>
      <c r="K10" s="33"/>
      <c r="L10" s="33"/>
      <c r="N10" s="31"/>
      <c r="O10" s="31"/>
      <c r="P10" s="31"/>
      <c r="Q10" s="31"/>
      <c r="R10" s="31"/>
      <c r="S10" s="31"/>
      <c r="T10" s="31"/>
    </row>
    <row r="11" spans="1:21">
      <c r="B11" s="336" t="s">
        <v>40</v>
      </c>
      <c r="C11" s="336"/>
      <c r="D11" s="336"/>
      <c r="E11" s="336"/>
      <c r="F11" s="336"/>
      <c r="G11" s="336"/>
      <c r="H11" s="336"/>
      <c r="I11" s="336"/>
      <c r="J11" s="336"/>
      <c r="K11" s="336"/>
      <c r="L11" s="336"/>
      <c r="N11" s="87" t="s">
        <v>211</v>
      </c>
      <c r="O11" s="87" t="s">
        <v>286</v>
      </c>
      <c r="P11" s="86"/>
      <c r="Q11" s="86"/>
    </row>
    <row r="12" spans="1:21">
      <c r="B12" s="1"/>
      <c r="C12" s="337" t="s">
        <v>594</v>
      </c>
      <c r="D12" s="337"/>
      <c r="E12" s="337"/>
      <c r="F12" s="337"/>
      <c r="G12" s="337"/>
      <c r="H12" s="337"/>
      <c r="I12" s="337"/>
      <c r="J12" s="337"/>
      <c r="K12" s="337"/>
      <c r="L12" s="337"/>
      <c r="N12" s="87" t="s">
        <v>287</v>
      </c>
      <c r="O12" s="86" t="s">
        <v>42</v>
      </c>
      <c r="P12" s="86" t="s">
        <v>6</v>
      </c>
      <c r="Q12" s="86" t="s">
        <v>5</v>
      </c>
    </row>
    <row r="13" spans="1:21">
      <c r="B13" s="32"/>
      <c r="C13" s="332" t="s">
        <v>595</v>
      </c>
      <c r="D13" s="332"/>
      <c r="E13" s="332"/>
      <c r="F13" s="332"/>
      <c r="G13" s="332"/>
      <c r="H13" s="332"/>
      <c r="I13" s="332"/>
      <c r="J13" s="332"/>
      <c r="K13" s="332"/>
      <c r="L13" s="332"/>
      <c r="N13" s="88">
        <v>2016</v>
      </c>
      <c r="O13" s="86">
        <v>8.6946145891337215E-2</v>
      </c>
      <c r="P13" s="86">
        <v>9.2532743663888417E-2</v>
      </c>
      <c r="Q13" s="86">
        <v>7.9595015576323994E-2</v>
      </c>
    </row>
    <row r="14" spans="1:21">
      <c r="B14" s="32"/>
      <c r="C14" s="333" t="s">
        <v>292</v>
      </c>
      <c r="D14" s="333"/>
      <c r="E14" s="333"/>
      <c r="F14" s="333"/>
      <c r="G14" s="333"/>
      <c r="H14" s="333"/>
      <c r="I14" s="333"/>
      <c r="J14" s="333"/>
      <c r="K14" s="333"/>
      <c r="L14" s="333"/>
      <c r="N14" s="88">
        <v>2017</v>
      </c>
      <c r="O14" s="86"/>
      <c r="P14" s="86"/>
      <c r="Q14" s="86"/>
      <c r="U14" s="2"/>
    </row>
    <row r="15" spans="1:21">
      <c r="B15" s="32"/>
      <c r="C15" s="333" t="s">
        <v>593</v>
      </c>
      <c r="D15" s="333"/>
      <c r="E15" s="333"/>
      <c r="F15" s="333"/>
      <c r="G15" s="333"/>
      <c r="H15" s="333"/>
      <c r="I15" s="333"/>
      <c r="J15" s="333"/>
      <c r="K15" s="333"/>
      <c r="L15" s="333"/>
      <c r="N15" s="88">
        <v>2018</v>
      </c>
      <c r="O15" s="86"/>
      <c r="P15" s="86"/>
      <c r="Q15" s="86"/>
      <c r="U15" s="2"/>
    </row>
    <row r="16" spans="1:21">
      <c r="A16" s="3"/>
      <c r="B16" s="32"/>
      <c r="C16" s="47"/>
      <c r="D16" s="47"/>
      <c r="E16" s="47"/>
      <c r="F16" s="47"/>
      <c r="G16" s="47"/>
      <c r="H16" s="47"/>
      <c r="I16" s="47"/>
      <c r="J16" s="47"/>
      <c r="K16" s="47"/>
      <c r="L16" s="32"/>
      <c r="N16" s="88">
        <v>2019</v>
      </c>
      <c r="O16" s="86"/>
      <c r="P16" s="86"/>
      <c r="Q16" s="86"/>
      <c r="U16" s="2"/>
    </row>
    <row r="17" spans="1:26">
      <c r="A17" s="3"/>
      <c r="B17" s="336" t="s">
        <v>41</v>
      </c>
      <c r="C17" s="336"/>
      <c r="D17" s="336"/>
      <c r="E17" s="336"/>
      <c r="F17" s="336"/>
      <c r="G17" s="336"/>
      <c r="H17" s="336"/>
      <c r="I17" s="336"/>
      <c r="J17" s="336"/>
      <c r="K17" s="336"/>
      <c r="L17" s="336"/>
      <c r="N17" s="88">
        <v>2020</v>
      </c>
      <c r="O17" s="86"/>
      <c r="P17" s="86"/>
      <c r="Q17" s="86"/>
      <c r="U17" s="2"/>
    </row>
    <row r="18" spans="1:26">
      <c r="A18" s="3"/>
      <c r="B18" s="1"/>
      <c r="C18" s="333" t="s">
        <v>295</v>
      </c>
      <c r="D18" s="333"/>
      <c r="E18" s="333"/>
      <c r="F18" s="333"/>
      <c r="G18" s="333"/>
      <c r="H18" s="333"/>
      <c r="I18" s="333"/>
      <c r="J18" s="333"/>
      <c r="K18" s="333"/>
      <c r="L18" s="333"/>
      <c r="N18" s="88">
        <v>2021</v>
      </c>
      <c r="O18" s="86"/>
      <c r="P18" s="86"/>
      <c r="Q18" s="86"/>
      <c r="U18" s="2"/>
    </row>
    <row r="19" spans="1:26">
      <c r="A19" s="3"/>
      <c r="B19" s="32"/>
      <c r="C19" s="333" t="s">
        <v>359</v>
      </c>
      <c r="D19" s="333"/>
      <c r="E19" s="333"/>
      <c r="F19" s="333"/>
      <c r="G19" s="333"/>
      <c r="H19" s="333"/>
      <c r="I19" s="333"/>
      <c r="J19" s="333"/>
      <c r="K19" s="333"/>
      <c r="L19" s="333"/>
      <c r="N19" s="88">
        <v>2022</v>
      </c>
      <c r="O19" s="86"/>
      <c r="P19" s="86"/>
      <c r="Q19" s="86"/>
      <c r="U19" s="2"/>
    </row>
    <row r="20" spans="1:26">
      <c r="A20" s="3"/>
      <c r="B20" s="32"/>
      <c r="C20" s="333" t="s">
        <v>369</v>
      </c>
      <c r="D20" s="333"/>
      <c r="E20" s="333"/>
      <c r="F20" s="333"/>
      <c r="G20" s="333"/>
      <c r="H20" s="333"/>
      <c r="I20" s="333"/>
      <c r="J20" s="333"/>
      <c r="K20" s="333"/>
      <c r="L20" s="333"/>
      <c r="N20" s="88">
        <v>2023</v>
      </c>
      <c r="O20" s="86"/>
      <c r="P20" s="86"/>
      <c r="Q20" s="86"/>
      <c r="U20" s="2"/>
    </row>
    <row r="21" spans="1:26">
      <c r="A21" s="3"/>
      <c r="B21" s="32"/>
      <c r="C21" s="58" t="str">
        <f>"--&gt;"</f>
        <v>--&gt;</v>
      </c>
      <c r="D21" s="334" t="s">
        <v>285</v>
      </c>
      <c r="E21" s="334"/>
      <c r="F21" s="334"/>
      <c r="G21" s="334"/>
      <c r="H21" s="334"/>
      <c r="I21" s="334"/>
      <c r="J21" s="334"/>
      <c r="K21" s="334"/>
      <c r="L21" s="334"/>
      <c r="N21" s="88">
        <v>2024</v>
      </c>
      <c r="O21" s="86"/>
      <c r="P21" s="86"/>
      <c r="Q21" s="86"/>
      <c r="U21" s="2"/>
    </row>
    <row r="22" spans="1:26">
      <c r="A22" s="3"/>
      <c r="B22" s="32"/>
      <c r="C22" s="32"/>
      <c r="D22" s="334"/>
      <c r="E22" s="334"/>
      <c r="F22" s="334"/>
      <c r="G22" s="334"/>
      <c r="H22" s="334"/>
      <c r="I22" s="334"/>
      <c r="J22" s="334"/>
      <c r="K22" s="334"/>
      <c r="L22" s="334"/>
      <c r="N22" s="88">
        <v>2025</v>
      </c>
      <c r="O22" s="86"/>
      <c r="P22" s="86"/>
      <c r="Q22" s="86"/>
      <c r="U22" s="2"/>
    </row>
    <row r="23" spans="1:26">
      <c r="A23" s="3"/>
      <c r="B23" s="32"/>
      <c r="C23" s="333" t="s">
        <v>356</v>
      </c>
      <c r="D23" s="333"/>
      <c r="E23" s="333"/>
      <c r="F23" s="333"/>
      <c r="G23" s="333"/>
      <c r="H23" s="333"/>
      <c r="I23" s="333"/>
      <c r="J23" s="333"/>
      <c r="K23" s="333"/>
      <c r="L23" s="333"/>
      <c r="U23" s="2"/>
    </row>
    <row r="24" spans="1:26">
      <c r="A24" s="3"/>
      <c r="B24" s="32"/>
      <c r="C24" s="333"/>
      <c r="D24" s="333"/>
      <c r="E24" s="333"/>
      <c r="F24" s="333"/>
      <c r="G24" s="333"/>
      <c r="H24" s="333"/>
      <c r="I24" s="333"/>
      <c r="J24" s="333"/>
      <c r="K24" s="333"/>
      <c r="L24" s="333"/>
      <c r="Q24" s="2"/>
      <c r="R24" s="2"/>
      <c r="S24" s="2"/>
      <c r="T24" s="2"/>
      <c r="U24" s="2"/>
    </row>
    <row r="25" spans="1:26">
      <c r="A25" s="3"/>
      <c r="B25" s="32"/>
      <c r="C25" s="333"/>
      <c r="D25" s="333"/>
      <c r="E25" s="333"/>
      <c r="F25" s="333"/>
      <c r="G25" s="333"/>
      <c r="H25" s="333"/>
      <c r="I25" s="333"/>
      <c r="J25" s="333"/>
      <c r="K25" s="333"/>
      <c r="L25" s="333"/>
      <c r="S25" s="11"/>
      <c r="T25" s="11"/>
    </row>
    <row r="26" spans="1:26">
      <c r="A26" s="3"/>
      <c r="B26" s="32"/>
      <c r="C26" s="335" t="s">
        <v>298</v>
      </c>
      <c r="D26" s="335"/>
      <c r="E26" s="335"/>
      <c r="F26" s="335"/>
      <c r="G26" s="335"/>
      <c r="H26" s="335"/>
      <c r="I26" s="335"/>
      <c r="J26" s="335"/>
      <c r="K26" s="335"/>
      <c r="L26" s="335"/>
      <c r="S26" s="11"/>
      <c r="T26" s="11"/>
    </row>
    <row r="27" spans="1:26">
      <c r="B27" s="47"/>
      <c r="C27" s="335"/>
      <c r="D27" s="335"/>
      <c r="E27" s="335"/>
      <c r="F27" s="335"/>
      <c r="G27" s="335"/>
      <c r="H27" s="335"/>
      <c r="I27" s="335"/>
      <c r="J27" s="335"/>
      <c r="K27" s="335"/>
      <c r="L27" s="335"/>
      <c r="Q27" s="2"/>
      <c r="S27" s="11"/>
      <c r="T27" s="11"/>
    </row>
    <row r="28" spans="1:26">
      <c r="B28" s="47"/>
      <c r="C28" s="335"/>
      <c r="D28" s="335"/>
      <c r="E28" s="335"/>
      <c r="F28" s="335"/>
      <c r="G28" s="335"/>
      <c r="H28" s="335"/>
      <c r="I28" s="335"/>
      <c r="J28" s="335"/>
      <c r="K28" s="335"/>
      <c r="L28" s="335"/>
      <c r="Q28" s="2"/>
      <c r="S28" s="11"/>
      <c r="T28" s="11"/>
    </row>
    <row r="29" spans="1:26">
      <c r="B29" s="83"/>
      <c r="C29" s="351"/>
      <c r="D29" s="351"/>
      <c r="E29" s="351"/>
      <c r="F29" s="351"/>
      <c r="G29" s="351"/>
      <c r="H29" s="351"/>
      <c r="I29" s="351"/>
      <c r="J29" s="351"/>
      <c r="K29" s="351"/>
      <c r="L29" s="351"/>
      <c r="S29" s="11"/>
      <c r="T29" s="11"/>
    </row>
    <row r="30" spans="1:26">
      <c r="B30" s="31"/>
      <c r="C30" s="351"/>
      <c r="D30" s="351"/>
      <c r="E30" s="351"/>
      <c r="F30" s="351"/>
      <c r="G30" s="351"/>
      <c r="H30" s="351"/>
      <c r="I30" s="351"/>
      <c r="J30" s="351"/>
      <c r="K30" s="351"/>
      <c r="L30" s="351"/>
      <c r="M30" s="9"/>
      <c r="N30" s="31"/>
      <c r="O30" s="34"/>
      <c r="P30" s="35"/>
      <c r="Q30" s="35"/>
      <c r="R30" s="35"/>
      <c r="S30" s="35"/>
      <c r="T30" s="31"/>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7">
      <c r="B34" s="1"/>
      <c r="C34" s="1"/>
      <c r="D34" s="1"/>
      <c r="E34" s="1"/>
      <c r="F34" s="1"/>
      <c r="G34" s="1"/>
      <c r="H34" s="1"/>
      <c r="I34" s="1"/>
      <c r="J34" s="1"/>
      <c r="K34" s="1"/>
      <c r="L34" s="1"/>
      <c r="M34" s="1"/>
      <c r="N34" s="1"/>
      <c r="O34" s="1"/>
      <c r="P34" s="1"/>
      <c r="Q34" s="1"/>
      <c r="R34" s="1"/>
      <c r="S34" s="1"/>
      <c r="T34" s="1"/>
      <c r="V34" s="56" t="s">
        <v>61</v>
      </c>
      <c r="W34" s="56" t="s">
        <v>62</v>
      </c>
      <c r="X34" s="11"/>
      <c r="Y34" s="56" t="s">
        <v>61</v>
      </c>
      <c r="Z34" s="56" t="s">
        <v>62</v>
      </c>
    </row>
    <row r="35" spans="1:27">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7">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7">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7">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7">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7">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7">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7">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7">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7">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7">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7">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row>
    <row r="47" spans="1:27">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c r="AA47" s="9"/>
    </row>
    <row r="48" spans="1:27">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c r="AA48" s="9"/>
    </row>
    <row r="49" spans="2:27">
      <c r="B49" s="1"/>
      <c r="C49" s="1"/>
      <c r="D49" s="1"/>
      <c r="E49" s="1"/>
      <c r="F49" s="1"/>
      <c r="G49" s="1"/>
      <c r="H49" s="1"/>
      <c r="I49" s="1"/>
      <c r="J49" s="1"/>
      <c r="K49" s="1"/>
      <c r="L49" s="1"/>
      <c r="M49" s="1"/>
      <c r="N49" s="1"/>
      <c r="O49" s="1"/>
      <c r="P49" s="1"/>
      <c r="Q49" s="1"/>
      <c r="R49" s="1"/>
      <c r="S49" s="1"/>
      <c r="T49" s="1"/>
      <c r="V49" s="244" t="s">
        <v>445</v>
      </c>
      <c r="W49" s="244" t="s">
        <v>462</v>
      </c>
      <c r="X49" s="9"/>
      <c r="Y49" s="244" t="s">
        <v>445</v>
      </c>
      <c r="Z49" s="244" t="s">
        <v>462</v>
      </c>
      <c r="AA49" s="9"/>
    </row>
    <row r="50" spans="2:27">
      <c r="B50" s="1"/>
      <c r="C50" s="1"/>
      <c r="D50" s="1"/>
      <c r="E50" s="1"/>
      <c r="F50" s="1"/>
      <c r="G50" s="1"/>
      <c r="H50" s="1"/>
      <c r="I50" s="1"/>
      <c r="J50" s="1"/>
      <c r="K50" s="1"/>
      <c r="L50" s="1"/>
      <c r="M50" s="1"/>
      <c r="N50" s="1"/>
      <c r="O50" s="1"/>
      <c r="P50" s="1"/>
      <c r="Q50" s="1"/>
      <c r="R50" s="1"/>
      <c r="S50" s="1"/>
      <c r="T50" s="1"/>
      <c r="V50" s="246" t="s">
        <v>446</v>
      </c>
      <c r="W50" s="244" t="s">
        <v>463</v>
      </c>
      <c r="X50" s="9"/>
      <c r="Y50" s="246" t="s">
        <v>446</v>
      </c>
      <c r="Z50" s="244" t="s">
        <v>463</v>
      </c>
      <c r="AA50" s="9"/>
    </row>
    <row r="51" spans="2:27">
      <c r="B51" s="1"/>
      <c r="C51" s="1"/>
      <c r="D51" s="1"/>
      <c r="E51" s="1"/>
      <c r="F51" s="1"/>
      <c r="G51" s="1"/>
      <c r="H51" s="1"/>
      <c r="I51" s="1"/>
      <c r="J51" s="1"/>
      <c r="K51" s="1"/>
      <c r="L51" s="1"/>
      <c r="M51" s="1"/>
      <c r="N51" s="1"/>
      <c r="O51" s="1"/>
      <c r="P51" s="1"/>
      <c r="Q51" s="1"/>
      <c r="R51" s="1"/>
      <c r="S51" s="1"/>
      <c r="T51" s="1"/>
      <c r="V51" s="247" t="s">
        <v>447</v>
      </c>
      <c r="W51" s="244" t="s">
        <v>464</v>
      </c>
      <c r="X51" s="9"/>
      <c r="Y51" s="247" t="s">
        <v>447</v>
      </c>
      <c r="Z51" s="244" t="s">
        <v>464</v>
      </c>
      <c r="AA51" s="9"/>
    </row>
    <row r="52" spans="2:27">
      <c r="B52" s="1"/>
      <c r="C52" s="1"/>
      <c r="D52" s="1"/>
      <c r="E52" s="1"/>
      <c r="F52" s="1"/>
      <c r="G52" s="1"/>
      <c r="H52" s="1"/>
      <c r="I52" s="1"/>
      <c r="J52" s="1"/>
      <c r="K52" s="1"/>
      <c r="L52" s="1"/>
      <c r="M52" s="1"/>
      <c r="N52" s="1"/>
      <c r="O52" s="1"/>
      <c r="P52" s="1"/>
      <c r="Q52" s="1"/>
      <c r="R52" s="1"/>
      <c r="S52" s="1"/>
      <c r="T52" s="1"/>
      <c r="V52" s="295"/>
      <c r="W52" s="244" t="s">
        <v>465</v>
      </c>
      <c r="X52" s="9"/>
      <c r="Y52" s="284"/>
      <c r="Z52" s="244" t="s">
        <v>465</v>
      </c>
      <c r="AA52" s="9"/>
    </row>
    <row r="53" spans="2:27">
      <c r="B53" s="1"/>
      <c r="C53" s="1"/>
      <c r="D53" s="1"/>
      <c r="E53" s="1"/>
      <c r="F53" s="1"/>
      <c r="G53" s="1"/>
      <c r="H53" s="1"/>
      <c r="I53" s="1"/>
      <c r="J53" s="1"/>
      <c r="K53" s="1"/>
      <c r="L53" s="1"/>
      <c r="M53" s="1"/>
      <c r="N53" s="1"/>
      <c r="O53" s="1"/>
      <c r="P53" s="1"/>
      <c r="Q53" s="1"/>
      <c r="R53" s="1"/>
      <c r="S53" s="1"/>
      <c r="T53" s="1"/>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row r="56" spans="2:27">
      <c r="V56" s="9"/>
      <c r="W56" s="9"/>
      <c r="X56" s="9"/>
      <c r="Y56" s="9"/>
      <c r="Z56" s="9"/>
      <c r="AA56" s="9"/>
    </row>
  </sheetData>
  <mergeCells count="24">
    <mergeCell ref="B11:L11"/>
    <mergeCell ref="C12:L12"/>
    <mergeCell ref="C13:L13"/>
    <mergeCell ref="C14:L14"/>
    <mergeCell ref="B3:T3"/>
    <mergeCell ref="B4:T4"/>
    <mergeCell ref="B5:T5"/>
    <mergeCell ref="R7:T7"/>
    <mergeCell ref="B9:L9"/>
    <mergeCell ref="N9:T9"/>
    <mergeCell ref="Y32:Z32"/>
    <mergeCell ref="Y33:Z33"/>
    <mergeCell ref="V33:W33"/>
    <mergeCell ref="C15:L15"/>
    <mergeCell ref="B17:L17"/>
    <mergeCell ref="C18:L18"/>
    <mergeCell ref="C19:L19"/>
    <mergeCell ref="C20:L20"/>
    <mergeCell ref="D21:L22"/>
    <mergeCell ref="C23:L25"/>
    <mergeCell ref="C26:L28"/>
    <mergeCell ref="C29:L30"/>
    <mergeCell ref="B32:T32"/>
    <mergeCell ref="V32:W32"/>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B49073"/>
  </sheetPr>
  <dimension ref="A1:BQ142"/>
  <sheetViews>
    <sheetView showGridLines="0" showRowColHeaders="0" zoomScale="70" zoomScaleNormal="70" workbookViewId="0"/>
  </sheetViews>
  <sheetFormatPr defaultRowHeight="14.25"/>
  <cols>
    <col min="1" max="1" width="15.796875" customWidth="1"/>
    <col min="2" max="2" width="26.796875" customWidth="1"/>
    <col min="3" max="32" width="15.796875" customWidth="1"/>
    <col min="33" max="66" width="12.796875" customWidth="1"/>
  </cols>
  <sheetData>
    <row r="1" spans="1:59" ht="15.75">
      <c r="A1" s="26" t="s">
        <v>265</v>
      </c>
      <c r="B1" s="84"/>
      <c r="C1" s="84"/>
      <c r="D1" s="84"/>
      <c r="E1" s="84"/>
      <c r="F1" s="84"/>
      <c r="G1" s="84"/>
      <c r="H1" s="84"/>
      <c r="J1" s="114" t="s">
        <v>272</v>
      </c>
    </row>
    <row r="2" spans="1:59" ht="15.75">
      <c r="A2" s="26" t="s">
        <v>34</v>
      </c>
      <c r="D2" s="27">
        <v>42977</v>
      </c>
      <c r="K2" s="342" t="s">
        <v>44</v>
      </c>
      <c r="L2" s="342"/>
      <c r="M2" s="342"/>
    </row>
    <row r="3" spans="1:59" ht="23.25">
      <c r="A3" s="354" t="s">
        <v>7</v>
      </c>
      <c r="B3" s="354"/>
      <c r="C3" s="354"/>
      <c r="D3" s="354"/>
      <c r="E3" s="354"/>
      <c r="F3" s="354"/>
      <c r="G3" s="354"/>
      <c r="H3" s="354"/>
      <c r="I3" s="198"/>
      <c r="J3" s="198"/>
      <c r="K3" s="198"/>
      <c r="L3" s="198"/>
      <c r="M3" s="198"/>
    </row>
    <row r="4" spans="1:59">
      <c r="A4" s="119"/>
      <c r="B4" s="119"/>
      <c r="C4" s="119"/>
      <c r="D4" s="119"/>
      <c r="E4" s="119"/>
      <c r="F4" s="119"/>
      <c r="G4" s="119"/>
      <c r="H4" s="119"/>
      <c r="I4" s="119"/>
      <c r="J4" s="119"/>
      <c r="K4" s="119"/>
      <c r="L4" s="119"/>
      <c r="M4" s="119"/>
    </row>
    <row r="5" spans="1:59">
      <c r="A5" s="119"/>
      <c r="B5" s="352" t="s">
        <v>374</v>
      </c>
      <c r="C5" s="352"/>
      <c r="D5" s="352"/>
      <c r="E5" s="352"/>
      <c r="F5" s="352"/>
      <c r="G5" s="352"/>
      <c r="H5" s="352"/>
      <c r="I5" s="352"/>
      <c r="J5" s="352"/>
      <c r="K5" s="352"/>
      <c r="L5" s="352"/>
      <c r="M5" s="119"/>
    </row>
    <row r="6" spans="1:59">
      <c r="A6" s="119"/>
      <c r="B6" s="352" t="s">
        <v>360</v>
      </c>
      <c r="C6" s="352"/>
      <c r="D6" s="352"/>
      <c r="E6" s="352"/>
      <c r="F6" s="352"/>
      <c r="G6" s="352"/>
      <c r="H6" s="352"/>
      <c r="I6" s="352"/>
      <c r="J6" s="352"/>
      <c r="K6" s="352"/>
      <c r="L6" s="352"/>
      <c r="M6" s="119"/>
    </row>
    <row r="7" spans="1:59">
      <c r="A7" s="119"/>
      <c r="B7" s="353" t="s">
        <v>596</v>
      </c>
      <c r="C7" s="353"/>
      <c r="D7" s="353"/>
      <c r="E7" s="353"/>
      <c r="F7" s="353"/>
      <c r="G7" s="353"/>
      <c r="H7" s="353"/>
      <c r="I7" s="353"/>
      <c r="J7" s="353"/>
      <c r="K7" s="353"/>
      <c r="L7" s="353"/>
      <c r="M7" s="119"/>
    </row>
    <row r="8" spans="1:59">
      <c r="A8" s="119"/>
      <c r="B8" s="353" t="s">
        <v>597</v>
      </c>
      <c r="C8" s="353"/>
      <c r="D8" s="353"/>
      <c r="E8" s="353"/>
      <c r="F8" s="353"/>
      <c r="G8" s="353"/>
      <c r="H8" s="353"/>
      <c r="I8" s="353"/>
      <c r="J8" s="353"/>
      <c r="K8" s="353"/>
      <c r="L8" s="353"/>
      <c r="M8" s="119"/>
    </row>
    <row r="9" spans="1:59">
      <c r="A9" s="119"/>
      <c r="B9" s="353"/>
      <c r="C9" s="353"/>
      <c r="D9" s="353"/>
      <c r="E9" s="353"/>
      <c r="F9" s="353"/>
      <c r="G9" s="353"/>
      <c r="H9" s="353"/>
      <c r="I9" s="353"/>
      <c r="J9" s="353"/>
      <c r="K9" s="353"/>
      <c r="L9" s="353"/>
      <c r="M9" s="119"/>
    </row>
    <row r="10" spans="1:59" ht="15.75">
      <c r="A10" s="26"/>
      <c r="D10" s="27"/>
    </row>
    <row r="11" spans="1:59">
      <c r="A11" s="133" t="s">
        <v>2</v>
      </c>
      <c r="B11" s="133" t="s">
        <v>3</v>
      </c>
      <c r="C11" s="133" t="s">
        <v>159</v>
      </c>
      <c r="D11" s="133" t="s">
        <v>194</v>
      </c>
      <c r="E11" s="133" t="s">
        <v>189</v>
      </c>
      <c r="F11" s="133" t="s">
        <v>184</v>
      </c>
      <c r="G11" s="133" t="s">
        <v>182</v>
      </c>
      <c r="H11" s="133" t="s">
        <v>163</v>
      </c>
      <c r="I11" s="133" t="s">
        <v>164</v>
      </c>
      <c r="J11" s="133" t="s">
        <v>143</v>
      </c>
      <c r="K11" s="133" t="s">
        <v>165</v>
      </c>
      <c r="L11" s="133" t="s">
        <v>154</v>
      </c>
      <c r="M11" s="133" t="s">
        <v>167</v>
      </c>
      <c r="N11" s="133" t="s">
        <v>181</v>
      </c>
      <c r="O11" s="133" t="s">
        <v>168</v>
      </c>
      <c r="P11" s="133" t="s">
        <v>169</v>
      </c>
      <c r="Q11" s="133" t="s">
        <v>160</v>
      </c>
      <c r="R11" s="133" t="s">
        <v>179</v>
      </c>
      <c r="S11" s="133" t="s">
        <v>170</v>
      </c>
      <c r="T11" s="133" t="s">
        <v>152</v>
      </c>
      <c r="U11" s="133" t="s">
        <v>146</v>
      </c>
      <c r="V11" s="133" t="s">
        <v>171</v>
      </c>
      <c r="W11" s="133" t="s">
        <v>185</v>
      </c>
      <c r="X11" s="133" t="s">
        <v>142</v>
      </c>
      <c r="Y11" s="133" t="s">
        <v>148</v>
      </c>
      <c r="Z11" s="133" t="s">
        <v>156</v>
      </c>
      <c r="AA11" s="133" t="s">
        <v>149</v>
      </c>
      <c r="AB11" s="133" t="s">
        <v>157</v>
      </c>
      <c r="AC11" s="133" t="s">
        <v>172</v>
      </c>
      <c r="AD11" s="133" t="s">
        <v>173</v>
      </c>
      <c r="AE11" s="133" t="s">
        <v>147</v>
      </c>
      <c r="AF11" s="133" t="s">
        <v>193</v>
      </c>
      <c r="AG11" s="133" t="s">
        <v>190</v>
      </c>
      <c r="AH11" s="133" t="s">
        <v>187</v>
      </c>
      <c r="AI11" s="133" t="s">
        <v>145</v>
      </c>
      <c r="AJ11" s="133" t="s">
        <v>174</v>
      </c>
      <c r="AK11" s="133" t="s">
        <v>175</v>
      </c>
      <c r="AL11" s="133" t="s">
        <v>161</v>
      </c>
      <c r="AM11" s="133" t="s">
        <v>186</v>
      </c>
      <c r="AN11" s="133" t="s">
        <v>191</v>
      </c>
      <c r="AO11" s="133" t="s">
        <v>176</v>
      </c>
      <c r="AP11" s="133" t="s">
        <v>150</v>
      </c>
      <c r="AQ11" s="133" t="s">
        <v>183</v>
      </c>
      <c r="AR11" s="133" t="s">
        <v>177</v>
      </c>
      <c r="AS11" s="133" t="s">
        <v>180</v>
      </c>
      <c r="AT11" s="133" t="s">
        <v>151</v>
      </c>
      <c r="AU11" s="133" t="s">
        <v>144</v>
      </c>
      <c r="AV11" s="133" t="s">
        <v>192</v>
      </c>
      <c r="AW11" s="133" t="s">
        <v>268</v>
      </c>
      <c r="AX11" s="133" t="s">
        <v>269</v>
      </c>
      <c r="AY11" s="133" t="s">
        <v>270</v>
      </c>
      <c r="AZ11" s="133" t="s">
        <v>271</v>
      </c>
      <c r="BA11" s="133" t="s">
        <v>209</v>
      </c>
      <c r="BB11" s="43"/>
      <c r="BC11" s="43"/>
      <c r="BD11" s="43"/>
      <c r="BE11" s="43"/>
      <c r="BF11" s="43"/>
      <c r="BG11" s="9"/>
    </row>
    <row r="12" spans="1:59">
      <c r="A12" s="2">
        <v>2016</v>
      </c>
      <c r="B12" t="s">
        <v>5</v>
      </c>
      <c r="C12" s="79">
        <f>0.01*$C$47</f>
        <v>6.9620253164556958E-2</v>
      </c>
      <c r="D12" s="79">
        <f>0.01*$C$48</f>
        <v>5.4347826086956527E-2</v>
      </c>
      <c r="E12" s="79">
        <f>0.01*$C$49</f>
        <v>0</v>
      </c>
      <c r="F12" s="79">
        <f>0.01*$C$50</f>
        <v>0</v>
      </c>
      <c r="G12" s="79">
        <f>0.01*$C$51</f>
        <v>9.0425531914893637E-2</v>
      </c>
      <c r="H12" s="79">
        <f>0.01*$C$52</f>
        <v>0</v>
      </c>
      <c r="I12" s="79">
        <f>0.01*$C$53</f>
        <v>5.6338028169014093E-2</v>
      </c>
      <c r="J12" s="79">
        <f>0.01*$C$54</f>
        <v>0</v>
      </c>
      <c r="K12" s="79">
        <f>0.01*$C$55</f>
        <v>0</v>
      </c>
      <c r="L12" s="79">
        <f>0.01*$C$56</f>
        <v>6.1168760240305854E-2</v>
      </c>
      <c r="M12" s="79">
        <f>0.01*$C$57</f>
        <v>5.6603773584905669E-2</v>
      </c>
      <c r="N12" s="79">
        <f>0.01*$C$58</f>
        <v>0</v>
      </c>
      <c r="O12" s="79">
        <f>0.01*$C$59</f>
        <v>0</v>
      </c>
      <c r="P12" s="79">
        <f>0.01*$C$60</f>
        <v>0</v>
      </c>
      <c r="Q12" s="79">
        <f>0.01*$C$61</f>
        <v>6.535947712418301E-2</v>
      </c>
      <c r="R12" s="79">
        <f>0.01*$C$62</f>
        <v>0.11046511627906977</v>
      </c>
      <c r="S12" s="79">
        <f>0.01*$C$63</f>
        <v>6.1349693251533742E-2</v>
      </c>
      <c r="T12" s="79">
        <f>0.01*$C$64</f>
        <v>6.6666666666666666E-2</v>
      </c>
      <c r="U12" s="79">
        <f>0.01*$C$65</f>
        <v>0</v>
      </c>
      <c r="V12" s="79">
        <f>0.01*$C$66</f>
        <v>0.16161616161616163</v>
      </c>
      <c r="W12" s="79">
        <f>0.01*$C$67</f>
        <v>8.5889570552147243E-2</v>
      </c>
      <c r="X12" s="79">
        <f>0.01*$C$68</f>
        <v>0</v>
      </c>
      <c r="Y12" s="79">
        <f>0.01*$C$69</f>
        <v>0</v>
      </c>
      <c r="Z12" s="79">
        <f>0.01*$C$70</f>
        <v>9.6153846153846173E-2</v>
      </c>
      <c r="AA12" s="79">
        <f>0.01*$C$71</f>
        <v>0.14754098360655737</v>
      </c>
      <c r="AB12" s="79">
        <f>0.01*$C$72</f>
        <v>8.0213903743315509E-2</v>
      </c>
      <c r="AC12" s="79">
        <f>0.01*$C$73</f>
        <v>0.1111111111111111</v>
      </c>
      <c r="AD12" s="79">
        <f>0.01*$C$74</f>
        <v>8.256880733944956E-2</v>
      </c>
      <c r="AE12" s="79">
        <f>0.01*$C$75</f>
        <v>0</v>
      </c>
      <c r="AF12" s="79">
        <f>0.01*$C$76</f>
        <v>9.9173553719008267E-2</v>
      </c>
      <c r="AG12" s="79">
        <f>0.01*$C$77</f>
        <v>0</v>
      </c>
      <c r="AH12" s="79">
        <f>0.01*$C$78</f>
        <v>0</v>
      </c>
      <c r="AI12" s="79">
        <f>0.01*$C$79</f>
        <v>0.1276595744680851</v>
      </c>
      <c r="AJ12" s="79">
        <f>0.01*$C$80</f>
        <v>0</v>
      </c>
      <c r="AK12" s="79">
        <f>0.01*$C$81</f>
        <v>5.2631578947368418E-2</v>
      </c>
      <c r="AL12" s="79">
        <f>0.01*$C$82</f>
        <v>8.6206896551724144E-2</v>
      </c>
      <c r="AM12" s="79">
        <f>0.01*$C$83</f>
        <v>0.14285714285714285</v>
      </c>
      <c r="AN12" s="79">
        <f>0.01*$C$84</f>
        <v>7.3800738007380073E-2</v>
      </c>
      <c r="AO12" s="79">
        <f>0.01*$C$85</f>
        <v>0</v>
      </c>
      <c r="AP12" s="79">
        <f>0.01*$C$86</f>
        <v>2.3166023166023165E-2</v>
      </c>
      <c r="AQ12" s="79">
        <f>0.01*$C$87</f>
        <v>8.771929824561403E-2</v>
      </c>
      <c r="AR12" s="79">
        <f>0.01*$C$88</f>
        <v>9.2307692307692313E-2</v>
      </c>
      <c r="AS12" s="79">
        <f>0.01*$C$89</f>
        <v>0</v>
      </c>
      <c r="AT12" s="79">
        <f>0.01*$C$90</f>
        <v>0.10169491525423731</v>
      </c>
      <c r="AU12" s="79">
        <f>0.01*$C$91</f>
        <v>0</v>
      </c>
      <c r="AV12" s="79">
        <f>0.01*$C$92</f>
        <v>0.13333333333333333</v>
      </c>
      <c r="AW12" s="79">
        <f>0.01*$C$94</f>
        <v>8.1414473684210537E-2</v>
      </c>
      <c r="AX12" s="79">
        <f>0.01*$C$95</f>
        <v>7.0829450139794969E-2</v>
      </c>
      <c r="AY12" s="79">
        <f>0.01*$C$96</f>
        <v>8.755760368663594E-2</v>
      </c>
      <c r="AZ12" s="79">
        <f>0.01*$C$97</f>
        <v>9.5346197502837682E-2</v>
      </c>
      <c r="BA12" s="79">
        <f>0.01*$C$98</f>
        <v>7.9595015576323994E-2</v>
      </c>
      <c r="BB12" s="174"/>
      <c r="BC12" s="174"/>
      <c r="BD12" s="174"/>
      <c r="BE12" s="174"/>
      <c r="BF12" s="174"/>
      <c r="BG12" s="9"/>
    </row>
    <row r="13" spans="1:59">
      <c r="A13">
        <v>2016</v>
      </c>
      <c r="B13" t="s">
        <v>6</v>
      </c>
      <c r="C13" s="79">
        <f>0.01*$D$47</f>
        <v>9.3525179856115109E-2</v>
      </c>
      <c r="D13" s="79">
        <f>0.01*$D$48</f>
        <v>4.2857142857142858E-2</v>
      </c>
      <c r="E13" s="79">
        <f>0.01*$D$49</f>
        <v>0</v>
      </c>
      <c r="F13" s="79">
        <f>0.01*$D$50</f>
        <v>0</v>
      </c>
      <c r="G13" s="79">
        <f>0.01*$D$51</f>
        <v>8.3123425692695221E-2</v>
      </c>
      <c r="H13" s="79">
        <f>0.01*$D$52</f>
        <v>0</v>
      </c>
      <c r="I13" s="79">
        <f>0.01*$D$53</f>
        <v>0.11612903225806452</v>
      </c>
      <c r="J13" s="79">
        <f>0.01*$D$54</f>
        <v>0</v>
      </c>
      <c r="K13" s="79">
        <f>0.01*$D$55</f>
        <v>0</v>
      </c>
      <c r="L13" s="79">
        <f>0.01*$D$56</f>
        <v>8.670181605155243E-2</v>
      </c>
      <c r="M13" s="79">
        <f>0.01*$D$57</f>
        <v>3.5714285714285712E-2</v>
      </c>
      <c r="N13" s="79">
        <f>0.01*$D$58</f>
        <v>0</v>
      </c>
      <c r="O13" s="79">
        <f>0.01*$D$59</f>
        <v>0</v>
      </c>
      <c r="P13" s="79">
        <f>0.01*$D$60</f>
        <v>0</v>
      </c>
      <c r="Q13" s="79">
        <f>0.01*$D$61</f>
        <v>5.2631578947368418E-2</v>
      </c>
      <c r="R13" s="79">
        <f>0.01*$D$62</f>
        <v>0.14374999999999999</v>
      </c>
      <c r="S13" s="79">
        <f>0.01*$D$63</f>
        <v>7.1428571428571425E-2</v>
      </c>
      <c r="T13" s="79">
        <f>0.01*$D$64</f>
        <v>0.2</v>
      </c>
      <c r="U13" s="79">
        <f>0.01*$D$65</f>
        <v>0</v>
      </c>
      <c r="V13" s="79">
        <f>0.01*$D$66</f>
        <v>0.12790697674418605</v>
      </c>
      <c r="W13" s="79">
        <f>0.01*$D$67</f>
        <v>8.9041095890410954E-2</v>
      </c>
      <c r="X13" s="79">
        <f>0.01*$D$68</f>
        <v>0</v>
      </c>
      <c r="Y13" s="79">
        <f>0.01*$D$69</f>
        <v>0</v>
      </c>
      <c r="Z13" s="79">
        <f>0.01*$D$70</f>
        <v>8.984375E-2</v>
      </c>
      <c r="AA13" s="79">
        <f>0.01*$D$71</f>
        <v>0.13207547169811321</v>
      </c>
      <c r="AB13" s="79">
        <f>0.01*$D$72</f>
        <v>8.8757396449704137E-2</v>
      </c>
      <c r="AC13" s="79">
        <f>0.01*$D$73</f>
        <v>0.11363636363636363</v>
      </c>
      <c r="AD13" s="79">
        <f>0.01*$D$74</f>
        <v>8.7179487179487175E-2</v>
      </c>
      <c r="AE13" s="79">
        <f>0.01*$D$75</f>
        <v>0</v>
      </c>
      <c r="AF13" s="79">
        <f>0.01*$D$76</f>
        <v>0.17142857142857143</v>
      </c>
      <c r="AG13" s="79">
        <f>0.01*$D$77</f>
        <v>0</v>
      </c>
      <c r="AH13" s="79">
        <f>0.01*$D$78</f>
        <v>0</v>
      </c>
      <c r="AI13" s="79">
        <f>0.01*$D$79</f>
        <v>8.3333333333333329E-2</v>
      </c>
      <c r="AJ13" s="79">
        <f>0.01*$D$80</f>
        <v>0</v>
      </c>
      <c r="AK13" s="79">
        <f>0.01*$D$81</f>
        <v>5.4545454545454543E-2</v>
      </c>
      <c r="AL13" s="79">
        <f>0.01*$D$82</f>
        <v>0.30612244897959184</v>
      </c>
      <c r="AM13" s="79">
        <f>0.01*$D$83</f>
        <v>8.6956521739130432E-2</v>
      </c>
      <c r="AN13" s="79">
        <f>0.01*$D$84</f>
        <v>9.1346153846153841E-2</v>
      </c>
      <c r="AO13" s="79">
        <f>0.01*$D$85</f>
        <v>0</v>
      </c>
      <c r="AP13" s="79">
        <f>0.01*$D$86</f>
        <v>4.2857142857142858E-2</v>
      </c>
      <c r="AQ13" s="79">
        <f>0.01*$D$87</f>
        <v>0.11</v>
      </c>
      <c r="AR13" s="79">
        <f>0.01*$D$88</f>
        <v>0.1</v>
      </c>
      <c r="AS13" s="79">
        <f>0.01*$D$89</f>
        <v>0</v>
      </c>
      <c r="AT13" s="79">
        <f>0.01*$D$90</f>
        <v>6.6265060240963861E-2</v>
      </c>
      <c r="AU13" s="79">
        <f>0.01*$D$91</f>
        <v>0.12</v>
      </c>
      <c r="AV13" s="79">
        <f>0.01*$D$92</f>
        <v>0.23404255319148937</v>
      </c>
      <c r="AW13" s="79">
        <f>0.01*$D$94</f>
        <v>9.1269841269841265E-2</v>
      </c>
      <c r="AX13" s="79">
        <f>0.01*$D$95</f>
        <v>9.8184263618022863E-2</v>
      </c>
      <c r="AY13" s="79">
        <f>0.01*$D$96</f>
        <v>8.7976539589442834E-2</v>
      </c>
      <c r="AZ13" s="79">
        <f>0.01*$D$97</f>
        <v>8.2159624413145546E-2</v>
      </c>
      <c r="BA13" s="79">
        <f>0.01*$D$98</f>
        <v>9.2532743663888417E-2</v>
      </c>
      <c r="BB13" s="174"/>
      <c r="BC13" s="174"/>
      <c r="BD13" s="174"/>
      <c r="BE13" s="174"/>
      <c r="BF13" s="174"/>
      <c r="BG13" s="9"/>
    </row>
    <row r="14" spans="1:59">
      <c r="A14" s="2">
        <v>2016</v>
      </c>
      <c r="B14" t="s">
        <v>42</v>
      </c>
      <c r="C14" s="79">
        <f>0.01*$E$47</f>
        <v>7.8431372549019607E-2</v>
      </c>
      <c r="D14" s="79">
        <f>0.01*$E$48</f>
        <v>4.8929663608562692E-2</v>
      </c>
      <c r="E14" s="79">
        <f>0.01*$E$49</f>
        <v>8.2352941176470587E-2</v>
      </c>
      <c r="F14" s="79">
        <f>0.01*$E$50</f>
        <v>5.128205128205128E-2</v>
      </c>
      <c r="G14" s="79">
        <f>0.01*$E$51</f>
        <v>8.7121212121212127E-2</v>
      </c>
      <c r="H14" s="79">
        <f>0.01*$E$52</f>
        <v>3.8461538461538464E-2</v>
      </c>
      <c r="I14" s="79">
        <f>0.01*$E$53</f>
        <v>8.6666666666666684E-2</v>
      </c>
      <c r="J14" s="79">
        <f>0.01*$E$54</f>
        <v>8.9285714285714288E-2</v>
      </c>
      <c r="K14" s="79">
        <f>0.01*$E$55</f>
        <v>0.02</v>
      </c>
      <c r="L14" s="79">
        <f>0.01*$E$56</f>
        <v>7.5331125827814566E-2</v>
      </c>
      <c r="M14" s="79">
        <f>0.01*$E$57</f>
        <v>4.504504504504505E-2</v>
      </c>
      <c r="N14" s="79">
        <f>0.01*$E$58</f>
        <v>5.4794520547945202E-2</v>
      </c>
      <c r="O14" s="79">
        <f>0.01*$E$59</f>
        <v>0.12</v>
      </c>
      <c r="P14" s="79">
        <f>0.01*$E$60</f>
        <v>0.26923076923076922</v>
      </c>
      <c r="Q14" s="79">
        <f>0.01*$E$61</f>
        <v>5.8419243986254296E-2</v>
      </c>
      <c r="R14" s="79">
        <f>0.01*$E$62</f>
        <v>0.12609970674486803</v>
      </c>
      <c r="S14" s="79">
        <f>0.01*$E$63</f>
        <v>7.1661237785016291E-2</v>
      </c>
      <c r="T14" s="79">
        <f>0.01*$E$64</f>
        <v>0.14953271028037382</v>
      </c>
      <c r="U14" s="79">
        <f>0.01*$E$65</f>
        <v>0.1702127659574468</v>
      </c>
      <c r="V14" s="79">
        <f>0.01*$E$66</f>
        <v>0.14438502673796791</v>
      </c>
      <c r="W14" s="79">
        <f>0.01*$E$67</f>
        <v>8.7227414330218064E-2</v>
      </c>
      <c r="X14" s="79">
        <f>0.01*$E$68</f>
        <v>0.16</v>
      </c>
      <c r="Y14" s="79">
        <f>0.01*$E$69</f>
        <v>0.15463917525773196</v>
      </c>
      <c r="Z14" s="79">
        <f>0.01*$E$70</f>
        <v>9.3690248565965584E-2</v>
      </c>
      <c r="AA14" s="79">
        <f>0.01*$E$71</f>
        <v>0.13675213675213677</v>
      </c>
      <c r="AB14" s="79">
        <f>0.01*$E$72</f>
        <v>8.1967213114754092E-2</v>
      </c>
      <c r="AC14" s="79">
        <f>0.01*$E$73</f>
        <v>0.11046511627906977</v>
      </c>
      <c r="AD14" s="79">
        <f>0.01*$E$74</f>
        <v>8.3732057416267949E-2</v>
      </c>
      <c r="AE14" s="79">
        <f>0.01*$E$75</f>
        <v>0.109375</v>
      </c>
      <c r="AF14" s="79">
        <f>0.01*$E$76</f>
        <v>0.13617021276595745</v>
      </c>
      <c r="AG14" s="79">
        <f>0.01*$E$77</f>
        <v>7.476635514018691E-2</v>
      </c>
      <c r="AH14" s="79">
        <f>0.01*$E$78</f>
        <v>8.247422680412371E-2</v>
      </c>
      <c r="AI14" s="79">
        <f>0.01*$E$79</f>
        <v>0.10416666666666669</v>
      </c>
      <c r="AJ14" s="79">
        <f>0.01*$E$80</f>
        <v>5.9701492537313432E-2</v>
      </c>
      <c r="AK14" s="79">
        <f>0.01*$E$81</f>
        <v>5.2631578947368418E-2</v>
      </c>
      <c r="AL14" s="79">
        <f>0.01*$E$82</f>
        <v>0.18260869565217391</v>
      </c>
      <c r="AM14" s="79">
        <f>0.01*$E$83</f>
        <v>0.11881188118811881</v>
      </c>
      <c r="AN14" s="79">
        <f>0.01*$E$84</f>
        <v>8.5539714867617106E-2</v>
      </c>
      <c r="AO14" s="79">
        <f>0.01*$E$85</f>
        <v>7.6923076923076927E-2</v>
      </c>
      <c r="AP14" s="79">
        <f>0.01*$E$86</f>
        <v>3.3613445378151259E-2</v>
      </c>
      <c r="AQ14" s="79">
        <f>0.01*$E$87</f>
        <v>9.6330275229357804E-2</v>
      </c>
      <c r="AR14" s="79">
        <f>0.01*$E$88</f>
        <v>0.10256410256410256</v>
      </c>
      <c r="AS14" s="79">
        <f>0.01*$E$89</f>
        <v>0.14000000000000001</v>
      </c>
      <c r="AT14" s="79">
        <f>0.01*$E$90</f>
        <v>8.4057971014492749E-2</v>
      </c>
      <c r="AU14" s="79">
        <f>0.01*$E$91</f>
        <v>5.0847457627118654E-2</v>
      </c>
      <c r="AV14" s="79">
        <f>0.01*$E$92</f>
        <v>0.19587628865979384</v>
      </c>
      <c r="AW14" s="79">
        <f>0.01*$E$94</f>
        <v>8.7014134275618368E-2</v>
      </c>
      <c r="AX14" s="79">
        <f>0.01*$E$95</f>
        <v>8.5250551528521901E-2</v>
      </c>
      <c r="AY14" s="79">
        <f>0.01*$E$96</f>
        <v>8.8826554464703153E-2</v>
      </c>
      <c r="AZ14" s="79">
        <f>0.01*$E$97</f>
        <v>8.9887640449438214E-2</v>
      </c>
      <c r="BA14" s="79">
        <f>0.01*$E$98</f>
        <v>8.6946145891337215E-2</v>
      </c>
      <c r="BB14" s="174"/>
      <c r="BC14" s="174"/>
      <c r="BD14" s="174"/>
      <c r="BE14" s="174"/>
      <c r="BF14" s="174"/>
      <c r="BG14" s="9"/>
    </row>
    <row r="15" spans="1:59">
      <c r="A15">
        <v>2017</v>
      </c>
      <c r="B15" t="s">
        <v>5</v>
      </c>
      <c r="C15" s="79" t="e">
        <f>0.01*$F$47</f>
        <v>#DIV/0!</v>
      </c>
      <c r="D15" s="79" t="e">
        <f>0.01*$F$48</f>
        <v>#DIV/0!</v>
      </c>
      <c r="E15" s="79" t="e">
        <f>0.01*$F$49</f>
        <v>#DIV/0!</v>
      </c>
      <c r="F15" s="79" t="e">
        <f>0.01*$F$50</f>
        <v>#DIV/0!</v>
      </c>
      <c r="G15" s="79" t="e">
        <f>0.01*$F$51</f>
        <v>#DIV/0!</v>
      </c>
      <c r="H15" s="79" t="e">
        <f>0.01*$F$52</f>
        <v>#DIV/0!</v>
      </c>
      <c r="I15" s="79" t="e">
        <f>0.01*$F$53</f>
        <v>#DIV/0!</v>
      </c>
      <c r="J15" s="79" t="e">
        <f>0.01*$F$54</f>
        <v>#DIV/0!</v>
      </c>
      <c r="K15" s="79" t="e">
        <f>0.01*$F$55</f>
        <v>#DIV/0!</v>
      </c>
      <c r="L15" s="79" t="e">
        <f>0.01*$F$56</f>
        <v>#DIV/0!</v>
      </c>
      <c r="M15" s="79" t="e">
        <f>0.01*$F$57</f>
        <v>#DIV/0!</v>
      </c>
      <c r="N15" s="79" t="e">
        <f>0.01*$F$58</f>
        <v>#DIV/0!</v>
      </c>
      <c r="O15" s="79" t="e">
        <f>0.01*$F$59</f>
        <v>#DIV/0!</v>
      </c>
      <c r="P15" s="79" t="e">
        <f>0.01*$F$60</f>
        <v>#DIV/0!</v>
      </c>
      <c r="Q15" s="79" t="e">
        <f>0.01*$F$61</f>
        <v>#DIV/0!</v>
      </c>
      <c r="R15" s="79" t="e">
        <f>0.01*$F$62</f>
        <v>#DIV/0!</v>
      </c>
      <c r="S15" s="79" t="e">
        <f>0.01*$F$63</f>
        <v>#DIV/0!</v>
      </c>
      <c r="T15" s="79" t="e">
        <f>0.01*$F$64</f>
        <v>#DIV/0!</v>
      </c>
      <c r="U15" s="79" t="e">
        <f>0.01*$F$65</f>
        <v>#DIV/0!</v>
      </c>
      <c r="V15" s="79" t="e">
        <f>0.01*$F$66</f>
        <v>#DIV/0!</v>
      </c>
      <c r="W15" s="79" t="e">
        <f>0.01*$F$67</f>
        <v>#DIV/0!</v>
      </c>
      <c r="X15" s="79" t="e">
        <f>0.01*$F$68</f>
        <v>#DIV/0!</v>
      </c>
      <c r="Y15" s="79" t="e">
        <f>0.01*$F$69</f>
        <v>#DIV/0!</v>
      </c>
      <c r="Z15" s="79" t="e">
        <f>0.01*$F$70</f>
        <v>#DIV/0!</v>
      </c>
      <c r="AA15" s="79" t="e">
        <f>0.01*$F$71</f>
        <v>#DIV/0!</v>
      </c>
      <c r="AB15" s="79" t="e">
        <f>0.01*$F$72</f>
        <v>#DIV/0!</v>
      </c>
      <c r="AC15" s="79" t="e">
        <f>0.01*$F$73</f>
        <v>#DIV/0!</v>
      </c>
      <c r="AD15" s="79" t="e">
        <f>0.01*$F$74</f>
        <v>#DIV/0!</v>
      </c>
      <c r="AE15" s="79" t="e">
        <f>0.01*$F$75</f>
        <v>#DIV/0!</v>
      </c>
      <c r="AF15" s="79" t="e">
        <f>0.01*$F$76</f>
        <v>#DIV/0!</v>
      </c>
      <c r="AG15" s="79" t="e">
        <f>0.01*$F$77</f>
        <v>#DIV/0!</v>
      </c>
      <c r="AH15" s="79" t="e">
        <f>0.01*$F$78</f>
        <v>#DIV/0!</v>
      </c>
      <c r="AI15" s="79" t="e">
        <f>0.01*$F$79</f>
        <v>#DIV/0!</v>
      </c>
      <c r="AJ15" s="79" t="e">
        <f>0.01*$F$80</f>
        <v>#DIV/0!</v>
      </c>
      <c r="AK15" s="79" t="e">
        <f>0.01*$F$81</f>
        <v>#DIV/0!</v>
      </c>
      <c r="AL15" s="79" t="e">
        <f>0.01*$F$82</f>
        <v>#DIV/0!</v>
      </c>
      <c r="AM15" s="79" t="e">
        <f>0.01*$F$83</f>
        <v>#DIV/0!</v>
      </c>
      <c r="AN15" s="79" t="e">
        <f>0.01*$F$84</f>
        <v>#DIV/0!</v>
      </c>
      <c r="AO15" s="79" t="e">
        <f>0.01*$F$85</f>
        <v>#DIV/0!</v>
      </c>
      <c r="AP15" s="79" t="e">
        <f>0.01*$F$86</f>
        <v>#DIV/0!</v>
      </c>
      <c r="AQ15" s="79" t="e">
        <f>0.01*$F$87</f>
        <v>#DIV/0!</v>
      </c>
      <c r="AR15" s="79" t="e">
        <f>0.01*$F$88</f>
        <v>#DIV/0!</v>
      </c>
      <c r="AS15" s="79" t="e">
        <f>0.01*$F$89</f>
        <v>#DIV/0!</v>
      </c>
      <c r="AT15" s="79" t="e">
        <f>0.01*$F$90</f>
        <v>#DIV/0!</v>
      </c>
      <c r="AU15" s="79" t="e">
        <f>0.01*$F$91</f>
        <v>#DIV/0!</v>
      </c>
      <c r="AV15" s="79" t="e">
        <f>0.01*$F$92</f>
        <v>#DIV/0!</v>
      </c>
      <c r="AW15" s="79" t="e">
        <f>0.01*$F$94</f>
        <v>#DIV/0!</v>
      </c>
      <c r="AX15" s="79" t="e">
        <f>0.01*$F$95</f>
        <v>#DIV/0!</v>
      </c>
      <c r="AY15" s="79" t="e">
        <f>0.01*$F$96</f>
        <v>#DIV/0!</v>
      </c>
      <c r="AZ15" s="79" t="e">
        <f>0.01*$F$97</f>
        <v>#DIV/0!</v>
      </c>
      <c r="BA15" s="79" t="e">
        <f>0.01*$F$98</f>
        <v>#DIV/0!</v>
      </c>
      <c r="BB15" s="174"/>
      <c r="BC15" s="174"/>
      <c r="BD15" s="174"/>
      <c r="BE15" s="174"/>
      <c r="BF15" s="174"/>
      <c r="BG15" s="9"/>
    </row>
    <row r="16" spans="1:59">
      <c r="A16" s="2">
        <v>2017</v>
      </c>
      <c r="B16" t="s">
        <v>6</v>
      </c>
      <c r="C16" s="79" t="e">
        <f>0.01*$G$47</f>
        <v>#DIV/0!</v>
      </c>
      <c r="D16" s="79" t="e">
        <f>0.01*$G$48</f>
        <v>#DIV/0!</v>
      </c>
      <c r="E16" s="79" t="e">
        <f>0.01*$G$49</f>
        <v>#DIV/0!</v>
      </c>
      <c r="F16" s="79" t="e">
        <f>0.01*$G$50</f>
        <v>#DIV/0!</v>
      </c>
      <c r="G16" s="79" t="e">
        <f>0.01*$G$51</f>
        <v>#DIV/0!</v>
      </c>
      <c r="H16" s="79" t="e">
        <f>0.01*$G$52</f>
        <v>#DIV/0!</v>
      </c>
      <c r="I16" s="79" t="e">
        <f>0.01*$G$53</f>
        <v>#DIV/0!</v>
      </c>
      <c r="J16" s="79" t="e">
        <f>0.01*$G$54</f>
        <v>#DIV/0!</v>
      </c>
      <c r="K16" s="79" t="e">
        <f>0.01*$G$55</f>
        <v>#DIV/0!</v>
      </c>
      <c r="L16" s="79" t="e">
        <f>0.01*$G$56</f>
        <v>#DIV/0!</v>
      </c>
      <c r="M16" s="79" t="e">
        <f>0.01*$G$57</f>
        <v>#DIV/0!</v>
      </c>
      <c r="N16" s="79" t="e">
        <f>0.01*$G$58</f>
        <v>#DIV/0!</v>
      </c>
      <c r="O16" s="79" t="e">
        <f>0.01*$G$59</f>
        <v>#DIV/0!</v>
      </c>
      <c r="P16" s="79" t="e">
        <f>0.01*$G$60</f>
        <v>#DIV/0!</v>
      </c>
      <c r="Q16" s="79" t="e">
        <f>0.01*$G$61</f>
        <v>#DIV/0!</v>
      </c>
      <c r="R16" s="79" t="e">
        <f>0.01*$G$62</f>
        <v>#DIV/0!</v>
      </c>
      <c r="S16" s="79" t="e">
        <f>0.01*$G$63</f>
        <v>#DIV/0!</v>
      </c>
      <c r="T16" s="79" t="e">
        <f>0.01*$G$64</f>
        <v>#DIV/0!</v>
      </c>
      <c r="U16" s="79" t="e">
        <f>0.01*$G$65</f>
        <v>#DIV/0!</v>
      </c>
      <c r="V16" s="79" t="e">
        <f>0.01*$G$66</f>
        <v>#DIV/0!</v>
      </c>
      <c r="W16" s="79" t="e">
        <f>0.01*$G$67</f>
        <v>#DIV/0!</v>
      </c>
      <c r="X16" s="79" t="e">
        <f>0.01*$G$68</f>
        <v>#DIV/0!</v>
      </c>
      <c r="Y16" s="79" t="e">
        <f>0.01*$G$69</f>
        <v>#DIV/0!</v>
      </c>
      <c r="Z16" s="79" t="e">
        <f>0.01*$G$70</f>
        <v>#DIV/0!</v>
      </c>
      <c r="AA16" s="79" t="e">
        <f>0.01*$G$71</f>
        <v>#DIV/0!</v>
      </c>
      <c r="AB16" s="79" t="e">
        <f>0.01*$G$72</f>
        <v>#DIV/0!</v>
      </c>
      <c r="AC16" s="79" t="e">
        <f>0.01*$G$73</f>
        <v>#DIV/0!</v>
      </c>
      <c r="AD16" s="79" t="e">
        <f>0.01*$G$74</f>
        <v>#DIV/0!</v>
      </c>
      <c r="AE16" s="79" t="e">
        <f>0.01*$G$75</f>
        <v>#DIV/0!</v>
      </c>
      <c r="AF16" s="79" t="e">
        <f>0.01*$G$76</f>
        <v>#DIV/0!</v>
      </c>
      <c r="AG16" s="79" t="e">
        <f>0.01*$G$77</f>
        <v>#DIV/0!</v>
      </c>
      <c r="AH16" s="79" t="e">
        <f>0.01*$G$78</f>
        <v>#DIV/0!</v>
      </c>
      <c r="AI16" s="79" t="e">
        <f>0.01*$G$79</f>
        <v>#DIV/0!</v>
      </c>
      <c r="AJ16" s="79" t="e">
        <f>0.01*$G$80</f>
        <v>#DIV/0!</v>
      </c>
      <c r="AK16" s="79" t="e">
        <f>0.01*$G$81</f>
        <v>#DIV/0!</v>
      </c>
      <c r="AL16" s="79" t="e">
        <f>0.01*$G$82</f>
        <v>#DIV/0!</v>
      </c>
      <c r="AM16" s="79" t="e">
        <f>0.01*$G$83</f>
        <v>#DIV/0!</v>
      </c>
      <c r="AN16" s="79" t="e">
        <f>0.01*$G$84</f>
        <v>#DIV/0!</v>
      </c>
      <c r="AO16" s="79" t="e">
        <f>0.01*$G$85</f>
        <v>#DIV/0!</v>
      </c>
      <c r="AP16" s="79" t="e">
        <f>0.01*$G$86</f>
        <v>#DIV/0!</v>
      </c>
      <c r="AQ16" s="79" t="e">
        <f>0.01*$G$87</f>
        <v>#DIV/0!</v>
      </c>
      <c r="AR16" s="79" t="e">
        <f>0.01*$G$88</f>
        <v>#DIV/0!</v>
      </c>
      <c r="AS16" s="79" t="e">
        <f>0.01*$G$89</f>
        <v>#DIV/0!</v>
      </c>
      <c r="AT16" s="79" t="e">
        <f>0.01*$G$90</f>
        <v>#DIV/0!</v>
      </c>
      <c r="AU16" s="79" t="e">
        <f>0.01*$G$91</f>
        <v>#DIV/0!</v>
      </c>
      <c r="AV16" s="79" t="e">
        <f>0.01*$G$92</f>
        <v>#DIV/0!</v>
      </c>
      <c r="AW16" s="79" t="e">
        <f>0.01*$G$94</f>
        <v>#DIV/0!</v>
      </c>
      <c r="AX16" s="79" t="e">
        <f>0.01*$G$95</f>
        <v>#DIV/0!</v>
      </c>
      <c r="AY16" s="79" t="e">
        <f>0.01*$G$96</f>
        <v>#DIV/0!</v>
      </c>
      <c r="AZ16" s="79" t="e">
        <f>0.01*$G$97</f>
        <v>#DIV/0!</v>
      </c>
      <c r="BA16" s="79" t="e">
        <f>0.01*$G$98</f>
        <v>#DIV/0!</v>
      </c>
      <c r="BB16" s="174"/>
      <c r="BC16" s="174"/>
      <c r="BD16" s="174"/>
      <c r="BE16" s="174"/>
      <c r="BF16" s="174"/>
      <c r="BG16" s="9"/>
    </row>
    <row r="17" spans="1:59">
      <c r="A17">
        <v>2017</v>
      </c>
      <c r="B17" t="s">
        <v>42</v>
      </c>
      <c r="C17" s="79" t="e">
        <f>0.01*$H$47</f>
        <v>#DIV/0!</v>
      </c>
      <c r="D17" s="79" t="e">
        <f>0.01*$H$48</f>
        <v>#DIV/0!</v>
      </c>
      <c r="E17" s="79" t="e">
        <f>0.01*$H$49</f>
        <v>#DIV/0!</v>
      </c>
      <c r="F17" s="79" t="e">
        <f>0.01*$H$50</f>
        <v>#DIV/0!</v>
      </c>
      <c r="G17" s="79" t="e">
        <f>0.01*$H$51</f>
        <v>#DIV/0!</v>
      </c>
      <c r="H17" s="79" t="e">
        <f>0.01*$H$52</f>
        <v>#DIV/0!</v>
      </c>
      <c r="I17" s="79" t="e">
        <f>0.01*$H$53</f>
        <v>#DIV/0!</v>
      </c>
      <c r="J17" s="79" t="e">
        <f>0.01*$H$54</f>
        <v>#DIV/0!</v>
      </c>
      <c r="K17" s="79" t="e">
        <f>0.01*$H$55</f>
        <v>#DIV/0!</v>
      </c>
      <c r="L17" s="79" t="e">
        <f>0.01*$H$56</f>
        <v>#DIV/0!</v>
      </c>
      <c r="M17" s="79" t="e">
        <f>0.01*$H$57</f>
        <v>#DIV/0!</v>
      </c>
      <c r="N17" s="79" t="e">
        <f>0.01*$H$58</f>
        <v>#DIV/0!</v>
      </c>
      <c r="O17" s="79" t="e">
        <f>0.01*$H$59</f>
        <v>#DIV/0!</v>
      </c>
      <c r="P17" s="79" t="e">
        <f>0.01*$H$60</f>
        <v>#DIV/0!</v>
      </c>
      <c r="Q17" s="79" t="e">
        <f>0.01*$H$61</f>
        <v>#DIV/0!</v>
      </c>
      <c r="R17" s="79" t="e">
        <f>0.01*$H$62</f>
        <v>#DIV/0!</v>
      </c>
      <c r="S17" s="79" t="e">
        <f>0.01*$H$63</f>
        <v>#DIV/0!</v>
      </c>
      <c r="T17" s="79" t="e">
        <f>0.01*$H$64</f>
        <v>#DIV/0!</v>
      </c>
      <c r="U17" s="79" t="e">
        <f>0.01*$H$65</f>
        <v>#DIV/0!</v>
      </c>
      <c r="V17" s="79" t="e">
        <f>0.01*$H$66</f>
        <v>#DIV/0!</v>
      </c>
      <c r="W17" s="79" t="e">
        <f>0.01*$H$67</f>
        <v>#DIV/0!</v>
      </c>
      <c r="X17" s="79" t="e">
        <f>0.01*$H$68</f>
        <v>#DIV/0!</v>
      </c>
      <c r="Y17" s="79" t="e">
        <f>0.01*$H$69</f>
        <v>#DIV/0!</v>
      </c>
      <c r="Z17" s="79" t="e">
        <f>0.01*$H$70</f>
        <v>#DIV/0!</v>
      </c>
      <c r="AA17" s="79" t="e">
        <f>0.01*$H$71</f>
        <v>#DIV/0!</v>
      </c>
      <c r="AB17" s="79" t="e">
        <f>0.01*$H$72</f>
        <v>#DIV/0!</v>
      </c>
      <c r="AC17" s="79" t="e">
        <f>0.01*$H$73</f>
        <v>#DIV/0!</v>
      </c>
      <c r="AD17" s="79" t="e">
        <f>0.01*$H$74</f>
        <v>#DIV/0!</v>
      </c>
      <c r="AE17" s="79" t="e">
        <f>0.01*$H$75</f>
        <v>#DIV/0!</v>
      </c>
      <c r="AF17" s="79" t="e">
        <f>0.01*$H$76</f>
        <v>#DIV/0!</v>
      </c>
      <c r="AG17" s="79" t="e">
        <f>0.01*$H$77</f>
        <v>#DIV/0!</v>
      </c>
      <c r="AH17" s="79" t="e">
        <f>0.01*$H$78</f>
        <v>#DIV/0!</v>
      </c>
      <c r="AI17" s="79" t="e">
        <f>0.01*$H$79</f>
        <v>#DIV/0!</v>
      </c>
      <c r="AJ17" s="79" t="e">
        <f>0.01*$H$80</f>
        <v>#DIV/0!</v>
      </c>
      <c r="AK17" s="79" t="e">
        <f>0.01*$H$81</f>
        <v>#DIV/0!</v>
      </c>
      <c r="AL17" s="79" t="e">
        <f>0.01*$H$82</f>
        <v>#DIV/0!</v>
      </c>
      <c r="AM17" s="79" t="e">
        <f>0.01*$H$83</f>
        <v>#DIV/0!</v>
      </c>
      <c r="AN17" s="79" t="e">
        <f>0.01*$H$84</f>
        <v>#DIV/0!</v>
      </c>
      <c r="AO17" s="79" t="e">
        <f>0.01*$H$85</f>
        <v>#DIV/0!</v>
      </c>
      <c r="AP17" s="79" t="e">
        <f>0.01*$H$86</f>
        <v>#DIV/0!</v>
      </c>
      <c r="AQ17" s="79" t="e">
        <f>0.01*$H$87</f>
        <v>#DIV/0!</v>
      </c>
      <c r="AR17" s="79" t="e">
        <f>0.01*$H$88</f>
        <v>#DIV/0!</v>
      </c>
      <c r="AS17" s="79" t="e">
        <f>0.01*$H$89</f>
        <v>#DIV/0!</v>
      </c>
      <c r="AT17" s="79" t="e">
        <f>0.01*$H$90</f>
        <v>#DIV/0!</v>
      </c>
      <c r="AU17" s="79" t="e">
        <f>0.01*$H$91</f>
        <v>#DIV/0!</v>
      </c>
      <c r="AV17" s="79" t="e">
        <f>0.01*$H$92</f>
        <v>#DIV/0!</v>
      </c>
      <c r="AW17" s="79" t="e">
        <f>0.01*$H$94</f>
        <v>#DIV/0!</v>
      </c>
      <c r="AX17" s="79" t="e">
        <f>0.01*$H$95</f>
        <v>#DIV/0!</v>
      </c>
      <c r="AY17" s="79" t="e">
        <f>0.01*$H$96</f>
        <v>#DIV/0!</v>
      </c>
      <c r="AZ17" s="79" t="e">
        <f>0.01*$H$97</f>
        <v>#DIV/0!</v>
      </c>
      <c r="BA17" s="79" t="e">
        <f>0.01*$H$98</f>
        <v>#DIV/0!</v>
      </c>
      <c r="BB17" s="174"/>
      <c r="BC17" s="174"/>
      <c r="BD17" s="174"/>
      <c r="BE17" s="174"/>
      <c r="BF17" s="174"/>
      <c r="BG17" s="9"/>
    </row>
    <row r="18" spans="1:59">
      <c r="A18" s="2">
        <v>2018</v>
      </c>
      <c r="B18" t="s">
        <v>5</v>
      </c>
      <c r="C18" s="79" t="e">
        <f>0.01*$I$47</f>
        <v>#DIV/0!</v>
      </c>
      <c r="D18" s="79" t="e">
        <f>0.01*$I$48</f>
        <v>#DIV/0!</v>
      </c>
      <c r="E18" s="79" t="e">
        <f>0.01*$I$49</f>
        <v>#DIV/0!</v>
      </c>
      <c r="F18" s="79" t="e">
        <f>0.01*$I$50</f>
        <v>#DIV/0!</v>
      </c>
      <c r="G18" s="79" t="e">
        <f>0.01*$I$51</f>
        <v>#DIV/0!</v>
      </c>
      <c r="H18" s="79" t="e">
        <f>0.01*$I$52</f>
        <v>#DIV/0!</v>
      </c>
      <c r="I18" s="79" t="e">
        <f>0.01*$I$53</f>
        <v>#DIV/0!</v>
      </c>
      <c r="J18" s="79" t="e">
        <f>0.01*$I$54</f>
        <v>#DIV/0!</v>
      </c>
      <c r="K18" s="79" t="e">
        <f>0.01*$I$55</f>
        <v>#DIV/0!</v>
      </c>
      <c r="L18" s="79" t="e">
        <f>0.01*$I$56</f>
        <v>#DIV/0!</v>
      </c>
      <c r="M18" s="79" t="e">
        <f>0.01*$I$57</f>
        <v>#DIV/0!</v>
      </c>
      <c r="N18" s="79" t="e">
        <f>0.01*$I$58</f>
        <v>#DIV/0!</v>
      </c>
      <c r="O18" s="79" t="e">
        <f>0.01*$I$59</f>
        <v>#DIV/0!</v>
      </c>
      <c r="P18" s="79" t="e">
        <f>0.01*$I$60</f>
        <v>#DIV/0!</v>
      </c>
      <c r="Q18" s="79" t="e">
        <f>0.01*$I$61</f>
        <v>#DIV/0!</v>
      </c>
      <c r="R18" s="79" t="e">
        <f>0.01*$I$62</f>
        <v>#DIV/0!</v>
      </c>
      <c r="S18" s="79" t="e">
        <f>0.01*$I$63</f>
        <v>#DIV/0!</v>
      </c>
      <c r="T18" s="79" t="e">
        <f>0.01*$I$64</f>
        <v>#DIV/0!</v>
      </c>
      <c r="U18" s="79" t="e">
        <f>0.01*$I$65</f>
        <v>#DIV/0!</v>
      </c>
      <c r="V18" s="79" t="e">
        <f>0.01*$I$66</f>
        <v>#DIV/0!</v>
      </c>
      <c r="W18" s="79" t="e">
        <f>0.01*$I$67</f>
        <v>#DIV/0!</v>
      </c>
      <c r="X18" s="79" t="e">
        <f>0.01*$I$68</f>
        <v>#DIV/0!</v>
      </c>
      <c r="Y18" s="79" t="e">
        <f>0.01*$I$69</f>
        <v>#DIV/0!</v>
      </c>
      <c r="Z18" s="79" t="e">
        <f>0.01*$I$70</f>
        <v>#DIV/0!</v>
      </c>
      <c r="AA18" s="79" t="e">
        <f>0.01*$I$71</f>
        <v>#DIV/0!</v>
      </c>
      <c r="AB18" s="79" t="e">
        <f>0.01*$I$72</f>
        <v>#DIV/0!</v>
      </c>
      <c r="AC18" s="79" t="e">
        <f>0.01*$I$73</f>
        <v>#DIV/0!</v>
      </c>
      <c r="AD18" s="79" t="e">
        <f>0.01*$I$74</f>
        <v>#DIV/0!</v>
      </c>
      <c r="AE18" s="79" t="e">
        <f>0.01*$I$75</f>
        <v>#DIV/0!</v>
      </c>
      <c r="AF18" s="79" t="e">
        <f>0.01*$I$76</f>
        <v>#DIV/0!</v>
      </c>
      <c r="AG18" s="79" t="e">
        <f>0.01*$I$77</f>
        <v>#DIV/0!</v>
      </c>
      <c r="AH18" s="79" t="e">
        <f>0.01*$I$78</f>
        <v>#DIV/0!</v>
      </c>
      <c r="AI18" s="79" t="e">
        <f>0.01*$I$79</f>
        <v>#DIV/0!</v>
      </c>
      <c r="AJ18" s="79" t="e">
        <f>0.01*$I$80</f>
        <v>#DIV/0!</v>
      </c>
      <c r="AK18" s="79" t="e">
        <f>0.01*$I$81</f>
        <v>#DIV/0!</v>
      </c>
      <c r="AL18" s="79" t="e">
        <f>0.01*$I$82</f>
        <v>#DIV/0!</v>
      </c>
      <c r="AM18" s="79" t="e">
        <f>0.01*$I$83</f>
        <v>#DIV/0!</v>
      </c>
      <c r="AN18" s="79" t="e">
        <f>0.01*$I$84</f>
        <v>#DIV/0!</v>
      </c>
      <c r="AO18" s="79" t="e">
        <f>0.01*$I$85</f>
        <v>#DIV/0!</v>
      </c>
      <c r="AP18" s="79" t="e">
        <f>0.01*$I$86</f>
        <v>#DIV/0!</v>
      </c>
      <c r="AQ18" s="79" t="e">
        <f>0.01*$I$87</f>
        <v>#DIV/0!</v>
      </c>
      <c r="AR18" s="79" t="e">
        <f>0.01*$I$88</f>
        <v>#DIV/0!</v>
      </c>
      <c r="AS18" s="79" t="e">
        <f>0.01*$I$89</f>
        <v>#DIV/0!</v>
      </c>
      <c r="AT18" s="79" t="e">
        <f>0.01*$I$90</f>
        <v>#DIV/0!</v>
      </c>
      <c r="AU18" s="79" t="e">
        <f>0.01*$I$91</f>
        <v>#DIV/0!</v>
      </c>
      <c r="AV18" s="79" t="e">
        <f>0.01*$I$92</f>
        <v>#DIV/0!</v>
      </c>
      <c r="AW18" s="79" t="e">
        <f>0.01*$I$94</f>
        <v>#DIV/0!</v>
      </c>
      <c r="AX18" s="79" t="e">
        <f>0.01*$I$95</f>
        <v>#DIV/0!</v>
      </c>
      <c r="AY18" s="79" t="e">
        <f>0.01*$I$96</f>
        <v>#DIV/0!</v>
      </c>
      <c r="AZ18" s="79" t="e">
        <f>0.01*$I$97</f>
        <v>#DIV/0!</v>
      </c>
      <c r="BA18" s="79" t="e">
        <f>0.01*$I$98</f>
        <v>#DIV/0!</v>
      </c>
      <c r="BB18" s="174"/>
      <c r="BC18" s="174"/>
      <c r="BD18" s="174"/>
      <c r="BE18" s="174"/>
      <c r="BF18" s="174"/>
      <c r="BG18" s="9"/>
    </row>
    <row r="19" spans="1:59">
      <c r="A19">
        <v>2018</v>
      </c>
      <c r="B19" t="s">
        <v>6</v>
      </c>
      <c r="C19" s="79" t="e">
        <f>0.01*$J$47</f>
        <v>#DIV/0!</v>
      </c>
      <c r="D19" s="79" t="e">
        <f>0.01*$J$48</f>
        <v>#DIV/0!</v>
      </c>
      <c r="E19" s="79" t="e">
        <f>0.01*$J$49</f>
        <v>#DIV/0!</v>
      </c>
      <c r="F19" s="79" t="e">
        <f>0.01*$J$50</f>
        <v>#DIV/0!</v>
      </c>
      <c r="G19" s="79" t="e">
        <f>0.01*$J$51</f>
        <v>#DIV/0!</v>
      </c>
      <c r="H19" s="79" t="e">
        <f>0.01*$J$52</f>
        <v>#DIV/0!</v>
      </c>
      <c r="I19" s="79" t="e">
        <f>0.01*$J$53</f>
        <v>#DIV/0!</v>
      </c>
      <c r="J19" s="79" t="e">
        <f>0.01*$J$54</f>
        <v>#DIV/0!</v>
      </c>
      <c r="K19" s="79" t="e">
        <f>0.01*$J$55</f>
        <v>#DIV/0!</v>
      </c>
      <c r="L19" s="79" t="e">
        <f>0.01*$J$56</f>
        <v>#DIV/0!</v>
      </c>
      <c r="M19" s="79" t="e">
        <f>0.01*$J$57</f>
        <v>#DIV/0!</v>
      </c>
      <c r="N19" s="79" t="e">
        <f>0.01*$J$58</f>
        <v>#DIV/0!</v>
      </c>
      <c r="O19" s="79" t="e">
        <f>0.01*$J$59</f>
        <v>#DIV/0!</v>
      </c>
      <c r="P19" s="79" t="e">
        <f>0.01*$J$60</f>
        <v>#DIV/0!</v>
      </c>
      <c r="Q19" s="79" t="e">
        <f>0.01*$J$61</f>
        <v>#DIV/0!</v>
      </c>
      <c r="R19" s="79" t="e">
        <f>0.01*$J$62</f>
        <v>#DIV/0!</v>
      </c>
      <c r="S19" s="79" t="e">
        <f>0.01*$J$63</f>
        <v>#DIV/0!</v>
      </c>
      <c r="T19" s="79" t="e">
        <f>0.01*$J$64</f>
        <v>#DIV/0!</v>
      </c>
      <c r="U19" s="79" t="e">
        <f>0.01*$J$65</f>
        <v>#DIV/0!</v>
      </c>
      <c r="V19" s="79" t="e">
        <f>0.01*$J$66</f>
        <v>#DIV/0!</v>
      </c>
      <c r="W19" s="79" t="e">
        <f>0.01*$J$67</f>
        <v>#DIV/0!</v>
      </c>
      <c r="X19" s="79" t="e">
        <f>0.01*$J$68</f>
        <v>#DIV/0!</v>
      </c>
      <c r="Y19" s="79" t="e">
        <f>0.01*$J$69</f>
        <v>#DIV/0!</v>
      </c>
      <c r="Z19" s="79" t="e">
        <f>0.01*$J$70</f>
        <v>#DIV/0!</v>
      </c>
      <c r="AA19" s="79" t="e">
        <f>0.01*$J$71</f>
        <v>#DIV/0!</v>
      </c>
      <c r="AB19" s="79" t="e">
        <f>0.01*$J$72</f>
        <v>#DIV/0!</v>
      </c>
      <c r="AC19" s="79" t="e">
        <f>0.01*$J$73</f>
        <v>#DIV/0!</v>
      </c>
      <c r="AD19" s="79" t="e">
        <f>0.01*$J$74</f>
        <v>#DIV/0!</v>
      </c>
      <c r="AE19" s="79" t="e">
        <f>0.01*$J$75</f>
        <v>#DIV/0!</v>
      </c>
      <c r="AF19" s="79" t="e">
        <f>0.01*$J$76</f>
        <v>#DIV/0!</v>
      </c>
      <c r="AG19" s="79" t="e">
        <f>0.01*$J$77</f>
        <v>#DIV/0!</v>
      </c>
      <c r="AH19" s="79" t="e">
        <f>0.01*$J$78</f>
        <v>#DIV/0!</v>
      </c>
      <c r="AI19" s="79" t="e">
        <f>0.01*$J$79</f>
        <v>#DIV/0!</v>
      </c>
      <c r="AJ19" s="79" t="e">
        <f>0.01*$J$80</f>
        <v>#DIV/0!</v>
      </c>
      <c r="AK19" s="79" t="e">
        <f>0.01*$J$81</f>
        <v>#DIV/0!</v>
      </c>
      <c r="AL19" s="79" t="e">
        <f>0.01*$J$82</f>
        <v>#DIV/0!</v>
      </c>
      <c r="AM19" s="79" t="e">
        <f>0.01*$J$83</f>
        <v>#DIV/0!</v>
      </c>
      <c r="AN19" s="79" t="e">
        <f>0.01*$J$84</f>
        <v>#DIV/0!</v>
      </c>
      <c r="AO19" s="79" t="e">
        <f>0.01*$J$85</f>
        <v>#DIV/0!</v>
      </c>
      <c r="AP19" s="79" t="e">
        <f>0.01*$J$86</f>
        <v>#DIV/0!</v>
      </c>
      <c r="AQ19" s="79" t="e">
        <f>0.01*$J$87</f>
        <v>#DIV/0!</v>
      </c>
      <c r="AR19" s="79" t="e">
        <f>0.01*$J$88</f>
        <v>#DIV/0!</v>
      </c>
      <c r="AS19" s="79" t="e">
        <f>0.01*$J$89</f>
        <v>#DIV/0!</v>
      </c>
      <c r="AT19" s="79" t="e">
        <f>0.01*$J$90</f>
        <v>#DIV/0!</v>
      </c>
      <c r="AU19" s="79" t="e">
        <f>0.01*$J$91</f>
        <v>#DIV/0!</v>
      </c>
      <c r="AV19" s="79" t="e">
        <f>0.01*$J$92</f>
        <v>#DIV/0!</v>
      </c>
      <c r="AW19" s="79" t="e">
        <f>0.01*$J$94</f>
        <v>#DIV/0!</v>
      </c>
      <c r="AX19" s="79" t="e">
        <f>0.01*$J$95</f>
        <v>#DIV/0!</v>
      </c>
      <c r="AY19" s="79" t="e">
        <f>0.01*$J$96</f>
        <v>#DIV/0!</v>
      </c>
      <c r="AZ19" s="79" t="e">
        <f>0.01*$J$97</f>
        <v>#DIV/0!</v>
      </c>
      <c r="BA19" s="79" t="e">
        <f>0.01*$J$98</f>
        <v>#DIV/0!</v>
      </c>
      <c r="BB19" s="174"/>
      <c r="BC19" s="174"/>
      <c r="BD19" s="174"/>
      <c r="BE19" s="174"/>
      <c r="BF19" s="174"/>
      <c r="BG19" s="9"/>
    </row>
    <row r="20" spans="1:59">
      <c r="A20" s="2">
        <v>2018</v>
      </c>
      <c r="B20" t="s">
        <v>42</v>
      </c>
      <c r="C20" s="79" t="e">
        <f>0.01*$K$47</f>
        <v>#DIV/0!</v>
      </c>
      <c r="D20" s="79" t="e">
        <f>0.01*$K$48</f>
        <v>#DIV/0!</v>
      </c>
      <c r="E20" s="79" t="e">
        <f>0.01*$K$49</f>
        <v>#DIV/0!</v>
      </c>
      <c r="F20" s="79" t="e">
        <f>0.01*$K$50</f>
        <v>#DIV/0!</v>
      </c>
      <c r="G20" s="79" t="e">
        <f>0.01*$K$51</f>
        <v>#DIV/0!</v>
      </c>
      <c r="H20" s="79" t="e">
        <f>0.01*$K$52</f>
        <v>#DIV/0!</v>
      </c>
      <c r="I20" s="79" t="e">
        <f>0.01*$K$53</f>
        <v>#DIV/0!</v>
      </c>
      <c r="J20" s="79" t="e">
        <f>0.01*$K$54</f>
        <v>#DIV/0!</v>
      </c>
      <c r="K20" s="79" t="e">
        <f>0.01*$K$55</f>
        <v>#DIV/0!</v>
      </c>
      <c r="L20" s="79" t="e">
        <f>0.01*$K$56</f>
        <v>#DIV/0!</v>
      </c>
      <c r="M20" s="79" t="e">
        <f>0.01*$K$57</f>
        <v>#DIV/0!</v>
      </c>
      <c r="N20" s="79" t="e">
        <f>0.01*$K$58</f>
        <v>#DIV/0!</v>
      </c>
      <c r="O20" s="79" t="e">
        <f>0.01*$K$59</f>
        <v>#DIV/0!</v>
      </c>
      <c r="P20" s="79" t="e">
        <f>0.01*$K$60</f>
        <v>#DIV/0!</v>
      </c>
      <c r="Q20" s="79" t="e">
        <f>0.01*$K$61</f>
        <v>#DIV/0!</v>
      </c>
      <c r="R20" s="79" t="e">
        <f>0.01*$K$62</f>
        <v>#DIV/0!</v>
      </c>
      <c r="S20" s="79" t="e">
        <f>0.01*$K$63</f>
        <v>#DIV/0!</v>
      </c>
      <c r="T20" s="79" t="e">
        <f>0.01*$K$64</f>
        <v>#DIV/0!</v>
      </c>
      <c r="U20" s="79" t="e">
        <f>0.01*$K$65</f>
        <v>#DIV/0!</v>
      </c>
      <c r="V20" s="79" t="e">
        <f>0.01*$K$66</f>
        <v>#DIV/0!</v>
      </c>
      <c r="W20" s="79" t="e">
        <f>0.01*$K$67</f>
        <v>#DIV/0!</v>
      </c>
      <c r="X20" s="79" t="e">
        <f>0.01*$K$68</f>
        <v>#DIV/0!</v>
      </c>
      <c r="Y20" s="79" t="e">
        <f>0.01*$K$69</f>
        <v>#DIV/0!</v>
      </c>
      <c r="Z20" s="79" t="e">
        <f>0.01*$K$70</f>
        <v>#DIV/0!</v>
      </c>
      <c r="AA20" s="79" t="e">
        <f>0.01*$K$71</f>
        <v>#DIV/0!</v>
      </c>
      <c r="AB20" s="79" t="e">
        <f>0.01*$K$72</f>
        <v>#DIV/0!</v>
      </c>
      <c r="AC20" s="79" t="e">
        <f>0.01*$K$73</f>
        <v>#DIV/0!</v>
      </c>
      <c r="AD20" s="79" t="e">
        <f>0.01*$K$74</f>
        <v>#DIV/0!</v>
      </c>
      <c r="AE20" s="79" t="e">
        <f>0.01*$K$75</f>
        <v>#DIV/0!</v>
      </c>
      <c r="AF20" s="79" t="e">
        <f>0.01*$K$76</f>
        <v>#DIV/0!</v>
      </c>
      <c r="AG20" s="79" t="e">
        <f>0.01*$K$77</f>
        <v>#DIV/0!</v>
      </c>
      <c r="AH20" s="79" t="e">
        <f>0.01*$K$78</f>
        <v>#DIV/0!</v>
      </c>
      <c r="AI20" s="79" t="e">
        <f>0.01*$K$79</f>
        <v>#DIV/0!</v>
      </c>
      <c r="AJ20" s="79" t="e">
        <f>0.01*$K$80</f>
        <v>#DIV/0!</v>
      </c>
      <c r="AK20" s="79" t="e">
        <f>0.01*$K$81</f>
        <v>#DIV/0!</v>
      </c>
      <c r="AL20" s="79" t="e">
        <f>0.01*$K$82</f>
        <v>#DIV/0!</v>
      </c>
      <c r="AM20" s="79" t="e">
        <f>0.01*$K$83</f>
        <v>#DIV/0!</v>
      </c>
      <c r="AN20" s="79" t="e">
        <f>0.01*$K$84</f>
        <v>#DIV/0!</v>
      </c>
      <c r="AO20" s="79" t="e">
        <f>0.01*$K$85</f>
        <v>#DIV/0!</v>
      </c>
      <c r="AP20" s="79" t="e">
        <f>0.01*$K$86</f>
        <v>#DIV/0!</v>
      </c>
      <c r="AQ20" s="79" t="e">
        <f>0.01*$K$87</f>
        <v>#DIV/0!</v>
      </c>
      <c r="AR20" s="79" t="e">
        <f>0.01*$K$88</f>
        <v>#DIV/0!</v>
      </c>
      <c r="AS20" s="79" t="e">
        <f>0.01*$K$89</f>
        <v>#DIV/0!</v>
      </c>
      <c r="AT20" s="79" t="e">
        <f>0.01*$K$90</f>
        <v>#DIV/0!</v>
      </c>
      <c r="AU20" s="79" t="e">
        <f>0.01*$K$91</f>
        <v>#DIV/0!</v>
      </c>
      <c r="AV20" s="79" t="e">
        <f>0.01*$K$92</f>
        <v>#DIV/0!</v>
      </c>
      <c r="AW20" s="79" t="e">
        <f>0.01*$K$94</f>
        <v>#DIV/0!</v>
      </c>
      <c r="AX20" s="79" t="e">
        <f>0.01*$K$95</f>
        <v>#DIV/0!</v>
      </c>
      <c r="AY20" s="79" t="e">
        <f>0.01*$K$96</f>
        <v>#DIV/0!</v>
      </c>
      <c r="AZ20" s="79" t="e">
        <f>0.01*$K$97</f>
        <v>#DIV/0!</v>
      </c>
      <c r="BA20" s="79" t="e">
        <f>0.01*$K$98</f>
        <v>#DIV/0!</v>
      </c>
      <c r="BB20" s="174"/>
      <c r="BC20" s="174"/>
      <c r="BD20" s="174"/>
      <c r="BE20" s="174"/>
      <c r="BF20" s="174"/>
      <c r="BG20" s="9"/>
    </row>
    <row r="21" spans="1:59">
      <c r="A21">
        <v>2019</v>
      </c>
      <c r="B21" t="s">
        <v>5</v>
      </c>
      <c r="C21" s="79" t="e">
        <f>0.01*$L$47</f>
        <v>#DIV/0!</v>
      </c>
      <c r="D21" s="79" t="e">
        <f>0.01*$L$48</f>
        <v>#DIV/0!</v>
      </c>
      <c r="E21" s="79" t="e">
        <f>0.01*$L$49</f>
        <v>#DIV/0!</v>
      </c>
      <c r="F21" s="79" t="e">
        <f>0.01*$L$50</f>
        <v>#DIV/0!</v>
      </c>
      <c r="G21" s="79" t="e">
        <f>0.01*$L$51</f>
        <v>#DIV/0!</v>
      </c>
      <c r="H21" s="79" t="e">
        <f>0.01*$L$52</f>
        <v>#DIV/0!</v>
      </c>
      <c r="I21" s="79" t="e">
        <f>0.01*$L$53</f>
        <v>#DIV/0!</v>
      </c>
      <c r="J21" s="79" t="e">
        <f>0.01*$L$54</f>
        <v>#DIV/0!</v>
      </c>
      <c r="K21" s="79" t="e">
        <f>0.01*$L$55</f>
        <v>#DIV/0!</v>
      </c>
      <c r="L21" s="79" t="e">
        <f>0.01*$L$56</f>
        <v>#DIV/0!</v>
      </c>
      <c r="M21" s="79" t="e">
        <f>0.01*$L$57</f>
        <v>#DIV/0!</v>
      </c>
      <c r="N21" s="79" t="e">
        <f>0.01*$L$58</f>
        <v>#DIV/0!</v>
      </c>
      <c r="O21" s="79" t="e">
        <f>0.01*$L$59</f>
        <v>#DIV/0!</v>
      </c>
      <c r="P21" s="79" t="e">
        <f>0.01*$L$60</f>
        <v>#DIV/0!</v>
      </c>
      <c r="Q21" s="79" t="e">
        <f>0.01*$L$61</f>
        <v>#DIV/0!</v>
      </c>
      <c r="R21" s="79" t="e">
        <f>0.01*$L$62</f>
        <v>#DIV/0!</v>
      </c>
      <c r="S21" s="79" t="e">
        <f>0.01*$L$63</f>
        <v>#DIV/0!</v>
      </c>
      <c r="T21" s="79" t="e">
        <f>0.01*$L$64</f>
        <v>#DIV/0!</v>
      </c>
      <c r="U21" s="79" t="e">
        <f>0.01*$L$65</f>
        <v>#DIV/0!</v>
      </c>
      <c r="V21" s="79" t="e">
        <f>0.01*$L$66</f>
        <v>#DIV/0!</v>
      </c>
      <c r="W21" s="79" t="e">
        <f>0.01*$L$67</f>
        <v>#DIV/0!</v>
      </c>
      <c r="X21" s="79" t="e">
        <f>0.01*$L$68</f>
        <v>#DIV/0!</v>
      </c>
      <c r="Y21" s="79" t="e">
        <f>0.01*$L$69</f>
        <v>#DIV/0!</v>
      </c>
      <c r="Z21" s="79" t="e">
        <f>0.01*$L$70</f>
        <v>#DIV/0!</v>
      </c>
      <c r="AA21" s="79" t="e">
        <f>0.01*$L$71</f>
        <v>#DIV/0!</v>
      </c>
      <c r="AB21" s="79" t="e">
        <f>0.01*$L$72</f>
        <v>#DIV/0!</v>
      </c>
      <c r="AC21" s="79" t="e">
        <f>0.01*$L$73</f>
        <v>#DIV/0!</v>
      </c>
      <c r="AD21" s="79" t="e">
        <f>0.01*$L$74</f>
        <v>#DIV/0!</v>
      </c>
      <c r="AE21" s="79" t="e">
        <f>0.01*$L$75</f>
        <v>#DIV/0!</v>
      </c>
      <c r="AF21" s="79" t="e">
        <f>0.01*$L$76</f>
        <v>#DIV/0!</v>
      </c>
      <c r="AG21" s="79" t="e">
        <f>0.01*$L$77</f>
        <v>#DIV/0!</v>
      </c>
      <c r="AH21" s="79" t="e">
        <f>0.01*$L$78</f>
        <v>#DIV/0!</v>
      </c>
      <c r="AI21" s="79" t="e">
        <f>0.01*$L$79</f>
        <v>#DIV/0!</v>
      </c>
      <c r="AJ21" s="79" t="e">
        <f>0.01*$L$80</f>
        <v>#DIV/0!</v>
      </c>
      <c r="AK21" s="79" t="e">
        <f>0.01*$L$81</f>
        <v>#DIV/0!</v>
      </c>
      <c r="AL21" s="79" t="e">
        <f>0.01*$L$82</f>
        <v>#DIV/0!</v>
      </c>
      <c r="AM21" s="79" t="e">
        <f>0.01*$L$83</f>
        <v>#DIV/0!</v>
      </c>
      <c r="AN21" s="79" t="e">
        <f>0.01*$L$84</f>
        <v>#DIV/0!</v>
      </c>
      <c r="AO21" s="79" t="e">
        <f>0.01*$L$85</f>
        <v>#DIV/0!</v>
      </c>
      <c r="AP21" s="79" t="e">
        <f>0.01*$L$86</f>
        <v>#DIV/0!</v>
      </c>
      <c r="AQ21" s="79" t="e">
        <f>0.01*$L$87</f>
        <v>#DIV/0!</v>
      </c>
      <c r="AR21" s="79" t="e">
        <f>0.01*$L$88</f>
        <v>#DIV/0!</v>
      </c>
      <c r="AS21" s="79" t="e">
        <f>0.01*$L$89</f>
        <v>#DIV/0!</v>
      </c>
      <c r="AT21" s="79" t="e">
        <f>0.01*$L$90</f>
        <v>#DIV/0!</v>
      </c>
      <c r="AU21" s="79" t="e">
        <f>0.01*$L$91</f>
        <v>#DIV/0!</v>
      </c>
      <c r="AV21" s="79" t="e">
        <f>0.01*$L$92</f>
        <v>#DIV/0!</v>
      </c>
      <c r="AW21" s="79" t="e">
        <f>0.01*$L$94</f>
        <v>#DIV/0!</v>
      </c>
      <c r="AX21" s="79" t="e">
        <f>0.01*$L$95</f>
        <v>#DIV/0!</v>
      </c>
      <c r="AY21" s="79" t="e">
        <f>0.01*$L$96</f>
        <v>#DIV/0!</v>
      </c>
      <c r="AZ21" s="79" t="e">
        <f>0.01*$L$97</f>
        <v>#DIV/0!</v>
      </c>
      <c r="BA21" s="79" t="e">
        <f>0.01*$L$98</f>
        <v>#DIV/0!</v>
      </c>
      <c r="BB21" s="174"/>
      <c r="BC21" s="174"/>
      <c r="BD21" s="174"/>
      <c r="BE21" s="174"/>
      <c r="BF21" s="174"/>
      <c r="BG21" s="9"/>
    </row>
    <row r="22" spans="1:59">
      <c r="A22" s="2">
        <v>2019</v>
      </c>
      <c r="B22" t="s">
        <v>6</v>
      </c>
      <c r="C22" s="79" t="e">
        <f>0.01*$M$47</f>
        <v>#DIV/0!</v>
      </c>
      <c r="D22" s="79" t="e">
        <f>0.01*$M$48</f>
        <v>#DIV/0!</v>
      </c>
      <c r="E22" s="79" t="e">
        <f>0.01*$M$49</f>
        <v>#DIV/0!</v>
      </c>
      <c r="F22" s="79" t="e">
        <f>0.01*$M$50</f>
        <v>#DIV/0!</v>
      </c>
      <c r="G22" s="79" t="e">
        <f>0.01*$M$51</f>
        <v>#DIV/0!</v>
      </c>
      <c r="H22" s="79" t="e">
        <f>0.01*$M$52</f>
        <v>#DIV/0!</v>
      </c>
      <c r="I22" s="79" t="e">
        <f>0.01*$M$53</f>
        <v>#DIV/0!</v>
      </c>
      <c r="J22" s="79" t="e">
        <f>0.01*$M$54</f>
        <v>#DIV/0!</v>
      </c>
      <c r="K22" s="79" t="e">
        <f>0.01*$M$55</f>
        <v>#DIV/0!</v>
      </c>
      <c r="L22" s="79" t="e">
        <f>0.01*$M$56</f>
        <v>#DIV/0!</v>
      </c>
      <c r="M22" s="79" t="e">
        <f>0.01*$M$57</f>
        <v>#DIV/0!</v>
      </c>
      <c r="N22" s="79" t="e">
        <f>0.01*$M$58</f>
        <v>#DIV/0!</v>
      </c>
      <c r="O22" s="79" t="e">
        <f>0.01*$M$59</f>
        <v>#DIV/0!</v>
      </c>
      <c r="P22" s="79" t="e">
        <f>0.01*$M$60</f>
        <v>#DIV/0!</v>
      </c>
      <c r="Q22" s="79" t="e">
        <f>0.01*$M$61</f>
        <v>#DIV/0!</v>
      </c>
      <c r="R22" s="79" t="e">
        <f>0.01*$M$62</f>
        <v>#DIV/0!</v>
      </c>
      <c r="S22" s="79" t="e">
        <f>0.01*$M$63</f>
        <v>#DIV/0!</v>
      </c>
      <c r="T22" s="79" t="e">
        <f>0.01*$M$64</f>
        <v>#DIV/0!</v>
      </c>
      <c r="U22" s="79" t="e">
        <f>0.01*$M$65</f>
        <v>#DIV/0!</v>
      </c>
      <c r="V22" s="79" t="e">
        <f>0.01*$M$66</f>
        <v>#DIV/0!</v>
      </c>
      <c r="W22" s="79" t="e">
        <f>0.01*$M$67</f>
        <v>#DIV/0!</v>
      </c>
      <c r="X22" s="79" t="e">
        <f>0.01*$M$68</f>
        <v>#DIV/0!</v>
      </c>
      <c r="Y22" s="79" t="e">
        <f>0.01*$M$69</f>
        <v>#DIV/0!</v>
      </c>
      <c r="Z22" s="79" t="e">
        <f>0.01*$M$70</f>
        <v>#DIV/0!</v>
      </c>
      <c r="AA22" s="79" t="e">
        <f>0.01*$M$71</f>
        <v>#DIV/0!</v>
      </c>
      <c r="AB22" s="79" t="e">
        <f>0.01*$M$72</f>
        <v>#DIV/0!</v>
      </c>
      <c r="AC22" s="79" t="e">
        <f>0.01*$M$73</f>
        <v>#DIV/0!</v>
      </c>
      <c r="AD22" s="79" t="e">
        <f>0.01*$M$74</f>
        <v>#DIV/0!</v>
      </c>
      <c r="AE22" s="79" t="e">
        <f>0.01*$M$75</f>
        <v>#DIV/0!</v>
      </c>
      <c r="AF22" s="79" t="e">
        <f>0.01*$M$76</f>
        <v>#DIV/0!</v>
      </c>
      <c r="AG22" s="79" t="e">
        <f>0.01*$M$77</f>
        <v>#DIV/0!</v>
      </c>
      <c r="AH22" s="79" t="e">
        <f>0.01*$M$78</f>
        <v>#DIV/0!</v>
      </c>
      <c r="AI22" s="79" t="e">
        <f>0.01*$M$79</f>
        <v>#DIV/0!</v>
      </c>
      <c r="AJ22" s="79" t="e">
        <f>0.01*$M$80</f>
        <v>#DIV/0!</v>
      </c>
      <c r="AK22" s="79" t="e">
        <f>0.01*$M$81</f>
        <v>#DIV/0!</v>
      </c>
      <c r="AL22" s="79" t="e">
        <f>0.01*$M$82</f>
        <v>#DIV/0!</v>
      </c>
      <c r="AM22" s="79" t="e">
        <f>0.01*$M$83</f>
        <v>#DIV/0!</v>
      </c>
      <c r="AN22" s="79" t="e">
        <f>0.01*$M$84</f>
        <v>#DIV/0!</v>
      </c>
      <c r="AO22" s="79" t="e">
        <f>0.01*$M$85</f>
        <v>#DIV/0!</v>
      </c>
      <c r="AP22" s="79" t="e">
        <f>0.01*$M$86</f>
        <v>#DIV/0!</v>
      </c>
      <c r="AQ22" s="79" t="e">
        <f>0.01*$M$87</f>
        <v>#DIV/0!</v>
      </c>
      <c r="AR22" s="79" t="e">
        <f>0.01*$M$88</f>
        <v>#DIV/0!</v>
      </c>
      <c r="AS22" s="79" t="e">
        <f>0.01*$M$89</f>
        <v>#DIV/0!</v>
      </c>
      <c r="AT22" s="79" t="e">
        <f>0.01*$M$90</f>
        <v>#DIV/0!</v>
      </c>
      <c r="AU22" s="79" t="e">
        <f>0.01*$M$91</f>
        <v>#DIV/0!</v>
      </c>
      <c r="AV22" s="79" t="e">
        <f>0.01*$M$92</f>
        <v>#DIV/0!</v>
      </c>
      <c r="AW22" s="79" t="e">
        <f>0.01*$M$94</f>
        <v>#DIV/0!</v>
      </c>
      <c r="AX22" s="79" t="e">
        <f>0.01*$M$95</f>
        <v>#DIV/0!</v>
      </c>
      <c r="AY22" s="79" t="e">
        <f>0.01*$M$96</f>
        <v>#DIV/0!</v>
      </c>
      <c r="AZ22" s="79" t="e">
        <f>0.01*$M$97</f>
        <v>#DIV/0!</v>
      </c>
      <c r="BA22" s="79" t="e">
        <f>0.01*$M$98</f>
        <v>#DIV/0!</v>
      </c>
      <c r="BB22" s="174"/>
      <c r="BC22" s="174"/>
      <c r="BD22" s="174"/>
      <c r="BE22" s="174"/>
      <c r="BF22" s="174"/>
      <c r="BG22" s="9"/>
    </row>
    <row r="23" spans="1:59">
      <c r="A23">
        <v>2019</v>
      </c>
      <c r="B23" t="s">
        <v>42</v>
      </c>
      <c r="C23" s="79" t="e">
        <f>0.01*$N$47</f>
        <v>#DIV/0!</v>
      </c>
      <c r="D23" s="79" t="e">
        <f>0.01*$N$48</f>
        <v>#DIV/0!</v>
      </c>
      <c r="E23" s="79" t="e">
        <f>0.01*$N$49</f>
        <v>#DIV/0!</v>
      </c>
      <c r="F23" s="79" t="e">
        <f>0.01*$N$50</f>
        <v>#DIV/0!</v>
      </c>
      <c r="G23" s="79" t="e">
        <f>0.01*$N$51</f>
        <v>#DIV/0!</v>
      </c>
      <c r="H23" s="79" t="e">
        <f>0.01*$N$52</f>
        <v>#DIV/0!</v>
      </c>
      <c r="I23" s="79" t="e">
        <f>0.01*$N$53</f>
        <v>#DIV/0!</v>
      </c>
      <c r="J23" s="79" t="e">
        <f>0.01*$N$54</f>
        <v>#DIV/0!</v>
      </c>
      <c r="K23" s="79" t="e">
        <f>0.01*$N$55</f>
        <v>#DIV/0!</v>
      </c>
      <c r="L23" s="79" t="e">
        <f>0.01*$N$56</f>
        <v>#DIV/0!</v>
      </c>
      <c r="M23" s="79" t="e">
        <f>0.01*$N$57</f>
        <v>#DIV/0!</v>
      </c>
      <c r="N23" s="79" t="e">
        <f>0.01*$N$58</f>
        <v>#DIV/0!</v>
      </c>
      <c r="O23" s="79" t="e">
        <f>0.01*$N$59</f>
        <v>#DIV/0!</v>
      </c>
      <c r="P23" s="79" t="e">
        <f>0.01*$N$60</f>
        <v>#DIV/0!</v>
      </c>
      <c r="Q23" s="79" t="e">
        <f>0.01*$N$61</f>
        <v>#DIV/0!</v>
      </c>
      <c r="R23" s="79" t="e">
        <f>0.01*$N$62</f>
        <v>#DIV/0!</v>
      </c>
      <c r="S23" s="79" t="e">
        <f>0.01*$N$63</f>
        <v>#DIV/0!</v>
      </c>
      <c r="T23" s="79" t="e">
        <f>0.01*$N$64</f>
        <v>#DIV/0!</v>
      </c>
      <c r="U23" s="79" t="e">
        <f>0.01*$N$65</f>
        <v>#DIV/0!</v>
      </c>
      <c r="V23" s="79" t="e">
        <f>0.01*$N$66</f>
        <v>#DIV/0!</v>
      </c>
      <c r="W23" s="79" t="e">
        <f>0.01*$N$67</f>
        <v>#DIV/0!</v>
      </c>
      <c r="X23" s="79" t="e">
        <f>0.01*$N$68</f>
        <v>#DIV/0!</v>
      </c>
      <c r="Y23" s="79" t="e">
        <f>0.01*$N$69</f>
        <v>#DIV/0!</v>
      </c>
      <c r="Z23" s="79" t="e">
        <f>0.01*$N$70</f>
        <v>#DIV/0!</v>
      </c>
      <c r="AA23" s="79" t="e">
        <f>0.01*$N$71</f>
        <v>#DIV/0!</v>
      </c>
      <c r="AB23" s="79" t="e">
        <f>0.01*$N$72</f>
        <v>#DIV/0!</v>
      </c>
      <c r="AC23" s="79" t="e">
        <f>0.01*$N$73</f>
        <v>#DIV/0!</v>
      </c>
      <c r="AD23" s="79" t="e">
        <f>0.01*$N$74</f>
        <v>#DIV/0!</v>
      </c>
      <c r="AE23" s="79" t="e">
        <f>0.01*$N$75</f>
        <v>#DIV/0!</v>
      </c>
      <c r="AF23" s="79" t="e">
        <f>0.01*$N$76</f>
        <v>#DIV/0!</v>
      </c>
      <c r="AG23" s="79" t="e">
        <f>0.01*$N$77</f>
        <v>#DIV/0!</v>
      </c>
      <c r="AH23" s="79" t="e">
        <f>0.01*$N$78</f>
        <v>#DIV/0!</v>
      </c>
      <c r="AI23" s="79" t="e">
        <f>0.01*$N$79</f>
        <v>#DIV/0!</v>
      </c>
      <c r="AJ23" s="79" t="e">
        <f>0.01*$N$80</f>
        <v>#DIV/0!</v>
      </c>
      <c r="AK23" s="79" t="e">
        <f>0.01*$N$81</f>
        <v>#DIV/0!</v>
      </c>
      <c r="AL23" s="79" t="e">
        <f>0.01*$N$82</f>
        <v>#DIV/0!</v>
      </c>
      <c r="AM23" s="79" t="e">
        <f>0.01*$N$83</f>
        <v>#DIV/0!</v>
      </c>
      <c r="AN23" s="79" t="e">
        <f>0.01*$N$84</f>
        <v>#DIV/0!</v>
      </c>
      <c r="AO23" s="79" t="e">
        <f>0.01*$N$85</f>
        <v>#DIV/0!</v>
      </c>
      <c r="AP23" s="79" t="e">
        <f>0.01*$N$86</f>
        <v>#DIV/0!</v>
      </c>
      <c r="AQ23" s="79" t="e">
        <f>0.01*$N$87</f>
        <v>#DIV/0!</v>
      </c>
      <c r="AR23" s="79" t="e">
        <f>0.01*$N$88</f>
        <v>#DIV/0!</v>
      </c>
      <c r="AS23" s="79" t="e">
        <f>0.01*$N$89</f>
        <v>#DIV/0!</v>
      </c>
      <c r="AT23" s="79" t="e">
        <f>0.01*$N$90</f>
        <v>#DIV/0!</v>
      </c>
      <c r="AU23" s="79" t="e">
        <f>0.01*$N$91</f>
        <v>#DIV/0!</v>
      </c>
      <c r="AV23" s="79" t="e">
        <f>0.01*$N$92</f>
        <v>#DIV/0!</v>
      </c>
      <c r="AW23" s="79" t="e">
        <f>0.01*$N$94</f>
        <v>#DIV/0!</v>
      </c>
      <c r="AX23" s="79" t="e">
        <f>0.01*$N$95</f>
        <v>#DIV/0!</v>
      </c>
      <c r="AY23" s="79" t="e">
        <f>0.01*$N$96</f>
        <v>#DIV/0!</v>
      </c>
      <c r="AZ23" s="79" t="e">
        <f>0.01*$N$97</f>
        <v>#DIV/0!</v>
      </c>
      <c r="BA23" s="79" t="e">
        <f>0.01*$N$98</f>
        <v>#DIV/0!</v>
      </c>
      <c r="BB23" s="174"/>
      <c r="BC23" s="174"/>
      <c r="BD23" s="174"/>
      <c r="BE23" s="174"/>
      <c r="BF23" s="174"/>
      <c r="BG23" s="9"/>
    </row>
    <row r="24" spans="1:59">
      <c r="A24" s="2">
        <v>2020</v>
      </c>
      <c r="B24" t="s">
        <v>5</v>
      </c>
      <c r="C24" s="79" t="e">
        <f>0.01*$O$47</f>
        <v>#DIV/0!</v>
      </c>
      <c r="D24" s="79" t="e">
        <f>0.01*$O$48</f>
        <v>#DIV/0!</v>
      </c>
      <c r="E24" s="79" t="e">
        <f>0.01*$O$49</f>
        <v>#DIV/0!</v>
      </c>
      <c r="F24" s="79" t="e">
        <f>0.01*$O$50</f>
        <v>#DIV/0!</v>
      </c>
      <c r="G24" s="79" t="e">
        <f>0.01*$O$51</f>
        <v>#DIV/0!</v>
      </c>
      <c r="H24" s="79" t="e">
        <f>0.01*$O$52</f>
        <v>#DIV/0!</v>
      </c>
      <c r="I24" s="79" t="e">
        <f>0.01*$O$53</f>
        <v>#DIV/0!</v>
      </c>
      <c r="J24" s="79" t="e">
        <f>0.01*$O$54</f>
        <v>#DIV/0!</v>
      </c>
      <c r="K24" s="79" t="e">
        <f>0.01*$O$55</f>
        <v>#DIV/0!</v>
      </c>
      <c r="L24" s="79" t="e">
        <f>0.01*$O$56</f>
        <v>#DIV/0!</v>
      </c>
      <c r="M24" s="79" t="e">
        <f>0.01*$O$57</f>
        <v>#DIV/0!</v>
      </c>
      <c r="N24" s="79" t="e">
        <f>0.01*$O$58</f>
        <v>#DIV/0!</v>
      </c>
      <c r="O24" s="79" t="e">
        <f>0.01*$O$59</f>
        <v>#DIV/0!</v>
      </c>
      <c r="P24" s="79" t="e">
        <f>0.01*$O$60</f>
        <v>#DIV/0!</v>
      </c>
      <c r="Q24" s="79" t="e">
        <f>0.01*$O$61</f>
        <v>#DIV/0!</v>
      </c>
      <c r="R24" s="79" t="e">
        <f>0.01*$O$62</f>
        <v>#DIV/0!</v>
      </c>
      <c r="S24" s="79" t="e">
        <f>0.01*$O$63</f>
        <v>#DIV/0!</v>
      </c>
      <c r="T24" s="79" t="e">
        <f>0.01*$O$64</f>
        <v>#DIV/0!</v>
      </c>
      <c r="U24" s="79" t="e">
        <f>0.01*$O$65</f>
        <v>#DIV/0!</v>
      </c>
      <c r="V24" s="79" t="e">
        <f>0.01*$O$66</f>
        <v>#DIV/0!</v>
      </c>
      <c r="W24" s="79" t="e">
        <f>0.01*$O$67</f>
        <v>#DIV/0!</v>
      </c>
      <c r="X24" s="79" t="e">
        <f>0.01*$O$68</f>
        <v>#DIV/0!</v>
      </c>
      <c r="Y24" s="79" t="e">
        <f>0.01*$O$69</f>
        <v>#DIV/0!</v>
      </c>
      <c r="Z24" s="79" t="e">
        <f>0.01*$O$70</f>
        <v>#DIV/0!</v>
      </c>
      <c r="AA24" s="79" t="e">
        <f>0.01*$O$71</f>
        <v>#DIV/0!</v>
      </c>
      <c r="AB24" s="79" t="e">
        <f>0.01*$O$72</f>
        <v>#DIV/0!</v>
      </c>
      <c r="AC24" s="79" t="e">
        <f>0.01*$O$73</f>
        <v>#DIV/0!</v>
      </c>
      <c r="AD24" s="79" t="e">
        <f>0.01*$O$74</f>
        <v>#DIV/0!</v>
      </c>
      <c r="AE24" s="79" t="e">
        <f>0.01*$O$75</f>
        <v>#DIV/0!</v>
      </c>
      <c r="AF24" s="79" t="e">
        <f>0.01*$O$76</f>
        <v>#DIV/0!</v>
      </c>
      <c r="AG24" s="79" t="e">
        <f>0.01*$O$77</f>
        <v>#DIV/0!</v>
      </c>
      <c r="AH24" s="79" t="e">
        <f>0.01*$O$78</f>
        <v>#DIV/0!</v>
      </c>
      <c r="AI24" s="79" t="e">
        <f>0.01*$O$79</f>
        <v>#DIV/0!</v>
      </c>
      <c r="AJ24" s="79" t="e">
        <f>0.01*$O$80</f>
        <v>#DIV/0!</v>
      </c>
      <c r="AK24" s="79" t="e">
        <f>0.01*$O$81</f>
        <v>#DIV/0!</v>
      </c>
      <c r="AL24" s="79" t="e">
        <f>0.01*$O$82</f>
        <v>#DIV/0!</v>
      </c>
      <c r="AM24" s="79" t="e">
        <f>0.01*$O$83</f>
        <v>#DIV/0!</v>
      </c>
      <c r="AN24" s="79" t="e">
        <f>0.01*$O$84</f>
        <v>#DIV/0!</v>
      </c>
      <c r="AO24" s="79" t="e">
        <f>0.01*$O$85</f>
        <v>#DIV/0!</v>
      </c>
      <c r="AP24" s="79" t="e">
        <f>0.01*$O$86</f>
        <v>#DIV/0!</v>
      </c>
      <c r="AQ24" s="79" t="e">
        <f>0.01*$O$87</f>
        <v>#DIV/0!</v>
      </c>
      <c r="AR24" s="79" t="e">
        <f>0.01*$O$88</f>
        <v>#DIV/0!</v>
      </c>
      <c r="AS24" s="79" t="e">
        <f>0.01*$O$89</f>
        <v>#DIV/0!</v>
      </c>
      <c r="AT24" s="79" t="e">
        <f>0.01*$O$90</f>
        <v>#DIV/0!</v>
      </c>
      <c r="AU24" s="79" t="e">
        <f>0.01*$O$91</f>
        <v>#DIV/0!</v>
      </c>
      <c r="AV24" s="79" t="e">
        <f>0.01*$O$92</f>
        <v>#DIV/0!</v>
      </c>
      <c r="AW24" s="79" t="e">
        <f>0.01*$O$94</f>
        <v>#DIV/0!</v>
      </c>
      <c r="AX24" s="79" t="e">
        <f>0.01*$O$95</f>
        <v>#DIV/0!</v>
      </c>
      <c r="AY24" s="79" t="e">
        <f>0.01*$O$96</f>
        <v>#DIV/0!</v>
      </c>
      <c r="AZ24" s="79" t="e">
        <f>0.01*$O$97</f>
        <v>#DIV/0!</v>
      </c>
      <c r="BA24" s="79" t="e">
        <f>0.01*$O$98</f>
        <v>#DIV/0!</v>
      </c>
      <c r="BB24" s="174"/>
      <c r="BC24" s="174"/>
      <c r="BD24" s="174"/>
      <c r="BE24" s="174"/>
      <c r="BF24" s="174"/>
      <c r="BG24" s="9"/>
    </row>
    <row r="25" spans="1:59">
      <c r="A25">
        <v>2020</v>
      </c>
      <c r="B25" t="s">
        <v>6</v>
      </c>
      <c r="C25" s="79" t="e">
        <f>0.01*$P$47</f>
        <v>#DIV/0!</v>
      </c>
      <c r="D25" s="79" t="e">
        <f>0.01*$P$48</f>
        <v>#DIV/0!</v>
      </c>
      <c r="E25" s="79" t="e">
        <f>0.01*$P$49</f>
        <v>#DIV/0!</v>
      </c>
      <c r="F25" s="79" t="e">
        <f>0.01*$P$50</f>
        <v>#DIV/0!</v>
      </c>
      <c r="G25" s="79" t="e">
        <f>0.01*$P$51</f>
        <v>#DIV/0!</v>
      </c>
      <c r="H25" s="79" t="e">
        <f>0.01*$P$52</f>
        <v>#DIV/0!</v>
      </c>
      <c r="I25" s="79" t="e">
        <f>0.01*$P$53</f>
        <v>#DIV/0!</v>
      </c>
      <c r="J25" s="79" t="e">
        <f>0.01*$P$54</f>
        <v>#DIV/0!</v>
      </c>
      <c r="K25" s="79" t="e">
        <f>0.01*$P$55</f>
        <v>#DIV/0!</v>
      </c>
      <c r="L25" s="79" t="e">
        <f>0.01*$P$56</f>
        <v>#DIV/0!</v>
      </c>
      <c r="M25" s="79" t="e">
        <f>0.01*$P$57</f>
        <v>#DIV/0!</v>
      </c>
      <c r="N25" s="79" t="e">
        <f>0.01*$P$58</f>
        <v>#DIV/0!</v>
      </c>
      <c r="O25" s="79" t="e">
        <f>0.01*$P$59</f>
        <v>#DIV/0!</v>
      </c>
      <c r="P25" s="79" t="e">
        <f>0.01*$P$60</f>
        <v>#DIV/0!</v>
      </c>
      <c r="Q25" s="79" t="e">
        <f>0.01*$P$61</f>
        <v>#DIV/0!</v>
      </c>
      <c r="R25" s="79" t="e">
        <f>0.01*$P$62</f>
        <v>#DIV/0!</v>
      </c>
      <c r="S25" s="79" t="e">
        <f>0.01*$P$63</f>
        <v>#DIV/0!</v>
      </c>
      <c r="T25" s="79" t="e">
        <f>0.01*$P$64</f>
        <v>#DIV/0!</v>
      </c>
      <c r="U25" s="79" t="e">
        <f>0.01*$P$65</f>
        <v>#DIV/0!</v>
      </c>
      <c r="V25" s="79" t="e">
        <f>0.01*$P$66</f>
        <v>#DIV/0!</v>
      </c>
      <c r="W25" s="79" t="e">
        <f>0.01*$P$67</f>
        <v>#DIV/0!</v>
      </c>
      <c r="X25" s="79" t="e">
        <f>0.01*$P$68</f>
        <v>#DIV/0!</v>
      </c>
      <c r="Y25" s="79" t="e">
        <f>0.01*$P$69</f>
        <v>#DIV/0!</v>
      </c>
      <c r="Z25" s="79" t="e">
        <f>0.01*$P$70</f>
        <v>#DIV/0!</v>
      </c>
      <c r="AA25" s="79" t="e">
        <f>0.01*$P$71</f>
        <v>#DIV/0!</v>
      </c>
      <c r="AB25" s="79" t="e">
        <f>0.01*$P$72</f>
        <v>#DIV/0!</v>
      </c>
      <c r="AC25" s="79" t="e">
        <f>0.01*$P$73</f>
        <v>#DIV/0!</v>
      </c>
      <c r="AD25" s="79" t="e">
        <f>0.01*$P$74</f>
        <v>#DIV/0!</v>
      </c>
      <c r="AE25" s="79" t="e">
        <f>0.01*$P$75</f>
        <v>#DIV/0!</v>
      </c>
      <c r="AF25" s="79" t="e">
        <f>0.01*$P$76</f>
        <v>#DIV/0!</v>
      </c>
      <c r="AG25" s="79" t="e">
        <f>0.01*$P$77</f>
        <v>#DIV/0!</v>
      </c>
      <c r="AH25" s="79" t="e">
        <f>0.01*$P$78</f>
        <v>#DIV/0!</v>
      </c>
      <c r="AI25" s="79" t="e">
        <f>0.01*$P$79</f>
        <v>#DIV/0!</v>
      </c>
      <c r="AJ25" s="79" t="e">
        <f>0.01*$P$80</f>
        <v>#DIV/0!</v>
      </c>
      <c r="AK25" s="79" t="e">
        <f>0.01*$P$81</f>
        <v>#DIV/0!</v>
      </c>
      <c r="AL25" s="79" t="e">
        <f>0.01*$P$82</f>
        <v>#DIV/0!</v>
      </c>
      <c r="AM25" s="79" t="e">
        <f>0.01*$P$83</f>
        <v>#DIV/0!</v>
      </c>
      <c r="AN25" s="79" t="e">
        <f>0.01*$P$84</f>
        <v>#DIV/0!</v>
      </c>
      <c r="AO25" s="79" t="e">
        <f>0.01*$P$85</f>
        <v>#DIV/0!</v>
      </c>
      <c r="AP25" s="79" t="e">
        <f>0.01*$P$86</f>
        <v>#DIV/0!</v>
      </c>
      <c r="AQ25" s="79" t="e">
        <f>0.01*$P$87</f>
        <v>#DIV/0!</v>
      </c>
      <c r="AR25" s="79" t="e">
        <f>0.01*$P$88</f>
        <v>#DIV/0!</v>
      </c>
      <c r="AS25" s="79" t="e">
        <f>0.01*$P$89</f>
        <v>#DIV/0!</v>
      </c>
      <c r="AT25" s="79" t="e">
        <f>0.01*$P$90</f>
        <v>#DIV/0!</v>
      </c>
      <c r="AU25" s="79" t="e">
        <f>0.01*$P$91</f>
        <v>#DIV/0!</v>
      </c>
      <c r="AV25" s="79" t="e">
        <f>0.01*$P$92</f>
        <v>#DIV/0!</v>
      </c>
      <c r="AW25" s="79" t="e">
        <f>0.01*$P$94</f>
        <v>#DIV/0!</v>
      </c>
      <c r="AX25" s="79" t="e">
        <f>0.01*$P$95</f>
        <v>#DIV/0!</v>
      </c>
      <c r="AY25" s="79" t="e">
        <f>0.01*$P$96</f>
        <v>#DIV/0!</v>
      </c>
      <c r="AZ25" s="79" t="e">
        <f>0.01*$P$97</f>
        <v>#DIV/0!</v>
      </c>
      <c r="BA25" s="79" t="e">
        <f>0.01*$P$98</f>
        <v>#DIV/0!</v>
      </c>
      <c r="BB25" s="174"/>
      <c r="BC25" s="174"/>
      <c r="BD25" s="174"/>
      <c r="BE25" s="174"/>
      <c r="BF25" s="174"/>
      <c r="BG25" s="9"/>
    </row>
    <row r="26" spans="1:59">
      <c r="A26" s="2">
        <v>2020</v>
      </c>
      <c r="B26" t="s">
        <v>42</v>
      </c>
      <c r="C26" s="79" t="e">
        <f>0.01*$Q$47</f>
        <v>#DIV/0!</v>
      </c>
      <c r="D26" s="79" t="e">
        <f>0.01*$Q$48</f>
        <v>#DIV/0!</v>
      </c>
      <c r="E26" s="79" t="e">
        <f>0.01*$Q$49</f>
        <v>#DIV/0!</v>
      </c>
      <c r="F26" s="79" t="e">
        <f>0.01*$Q$50</f>
        <v>#DIV/0!</v>
      </c>
      <c r="G26" s="79" t="e">
        <f>0.01*$Q$51</f>
        <v>#DIV/0!</v>
      </c>
      <c r="H26" s="79" t="e">
        <f>0.01*$Q$52</f>
        <v>#DIV/0!</v>
      </c>
      <c r="I26" s="79" t="e">
        <f>0.01*$Q$53</f>
        <v>#DIV/0!</v>
      </c>
      <c r="J26" s="79" t="e">
        <f>0.01*$Q$54</f>
        <v>#DIV/0!</v>
      </c>
      <c r="K26" s="79" t="e">
        <f>0.01*$Q$55</f>
        <v>#DIV/0!</v>
      </c>
      <c r="L26" s="79" t="e">
        <f>0.01*$Q$56</f>
        <v>#DIV/0!</v>
      </c>
      <c r="M26" s="79" t="e">
        <f>0.01*$Q$57</f>
        <v>#DIV/0!</v>
      </c>
      <c r="N26" s="79" t="e">
        <f>0.01*$Q$58</f>
        <v>#DIV/0!</v>
      </c>
      <c r="O26" s="79" t="e">
        <f>0.01*$Q$59</f>
        <v>#DIV/0!</v>
      </c>
      <c r="P26" s="79" t="e">
        <f>0.01*$Q$60</f>
        <v>#DIV/0!</v>
      </c>
      <c r="Q26" s="79" t="e">
        <f>0.01*$Q$61</f>
        <v>#DIV/0!</v>
      </c>
      <c r="R26" s="79" t="e">
        <f>0.01*$Q$62</f>
        <v>#DIV/0!</v>
      </c>
      <c r="S26" s="79" t="e">
        <f>0.01*$Q$63</f>
        <v>#DIV/0!</v>
      </c>
      <c r="T26" s="79" t="e">
        <f>0.01*$Q$64</f>
        <v>#DIV/0!</v>
      </c>
      <c r="U26" s="79" t="e">
        <f>0.01*$Q$65</f>
        <v>#DIV/0!</v>
      </c>
      <c r="V26" s="79" t="e">
        <f>0.01*$Q$66</f>
        <v>#DIV/0!</v>
      </c>
      <c r="W26" s="79" t="e">
        <f>0.01*$Q$67</f>
        <v>#DIV/0!</v>
      </c>
      <c r="X26" s="79" t="e">
        <f>0.01*$Q$68</f>
        <v>#DIV/0!</v>
      </c>
      <c r="Y26" s="79" t="e">
        <f>0.01*$Q$69</f>
        <v>#DIV/0!</v>
      </c>
      <c r="Z26" s="79" t="e">
        <f>0.01*$Q$70</f>
        <v>#DIV/0!</v>
      </c>
      <c r="AA26" s="79" t="e">
        <f>0.01*$Q$71</f>
        <v>#DIV/0!</v>
      </c>
      <c r="AB26" s="79" t="e">
        <f>0.01*$Q$72</f>
        <v>#DIV/0!</v>
      </c>
      <c r="AC26" s="79" t="e">
        <f>0.01*$Q$73</f>
        <v>#DIV/0!</v>
      </c>
      <c r="AD26" s="79" t="e">
        <f>0.01*$Q$74</f>
        <v>#DIV/0!</v>
      </c>
      <c r="AE26" s="79" t="e">
        <f>0.01*$Q$75</f>
        <v>#DIV/0!</v>
      </c>
      <c r="AF26" s="79" t="e">
        <f>0.01*$Q$76</f>
        <v>#DIV/0!</v>
      </c>
      <c r="AG26" s="79" t="e">
        <f>0.01*$Q$77</f>
        <v>#DIV/0!</v>
      </c>
      <c r="AH26" s="79" t="e">
        <f>0.01*$Q$78</f>
        <v>#DIV/0!</v>
      </c>
      <c r="AI26" s="79" t="e">
        <f>0.01*$Q$79</f>
        <v>#DIV/0!</v>
      </c>
      <c r="AJ26" s="79" t="e">
        <f>0.01*$Q$80</f>
        <v>#DIV/0!</v>
      </c>
      <c r="AK26" s="79" t="e">
        <f>0.01*$Q$81</f>
        <v>#DIV/0!</v>
      </c>
      <c r="AL26" s="79" t="e">
        <f>0.01*$Q$82</f>
        <v>#DIV/0!</v>
      </c>
      <c r="AM26" s="79" t="e">
        <f>0.01*$Q$83</f>
        <v>#DIV/0!</v>
      </c>
      <c r="AN26" s="79" t="e">
        <f>0.01*$Q$84</f>
        <v>#DIV/0!</v>
      </c>
      <c r="AO26" s="79" t="e">
        <f>0.01*$Q$85</f>
        <v>#DIV/0!</v>
      </c>
      <c r="AP26" s="79" t="e">
        <f>0.01*$Q$86</f>
        <v>#DIV/0!</v>
      </c>
      <c r="AQ26" s="79" t="e">
        <f>0.01*$Q$87</f>
        <v>#DIV/0!</v>
      </c>
      <c r="AR26" s="79" t="e">
        <f>0.01*$Q$88</f>
        <v>#DIV/0!</v>
      </c>
      <c r="AS26" s="79" t="e">
        <f>0.01*$Q$89</f>
        <v>#DIV/0!</v>
      </c>
      <c r="AT26" s="79" t="e">
        <f>0.01*$Q$90</f>
        <v>#DIV/0!</v>
      </c>
      <c r="AU26" s="79" t="e">
        <f>0.01*$Q$91</f>
        <v>#DIV/0!</v>
      </c>
      <c r="AV26" s="79" t="e">
        <f>0.01*$Q$92</f>
        <v>#DIV/0!</v>
      </c>
      <c r="AW26" s="79" t="e">
        <f>0.01*$Q$94</f>
        <v>#DIV/0!</v>
      </c>
      <c r="AX26" s="79" t="e">
        <f>0.01*$Q$95</f>
        <v>#DIV/0!</v>
      </c>
      <c r="AY26" s="79" t="e">
        <f>0.01*$Q$96</f>
        <v>#DIV/0!</v>
      </c>
      <c r="AZ26" s="79" t="e">
        <f>0.01*$Q$97</f>
        <v>#DIV/0!</v>
      </c>
      <c r="BA26" s="79" t="e">
        <f>0.01*$Q$98</f>
        <v>#DIV/0!</v>
      </c>
      <c r="BB26" s="174"/>
      <c r="BC26" s="174"/>
      <c r="BD26" s="174"/>
      <c r="BE26" s="174"/>
      <c r="BF26" s="174"/>
      <c r="BG26" s="9"/>
    </row>
    <row r="27" spans="1:59">
      <c r="A27">
        <v>2021</v>
      </c>
      <c r="B27" t="s">
        <v>5</v>
      </c>
      <c r="C27" s="79" t="e">
        <f>0.01*$R$47</f>
        <v>#DIV/0!</v>
      </c>
      <c r="D27" s="79" t="e">
        <f>0.01*$R$48</f>
        <v>#DIV/0!</v>
      </c>
      <c r="E27" s="79" t="e">
        <f>0.01*$R$49</f>
        <v>#DIV/0!</v>
      </c>
      <c r="F27" s="79" t="e">
        <f>0.01*$R$50</f>
        <v>#DIV/0!</v>
      </c>
      <c r="G27" s="79" t="e">
        <f>0.01*$R$51</f>
        <v>#DIV/0!</v>
      </c>
      <c r="H27" s="79" t="e">
        <f>0.01*$R$52</f>
        <v>#DIV/0!</v>
      </c>
      <c r="I27" s="79" t="e">
        <f>0.01*$R$53</f>
        <v>#DIV/0!</v>
      </c>
      <c r="J27" s="79" t="e">
        <f>0.01*$R$54</f>
        <v>#DIV/0!</v>
      </c>
      <c r="K27" s="79" t="e">
        <f>0.01*$R$55</f>
        <v>#DIV/0!</v>
      </c>
      <c r="L27" s="79" t="e">
        <f>0.01*$R$56</f>
        <v>#DIV/0!</v>
      </c>
      <c r="M27" s="79" t="e">
        <f>0.01*$R$57</f>
        <v>#DIV/0!</v>
      </c>
      <c r="N27" s="79" t="e">
        <f>0.01*$R$58</f>
        <v>#DIV/0!</v>
      </c>
      <c r="O27" s="79" t="e">
        <f>0.01*$R$59</f>
        <v>#DIV/0!</v>
      </c>
      <c r="P27" s="79" t="e">
        <f>0.01*$R$60</f>
        <v>#DIV/0!</v>
      </c>
      <c r="Q27" s="79" t="e">
        <f>0.01*$R$61</f>
        <v>#DIV/0!</v>
      </c>
      <c r="R27" s="79" t="e">
        <f>0.01*$R$62</f>
        <v>#DIV/0!</v>
      </c>
      <c r="S27" s="79" t="e">
        <f>0.01*$R$63</f>
        <v>#DIV/0!</v>
      </c>
      <c r="T27" s="79" t="e">
        <f>0.01*$R$64</f>
        <v>#DIV/0!</v>
      </c>
      <c r="U27" s="79" t="e">
        <f>0.01*$R$65</f>
        <v>#DIV/0!</v>
      </c>
      <c r="V27" s="79" t="e">
        <f>0.01*$R$66</f>
        <v>#DIV/0!</v>
      </c>
      <c r="W27" s="79" t="e">
        <f>0.01*$R$67</f>
        <v>#DIV/0!</v>
      </c>
      <c r="X27" s="79" t="e">
        <f>0.01*$R$68</f>
        <v>#DIV/0!</v>
      </c>
      <c r="Y27" s="79" t="e">
        <f>0.01*$R$69</f>
        <v>#DIV/0!</v>
      </c>
      <c r="Z27" s="79" t="e">
        <f>0.01*$R$70</f>
        <v>#DIV/0!</v>
      </c>
      <c r="AA27" s="79" t="e">
        <f>0.01*$R$71</f>
        <v>#DIV/0!</v>
      </c>
      <c r="AB27" s="79" t="e">
        <f>0.01*$R$72</f>
        <v>#DIV/0!</v>
      </c>
      <c r="AC27" s="79" t="e">
        <f>0.01*$R$73</f>
        <v>#DIV/0!</v>
      </c>
      <c r="AD27" s="79" t="e">
        <f>0.01*$R$74</f>
        <v>#DIV/0!</v>
      </c>
      <c r="AE27" s="79" t="e">
        <f>0.01*$R$75</f>
        <v>#DIV/0!</v>
      </c>
      <c r="AF27" s="79" t="e">
        <f>0.01*$R$76</f>
        <v>#DIV/0!</v>
      </c>
      <c r="AG27" s="79" t="e">
        <f>0.01*$R$77</f>
        <v>#DIV/0!</v>
      </c>
      <c r="AH27" s="79" t="e">
        <f>0.01*$R$78</f>
        <v>#DIV/0!</v>
      </c>
      <c r="AI27" s="79" t="e">
        <f>0.01*$R$79</f>
        <v>#DIV/0!</v>
      </c>
      <c r="AJ27" s="79" t="e">
        <f>0.01*$R$80</f>
        <v>#DIV/0!</v>
      </c>
      <c r="AK27" s="79" t="e">
        <f>0.01*$R$81</f>
        <v>#DIV/0!</v>
      </c>
      <c r="AL27" s="79" t="e">
        <f>0.01*$R$82</f>
        <v>#DIV/0!</v>
      </c>
      <c r="AM27" s="79" t="e">
        <f>0.01*$R$83</f>
        <v>#DIV/0!</v>
      </c>
      <c r="AN27" s="79" t="e">
        <f>0.01*$R$84</f>
        <v>#DIV/0!</v>
      </c>
      <c r="AO27" s="79" t="e">
        <f>0.01*$R$85</f>
        <v>#DIV/0!</v>
      </c>
      <c r="AP27" s="79" t="e">
        <f>0.01*$R$86</f>
        <v>#DIV/0!</v>
      </c>
      <c r="AQ27" s="79" t="e">
        <f>0.01*$R$87</f>
        <v>#DIV/0!</v>
      </c>
      <c r="AR27" s="79" t="e">
        <f>0.01*$R$88</f>
        <v>#DIV/0!</v>
      </c>
      <c r="AS27" s="79" t="e">
        <f>0.01*$R$89</f>
        <v>#DIV/0!</v>
      </c>
      <c r="AT27" s="79" t="e">
        <f>0.01*$R$90</f>
        <v>#DIV/0!</v>
      </c>
      <c r="AU27" s="79" t="e">
        <f>0.01*$R$91</f>
        <v>#DIV/0!</v>
      </c>
      <c r="AV27" s="79" t="e">
        <f>0.01*$R$92</f>
        <v>#DIV/0!</v>
      </c>
      <c r="AW27" s="79" t="e">
        <f>0.01*$R$94</f>
        <v>#DIV/0!</v>
      </c>
      <c r="AX27" s="79" t="e">
        <f>0.01*$R$95</f>
        <v>#DIV/0!</v>
      </c>
      <c r="AY27" s="79" t="e">
        <f>0.01*$R$96</f>
        <v>#DIV/0!</v>
      </c>
      <c r="AZ27" s="79" t="e">
        <f>0.01*$R$97</f>
        <v>#DIV/0!</v>
      </c>
      <c r="BA27" s="79" t="e">
        <f>0.01*$R$98</f>
        <v>#DIV/0!</v>
      </c>
      <c r="BB27" s="174"/>
      <c r="BC27" s="174"/>
      <c r="BD27" s="174"/>
      <c r="BE27" s="174"/>
      <c r="BF27" s="174"/>
      <c r="BG27" s="9"/>
    </row>
    <row r="28" spans="1:59">
      <c r="A28" s="2">
        <v>2021</v>
      </c>
      <c r="B28" t="s">
        <v>6</v>
      </c>
      <c r="C28" s="79" t="e">
        <f>$S$47</f>
        <v>#DIV/0!</v>
      </c>
      <c r="D28" s="79" t="e">
        <f>$S$48</f>
        <v>#DIV/0!</v>
      </c>
      <c r="E28" s="79" t="e">
        <f>$S$49</f>
        <v>#DIV/0!</v>
      </c>
      <c r="F28" s="79" t="e">
        <f>$S$50</f>
        <v>#DIV/0!</v>
      </c>
      <c r="G28" s="79" t="e">
        <f>$S$51</f>
        <v>#DIV/0!</v>
      </c>
      <c r="H28" s="79" t="e">
        <f>$S$52</f>
        <v>#DIV/0!</v>
      </c>
      <c r="I28" s="79" t="e">
        <f>$S$53</f>
        <v>#DIV/0!</v>
      </c>
      <c r="J28" s="79" t="e">
        <f>$S$54</f>
        <v>#DIV/0!</v>
      </c>
      <c r="K28" s="79" t="e">
        <f>$S$55</f>
        <v>#DIV/0!</v>
      </c>
      <c r="L28" s="79" t="e">
        <f>$S$56</f>
        <v>#DIV/0!</v>
      </c>
      <c r="M28" s="79" t="e">
        <f>$S$57</f>
        <v>#DIV/0!</v>
      </c>
      <c r="N28" s="79" t="e">
        <f>$S$58</f>
        <v>#DIV/0!</v>
      </c>
      <c r="O28" s="79" t="e">
        <f>$S$59</f>
        <v>#DIV/0!</v>
      </c>
      <c r="P28" s="79" t="e">
        <f>$S$60</f>
        <v>#DIV/0!</v>
      </c>
      <c r="Q28" s="79" t="e">
        <f>$S$61</f>
        <v>#DIV/0!</v>
      </c>
      <c r="R28" s="79" t="e">
        <f>$S$62</f>
        <v>#DIV/0!</v>
      </c>
      <c r="S28" s="79" t="e">
        <f>$S$63</f>
        <v>#DIV/0!</v>
      </c>
      <c r="T28" s="79" t="e">
        <f>$S$64</f>
        <v>#DIV/0!</v>
      </c>
      <c r="U28" s="79" t="e">
        <f>$S$65</f>
        <v>#DIV/0!</v>
      </c>
      <c r="V28" s="79" t="e">
        <f>$S$66</f>
        <v>#DIV/0!</v>
      </c>
      <c r="W28" s="79" t="e">
        <f>$S$67</f>
        <v>#DIV/0!</v>
      </c>
      <c r="X28" s="79" t="e">
        <f>$S$68</f>
        <v>#DIV/0!</v>
      </c>
      <c r="Y28" s="79" t="e">
        <f>$S$69</f>
        <v>#DIV/0!</v>
      </c>
      <c r="Z28" s="79" t="e">
        <f>$S$70</f>
        <v>#DIV/0!</v>
      </c>
      <c r="AA28" s="79" t="e">
        <f>$S$71</f>
        <v>#DIV/0!</v>
      </c>
      <c r="AB28" s="79" t="e">
        <f>$S$72</f>
        <v>#DIV/0!</v>
      </c>
      <c r="AC28" s="79" t="e">
        <f>$S$73</f>
        <v>#DIV/0!</v>
      </c>
      <c r="AD28" s="79" t="e">
        <f>$S$74</f>
        <v>#DIV/0!</v>
      </c>
      <c r="AE28" s="79" t="e">
        <f>$S$75</f>
        <v>#DIV/0!</v>
      </c>
      <c r="AF28" s="79" t="e">
        <f>$S$76</f>
        <v>#DIV/0!</v>
      </c>
      <c r="AG28" s="79" t="e">
        <f>$S$77</f>
        <v>#DIV/0!</v>
      </c>
      <c r="AH28" s="79" t="e">
        <f>$S$78</f>
        <v>#DIV/0!</v>
      </c>
      <c r="AI28" s="79" t="e">
        <f>$S$79</f>
        <v>#DIV/0!</v>
      </c>
      <c r="AJ28" s="79" t="e">
        <f>$S$80</f>
        <v>#DIV/0!</v>
      </c>
      <c r="AK28" s="79" t="e">
        <f>$S$81</f>
        <v>#DIV/0!</v>
      </c>
      <c r="AL28" s="79" t="e">
        <f>$S$82</f>
        <v>#DIV/0!</v>
      </c>
      <c r="AM28" s="79" t="e">
        <f>$S$83</f>
        <v>#DIV/0!</v>
      </c>
      <c r="AN28" s="79" t="e">
        <f>$S$84</f>
        <v>#DIV/0!</v>
      </c>
      <c r="AO28" s="79" t="e">
        <f>$S$85</f>
        <v>#DIV/0!</v>
      </c>
      <c r="AP28" s="79" t="e">
        <f>$S$86</f>
        <v>#DIV/0!</v>
      </c>
      <c r="AQ28" s="79" t="e">
        <f>$S$87</f>
        <v>#DIV/0!</v>
      </c>
      <c r="AR28" s="79" t="e">
        <f>$S$88</f>
        <v>#DIV/0!</v>
      </c>
      <c r="AS28" s="79" t="e">
        <f>$S$89</f>
        <v>#DIV/0!</v>
      </c>
      <c r="AT28" s="79" t="e">
        <f>$S$90</f>
        <v>#DIV/0!</v>
      </c>
      <c r="AU28" s="79" t="e">
        <f>$S$91</f>
        <v>#DIV/0!</v>
      </c>
      <c r="AV28" s="79" t="e">
        <f>$S$92</f>
        <v>#DIV/0!</v>
      </c>
      <c r="AW28" s="79" t="e">
        <f>$S$94</f>
        <v>#DIV/0!</v>
      </c>
      <c r="AX28" s="79" t="e">
        <f>$S$95</f>
        <v>#DIV/0!</v>
      </c>
      <c r="AY28" s="79" t="e">
        <f>$S$96</f>
        <v>#DIV/0!</v>
      </c>
      <c r="AZ28" s="79" t="e">
        <f>$S$97</f>
        <v>#DIV/0!</v>
      </c>
      <c r="BA28" s="79" t="e">
        <f>$S$98</f>
        <v>#DIV/0!</v>
      </c>
      <c r="BB28" s="9"/>
      <c r="BC28" s="9"/>
      <c r="BD28" s="9"/>
      <c r="BE28" s="9"/>
      <c r="BF28" s="9"/>
      <c r="BG28" s="9"/>
    </row>
    <row r="29" spans="1:59">
      <c r="A29" s="2">
        <v>2021</v>
      </c>
      <c r="B29" t="s">
        <v>42</v>
      </c>
      <c r="C29" s="79" t="e">
        <f>$T$47</f>
        <v>#DIV/0!</v>
      </c>
      <c r="D29" s="79" t="e">
        <f>$T$48</f>
        <v>#DIV/0!</v>
      </c>
      <c r="E29" s="79" t="e">
        <f>$T$49</f>
        <v>#DIV/0!</v>
      </c>
      <c r="F29" s="79" t="e">
        <f>$T$50</f>
        <v>#DIV/0!</v>
      </c>
      <c r="G29" s="79" t="e">
        <f>$T$51</f>
        <v>#DIV/0!</v>
      </c>
      <c r="H29" s="79" t="e">
        <f>$T$52</f>
        <v>#DIV/0!</v>
      </c>
      <c r="I29" s="79" t="e">
        <f>$T$53</f>
        <v>#DIV/0!</v>
      </c>
      <c r="J29" s="79" t="e">
        <f>$T$54</f>
        <v>#DIV/0!</v>
      </c>
      <c r="K29" s="79" t="e">
        <f>$T$55</f>
        <v>#DIV/0!</v>
      </c>
      <c r="L29" s="79" t="e">
        <f>$T$56</f>
        <v>#DIV/0!</v>
      </c>
      <c r="M29" s="79" t="e">
        <f>$T$57</f>
        <v>#DIV/0!</v>
      </c>
      <c r="N29" s="79" t="e">
        <f>$T$58</f>
        <v>#DIV/0!</v>
      </c>
      <c r="O29" s="79" t="e">
        <f>$T$59</f>
        <v>#DIV/0!</v>
      </c>
      <c r="P29" s="79" t="e">
        <f>$T$60</f>
        <v>#DIV/0!</v>
      </c>
      <c r="Q29" s="79" t="e">
        <f>$T$61</f>
        <v>#DIV/0!</v>
      </c>
      <c r="R29" s="79" t="e">
        <f>$T$62</f>
        <v>#DIV/0!</v>
      </c>
      <c r="S29" s="79" t="e">
        <f>$T$63</f>
        <v>#DIV/0!</v>
      </c>
      <c r="T29" s="79" t="e">
        <f>$T$64</f>
        <v>#DIV/0!</v>
      </c>
      <c r="U29" s="79" t="e">
        <f>$T$65</f>
        <v>#DIV/0!</v>
      </c>
      <c r="V29" s="79" t="e">
        <f>$T$66</f>
        <v>#DIV/0!</v>
      </c>
      <c r="W29" s="79" t="e">
        <f>$T$67</f>
        <v>#DIV/0!</v>
      </c>
      <c r="X29" s="79" t="e">
        <f>$T$68</f>
        <v>#DIV/0!</v>
      </c>
      <c r="Y29" s="79" t="e">
        <f>$T$69</f>
        <v>#DIV/0!</v>
      </c>
      <c r="Z29" s="79" t="e">
        <f>$T$70</f>
        <v>#DIV/0!</v>
      </c>
      <c r="AA29" s="79" t="e">
        <f>$T$71</f>
        <v>#DIV/0!</v>
      </c>
      <c r="AB29" s="79" t="e">
        <f>$T$72</f>
        <v>#DIV/0!</v>
      </c>
      <c r="AC29" s="79" t="e">
        <f>$T$73</f>
        <v>#DIV/0!</v>
      </c>
      <c r="AD29" s="79" t="e">
        <f>$T$74</f>
        <v>#DIV/0!</v>
      </c>
      <c r="AE29" s="79" t="e">
        <f>$T$75</f>
        <v>#DIV/0!</v>
      </c>
      <c r="AF29" s="79" t="e">
        <f>$T$76</f>
        <v>#DIV/0!</v>
      </c>
      <c r="AG29" s="79" t="e">
        <f>$T$77</f>
        <v>#DIV/0!</v>
      </c>
      <c r="AH29" s="79" t="e">
        <f>$T$78</f>
        <v>#DIV/0!</v>
      </c>
      <c r="AI29" s="79" t="e">
        <f>$T$79</f>
        <v>#DIV/0!</v>
      </c>
      <c r="AJ29" s="79" t="e">
        <f>$T$80</f>
        <v>#DIV/0!</v>
      </c>
      <c r="AK29" s="79" t="e">
        <f>$T$81</f>
        <v>#DIV/0!</v>
      </c>
      <c r="AL29" s="79" t="e">
        <f>$T$82</f>
        <v>#DIV/0!</v>
      </c>
      <c r="AM29" s="79" t="e">
        <f>$T$83</f>
        <v>#DIV/0!</v>
      </c>
      <c r="AN29" s="79" t="e">
        <f>$T$84</f>
        <v>#DIV/0!</v>
      </c>
      <c r="AO29" s="79" t="e">
        <f>$T$85</f>
        <v>#DIV/0!</v>
      </c>
      <c r="AP29" s="79" t="e">
        <f>$T$86</f>
        <v>#DIV/0!</v>
      </c>
      <c r="AQ29" s="79" t="e">
        <f>$T$87</f>
        <v>#DIV/0!</v>
      </c>
      <c r="AR29" s="79" t="e">
        <f>$T$88</f>
        <v>#DIV/0!</v>
      </c>
      <c r="AS29" s="79" t="e">
        <f>$T$89</f>
        <v>#DIV/0!</v>
      </c>
      <c r="AT29" s="79" t="e">
        <f>$T$90</f>
        <v>#DIV/0!</v>
      </c>
      <c r="AU29" s="79" t="e">
        <f>$T$91</f>
        <v>#DIV/0!</v>
      </c>
      <c r="AV29" s="79" t="e">
        <f>$T$92</f>
        <v>#DIV/0!</v>
      </c>
      <c r="AW29" s="79" t="e">
        <f>$T$94</f>
        <v>#DIV/0!</v>
      </c>
      <c r="AX29" s="79" t="e">
        <f>$T$95</f>
        <v>#DIV/0!</v>
      </c>
      <c r="AY29" s="79" t="e">
        <f>$T$96</f>
        <v>#DIV/0!</v>
      </c>
      <c r="AZ29" s="79" t="e">
        <f>$T$97</f>
        <v>#DIV/0!</v>
      </c>
      <c r="BA29" s="79" t="e">
        <f>$T$98</f>
        <v>#DIV/0!</v>
      </c>
      <c r="BB29" s="9"/>
      <c r="BC29" s="9"/>
      <c r="BD29" s="9"/>
      <c r="BE29" s="9"/>
      <c r="BF29" s="9"/>
      <c r="BG29" s="9"/>
    </row>
    <row r="30" spans="1:59">
      <c r="A30" s="2">
        <v>2022</v>
      </c>
      <c r="B30" t="s">
        <v>5</v>
      </c>
      <c r="C30" s="79" t="e">
        <f>$U$47</f>
        <v>#DIV/0!</v>
      </c>
      <c r="D30" s="79" t="e">
        <f>$U$48</f>
        <v>#DIV/0!</v>
      </c>
      <c r="E30" s="79" t="e">
        <f>$U$49</f>
        <v>#DIV/0!</v>
      </c>
      <c r="F30" s="79" t="e">
        <f>$U$50</f>
        <v>#DIV/0!</v>
      </c>
      <c r="G30" s="79" t="e">
        <f>$U$51</f>
        <v>#DIV/0!</v>
      </c>
      <c r="H30" s="79" t="e">
        <f>$U$52</f>
        <v>#DIV/0!</v>
      </c>
      <c r="I30" s="79" t="e">
        <f>$U$53</f>
        <v>#DIV/0!</v>
      </c>
      <c r="J30" s="79" t="e">
        <f>$U$54</f>
        <v>#DIV/0!</v>
      </c>
      <c r="K30" s="79" t="e">
        <f>$U$55</f>
        <v>#DIV/0!</v>
      </c>
      <c r="L30" s="79" t="e">
        <f>$U$56</f>
        <v>#DIV/0!</v>
      </c>
      <c r="M30" s="79" t="e">
        <f>$U$57</f>
        <v>#DIV/0!</v>
      </c>
      <c r="N30" s="79" t="e">
        <f>$U$58</f>
        <v>#DIV/0!</v>
      </c>
      <c r="O30" s="79" t="e">
        <f>$U$59</f>
        <v>#DIV/0!</v>
      </c>
      <c r="P30" s="79" t="e">
        <f>$U$60</f>
        <v>#DIV/0!</v>
      </c>
      <c r="Q30" s="79" t="e">
        <f>$U$61</f>
        <v>#DIV/0!</v>
      </c>
      <c r="R30" s="79" t="e">
        <f>$U$62</f>
        <v>#DIV/0!</v>
      </c>
      <c r="S30" s="79" t="e">
        <f>$U$63</f>
        <v>#DIV/0!</v>
      </c>
      <c r="T30" s="79" t="e">
        <f>$U$64</f>
        <v>#DIV/0!</v>
      </c>
      <c r="U30" s="79" t="e">
        <f>$U$65</f>
        <v>#DIV/0!</v>
      </c>
      <c r="V30" s="79" t="e">
        <f>$U$66</f>
        <v>#DIV/0!</v>
      </c>
      <c r="W30" s="79" t="e">
        <f>$U$67</f>
        <v>#DIV/0!</v>
      </c>
      <c r="X30" s="79" t="e">
        <f>$U$68</f>
        <v>#DIV/0!</v>
      </c>
      <c r="Y30" s="79" t="e">
        <f>$U$69</f>
        <v>#DIV/0!</v>
      </c>
      <c r="Z30" s="79" t="e">
        <f>$U$70</f>
        <v>#DIV/0!</v>
      </c>
      <c r="AA30" s="79" t="e">
        <f>$U$71</f>
        <v>#DIV/0!</v>
      </c>
      <c r="AB30" s="79" t="e">
        <f>$U$72</f>
        <v>#DIV/0!</v>
      </c>
      <c r="AC30" s="79" t="e">
        <f>$U$73</f>
        <v>#DIV/0!</v>
      </c>
      <c r="AD30" s="79" t="e">
        <f>$U$74</f>
        <v>#DIV/0!</v>
      </c>
      <c r="AE30" s="79" t="e">
        <f>$U$75</f>
        <v>#DIV/0!</v>
      </c>
      <c r="AF30" s="79" t="e">
        <f>$U$76</f>
        <v>#DIV/0!</v>
      </c>
      <c r="AG30" s="79" t="e">
        <f>$U$77</f>
        <v>#DIV/0!</v>
      </c>
      <c r="AH30" s="79" t="e">
        <f>$U$78</f>
        <v>#DIV/0!</v>
      </c>
      <c r="AI30" s="79" t="e">
        <f>$U$79</f>
        <v>#DIV/0!</v>
      </c>
      <c r="AJ30" s="79" t="e">
        <f>$U$80</f>
        <v>#DIV/0!</v>
      </c>
      <c r="AK30" s="79" t="e">
        <f>$U$81</f>
        <v>#DIV/0!</v>
      </c>
      <c r="AL30" s="79" t="e">
        <f>$U$82</f>
        <v>#DIV/0!</v>
      </c>
      <c r="AM30" s="79" t="e">
        <f>$U$83</f>
        <v>#DIV/0!</v>
      </c>
      <c r="AN30" s="79" t="e">
        <f>$U$84</f>
        <v>#DIV/0!</v>
      </c>
      <c r="AO30" s="79" t="e">
        <f>$U$85</f>
        <v>#DIV/0!</v>
      </c>
      <c r="AP30" s="79" t="e">
        <f>$U$86</f>
        <v>#DIV/0!</v>
      </c>
      <c r="AQ30" s="79" t="e">
        <f>$U$87</f>
        <v>#DIV/0!</v>
      </c>
      <c r="AR30" s="79" t="e">
        <f>$U$88</f>
        <v>#DIV/0!</v>
      </c>
      <c r="AS30" s="79" t="e">
        <f>$U$89</f>
        <v>#DIV/0!</v>
      </c>
      <c r="AT30" s="79" t="e">
        <f>$U$90</f>
        <v>#DIV/0!</v>
      </c>
      <c r="AU30" s="79" t="e">
        <f>$U$91</f>
        <v>#DIV/0!</v>
      </c>
      <c r="AV30" s="79" t="e">
        <f>$U$92</f>
        <v>#DIV/0!</v>
      </c>
      <c r="AW30" s="79" t="e">
        <f>$U$94</f>
        <v>#DIV/0!</v>
      </c>
      <c r="AX30" s="79" t="e">
        <f>$U$95</f>
        <v>#DIV/0!</v>
      </c>
      <c r="AY30" s="79" t="e">
        <f>$U$96</f>
        <v>#DIV/0!</v>
      </c>
      <c r="AZ30" s="79" t="e">
        <f>$U$97</f>
        <v>#DIV/0!</v>
      </c>
      <c r="BA30" s="79" t="e">
        <f>$U$98</f>
        <v>#DIV/0!</v>
      </c>
    </row>
    <row r="31" spans="1:59">
      <c r="A31" s="2">
        <v>2022</v>
      </c>
      <c r="B31" t="s">
        <v>6</v>
      </c>
      <c r="C31" s="79" t="e">
        <f>$V$47</f>
        <v>#DIV/0!</v>
      </c>
      <c r="D31" s="79" t="e">
        <f>$V$48</f>
        <v>#DIV/0!</v>
      </c>
      <c r="E31" s="79" t="e">
        <f>$V$49</f>
        <v>#DIV/0!</v>
      </c>
      <c r="F31" s="79" t="e">
        <f>$V$50</f>
        <v>#DIV/0!</v>
      </c>
      <c r="G31" s="79" t="e">
        <f>$V$51</f>
        <v>#DIV/0!</v>
      </c>
      <c r="H31" s="79" t="e">
        <f>$V$52</f>
        <v>#DIV/0!</v>
      </c>
      <c r="I31" s="79" t="e">
        <f>$V$53</f>
        <v>#DIV/0!</v>
      </c>
      <c r="J31" s="79" t="e">
        <f>$V$54</f>
        <v>#DIV/0!</v>
      </c>
      <c r="K31" s="79" t="e">
        <f>$V$55</f>
        <v>#DIV/0!</v>
      </c>
      <c r="L31" s="79" t="e">
        <f>$V$56</f>
        <v>#DIV/0!</v>
      </c>
      <c r="M31" s="79" t="e">
        <f>$V$57</f>
        <v>#DIV/0!</v>
      </c>
      <c r="N31" s="79" t="e">
        <f>$V$58</f>
        <v>#DIV/0!</v>
      </c>
      <c r="O31" s="79" t="e">
        <f>$V$59</f>
        <v>#DIV/0!</v>
      </c>
      <c r="P31" s="79" t="e">
        <f>$V$60</f>
        <v>#DIV/0!</v>
      </c>
      <c r="Q31" s="79" t="e">
        <f>$V$61</f>
        <v>#DIV/0!</v>
      </c>
      <c r="R31" s="79" t="e">
        <f>$V$62</f>
        <v>#DIV/0!</v>
      </c>
      <c r="S31" s="79" t="e">
        <f>$V$63</f>
        <v>#DIV/0!</v>
      </c>
      <c r="T31" s="79" t="e">
        <f>$V$64</f>
        <v>#DIV/0!</v>
      </c>
      <c r="U31" s="79" t="e">
        <f>$V$65</f>
        <v>#DIV/0!</v>
      </c>
      <c r="V31" s="79" t="e">
        <f>$V$66</f>
        <v>#DIV/0!</v>
      </c>
      <c r="W31" s="79" t="e">
        <f>$V$67</f>
        <v>#DIV/0!</v>
      </c>
      <c r="X31" s="79" t="e">
        <f>$V$68</f>
        <v>#DIV/0!</v>
      </c>
      <c r="Y31" s="79" t="e">
        <f>$V$69</f>
        <v>#DIV/0!</v>
      </c>
      <c r="Z31" s="79" t="e">
        <f>$V$70</f>
        <v>#DIV/0!</v>
      </c>
      <c r="AA31" s="79" t="e">
        <f>$V$71</f>
        <v>#DIV/0!</v>
      </c>
      <c r="AB31" s="79" t="e">
        <f>$V$72</f>
        <v>#DIV/0!</v>
      </c>
      <c r="AC31" s="79" t="e">
        <f>$V$73</f>
        <v>#DIV/0!</v>
      </c>
      <c r="AD31" s="79" t="e">
        <f>$V$74</f>
        <v>#DIV/0!</v>
      </c>
      <c r="AE31" s="79" t="e">
        <f>$V$75</f>
        <v>#DIV/0!</v>
      </c>
      <c r="AF31" s="79" t="e">
        <f>$V$76</f>
        <v>#DIV/0!</v>
      </c>
      <c r="AG31" s="79" t="e">
        <f>$V$77</f>
        <v>#DIV/0!</v>
      </c>
      <c r="AH31" s="79" t="e">
        <f>$V$78</f>
        <v>#DIV/0!</v>
      </c>
      <c r="AI31" s="79" t="e">
        <f>$V$79</f>
        <v>#DIV/0!</v>
      </c>
      <c r="AJ31" s="79" t="e">
        <f>$V$80</f>
        <v>#DIV/0!</v>
      </c>
      <c r="AK31" s="79" t="e">
        <f>$V$81</f>
        <v>#DIV/0!</v>
      </c>
      <c r="AL31" s="79" t="e">
        <f>$V$82</f>
        <v>#DIV/0!</v>
      </c>
      <c r="AM31" s="79" t="e">
        <f>$V$83</f>
        <v>#DIV/0!</v>
      </c>
      <c r="AN31" s="79" t="e">
        <f>$V$84</f>
        <v>#DIV/0!</v>
      </c>
      <c r="AO31" s="79" t="e">
        <f>$V$85</f>
        <v>#DIV/0!</v>
      </c>
      <c r="AP31" s="79" t="e">
        <f>$V$86</f>
        <v>#DIV/0!</v>
      </c>
      <c r="AQ31" s="79" t="e">
        <f>$V$87</f>
        <v>#DIV/0!</v>
      </c>
      <c r="AR31" s="79" t="e">
        <f>$V$88</f>
        <v>#DIV/0!</v>
      </c>
      <c r="AS31" s="79" t="e">
        <f>$V$89</f>
        <v>#DIV/0!</v>
      </c>
      <c r="AT31" s="79" t="e">
        <f>$V$90</f>
        <v>#DIV/0!</v>
      </c>
      <c r="AU31" s="79" t="e">
        <f>$V$91</f>
        <v>#DIV/0!</v>
      </c>
      <c r="AV31" s="79" t="e">
        <f>$V$92</f>
        <v>#DIV/0!</v>
      </c>
      <c r="AW31" s="79" t="e">
        <f>$V$94</f>
        <v>#DIV/0!</v>
      </c>
      <c r="AX31" s="79" t="e">
        <f>$V$95</f>
        <v>#DIV/0!</v>
      </c>
      <c r="AY31" s="79" t="e">
        <f>$V$96</f>
        <v>#DIV/0!</v>
      </c>
      <c r="AZ31" s="79" t="e">
        <f>$V$97</f>
        <v>#DIV/0!</v>
      </c>
      <c r="BA31" s="79" t="e">
        <f>$V$98</f>
        <v>#DIV/0!</v>
      </c>
    </row>
    <row r="32" spans="1:59">
      <c r="A32" s="2">
        <v>2022</v>
      </c>
      <c r="B32" t="s">
        <v>42</v>
      </c>
      <c r="C32" s="79" t="e">
        <f>$W$47</f>
        <v>#DIV/0!</v>
      </c>
      <c r="D32" s="79" t="e">
        <f>$W$48</f>
        <v>#DIV/0!</v>
      </c>
      <c r="E32" s="79" t="e">
        <f>$W$49</f>
        <v>#DIV/0!</v>
      </c>
      <c r="F32" s="79" t="e">
        <f>$W$50</f>
        <v>#DIV/0!</v>
      </c>
      <c r="G32" s="79" t="e">
        <f>$W$51</f>
        <v>#DIV/0!</v>
      </c>
      <c r="H32" s="79" t="e">
        <f>$W$52</f>
        <v>#DIV/0!</v>
      </c>
      <c r="I32" s="79" t="e">
        <f>$W$53</f>
        <v>#DIV/0!</v>
      </c>
      <c r="J32" s="79" t="e">
        <f>$W$54</f>
        <v>#DIV/0!</v>
      </c>
      <c r="K32" s="79" t="e">
        <f>$W$55</f>
        <v>#DIV/0!</v>
      </c>
      <c r="L32" s="79" t="e">
        <f>$W$56</f>
        <v>#DIV/0!</v>
      </c>
      <c r="M32" s="79" t="e">
        <f>$W$57</f>
        <v>#DIV/0!</v>
      </c>
      <c r="N32" s="79" t="e">
        <f>$W$58</f>
        <v>#DIV/0!</v>
      </c>
      <c r="O32" s="79" t="e">
        <f>$W$59</f>
        <v>#DIV/0!</v>
      </c>
      <c r="P32" s="79" t="e">
        <f>$W$60</f>
        <v>#DIV/0!</v>
      </c>
      <c r="Q32" s="79" t="e">
        <f>$W$61</f>
        <v>#DIV/0!</v>
      </c>
      <c r="R32" s="79" t="e">
        <f>$W$62</f>
        <v>#DIV/0!</v>
      </c>
      <c r="S32" s="79" t="e">
        <f>$W$63</f>
        <v>#DIV/0!</v>
      </c>
      <c r="T32" s="79" t="e">
        <f>$W$64</f>
        <v>#DIV/0!</v>
      </c>
      <c r="U32" s="79" t="e">
        <f>$W$65</f>
        <v>#DIV/0!</v>
      </c>
      <c r="V32" s="79" t="e">
        <f>$W$66</f>
        <v>#DIV/0!</v>
      </c>
      <c r="W32" s="79" t="e">
        <f>$W$67</f>
        <v>#DIV/0!</v>
      </c>
      <c r="X32" s="79" t="e">
        <f>$W$68</f>
        <v>#DIV/0!</v>
      </c>
      <c r="Y32" s="79" t="e">
        <f>$W$69</f>
        <v>#DIV/0!</v>
      </c>
      <c r="Z32" s="79" t="e">
        <f>$W$70</f>
        <v>#DIV/0!</v>
      </c>
      <c r="AA32" s="79" t="e">
        <f>$W$71</f>
        <v>#DIV/0!</v>
      </c>
      <c r="AB32" s="79" t="e">
        <f>$W$72</f>
        <v>#DIV/0!</v>
      </c>
      <c r="AC32" s="79" t="e">
        <f>$W$73</f>
        <v>#DIV/0!</v>
      </c>
      <c r="AD32" s="79" t="e">
        <f>$W$74</f>
        <v>#DIV/0!</v>
      </c>
      <c r="AE32" s="79" t="e">
        <f>$W$75</f>
        <v>#DIV/0!</v>
      </c>
      <c r="AF32" s="79" t="e">
        <f>$W$76</f>
        <v>#DIV/0!</v>
      </c>
      <c r="AG32" s="79" t="e">
        <f>$W$77</f>
        <v>#DIV/0!</v>
      </c>
      <c r="AH32" s="79" t="e">
        <f>$W$78</f>
        <v>#DIV/0!</v>
      </c>
      <c r="AI32" s="79" t="e">
        <f>$W$79</f>
        <v>#DIV/0!</v>
      </c>
      <c r="AJ32" s="79" t="e">
        <f>$W$80</f>
        <v>#DIV/0!</v>
      </c>
      <c r="AK32" s="79" t="e">
        <f>$W$81</f>
        <v>#DIV/0!</v>
      </c>
      <c r="AL32" s="79" t="e">
        <f>$W$82</f>
        <v>#DIV/0!</v>
      </c>
      <c r="AM32" s="79" t="e">
        <f>$W$83</f>
        <v>#DIV/0!</v>
      </c>
      <c r="AN32" s="79" t="e">
        <f>$W$84</f>
        <v>#DIV/0!</v>
      </c>
      <c r="AO32" s="79" t="e">
        <f>$W$85</f>
        <v>#DIV/0!</v>
      </c>
      <c r="AP32" s="79" t="e">
        <f>$W$86</f>
        <v>#DIV/0!</v>
      </c>
      <c r="AQ32" s="79" t="e">
        <f>$W$87</f>
        <v>#DIV/0!</v>
      </c>
      <c r="AR32" s="79" t="e">
        <f>$W$88</f>
        <v>#DIV/0!</v>
      </c>
      <c r="AS32" s="79" t="e">
        <f>$W$89</f>
        <v>#DIV/0!</v>
      </c>
      <c r="AT32" s="79" t="e">
        <f>$W$90</f>
        <v>#DIV/0!</v>
      </c>
      <c r="AU32" s="79" t="e">
        <f>$W$91</f>
        <v>#DIV/0!</v>
      </c>
      <c r="AV32" s="79" t="e">
        <f>$W$92</f>
        <v>#DIV/0!</v>
      </c>
      <c r="AW32" s="79" t="e">
        <f>$W$94</f>
        <v>#DIV/0!</v>
      </c>
      <c r="AX32" s="79" t="e">
        <f>$W$95</f>
        <v>#DIV/0!</v>
      </c>
      <c r="AY32" s="79" t="e">
        <f>$W$96</f>
        <v>#DIV/0!</v>
      </c>
      <c r="AZ32" s="79" t="e">
        <f>$W$97</f>
        <v>#DIV/0!</v>
      </c>
      <c r="BA32" s="79" t="e">
        <f>$W$98</f>
        <v>#DIV/0!</v>
      </c>
    </row>
    <row r="33" spans="1:69">
      <c r="A33" s="2">
        <v>2023</v>
      </c>
      <c r="B33" t="s">
        <v>5</v>
      </c>
      <c r="C33" s="79" t="e">
        <f>$X$47</f>
        <v>#DIV/0!</v>
      </c>
      <c r="D33" s="79" t="e">
        <f>$X$48</f>
        <v>#DIV/0!</v>
      </c>
      <c r="E33" s="79" t="e">
        <f>$X$49</f>
        <v>#DIV/0!</v>
      </c>
      <c r="F33" s="79" t="e">
        <f>$X$50</f>
        <v>#DIV/0!</v>
      </c>
      <c r="G33" s="79" t="e">
        <f>$X$51</f>
        <v>#DIV/0!</v>
      </c>
      <c r="H33" s="79" t="e">
        <f>$X$52</f>
        <v>#DIV/0!</v>
      </c>
      <c r="I33" s="79" t="e">
        <f>$X$53</f>
        <v>#DIV/0!</v>
      </c>
      <c r="J33" s="79" t="e">
        <f>$X$54</f>
        <v>#DIV/0!</v>
      </c>
      <c r="K33" s="79" t="e">
        <f>$X$55</f>
        <v>#DIV/0!</v>
      </c>
      <c r="L33" s="79" t="e">
        <f>$X$56</f>
        <v>#DIV/0!</v>
      </c>
      <c r="M33" s="79" t="e">
        <f>$X$57</f>
        <v>#DIV/0!</v>
      </c>
      <c r="N33" s="79" t="e">
        <f>$X$58</f>
        <v>#DIV/0!</v>
      </c>
      <c r="O33" s="79" t="e">
        <f>$X$59</f>
        <v>#DIV/0!</v>
      </c>
      <c r="P33" s="79" t="e">
        <f>$X$60</f>
        <v>#DIV/0!</v>
      </c>
      <c r="Q33" s="79" t="e">
        <f>$X$61</f>
        <v>#DIV/0!</v>
      </c>
      <c r="R33" s="79" t="e">
        <f>$X$62</f>
        <v>#DIV/0!</v>
      </c>
      <c r="S33" s="79" t="e">
        <f>$X$63</f>
        <v>#DIV/0!</v>
      </c>
      <c r="T33" s="79" t="e">
        <f>$X$64</f>
        <v>#DIV/0!</v>
      </c>
      <c r="U33" s="79" t="e">
        <f>$X$65</f>
        <v>#DIV/0!</v>
      </c>
      <c r="V33" s="79" t="e">
        <f>$X$66</f>
        <v>#DIV/0!</v>
      </c>
      <c r="W33" s="79" t="e">
        <f>$X$67</f>
        <v>#DIV/0!</v>
      </c>
      <c r="X33" s="79" t="e">
        <f>$X$68</f>
        <v>#DIV/0!</v>
      </c>
      <c r="Y33" s="79" t="e">
        <f>$X$69</f>
        <v>#DIV/0!</v>
      </c>
      <c r="Z33" s="79" t="e">
        <f>$X$70</f>
        <v>#DIV/0!</v>
      </c>
      <c r="AA33" s="79" t="e">
        <f>$X$71</f>
        <v>#DIV/0!</v>
      </c>
      <c r="AB33" s="79" t="e">
        <f>$X$72</f>
        <v>#DIV/0!</v>
      </c>
      <c r="AC33" s="79" t="e">
        <f>$X$73</f>
        <v>#DIV/0!</v>
      </c>
      <c r="AD33" s="79" t="e">
        <f>$X$74</f>
        <v>#DIV/0!</v>
      </c>
      <c r="AE33" s="79" t="e">
        <f>$X$75</f>
        <v>#DIV/0!</v>
      </c>
      <c r="AF33" s="79" t="e">
        <f>$X$76</f>
        <v>#DIV/0!</v>
      </c>
      <c r="AG33" s="79" t="e">
        <f>$X$77</f>
        <v>#DIV/0!</v>
      </c>
      <c r="AH33" s="79" t="e">
        <f>$X$78</f>
        <v>#DIV/0!</v>
      </c>
      <c r="AI33" s="79" t="e">
        <f>$X$79</f>
        <v>#DIV/0!</v>
      </c>
      <c r="AJ33" s="79" t="e">
        <f>$X$80</f>
        <v>#DIV/0!</v>
      </c>
      <c r="AK33" s="79" t="e">
        <f>$X$81</f>
        <v>#DIV/0!</v>
      </c>
      <c r="AL33" s="79" t="e">
        <f>$X$82</f>
        <v>#DIV/0!</v>
      </c>
      <c r="AM33" s="79" t="e">
        <f>$X$83</f>
        <v>#DIV/0!</v>
      </c>
      <c r="AN33" s="79" t="e">
        <f>$X$84</f>
        <v>#DIV/0!</v>
      </c>
      <c r="AO33" s="79" t="e">
        <f>$X$85</f>
        <v>#DIV/0!</v>
      </c>
      <c r="AP33" s="79" t="e">
        <f>$X$86</f>
        <v>#DIV/0!</v>
      </c>
      <c r="AQ33" s="79" t="e">
        <f>$X$87</f>
        <v>#DIV/0!</v>
      </c>
      <c r="AR33" s="79" t="e">
        <f>$X$88</f>
        <v>#DIV/0!</v>
      </c>
      <c r="AS33" s="79" t="e">
        <f>$X$89</f>
        <v>#DIV/0!</v>
      </c>
      <c r="AT33" s="79" t="e">
        <f>$X$90</f>
        <v>#DIV/0!</v>
      </c>
      <c r="AU33" s="79" t="e">
        <f>$X$91</f>
        <v>#DIV/0!</v>
      </c>
      <c r="AV33" s="79" t="e">
        <f>$X$92</f>
        <v>#DIV/0!</v>
      </c>
      <c r="AW33" s="79" t="e">
        <f>$X$94</f>
        <v>#DIV/0!</v>
      </c>
      <c r="AX33" s="79" t="e">
        <f>$X$95</f>
        <v>#DIV/0!</v>
      </c>
      <c r="AY33" s="79" t="e">
        <f>$X$96</f>
        <v>#DIV/0!</v>
      </c>
      <c r="AZ33" s="79" t="e">
        <f>$X$97</f>
        <v>#DIV/0!</v>
      </c>
      <c r="BA33" s="79" t="e">
        <f>$X$98</f>
        <v>#DIV/0!</v>
      </c>
    </row>
    <row r="34" spans="1:69">
      <c r="A34" s="2">
        <v>2023</v>
      </c>
      <c r="B34" t="s">
        <v>6</v>
      </c>
      <c r="C34" s="79" t="e">
        <f>$Y$47</f>
        <v>#DIV/0!</v>
      </c>
      <c r="D34" s="79" t="e">
        <f>$Y$48</f>
        <v>#DIV/0!</v>
      </c>
      <c r="E34" s="79" t="e">
        <f>$Y$49</f>
        <v>#DIV/0!</v>
      </c>
      <c r="F34" s="79" t="e">
        <f>$Y$50</f>
        <v>#DIV/0!</v>
      </c>
      <c r="G34" s="79" t="e">
        <f>$Y$51</f>
        <v>#DIV/0!</v>
      </c>
      <c r="H34" s="79" t="e">
        <f>$Y$52</f>
        <v>#DIV/0!</v>
      </c>
      <c r="I34" s="79" t="e">
        <f>$Y$53</f>
        <v>#DIV/0!</v>
      </c>
      <c r="J34" s="79" t="e">
        <f>$Y$54</f>
        <v>#DIV/0!</v>
      </c>
      <c r="K34" s="79" t="e">
        <f>$Y$55</f>
        <v>#DIV/0!</v>
      </c>
      <c r="L34" s="79" t="e">
        <f>$Y$56</f>
        <v>#DIV/0!</v>
      </c>
      <c r="M34" s="79" t="e">
        <f>$Y$57</f>
        <v>#DIV/0!</v>
      </c>
      <c r="N34" s="79" t="e">
        <f>$Y$58</f>
        <v>#DIV/0!</v>
      </c>
      <c r="O34" s="79" t="e">
        <f>$Y$59</f>
        <v>#DIV/0!</v>
      </c>
      <c r="P34" s="79" t="e">
        <f>$Y$60</f>
        <v>#DIV/0!</v>
      </c>
      <c r="Q34" s="79" t="e">
        <f>$Y$61</f>
        <v>#DIV/0!</v>
      </c>
      <c r="R34" s="79" t="e">
        <f>$Y$62</f>
        <v>#DIV/0!</v>
      </c>
      <c r="S34" s="79" t="e">
        <f>$Y$63</f>
        <v>#DIV/0!</v>
      </c>
      <c r="T34" s="79" t="e">
        <f>$Y$64</f>
        <v>#DIV/0!</v>
      </c>
      <c r="U34" s="79" t="e">
        <f>$Y$65</f>
        <v>#DIV/0!</v>
      </c>
      <c r="V34" s="79" t="e">
        <f>$Y$66</f>
        <v>#DIV/0!</v>
      </c>
      <c r="W34" s="79" t="e">
        <f>$Y$67</f>
        <v>#DIV/0!</v>
      </c>
      <c r="X34" s="79" t="e">
        <f>$Y$68</f>
        <v>#DIV/0!</v>
      </c>
      <c r="Y34" s="79" t="e">
        <f>$Y$69</f>
        <v>#DIV/0!</v>
      </c>
      <c r="Z34" s="79" t="e">
        <f>$Y$70</f>
        <v>#DIV/0!</v>
      </c>
      <c r="AA34" s="79" t="e">
        <f>$Y$71</f>
        <v>#DIV/0!</v>
      </c>
      <c r="AB34" s="79" t="e">
        <f>$Y$72</f>
        <v>#DIV/0!</v>
      </c>
      <c r="AC34" s="79" t="e">
        <f>$Y$73</f>
        <v>#DIV/0!</v>
      </c>
      <c r="AD34" s="79" t="e">
        <f>$Y$74</f>
        <v>#DIV/0!</v>
      </c>
      <c r="AE34" s="79" t="e">
        <f>$Y$75</f>
        <v>#DIV/0!</v>
      </c>
      <c r="AF34" s="79" t="e">
        <f>$Y$76</f>
        <v>#DIV/0!</v>
      </c>
      <c r="AG34" s="79" t="e">
        <f>$Y$77</f>
        <v>#DIV/0!</v>
      </c>
      <c r="AH34" s="79" t="e">
        <f>$Y$78</f>
        <v>#DIV/0!</v>
      </c>
      <c r="AI34" s="79" t="e">
        <f>$Y$79</f>
        <v>#DIV/0!</v>
      </c>
      <c r="AJ34" s="79" t="e">
        <f>$Y$80</f>
        <v>#DIV/0!</v>
      </c>
      <c r="AK34" s="79" t="e">
        <f>$Y$81</f>
        <v>#DIV/0!</v>
      </c>
      <c r="AL34" s="79" t="e">
        <f>$Y$82</f>
        <v>#DIV/0!</v>
      </c>
      <c r="AM34" s="79" t="e">
        <f>$Y$83</f>
        <v>#DIV/0!</v>
      </c>
      <c r="AN34" s="79" t="e">
        <f>$Y$84</f>
        <v>#DIV/0!</v>
      </c>
      <c r="AO34" s="79" t="e">
        <f>$Y$85</f>
        <v>#DIV/0!</v>
      </c>
      <c r="AP34" s="79" t="e">
        <f>$Y$86</f>
        <v>#DIV/0!</v>
      </c>
      <c r="AQ34" s="79" t="e">
        <f>$Y$87</f>
        <v>#DIV/0!</v>
      </c>
      <c r="AR34" s="79" t="e">
        <f>$Y$88</f>
        <v>#DIV/0!</v>
      </c>
      <c r="AS34" s="79" t="e">
        <f>$Y$89</f>
        <v>#DIV/0!</v>
      </c>
      <c r="AT34" s="79" t="e">
        <f>$Y$90</f>
        <v>#DIV/0!</v>
      </c>
      <c r="AU34" s="79" t="e">
        <f>$Y$91</f>
        <v>#DIV/0!</v>
      </c>
      <c r="AV34" s="79" t="e">
        <f>$Y$92</f>
        <v>#DIV/0!</v>
      </c>
      <c r="AW34" s="79" t="e">
        <f>$Y$94</f>
        <v>#DIV/0!</v>
      </c>
      <c r="AX34" s="79" t="e">
        <f>$Y$95</f>
        <v>#DIV/0!</v>
      </c>
      <c r="AY34" s="79" t="e">
        <f>$Y$96</f>
        <v>#DIV/0!</v>
      </c>
      <c r="AZ34" s="79" t="e">
        <f>$Y$97</f>
        <v>#DIV/0!</v>
      </c>
      <c r="BA34" s="79" t="e">
        <f>$Y$98</f>
        <v>#DIV/0!</v>
      </c>
    </row>
    <row r="35" spans="1:69">
      <c r="A35" s="2">
        <v>2023</v>
      </c>
      <c r="B35" t="s">
        <v>42</v>
      </c>
      <c r="C35" s="79" t="e">
        <f>$Z$47</f>
        <v>#DIV/0!</v>
      </c>
      <c r="D35" s="79" t="e">
        <f>$Z$48</f>
        <v>#DIV/0!</v>
      </c>
      <c r="E35" s="79" t="e">
        <f>$Z$49</f>
        <v>#DIV/0!</v>
      </c>
      <c r="F35" s="79" t="e">
        <f>$Z$50</f>
        <v>#DIV/0!</v>
      </c>
      <c r="G35" s="79" t="e">
        <f>$Z$51</f>
        <v>#DIV/0!</v>
      </c>
      <c r="H35" s="79" t="e">
        <f>$Z$52</f>
        <v>#DIV/0!</v>
      </c>
      <c r="I35" s="79" t="e">
        <f>$Z$53</f>
        <v>#DIV/0!</v>
      </c>
      <c r="J35" s="79" t="e">
        <f>$Z$54</f>
        <v>#DIV/0!</v>
      </c>
      <c r="K35" s="79" t="e">
        <f>$Z$55</f>
        <v>#DIV/0!</v>
      </c>
      <c r="L35" s="79" t="e">
        <f>$Z$56</f>
        <v>#DIV/0!</v>
      </c>
      <c r="M35" s="79" t="e">
        <f>$Z$57</f>
        <v>#DIV/0!</v>
      </c>
      <c r="N35" s="79" t="e">
        <f>$Z$58</f>
        <v>#DIV/0!</v>
      </c>
      <c r="O35" s="79" t="e">
        <f>$Z$59</f>
        <v>#DIV/0!</v>
      </c>
      <c r="P35" s="79" t="e">
        <f>$Z$60</f>
        <v>#DIV/0!</v>
      </c>
      <c r="Q35" s="79" t="e">
        <f>$Z$61</f>
        <v>#DIV/0!</v>
      </c>
      <c r="R35" s="79" t="e">
        <f>$Z$62</f>
        <v>#DIV/0!</v>
      </c>
      <c r="S35" s="79" t="e">
        <f>$Z$63</f>
        <v>#DIV/0!</v>
      </c>
      <c r="T35" s="79" t="e">
        <f>$Z$64</f>
        <v>#DIV/0!</v>
      </c>
      <c r="U35" s="79" t="e">
        <f>$Z$65</f>
        <v>#DIV/0!</v>
      </c>
      <c r="V35" s="79" t="e">
        <f>$Z$66</f>
        <v>#DIV/0!</v>
      </c>
      <c r="W35" s="79" t="e">
        <f>$Z$67</f>
        <v>#DIV/0!</v>
      </c>
      <c r="X35" s="79" t="e">
        <f>$Z$68</f>
        <v>#DIV/0!</v>
      </c>
      <c r="Y35" s="79" t="e">
        <f>$Z$69</f>
        <v>#DIV/0!</v>
      </c>
      <c r="Z35" s="79" t="e">
        <f>$Z$70</f>
        <v>#DIV/0!</v>
      </c>
      <c r="AA35" s="79" t="e">
        <f>$Z$71</f>
        <v>#DIV/0!</v>
      </c>
      <c r="AB35" s="79" t="e">
        <f>$Z$72</f>
        <v>#DIV/0!</v>
      </c>
      <c r="AC35" s="79" t="e">
        <f>$Z$73</f>
        <v>#DIV/0!</v>
      </c>
      <c r="AD35" s="79" t="e">
        <f>$Z$74</f>
        <v>#DIV/0!</v>
      </c>
      <c r="AE35" s="79" t="e">
        <f>$Z$75</f>
        <v>#DIV/0!</v>
      </c>
      <c r="AF35" s="79" t="e">
        <f>$Z$76</f>
        <v>#DIV/0!</v>
      </c>
      <c r="AG35" s="79" t="e">
        <f>$Z$77</f>
        <v>#DIV/0!</v>
      </c>
      <c r="AH35" s="79" t="e">
        <f>$Z$78</f>
        <v>#DIV/0!</v>
      </c>
      <c r="AI35" s="79" t="e">
        <f>$Z$79</f>
        <v>#DIV/0!</v>
      </c>
      <c r="AJ35" s="79" t="e">
        <f>$Z$80</f>
        <v>#DIV/0!</v>
      </c>
      <c r="AK35" s="79" t="e">
        <f>$Z$81</f>
        <v>#DIV/0!</v>
      </c>
      <c r="AL35" s="79" t="e">
        <f>$Z$82</f>
        <v>#DIV/0!</v>
      </c>
      <c r="AM35" s="79" t="e">
        <f>$Z$83</f>
        <v>#DIV/0!</v>
      </c>
      <c r="AN35" s="79" t="e">
        <f>$Z$84</f>
        <v>#DIV/0!</v>
      </c>
      <c r="AO35" s="79" t="e">
        <f>$Z$85</f>
        <v>#DIV/0!</v>
      </c>
      <c r="AP35" s="79" t="e">
        <f>$Z$86</f>
        <v>#DIV/0!</v>
      </c>
      <c r="AQ35" s="79" t="e">
        <f>$Z$87</f>
        <v>#DIV/0!</v>
      </c>
      <c r="AR35" s="79" t="e">
        <f>$Z$88</f>
        <v>#DIV/0!</v>
      </c>
      <c r="AS35" s="79" t="e">
        <f>$Z$89</f>
        <v>#DIV/0!</v>
      </c>
      <c r="AT35" s="79" t="e">
        <f>$Z$90</f>
        <v>#DIV/0!</v>
      </c>
      <c r="AU35" s="79" t="e">
        <f>$Z$91</f>
        <v>#DIV/0!</v>
      </c>
      <c r="AV35" s="79" t="e">
        <f>$Z$92</f>
        <v>#DIV/0!</v>
      </c>
      <c r="AW35" s="79" t="e">
        <f>$Z$94</f>
        <v>#DIV/0!</v>
      </c>
      <c r="AX35" s="79" t="e">
        <f>$Z$95</f>
        <v>#DIV/0!</v>
      </c>
      <c r="AY35" s="79" t="e">
        <f>$Z$96</f>
        <v>#DIV/0!</v>
      </c>
      <c r="AZ35" s="79" t="e">
        <f>$Z$97</f>
        <v>#DIV/0!</v>
      </c>
      <c r="BA35" s="79" t="e">
        <f>$Z$98</f>
        <v>#DIV/0!</v>
      </c>
    </row>
    <row r="36" spans="1:69">
      <c r="A36" s="2">
        <v>2024</v>
      </c>
      <c r="B36" t="s">
        <v>5</v>
      </c>
      <c r="C36" s="79" t="e">
        <f>$AA$47</f>
        <v>#DIV/0!</v>
      </c>
      <c r="D36" s="79" t="e">
        <f>$AA$48</f>
        <v>#DIV/0!</v>
      </c>
      <c r="E36" s="79" t="e">
        <f>$AA$49</f>
        <v>#DIV/0!</v>
      </c>
      <c r="F36" s="79" t="e">
        <f>$AA$50</f>
        <v>#DIV/0!</v>
      </c>
      <c r="G36" s="79" t="e">
        <f>$AA$51</f>
        <v>#DIV/0!</v>
      </c>
      <c r="H36" s="79" t="e">
        <f>$AA$52</f>
        <v>#DIV/0!</v>
      </c>
      <c r="I36" s="79" t="e">
        <f>$AA$53</f>
        <v>#DIV/0!</v>
      </c>
      <c r="J36" s="79" t="e">
        <f>$AA$54</f>
        <v>#DIV/0!</v>
      </c>
      <c r="K36" s="79" t="e">
        <f>$AA$55</f>
        <v>#DIV/0!</v>
      </c>
      <c r="L36" s="79" t="e">
        <f>$AA$56</f>
        <v>#DIV/0!</v>
      </c>
      <c r="M36" s="79" t="e">
        <f>$AA$57</f>
        <v>#DIV/0!</v>
      </c>
      <c r="N36" s="79" t="e">
        <f>$AA$58</f>
        <v>#DIV/0!</v>
      </c>
      <c r="O36" s="79" t="e">
        <f>$AA$59</f>
        <v>#DIV/0!</v>
      </c>
      <c r="P36" s="79" t="e">
        <f>$AA$60</f>
        <v>#DIV/0!</v>
      </c>
      <c r="Q36" s="79" t="e">
        <f>$AA$61</f>
        <v>#DIV/0!</v>
      </c>
      <c r="R36" s="79" t="e">
        <f>$AA$62</f>
        <v>#DIV/0!</v>
      </c>
      <c r="S36" s="79" t="e">
        <f>$AA$63</f>
        <v>#DIV/0!</v>
      </c>
      <c r="T36" s="79" t="e">
        <f>$AA$64</f>
        <v>#DIV/0!</v>
      </c>
      <c r="U36" s="79" t="e">
        <f>$AA$65</f>
        <v>#DIV/0!</v>
      </c>
      <c r="V36" s="79" t="e">
        <f>$AA$66</f>
        <v>#DIV/0!</v>
      </c>
      <c r="W36" s="79" t="e">
        <f>$AA$67</f>
        <v>#DIV/0!</v>
      </c>
      <c r="X36" s="79" t="e">
        <f>$AA$68</f>
        <v>#DIV/0!</v>
      </c>
      <c r="Y36" s="79" t="e">
        <f>$AA$69</f>
        <v>#DIV/0!</v>
      </c>
      <c r="Z36" s="79" t="e">
        <f>$AA$70</f>
        <v>#DIV/0!</v>
      </c>
      <c r="AA36" s="79" t="e">
        <f>$AA$71</f>
        <v>#DIV/0!</v>
      </c>
      <c r="AB36" s="79" t="e">
        <f>$AA$72</f>
        <v>#DIV/0!</v>
      </c>
      <c r="AC36" s="79" t="e">
        <f>$AA$73</f>
        <v>#DIV/0!</v>
      </c>
      <c r="AD36" s="79" t="e">
        <f>$AA$74</f>
        <v>#DIV/0!</v>
      </c>
      <c r="AE36" s="79" t="e">
        <f>$AA$75</f>
        <v>#DIV/0!</v>
      </c>
      <c r="AF36" s="79" t="e">
        <f>$AA$76</f>
        <v>#DIV/0!</v>
      </c>
      <c r="AG36" s="79" t="e">
        <f>$AA$77</f>
        <v>#DIV/0!</v>
      </c>
      <c r="AH36" s="79" t="e">
        <f>$AA$78</f>
        <v>#DIV/0!</v>
      </c>
      <c r="AI36" s="79" t="e">
        <f>$AA$79</f>
        <v>#DIV/0!</v>
      </c>
      <c r="AJ36" s="79" t="e">
        <f>$AA$80</f>
        <v>#DIV/0!</v>
      </c>
      <c r="AK36" s="79" t="e">
        <f>$AA$81</f>
        <v>#DIV/0!</v>
      </c>
      <c r="AL36" s="79" t="e">
        <f>$AA$82</f>
        <v>#DIV/0!</v>
      </c>
      <c r="AM36" s="79" t="e">
        <f>$AA$83</f>
        <v>#DIV/0!</v>
      </c>
      <c r="AN36" s="79" t="e">
        <f>$AA$84</f>
        <v>#DIV/0!</v>
      </c>
      <c r="AO36" s="79" t="e">
        <f>$AA$85</f>
        <v>#DIV/0!</v>
      </c>
      <c r="AP36" s="79" t="e">
        <f>$AA$86</f>
        <v>#DIV/0!</v>
      </c>
      <c r="AQ36" s="79" t="e">
        <f>$AA$87</f>
        <v>#DIV/0!</v>
      </c>
      <c r="AR36" s="79" t="e">
        <f>$AA$88</f>
        <v>#DIV/0!</v>
      </c>
      <c r="AS36" s="79" t="e">
        <f>$AA$89</f>
        <v>#DIV/0!</v>
      </c>
      <c r="AT36" s="79" t="e">
        <f>$AA$90</f>
        <v>#DIV/0!</v>
      </c>
      <c r="AU36" s="79" t="e">
        <f>$AA$91</f>
        <v>#DIV/0!</v>
      </c>
      <c r="AV36" s="79" t="e">
        <f>$AA$92</f>
        <v>#DIV/0!</v>
      </c>
      <c r="AW36" s="79" t="e">
        <f>$AA$94</f>
        <v>#DIV/0!</v>
      </c>
      <c r="AX36" s="79" t="e">
        <f>$AA$95</f>
        <v>#DIV/0!</v>
      </c>
      <c r="AY36" s="79" t="e">
        <f>$AA$96</f>
        <v>#DIV/0!</v>
      </c>
      <c r="AZ36" s="79" t="e">
        <f>$AA$97</f>
        <v>#DIV/0!</v>
      </c>
      <c r="BA36" s="79" t="e">
        <f>$AA$98</f>
        <v>#DIV/0!</v>
      </c>
    </row>
    <row r="37" spans="1:69">
      <c r="A37" s="2">
        <v>2024</v>
      </c>
      <c r="B37" t="s">
        <v>6</v>
      </c>
      <c r="C37" s="79" t="e">
        <f>$AB$47</f>
        <v>#DIV/0!</v>
      </c>
      <c r="D37" s="79" t="e">
        <f>$AB$48</f>
        <v>#DIV/0!</v>
      </c>
      <c r="E37" s="79" t="e">
        <f>$AB$49</f>
        <v>#DIV/0!</v>
      </c>
      <c r="F37" s="79" t="e">
        <f>$AB$50</f>
        <v>#DIV/0!</v>
      </c>
      <c r="G37" s="79" t="e">
        <f>$AB$51</f>
        <v>#DIV/0!</v>
      </c>
      <c r="H37" s="79" t="e">
        <f>$AB$52</f>
        <v>#DIV/0!</v>
      </c>
      <c r="I37" s="79" t="e">
        <f>$AB$53</f>
        <v>#DIV/0!</v>
      </c>
      <c r="J37" s="79" t="e">
        <f>$AB$54</f>
        <v>#DIV/0!</v>
      </c>
      <c r="K37" s="79" t="e">
        <f>$AB$55</f>
        <v>#DIV/0!</v>
      </c>
      <c r="L37" s="79" t="e">
        <f>$AB$56</f>
        <v>#DIV/0!</v>
      </c>
      <c r="M37" s="79" t="e">
        <f>$AB$57</f>
        <v>#DIV/0!</v>
      </c>
      <c r="N37" s="79" t="e">
        <f>$AB$58</f>
        <v>#DIV/0!</v>
      </c>
      <c r="O37" s="79" t="e">
        <f>$AB$59</f>
        <v>#DIV/0!</v>
      </c>
      <c r="P37" s="79" t="e">
        <f>$AB$60</f>
        <v>#DIV/0!</v>
      </c>
      <c r="Q37" s="79" t="e">
        <f>$AB$61</f>
        <v>#DIV/0!</v>
      </c>
      <c r="R37" s="79" t="e">
        <f>$AB$62</f>
        <v>#DIV/0!</v>
      </c>
      <c r="S37" s="79" t="e">
        <f>$AB$63</f>
        <v>#DIV/0!</v>
      </c>
      <c r="T37" s="79" t="e">
        <f>$AB$64</f>
        <v>#DIV/0!</v>
      </c>
      <c r="U37" s="79" t="e">
        <f>$AB$65</f>
        <v>#DIV/0!</v>
      </c>
      <c r="V37" s="79" t="e">
        <f>$AB$66</f>
        <v>#DIV/0!</v>
      </c>
      <c r="W37" s="79" t="e">
        <f>$AB$67</f>
        <v>#DIV/0!</v>
      </c>
      <c r="X37" s="79" t="e">
        <f>$AB$68</f>
        <v>#DIV/0!</v>
      </c>
      <c r="Y37" s="79" t="e">
        <f>$AB$69</f>
        <v>#DIV/0!</v>
      </c>
      <c r="Z37" s="79" t="e">
        <f>$AB$70</f>
        <v>#DIV/0!</v>
      </c>
      <c r="AA37" s="79" t="e">
        <f>$AB$71</f>
        <v>#DIV/0!</v>
      </c>
      <c r="AB37" s="79" t="e">
        <f>$AB$72</f>
        <v>#DIV/0!</v>
      </c>
      <c r="AC37" s="79" t="e">
        <f>$AB$73</f>
        <v>#DIV/0!</v>
      </c>
      <c r="AD37" s="79" t="e">
        <f>$AB$74</f>
        <v>#DIV/0!</v>
      </c>
      <c r="AE37" s="79" t="e">
        <f>$AB$75</f>
        <v>#DIV/0!</v>
      </c>
      <c r="AF37" s="79" t="e">
        <f>$AB$76</f>
        <v>#DIV/0!</v>
      </c>
      <c r="AG37" s="79" t="e">
        <f>$AB$77</f>
        <v>#DIV/0!</v>
      </c>
      <c r="AH37" s="79" t="e">
        <f>$AB$78</f>
        <v>#DIV/0!</v>
      </c>
      <c r="AI37" s="79" t="e">
        <f>$AB$79</f>
        <v>#DIV/0!</v>
      </c>
      <c r="AJ37" s="79" t="e">
        <f>$AB$80</f>
        <v>#DIV/0!</v>
      </c>
      <c r="AK37" s="79" t="e">
        <f>$AB$81</f>
        <v>#DIV/0!</v>
      </c>
      <c r="AL37" s="79" t="e">
        <f>$AB$82</f>
        <v>#DIV/0!</v>
      </c>
      <c r="AM37" s="79" t="e">
        <f>$AB$83</f>
        <v>#DIV/0!</v>
      </c>
      <c r="AN37" s="79" t="e">
        <f>$AB$84</f>
        <v>#DIV/0!</v>
      </c>
      <c r="AO37" s="79" t="e">
        <f>$AB$85</f>
        <v>#DIV/0!</v>
      </c>
      <c r="AP37" s="79" t="e">
        <f>$AB$86</f>
        <v>#DIV/0!</v>
      </c>
      <c r="AQ37" s="79" t="e">
        <f>$AB$87</f>
        <v>#DIV/0!</v>
      </c>
      <c r="AR37" s="79" t="e">
        <f>$AB$88</f>
        <v>#DIV/0!</v>
      </c>
      <c r="AS37" s="79" t="e">
        <f>$AB$89</f>
        <v>#DIV/0!</v>
      </c>
      <c r="AT37" s="79" t="e">
        <f>$AB$90</f>
        <v>#DIV/0!</v>
      </c>
      <c r="AU37" s="79" t="e">
        <f>$AB$91</f>
        <v>#DIV/0!</v>
      </c>
      <c r="AV37" s="79" t="e">
        <f>$AB$92</f>
        <v>#DIV/0!</v>
      </c>
      <c r="AW37" s="79" t="e">
        <f>$AB$94</f>
        <v>#DIV/0!</v>
      </c>
      <c r="AX37" s="79" t="e">
        <f>$AB$95</f>
        <v>#DIV/0!</v>
      </c>
      <c r="AY37" s="79" t="e">
        <f>$AB$96</f>
        <v>#DIV/0!</v>
      </c>
      <c r="AZ37" s="79" t="e">
        <f>$AB$97</f>
        <v>#DIV/0!</v>
      </c>
      <c r="BA37" s="79" t="e">
        <f>$AB$98</f>
        <v>#DIV/0!</v>
      </c>
    </row>
    <row r="38" spans="1:69">
      <c r="A38" s="2">
        <v>2024</v>
      </c>
      <c r="B38" t="s">
        <v>42</v>
      </c>
      <c r="C38" s="79" t="e">
        <f>$AC$47</f>
        <v>#DIV/0!</v>
      </c>
      <c r="D38" s="79" t="e">
        <f>$AC$48</f>
        <v>#DIV/0!</v>
      </c>
      <c r="E38" s="79" t="e">
        <f>$AC$49</f>
        <v>#DIV/0!</v>
      </c>
      <c r="F38" s="79" t="e">
        <f>$AC$50</f>
        <v>#DIV/0!</v>
      </c>
      <c r="G38" s="79" t="e">
        <f>$AC$51</f>
        <v>#DIV/0!</v>
      </c>
      <c r="H38" s="79" t="e">
        <f>$AC$52</f>
        <v>#DIV/0!</v>
      </c>
      <c r="I38" s="79" t="e">
        <f>$AC$53</f>
        <v>#DIV/0!</v>
      </c>
      <c r="J38" s="79" t="e">
        <f>$AC$54</f>
        <v>#DIV/0!</v>
      </c>
      <c r="K38" s="79" t="e">
        <f>$AC$55</f>
        <v>#DIV/0!</v>
      </c>
      <c r="L38" s="79" t="e">
        <f>$AC$56</f>
        <v>#DIV/0!</v>
      </c>
      <c r="M38" s="79" t="e">
        <f>$AC$57</f>
        <v>#DIV/0!</v>
      </c>
      <c r="N38" s="79" t="e">
        <f>$AC$58</f>
        <v>#DIV/0!</v>
      </c>
      <c r="O38" s="79" t="e">
        <f>$AC$59</f>
        <v>#DIV/0!</v>
      </c>
      <c r="P38" s="79" t="e">
        <f>$AC$60</f>
        <v>#DIV/0!</v>
      </c>
      <c r="Q38" s="79" t="e">
        <f>$AC$61</f>
        <v>#DIV/0!</v>
      </c>
      <c r="R38" s="79" t="e">
        <f>$AC$62</f>
        <v>#DIV/0!</v>
      </c>
      <c r="S38" s="79" t="e">
        <f>$AC$63</f>
        <v>#DIV/0!</v>
      </c>
      <c r="T38" s="79" t="e">
        <f>$AC$64</f>
        <v>#DIV/0!</v>
      </c>
      <c r="U38" s="79" t="e">
        <f>$AC$65</f>
        <v>#DIV/0!</v>
      </c>
      <c r="V38" s="79" t="e">
        <f>$AC$66</f>
        <v>#DIV/0!</v>
      </c>
      <c r="W38" s="79" t="e">
        <f>$AC$67</f>
        <v>#DIV/0!</v>
      </c>
      <c r="X38" s="79" t="e">
        <f>$AC$68</f>
        <v>#DIV/0!</v>
      </c>
      <c r="Y38" s="79" t="e">
        <f>$AC$69</f>
        <v>#DIV/0!</v>
      </c>
      <c r="Z38" s="79" t="e">
        <f>$AC$70</f>
        <v>#DIV/0!</v>
      </c>
      <c r="AA38" s="79" t="e">
        <f>$AC$71</f>
        <v>#DIV/0!</v>
      </c>
      <c r="AB38" s="79" t="e">
        <f>$AC$72</f>
        <v>#DIV/0!</v>
      </c>
      <c r="AC38" s="79" t="e">
        <f>$AC$73</f>
        <v>#DIV/0!</v>
      </c>
      <c r="AD38" s="79" t="e">
        <f>$AC$74</f>
        <v>#DIV/0!</v>
      </c>
      <c r="AE38" s="79" t="e">
        <f>$AC$75</f>
        <v>#DIV/0!</v>
      </c>
      <c r="AF38" s="79" t="e">
        <f>$AC$76</f>
        <v>#DIV/0!</v>
      </c>
      <c r="AG38" s="79" t="e">
        <f>$AC$77</f>
        <v>#DIV/0!</v>
      </c>
      <c r="AH38" s="79" t="e">
        <f>$AC$78</f>
        <v>#DIV/0!</v>
      </c>
      <c r="AI38" s="79" t="e">
        <f>$AC$79</f>
        <v>#DIV/0!</v>
      </c>
      <c r="AJ38" s="79" t="e">
        <f>$AC$80</f>
        <v>#DIV/0!</v>
      </c>
      <c r="AK38" s="79" t="e">
        <f>$AC$81</f>
        <v>#DIV/0!</v>
      </c>
      <c r="AL38" s="79" t="e">
        <f>$AC$82</f>
        <v>#DIV/0!</v>
      </c>
      <c r="AM38" s="79" t="e">
        <f>$AC$83</f>
        <v>#DIV/0!</v>
      </c>
      <c r="AN38" s="79" t="e">
        <f>$AC$84</f>
        <v>#DIV/0!</v>
      </c>
      <c r="AO38" s="79" t="e">
        <f>$AC$85</f>
        <v>#DIV/0!</v>
      </c>
      <c r="AP38" s="79" t="e">
        <f>$AC$86</f>
        <v>#DIV/0!</v>
      </c>
      <c r="AQ38" s="79" t="e">
        <f>$AC$87</f>
        <v>#DIV/0!</v>
      </c>
      <c r="AR38" s="79" t="e">
        <f>$AC$88</f>
        <v>#DIV/0!</v>
      </c>
      <c r="AS38" s="79" t="e">
        <f>$AC$89</f>
        <v>#DIV/0!</v>
      </c>
      <c r="AT38" s="79" t="e">
        <f>$AC$90</f>
        <v>#DIV/0!</v>
      </c>
      <c r="AU38" s="79" t="e">
        <f>$AC$91</f>
        <v>#DIV/0!</v>
      </c>
      <c r="AV38" s="79" t="e">
        <f>$AC$92</f>
        <v>#DIV/0!</v>
      </c>
      <c r="AW38" s="79" t="e">
        <f>$AC$94</f>
        <v>#DIV/0!</v>
      </c>
      <c r="AX38" s="79" t="e">
        <f>$AC$95</f>
        <v>#DIV/0!</v>
      </c>
      <c r="AY38" s="79" t="e">
        <f>$AC$96</f>
        <v>#DIV/0!</v>
      </c>
      <c r="AZ38" s="79" t="e">
        <f>$AC$97</f>
        <v>#DIV/0!</v>
      </c>
      <c r="BA38" s="79" t="e">
        <f>$AC$98</f>
        <v>#DIV/0!</v>
      </c>
    </row>
    <row r="39" spans="1:69">
      <c r="A39" s="2">
        <v>2025</v>
      </c>
      <c r="B39" t="s">
        <v>5</v>
      </c>
      <c r="C39" s="79" t="e">
        <f>$AD$47</f>
        <v>#DIV/0!</v>
      </c>
      <c r="D39" s="79" t="e">
        <f>$AD$48</f>
        <v>#DIV/0!</v>
      </c>
      <c r="E39" s="79" t="e">
        <f>$AD$49</f>
        <v>#DIV/0!</v>
      </c>
      <c r="F39" s="79" t="e">
        <f>$AD$50</f>
        <v>#DIV/0!</v>
      </c>
      <c r="G39" s="79" t="e">
        <f>$AD$51</f>
        <v>#DIV/0!</v>
      </c>
      <c r="H39" s="79" t="e">
        <f>$AD$52</f>
        <v>#DIV/0!</v>
      </c>
      <c r="I39" s="79" t="e">
        <f>$AD$53</f>
        <v>#DIV/0!</v>
      </c>
      <c r="J39" s="79" t="e">
        <f>$AD$54</f>
        <v>#DIV/0!</v>
      </c>
      <c r="K39" s="79" t="e">
        <f>$AD$55</f>
        <v>#DIV/0!</v>
      </c>
      <c r="L39" s="79" t="e">
        <f>$AD$56</f>
        <v>#DIV/0!</v>
      </c>
      <c r="M39" s="79" t="e">
        <f>$AD$57</f>
        <v>#DIV/0!</v>
      </c>
      <c r="N39" s="79" t="e">
        <f>$AD$58</f>
        <v>#DIV/0!</v>
      </c>
      <c r="O39" s="79" t="e">
        <f>$AD$59</f>
        <v>#DIV/0!</v>
      </c>
      <c r="P39" s="79" t="e">
        <f>$AD$60</f>
        <v>#DIV/0!</v>
      </c>
      <c r="Q39" s="79" t="e">
        <f>$AD$61</f>
        <v>#DIV/0!</v>
      </c>
      <c r="R39" s="79" t="e">
        <f>$AD$62</f>
        <v>#DIV/0!</v>
      </c>
      <c r="S39" s="79" t="e">
        <f>$AD$63</f>
        <v>#DIV/0!</v>
      </c>
      <c r="T39" s="79" t="e">
        <f>$AD$64</f>
        <v>#DIV/0!</v>
      </c>
      <c r="U39" s="79" t="e">
        <f>$AD$65</f>
        <v>#DIV/0!</v>
      </c>
      <c r="V39" s="79" t="e">
        <f>$AD$66</f>
        <v>#DIV/0!</v>
      </c>
      <c r="W39" s="79" t="e">
        <f>$AD$67</f>
        <v>#DIV/0!</v>
      </c>
      <c r="X39" s="79" t="e">
        <f>$AD$68</f>
        <v>#DIV/0!</v>
      </c>
      <c r="Y39" s="79" t="e">
        <f>$AD$69</f>
        <v>#DIV/0!</v>
      </c>
      <c r="Z39" s="79" t="e">
        <f>$AD$70</f>
        <v>#DIV/0!</v>
      </c>
      <c r="AA39" s="79" t="e">
        <f>$AD$71</f>
        <v>#DIV/0!</v>
      </c>
      <c r="AB39" s="79" t="e">
        <f>$AD$72</f>
        <v>#DIV/0!</v>
      </c>
      <c r="AC39" s="79" t="e">
        <f>$AD$73</f>
        <v>#DIV/0!</v>
      </c>
      <c r="AD39" s="79" t="e">
        <f>$AD$74</f>
        <v>#DIV/0!</v>
      </c>
      <c r="AE39" s="79" t="e">
        <f>$AD$75</f>
        <v>#DIV/0!</v>
      </c>
      <c r="AF39" s="79" t="e">
        <f>$AD$76</f>
        <v>#DIV/0!</v>
      </c>
      <c r="AG39" s="79" t="e">
        <f>$AD$77</f>
        <v>#DIV/0!</v>
      </c>
      <c r="AH39" s="79" t="e">
        <f>$AD$78</f>
        <v>#DIV/0!</v>
      </c>
      <c r="AI39" s="79" t="e">
        <f>$AD$79</f>
        <v>#DIV/0!</v>
      </c>
      <c r="AJ39" s="79" t="e">
        <f>$AD$80</f>
        <v>#DIV/0!</v>
      </c>
      <c r="AK39" s="79" t="e">
        <f>$AD$81</f>
        <v>#DIV/0!</v>
      </c>
      <c r="AL39" s="79" t="e">
        <f>$AD$82</f>
        <v>#DIV/0!</v>
      </c>
      <c r="AM39" s="79" t="e">
        <f>$AD$83</f>
        <v>#DIV/0!</v>
      </c>
      <c r="AN39" s="79" t="e">
        <f>$AD$84</f>
        <v>#DIV/0!</v>
      </c>
      <c r="AO39" s="79" t="e">
        <f>$AD$85</f>
        <v>#DIV/0!</v>
      </c>
      <c r="AP39" s="79" t="e">
        <f>$AD$86</f>
        <v>#DIV/0!</v>
      </c>
      <c r="AQ39" s="79" t="e">
        <f>$AD$87</f>
        <v>#DIV/0!</v>
      </c>
      <c r="AR39" s="79" t="e">
        <f>$AD$88</f>
        <v>#DIV/0!</v>
      </c>
      <c r="AS39" s="79" t="e">
        <f>$AD$89</f>
        <v>#DIV/0!</v>
      </c>
      <c r="AT39" s="79" t="e">
        <f>$AD$90</f>
        <v>#DIV/0!</v>
      </c>
      <c r="AU39" s="79" t="e">
        <f>$AD$91</f>
        <v>#DIV/0!</v>
      </c>
      <c r="AV39" s="79" t="e">
        <f>$AD$92</f>
        <v>#DIV/0!</v>
      </c>
      <c r="AW39" s="79" t="e">
        <f>$AD$94</f>
        <v>#DIV/0!</v>
      </c>
      <c r="AX39" s="79" t="e">
        <f>$AD$95</f>
        <v>#DIV/0!</v>
      </c>
      <c r="AY39" s="79" t="e">
        <f>$AD$96</f>
        <v>#DIV/0!</v>
      </c>
      <c r="AZ39" s="79" t="e">
        <f>$AD$97</f>
        <v>#DIV/0!</v>
      </c>
      <c r="BA39" s="79" t="e">
        <f>$AD$98</f>
        <v>#DIV/0!</v>
      </c>
    </row>
    <row r="40" spans="1:69">
      <c r="A40" s="2">
        <v>2025</v>
      </c>
      <c r="B40" t="s">
        <v>6</v>
      </c>
      <c r="C40" s="79" t="e">
        <f>$AE$47</f>
        <v>#DIV/0!</v>
      </c>
      <c r="D40" s="79" t="e">
        <f>$AE$48</f>
        <v>#DIV/0!</v>
      </c>
      <c r="E40" s="79" t="e">
        <f>$AE$49</f>
        <v>#DIV/0!</v>
      </c>
      <c r="F40" s="79" t="e">
        <f>$AE$50</f>
        <v>#DIV/0!</v>
      </c>
      <c r="G40" s="79" t="e">
        <f>$AE$51</f>
        <v>#DIV/0!</v>
      </c>
      <c r="H40" s="79" t="e">
        <f>$AE$52</f>
        <v>#DIV/0!</v>
      </c>
      <c r="I40" s="79" t="e">
        <f>$AE$53</f>
        <v>#DIV/0!</v>
      </c>
      <c r="J40" s="79" t="e">
        <f>$AE$54</f>
        <v>#DIV/0!</v>
      </c>
      <c r="K40" s="79" t="e">
        <f>$AE$55</f>
        <v>#DIV/0!</v>
      </c>
      <c r="L40" s="79" t="e">
        <f>$AE$56</f>
        <v>#DIV/0!</v>
      </c>
      <c r="M40" s="79" t="e">
        <f>$AE$57</f>
        <v>#DIV/0!</v>
      </c>
      <c r="N40" s="79" t="e">
        <f>$AE$58</f>
        <v>#DIV/0!</v>
      </c>
      <c r="O40" s="79" t="e">
        <f>$AE$59</f>
        <v>#DIV/0!</v>
      </c>
      <c r="P40" s="79" t="e">
        <f>$AE$60</f>
        <v>#DIV/0!</v>
      </c>
      <c r="Q40" s="79" t="e">
        <f>$AE$61</f>
        <v>#DIV/0!</v>
      </c>
      <c r="R40" s="79" t="e">
        <f>$AE$62</f>
        <v>#DIV/0!</v>
      </c>
      <c r="S40" s="79" t="e">
        <f>$AE$63</f>
        <v>#DIV/0!</v>
      </c>
      <c r="T40" s="79" t="e">
        <f>$AE$64</f>
        <v>#DIV/0!</v>
      </c>
      <c r="U40" s="79" t="e">
        <f>$AE$65</f>
        <v>#DIV/0!</v>
      </c>
      <c r="V40" s="79" t="e">
        <f>$AE$66</f>
        <v>#DIV/0!</v>
      </c>
      <c r="W40" s="79" t="e">
        <f>$AE$67</f>
        <v>#DIV/0!</v>
      </c>
      <c r="X40" s="79" t="e">
        <f>$AE$68</f>
        <v>#DIV/0!</v>
      </c>
      <c r="Y40" s="79" t="e">
        <f>$AE$69</f>
        <v>#DIV/0!</v>
      </c>
      <c r="Z40" s="79" t="e">
        <f>$AE$70</f>
        <v>#DIV/0!</v>
      </c>
      <c r="AA40" s="79" t="e">
        <f>$AE$71</f>
        <v>#DIV/0!</v>
      </c>
      <c r="AB40" s="79" t="e">
        <f>$AE$72</f>
        <v>#DIV/0!</v>
      </c>
      <c r="AC40" s="79" t="e">
        <f>$AE$73</f>
        <v>#DIV/0!</v>
      </c>
      <c r="AD40" s="79" t="e">
        <f>$AE$74</f>
        <v>#DIV/0!</v>
      </c>
      <c r="AE40" s="79" t="e">
        <f>$AE$75</f>
        <v>#DIV/0!</v>
      </c>
      <c r="AF40" s="79" t="e">
        <f>$AE$76</f>
        <v>#DIV/0!</v>
      </c>
      <c r="AG40" s="79" t="e">
        <f>$AE$77</f>
        <v>#DIV/0!</v>
      </c>
      <c r="AH40" s="79" t="e">
        <f>$AE$78</f>
        <v>#DIV/0!</v>
      </c>
      <c r="AI40" s="79" t="e">
        <f>$AE$79</f>
        <v>#DIV/0!</v>
      </c>
      <c r="AJ40" s="79" t="e">
        <f>$AE$80</f>
        <v>#DIV/0!</v>
      </c>
      <c r="AK40" s="79" t="e">
        <f>$AE$81</f>
        <v>#DIV/0!</v>
      </c>
      <c r="AL40" s="79" t="e">
        <f>$AE$82</f>
        <v>#DIV/0!</v>
      </c>
      <c r="AM40" s="79" t="e">
        <f>$AE$83</f>
        <v>#DIV/0!</v>
      </c>
      <c r="AN40" s="79" t="e">
        <f>$AE$84</f>
        <v>#DIV/0!</v>
      </c>
      <c r="AO40" s="79" t="e">
        <f>$AE$85</f>
        <v>#DIV/0!</v>
      </c>
      <c r="AP40" s="79" t="e">
        <f>$AE$86</f>
        <v>#DIV/0!</v>
      </c>
      <c r="AQ40" s="79" t="e">
        <f>$AE$87</f>
        <v>#DIV/0!</v>
      </c>
      <c r="AR40" s="79" t="e">
        <f>$AE$88</f>
        <v>#DIV/0!</v>
      </c>
      <c r="AS40" s="79" t="e">
        <f>$AE$89</f>
        <v>#DIV/0!</v>
      </c>
      <c r="AT40" s="79" t="e">
        <f>$AE$90</f>
        <v>#DIV/0!</v>
      </c>
      <c r="AU40" s="79" t="e">
        <f>$AE$91</f>
        <v>#DIV/0!</v>
      </c>
      <c r="AV40" s="79" t="e">
        <f>$AE$92</f>
        <v>#DIV/0!</v>
      </c>
      <c r="AW40" s="79" t="e">
        <f>$AE$94</f>
        <v>#DIV/0!</v>
      </c>
      <c r="AX40" s="79" t="e">
        <f>$AE$95</f>
        <v>#DIV/0!</v>
      </c>
      <c r="AY40" s="79" t="e">
        <f>$AE$96</f>
        <v>#DIV/0!</v>
      </c>
      <c r="AZ40" s="79" t="e">
        <f>$AE$97</f>
        <v>#DIV/0!</v>
      </c>
      <c r="BA40" s="79" t="e">
        <f>$AE$98</f>
        <v>#DIV/0!</v>
      </c>
    </row>
    <row r="41" spans="1:69">
      <c r="A41" s="2">
        <v>2025</v>
      </c>
      <c r="B41" t="s">
        <v>42</v>
      </c>
      <c r="C41" s="79" t="e">
        <f>$AF$47</f>
        <v>#DIV/0!</v>
      </c>
      <c r="D41" s="79" t="e">
        <f>$AF$48</f>
        <v>#DIV/0!</v>
      </c>
      <c r="E41" s="79" t="e">
        <f>$AF$49</f>
        <v>#DIV/0!</v>
      </c>
      <c r="F41" s="79" t="e">
        <f>$AF$50</f>
        <v>#DIV/0!</v>
      </c>
      <c r="G41" s="79" t="e">
        <f>$AF$51</f>
        <v>#DIV/0!</v>
      </c>
      <c r="H41" s="79" t="e">
        <f>$AF$52</f>
        <v>#DIV/0!</v>
      </c>
      <c r="I41" s="79" t="e">
        <f>$AF$53</f>
        <v>#DIV/0!</v>
      </c>
      <c r="J41" s="79" t="e">
        <f>$AF$54</f>
        <v>#DIV/0!</v>
      </c>
      <c r="K41" s="79" t="e">
        <f>$AF$55</f>
        <v>#DIV/0!</v>
      </c>
      <c r="L41" s="79" t="e">
        <f>$AF$56</f>
        <v>#DIV/0!</v>
      </c>
      <c r="M41" s="79" t="e">
        <f>$AF$57</f>
        <v>#DIV/0!</v>
      </c>
      <c r="N41" s="79" t="e">
        <f>$AF$58</f>
        <v>#DIV/0!</v>
      </c>
      <c r="O41" s="79" t="e">
        <f>$AF$59</f>
        <v>#DIV/0!</v>
      </c>
      <c r="P41" s="79" t="e">
        <f>$AF$60</f>
        <v>#DIV/0!</v>
      </c>
      <c r="Q41" s="79" t="e">
        <f>$AF$61</f>
        <v>#DIV/0!</v>
      </c>
      <c r="R41" s="79" t="e">
        <f>$AF$62</f>
        <v>#DIV/0!</v>
      </c>
      <c r="S41" s="79" t="e">
        <f>$AF$63</f>
        <v>#DIV/0!</v>
      </c>
      <c r="T41" s="79" t="e">
        <f>$AF$64</f>
        <v>#DIV/0!</v>
      </c>
      <c r="U41" s="79" t="e">
        <f>$AF$65</f>
        <v>#DIV/0!</v>
      </c>
      <c r="V41" s="79" t="e">
        <f>$AF$66</f>
        <v>#DIV/0!</v>
      </c>
      <c r="W41" s="79" t="e">
        <f>$AF$67</f>
        <v>#DIV/0!</v>
      </c>
      <c r="X41" s="79" t="e">
        <f>$AF$68</f>
        <v>#DIV/0!</v>
      </c>
      <c r="Y41" s="79" t="e">
        <f>$AF$69</f>
        <v>#DIV/0!</v>
      </c>
      <c r="Z41" s="79" t="e">
        <f>$AF$70</f>
        <v>#DIV/0!</v>
      </c>
      <c r="AA41" s="79" t="e">
        <f>$AF$71</f>
        <v>#DIV/0!</v>
      </c>
      <c r="AB41" s="79" t="e">
        <f>$AF$72</f>
        <v>#DIV/0!</v>
      </c>
      <c r="AC41" s="79" t="e">
        <f>$AF$73</f>
        <v>#DIV/0!</v>
      </c>
      <c r="AD41" s="79" t="e">
        <f>$AF$74</f>
        <v>#DIV/0!</v>
      </c>
      <c r="AE41" s="79" t="e">
        <f>$AF$75</f>
        <v>#DIV/0!</v>
      </c>
      <c r="AF41" s="79" t="e">
        <f>$AF$76</f>
        <v>#DIV/0!</v>
      </c>
      <c r="AG41" s="79" t="e">
        <f>$AF$77</f>
        <v>#DIV/0!</v>
      </c>
      <c r="AH41" s="79" t="e">
        <f>$AF$78</f>
        <v>#DIV/0!</v>
      </c>
      <c r="AI41" s="79" t="e">
        <f>$AF$79</f>
        <v>#DIV/0!</v>
      </c>
      <c r="AJ41" s="79" t="e">
        <f>$AF$80</f>
        <v>#DIV/0!</v>
      </c>
      <c r="AK41" s="79" t="e">
        <f>$AF$81</f>
        <v>#DIV/0!</v>
      </c>
      <c r="AL41" s="79" t="e">
        <f>$AF$82</f>
        <v>#DIV/0!</v>
      </c>
      <c r="AM41" s="79" t="e">
        <f>$AF$83</f>
        <v>#DIV/0!</v>
      </c>
      <c r="AN41" s="79" t="e">
        <f>$AF$84</f>
        <v>#DIV/0!</v>
      </c>
      <c r="AO41" s="79" t="e">
        <f>$AF$85</f>
        <v>#DIV/0!</v>
      </c>
      <c r="AP41" s="79" t="e">
        <f>$AF$86</f>
        <v>#DIV/0!</v>
      </c>
      <c r="AQ41" s="79" t="e">
        <f>$AF$87</f>
        <v>#DIV/0!</v>
      </c>
      <c r="AR41" s="79" t="e">
        <f>$AF$88</f>
        <v>#DIV/0!</v>
      </c>
      <c r="AS41" s="79" t="e">
        <f>$AF$89</f>
        <v>#DIV/0!</v>
      </c>
      <c r="AT41" s="79" t="e">
        <f>$AF$90</f>
        <v>#DIV/0!</v>
      </c>
      <c r="AU41" s="79" t="e">
        <f>$AF$91</f>
        <v>#DIV/0!</v>
      </c>
      <c r="AV41" s="79" t="e">
        <f>$AF$92</f>
        <v>#DIV/0!</v>
      </c>
      <c r="AW41" s="79" t="e">
        <f>$AF$94</f>
        <v>#DIV/0!</v>
      </c>
      <c r="AX41" s="79" t="e">
        <f>$AF$95</f>
        <v>#DIV/0!</v>
      </c>
      <c r="AY41" s="79" t="e">
        <f>$AF$96</f>
        <v>#DIV/0!</v>
      </c>
      <c r="AZ41" s="79" t="e">
        <f>$AF$97</f>
        <v>#DIV/0!</v>
      </c>
      <c r="BA41" s="79" t="e">
        <f>$AF$98</f>
        <v>#DIV/0!</v>
      </c>
    </row>
    <row r="42" spans="1:69">
      <c r="A42" s="2"/>
      <c r="D42" s="79"/>
      <c r="E42" s="79"/>
      <c r="F42" s="79"/>
      <c r="G42" s="79"/>
      <c r="H42" s="79"/>
      <c r="I42" s="79"/>
      <c r="Q42" s="8"/>
      <c r="R42" s="82"/>
      <c r="S42" s="82"/>
      <c r="T42" s="8"/>
      <c r="U42" s="8"/>
      <c r="V42" s="8"/>
      <c r="W42" s="8"/>
    </row>
    <row r="43" spans="1:69">
      <c r="A43" s="2"/>
      <c r="D43" s="79"/>
      <c r="E43" s="79"/>
      <c r="F43" s="79"/>
      <c r="G43" s="79"/>
      <c r="H43" s="79"/>
      <c r="I43" s="79"/>
      <c r="Q43" s="8"/>
      <c r="R43" s="82"/>
      <c r="S43" s="82"/>
      <c r="T43" s="8"/>
      <c r="U43" s="8"/>
      <c r="V43" s="8"/>
      <c r="W43" s="8"/>
      <c r="X43" s="8"/>
      <c r="Y43" s="8"/>
      <c r="Z43" s="8"/>
      <c r="AA43" s="8"/>
      <c r="AB43" s="8"/>
      <c r="AC43" s="8"/>
    </row>
    <row r="44" spans="1:69">
      <c r="Q44" s="8"/>
      <c r="R44" s="82"/>
      <c r="S44" s="82"/>
      <c r="T44" s="82"/>
      <c r="U44" s="82"/>
      <c r="V44" s="82"/>
      <c r="W44" s="82"/>
      <c r="X44" s="82"/>
      <c r="Y44" s="82"/>
      <c r="Z44" s="82"/>
      <c r="AA44" s="82"/>
      <c r="AB44" s="82"/>
      <c r="AC44" s="82"/>
    </row>
    <row r="45" spans="1:69" ht="23.65" thickBot="1">
      <c r="A45" s="355" t="s">
        <v>195</v>
      </c>
      <c r="B45" s="355"/>
      <c r="C45" s="356">
        <v>2016</v>
      </c>
      <c r="D45" s="357"/>
      <c r="E45" s="358"/>
      <c r="F45" s="356">
        <v>2017</v>
      </c>
      <c r="G45" s="357"/>
      <c r="H45" s="358"/>
      <c r="I45" s="356">
        <v>2018</v>
      </c>
      <c r="J45" s="357"/>
      <c r="K45" s="358"/>
      <c r="L45" s="356">
        <v>2019</v>
      </c>
      <c r="M45" s="357"/>
      <c r="N45" s="358"/>
      <c r="O45" s="356">
        <v>2020</v>
      </c>
      <c r="P45" s="357"/>
      <c r="Q45" s="358"/>
      <c r="R45" s="356">
        <v>2021</v>
      </c>
      <c r="S45" s="357"/>
      <c r="T45" s="358"/>
      <c r="U45" s="356">
        <v>2022</v>
      </c>
      <c r="V45" s="357"/>
      <c r="W45" s="358"/>
      <c r="X45" s="356">
        <v>2023</v>
      </c>
      <c r="Y45" s="357"/>
      <c r="Z45" s="358"/>
      <c r="AA45" s="356">
        <v>2024</v>
      </c>
      <c r="AB45" s="357"/>
      <c r="AC45" s="358"/>
      <c r="AD45" s="356">
        <v>2025</v>
      </c>
      <c r="AE45" s="357"/>
      <c r="AF45" s="358"/>
      <c r="AG45" s="82"/>
      <c r="AH45" s="321" t="s">
        <v>46</v>
      </c>
      <c r="AI45" s="321"/>
      <c r="AJ45" s="82"/>
      <c r="AK45" s="368" t="s">
        <v>245</v>
      </c>
      <c r="AL45" s="368"/>
      <c r="AM45" s="368"/>
      <c r="AN45" s="368"/>
      <c r="AO45" s="368"/>
      <c r="AP45" s="368"/>
      <c r="AQ45" s="368"/>
      <c r="AR45" s="368"/>
      <c r="AS45" s="368"/>
      <c r="AT45" s="368"/>
      <c r="AU45" s="368"/>
      <c r="AV45" s="368"/>
      <c r="AW45" s="368"/>
      <c r="AX45" s="368"/>
      <c r="AY45" s="368"/>
      <c r="AZ45" s="368"/>
      <c r="BA45" s="368"/>
      <c r="BB45" s="368"/>
      <c r="BC45" s="368"/>
      <c r="BD45" s="368"/>
      <c r="BE45" s="368"/>
      <c r="BF45" s="368"/>
      <c r="BG45" s="368"/>
      <c r="BH45" s="368"/>
      <c r="BI45" s="368"/>
      <c r="BJ45" s="368"/>
      <c r="BK45" s="368"/>
      <c r="BL45" s="368"/>
      <c r="BM45" s="368"/>
      <c r="BN45" s="368"/>
      <c r="BO45" s="90"/>
      <c r="BP45" s="90"/>
      <c r="BQ45" s="90"/>
    </row>
    <row r="46" spans="1:69" ht="18">
      <c r="A46" s="169" t="s">
        <v>199</v>
      </c>
      <c r="B46" s="170" t="s">
        <v>210</v>
      </c>
      <c r="C46" s="171" t="s">
        <v>5</v>
      </c>
      <c r="D46" s="171" t="s">
        <v>6</v>
      </c>
      <c r="E46" s="172" t="s">
        <v>42</v>
      </c>
      <c r="F46" s="171" t="s">
        <v>5</v>
      </c>
      <c r="G46" s="171" t="s">
        <v>6</v>
      </c>
      <c r="H46" s="172" t="s">
        <v>42</v>
      </c>
      <c r="I46" s="171" t="s">
        <v>5</v>
      </c>
      <c r="J46" s="171" t="s">
        <v>6</v>
      </c>
      <c r="K46" s="172" t="s">
        <v>42</v>
      </c>
      <c r="L46" s="171" t="s">
        <v>5</v>
      </c>
      <c r="M46" s="171" t="s">
        <v>6</v>
      </c>
      <c r="N46" s="172" t="s">
        <v>42</v>
      </c>
      <c r="O46" s="171" t="s">
        <v>5</v>
      </c>
      <c r="P46" s="171" t="s">
        <v>6</v>
      </c>
      <c r="Q46" s="172" t="s">
        <v>42</v>
      </c>
      <c r="R46" s="171" t="s">
        <v>5</v>
      </c>
      <c r="S46" s="171" t="s">
        <v>6</v>
      </c>
      <c r="T46" s="172" t="s">
        <v>42</v>
      </c>
      <c r="U46" s="171" t="s">
        <v>5</v>
      </c>
      <c r="V46" s="171" t="s">
        <v>6</v>
      </c>
      <c r="W46" s="172" t="s">
        <v>42</v>
      </c>
      <c r="X46" s="171" t="s">
        <v>5</v>
      </c>
      <c r="Y46" s="171" t="s">
        <v>6</v>
      </c>
      <c r="Z46" s="172" t="s">
        <v>42</v>
      </c>
      <c r="AA46" s="171" t="s">
        <v>5</v>
      </c>
      <c r="AB46" s="171" t="s">
        <v>6</v>
      </c>
      <c r="AC46" s="172" t="s">
        <v>42</v>
      </c>
      <c r="AD46" s="171" t="s">
        <v>5</v>
      </c>
      <c r="AE46" s="171" t="s">
        <v>6</v>
      </c>
      <c r="AF46" s="172" t="s">
        <v>42</v>
      </c>
      <c r="AG46" s="155"/>
      <c r="AH46" s="319" t="s">
        <v>65</v>
      </c>
      <c r="AI46" s="320"/>
      <c r="AJ46" s="82"/>
      <c r="AK46" s="369">
        <v>2016</v>
      </c>
      <c r="AL46" s="369"/>
      <c r="AM46" s="370"/>
      <c r="AN46" s="371">
        <v>2017</v>
      </c>
      <c r="AO46" s="369"/>
      <c r="AP46" s="370"/>
      <c r="AQ46" s="369">
        <v>2018</v>
      </c>
      <c r="AR46" s="369"/>
      <c r="AS46" s="370"/>
      <c r="AT46" s="369">
        <v>2019</v>
      </c>
      <c r="AU46" s="369"/>
      <c r="AV46" s="370"/>
      <c r="AW46" s="369">
        <v>2020</v>
      </c>
      <c r="AX46" s="369"/>
      <c r="AY46" s="370"/>
      <c r="AZ46" s="371">
        <v>2021</v>
      </c>
      <c r="BA46" s="369"/>
      <c r="BB46" s="370"/>
      <c r="BC46" s="369">
        <v>2022</v>
      </c>
      <c r="BD46" s="369"/>
      <c r="BE46" s="370"/>
      <c r="BF46" s="371">
        <v>2023</v>
      </c>
      <c r="BG46" s="369"/>
      <c r="BH46" s="370"/>
      <c r="BI46" s="369">
        <v>2024</v>
      </c>
      <c r="BJ46" s="369"/>
      <c r="BK46" s="370"/>
      <c r="BL46" s="369">
        <v>2025</v>
      </c>
      <c r="BM46" s="369"/>
      <c r="BN46" s="370"/>
      <c r="BO46" s="85"/>
      <c r="BP46" s="85"/>
      <c r="BQ46" s="85"/>
    </row>
    <row r="47" spans="1:69">
      <c r="A47" s="69" t="s">
        <v>159</v>
      </c>
      <c r="B47" s="71" t="s">
        <v>162</v>
      </c>
      <c r="C47" s="100">
        <v>6.962025316455696</v>
      </c>
      <c r="D47" s="100">
        <v>9.3525179856115113</v>
      </c>
      <c r="E47" s="100">
        <v>7.8431372549019605</v>
      </c>
      <c r="F47" t="e">
        <f>1/0</f>
        <v>#DIV/0!</v>
      </c>
      <c r="G47" t="e">
        <f t="shared" ref="G47:AF57" si="0">1/0</f>
        <v>#DIV/0!</v>
      </c>
      <c r="H47" t="e">
        <f t="shared" si="0"/>
        <v>#DIV/0!</v>
      </c>
      <c r="I47" t="e">
        <f t="shared" si="0"/>
        <v>#DIV/0!</v>
      </c>
      <c r="J47" t="e">
        <f t="shared" si="0"/>
        <v>#DIV/0!</v>
      </c>
      <c r="K47" t="e">
        <f t="shared" si="0"/>
        <v>#DIV/0!</v>
      </c>
      <c r="L47" t="e">
        <f t="shared" si="0"/>
        <v>#DIV/0!</v>
      </c>
      <c r="M47" t="e">
        <f t="shared" si="0"/>
        <v>#DIV/0!</v>
      </c>
      <c r="N47" t="e">
        <f t="shared" si="0"/>
        <v>#DIV/0!</v>
      </c>
      <c r="O47" t="e">
        <f t="shared" si="0"/>
        <v>#DIV/0!</v>
      </c>
      <c r="P47" t="e">
        <f t="shared" si="0"/>
        <v>#DIV/0!</v>
      </c>
      <c r="Q47" t="e">
        <f t="shared" si="0"/>
        <v>#DIV/0!</v>
      </c>
      <c r="R47" t="e">
        <f t="shared" si="0"/>
        <v>#DIV/0!</v>
      </c>
      <c r="S47" t="e">
        <f t="shared" si="0"/>
        <v>#DIV/0!</v>
      </c>
      <c r="T47" t="e">
        <f t="shared" si="0"/>
        <v>#DIV/0!</v>
      </c>
      <c r="U47" t="e">
        <f t="shared" si="0"/>
        <v>#DIV/0!</v>
      </c>
      <c r="V47" t="e">
        <f t="shared" si="0"/>
        <v>#DIV/0!</v>
      </c>
      <c r="W47" t="e">
        <f t="shared" si="0"/>
        <v>#DIV/0!</v>
      </c>
      <c r="X47" t="e">
        <f t="shared" si="0"/>
        <v>#DIV/0!</v>
      </c>
      <c r="Y47" t="e">
        <f t="shared" si="0"/>
        <v>#DIV/0!</v>
      </c>
      <c r="Z47" t="e">
        <f t="shared" si="0"/>
        <v>#DIV/0!</v>
      </c>
      <c r="AA47" t="e">
        <f t="shared" si="0"/>
        <v>#DIV/0!</v>
      </c>
      <c r="AB47" t="e">
        <f t="shared" si="0"/>
        <v>#DIV/0!</v>
      </c>
      <c r="AC47" t="e">
        <f t="shared" si="0"/>
        <v>#DIV/0!</v>
      </c>
      <c r="AD47" t="e">
        <f t="shared" si="0"/>
        <v>#DIV/0!</v>
      </c>
      <c r="AE47" t="e">
        <f t="shared" si="0"/>
        <v>#DIV/0!</v>
      </c>
      <c r="AF47" t="e">
        <f t="shared" si="0"/>
        <v>#DIV/0!</v>
      </c>
      <c r="AG47" s="82"/>
      <c r="AH47" s="56" t="s">
        <v>61</v>
      </c>
      <c r="AI47" s="56" t="s">
        <v>62</v>
      </c>
      <c r="AJ47" s="82"/>
      <c r="AK47" s="182">
        <f>$C$47</f>
        <v>6.962025316455696</v>
      </c>
      <c r="AL47" s="182">
        <f>$D$47</f>
        <v>9.3525179856115113</v>
      </c>
      <c r="AM47" s="182">
        <f>$E$47</f>
        <v>7.8431372549019605</v>
      </c>
      <c r="AN47" s="182" t="e">
        <f>$F$47</f>
        <v>#DIV/0!</v>
      </c>
      <c r="AO47" s="182" t="e">
        <f>$G$47</f>
        <v>#DIV/0!</v>
      </c>
      <c r="AP47" s="182" t="e">
        <f>$H$47</f>
        <v>#DIV/0!</v>
      </c>
      <c r="AQ47" s="182" t="e">
        <f>$I$47</f>
        <v>#DIV/0!</v>
      </c>
      <c r="AR47" s="182" t="e">
        <f>$J$47</f>
        <v>#DIV/0!</v>
      </c>
      <c r="AS47" s="182" t="e">
        <f>$K$47</f>
        <v>#DIV/0!</v>
      </c>
      <c r="AT47" s="182" t="e">
        <f>$L$47</f>
        <v>#DIV/0!</v>
      </c>
      <c r="AU47" s="182" t="e">
        <f>$M$47</f>
        <v>#DIV/0!</v>
      </c>
      <c r="AV47" s="182" t="e">
        <f>$N$47</f>
        <v>#DIV/0!</v>
      </c>
      <c r="AW47" s="182" t="e">
        <f>$O$47</f>
        <v>#DIV/0!</v>
      </c>
      <c r="AX47" s="182" t="e">
        <f>$P$47</f>
        <v>#DIV/0!</v>
      </c>
      <c r="AY47" s="182" t="e">
        <f>$Q$47</f>
        <v>#DIV/0!</v>
      </c>
      <c r="AZ47" s="182" t="e">
        <f>$R$47</f>
        <v>#DIV/0!</v>
      </c>
      <c r="BA47" s="182" t="e">
        <f>$S$47</f>
        <v>#DIV/0!</v>
      </c>
      <c r="BB47" s="182" t="e">
        <f>$T$47</f>
        <v>#DIV/0!</v>
      </c>
      <c r="BC47" s="182" t="e">
        <f>$U$47</f>
        <v>#DIV/0!</v>
      </c>
      <c r="BD47" s="182" t="e">
        <f>$V$47</f>
        <v>#DIV/0!</v>
      </c>
      <c r="BE47" s="182" t="e">
        <f>$W$47</f>
        <v>#DIV/0!</v>
      </c>
      <c r="BF47" s="182" t="e">
        <f>$X$47</f>
        <v>#DIV/0!</v>
      </c>
      <c r="BG47" s="182" t="e">
        <f>$Y$47</f>
        <v>#DIV/0!</v>
      </c>
      <c r="BH47" s="182" t="e">
        <f>$Z$47</f>
        <v>#DIV/0!</v>
      </c>
      <c r="BI47" s="182" t="e">
        <f>$AA$47</f>
        <v>#DIV/0!</v>
      </c>
      <c r="BJ47" s="182" t="e">
        <f>$AB$47</f>
        <v>#DIV/0!</v>
      </c>
      <c r="BK47" s="182" t="e">
        <f>$AC$47</f>
        <v>#DIV/0!</v>
      </c>
      <c r="BL47" s="182" t="e">
        <f>$AD$47</f>
        <v>#DIV/0!</v>
      </c>
      <c r="BM47" s="182" t="e">
        <f>$AE$47</f>
        <v>#DIV/0!</v>
      </c>
      <c r="BN47" s="182" t="e">
        <f>$AF$47</f>
        <v>#DIV/0!</v>
      </c>
    </row>
    <row r="48" spans="1:69">
      <c r="A48" s="68" t="s">
        <v>194</v>
      </c>
      <c r="B48" s="71" t="s">
        <v>188</v>
      </c>
      <c r="C48" s="100">
        <v>5.4347826086956523</v>
      </c>
      <c r="D48" s="100">
        <v>4.2857142857142856</v>
      </c>
      <c r="E48" s="100">
        <v>4.8929663608562688</v>
      </c>
      <c r="F48" t="e">
        <f t="shared" ref="F48:U98" si="1">1/0</f>
        <v>#DIV/0!</v>
      </c>
      <c r="G48" t="e">
        <f t="shared" si="1"/>
        <v>#DIV/0!</v>
      </c>
      <c r="H48" t="e">
        <f t="shared" si="1"/>
        <v>#DIV/0!</v>
      </c>
      <c r="I48" t="e">
        <f t="shared" si="1"/>
        <v>#DIV/0!</v>
      </c>
      <c r="J48" t="e">
        <f t="shared" si="1"/>
        <v>#DIV/0!</v>
      </c>
      <c r="K48" t="e">
        <f t="shared" si="1"/>
        <v>#DIV/0!</v>
      </c>
      <c r="L48" t="e">
        <f t="shared" si="1"/>
        <v>#DIV/0!</v>
      </c>
      <c r="M48" t="e">
        <f t="shared" si="1"/>
        <v>#DIV/0!</v>
      </c>
      <c r="N48" t="e">
        <f t="shared" si="1"/>
        <v>#DIV/0!</v>
      </c>
      <c r="O48" t="e">
        <f t="shared" si="1"/>
        <v>#DIV/0!</v>
      </c>
      <c r="P48" t="e">
        <f t="shared" si="1"/>
        <v>#DIV/0!</v>
      </c>
      <c r="Q48" t="e">
        <f t="shared" si="1"/>
        <v>#DIV/0!</v>
      </c>
      <c r="R48" t="e">
        <f t="shared" si="1"/>
        <v>#DIV/0!</v>
      </c>
      <c r="S48" t="e">
        <f t="shared" si="1"/>
        <v>#DIV/0!</v>
      </c>
      <c r="T48" t="e">
        <f t="shared" si="1"/>
        <v>#DIV/0!</v>
      </c>
      <c r="U48" t="e">
        <f t="shared" si="1"/>
        <v>#DIV/0!</v>
      </c>
      <c r="V48" t="e">
        <f t="shared" si="0"/>
        <v>#DIV/0!</v>
      </c>
      <c r="W48" t="e">
        <f t="shared" si="0"/>
        <v>#DIV/0!</v>
      </c>
      <c r="X48" t="e">
        <f t="shared" si="0"/>
        <v>#DIV/0!</v>
      </c>
      <c r="Y48" t="e">
        <f t="shared" si="0"/>
        <v>#DIV/0!</v>
      </c>
      <c r="Z48" t="e">
        <f t="shared" si="0"/>
        <v>#DIV/0!</v>
      </c>
      <c r="AA48" t="e">
        <f t="shared" si="0"/>
        <v>#DIV/0!</v>
      </c>
      <c r="AB48" t="e">
        <f t="shared" si="0"/>
        <v>#DIV/0!</v>
      </c>
      <c r="AC48" t="e">
        <f t="shared" si="0"/>
        <v>#DIV/0!</v>
      </c>
      <c r="AD48" t="e">
        <f t="shared" si="0"/>
        <v>#DIV/0!</v>
      </c>
      <c r="AE48" t="e">
        <f t="shared" si="0"/>
        <v>#DIV/0!</v>
      </c>
      <c r="AF48" t="e">
        <f t="shared" si="0"/>
        <v>#DIV/0!</v>
      </c>
      <c r="AG48" s="82"/>
      <c r="AH48" s="244" t="s">
        <v>392</v>
      </c>
      <c r="AI48" s="244" t="s">
        <v>448</v>
      </c>
      <c r="AJ48" s="82"/>
      <c r="AK48" s="182">
        <f>$C$48</f>
        <v>5.4347826086956523</v>
      </c>
      <c r="AL48" s="182">
        <f>$D$48</f>
        <v>4.2857142857142856</v>
      </c>
      <c r="AM48" s="182">
        <f>$E$48</f>
        <v>4.8929663608562688</v>
      </c>
      <c r="AN48" s="182" t="e">
        <f>$F$48</f>
        <v>#DIV/0!</v>
      </c>
      <c r="AO48" s="182" t="e">
        <f>$G$48</f>
        <v>#DIV/0!</v>
      </c>
      <c r="AP48" s="182" t="e">
        <f>$H$48</f>
        <v>#DIV/0!</v>
      </c>
      <c r="AQ48" s="182" t="e">
        <f>$I$48</f>
        <v>#DIV/0!</v>
      </c>
      <c r="AR48" s="182" t="e">
        <f>$J$48</f>
        <v>#DIV/0!</v>
      </c>
      <c r="AS48" s="182" t="e">
        <f>$K$48</f>
        <v>#DIV/0!</v>
      </c>
      <c r="AT48" s="182" t="e">
        <f>$L$48</f>
        <v>#DIV/0!</v>
      </c>
      <c r="AU48" s="182" t="e">
        <f>$M$48</f>
        <v>#DIV/0!</v>
      </c>
      <c r="AV48" s="182" t="e">
        <f>$N$48</f>
        <v>#DIV/0!</v>
      </c>
      <c r="AW48" s="182" t="e">
        <f>$O$48</f>
        <v>#DIV/0!</v>
      </c>
      <c r="AX48" s="182" t="e">
        <f>$P$48</f>
        <v>#DIV/0!</v>
      </c>
      <c r="AY48" s="182" t="e">
        <f>$Q$48</f>
        <v>#DIV/0!</v>
      </c>
      <c r="AZ48" s="182" t="e">
        <f>$R$48</f>
        <v>#DIV/0!</v>
      </c>
      <c r="BA48" s="182" t="e">
        <f>$S$48</f>
        <v>#DIV/0!</v>
      </c>
      <c r="BB48" s="182" t="e">
        <f>$T$48</f>
        <v>#DIV/0!</v>
      </c>
      <c r="BC48" s="182" t="e">
        <f>$U$48</f>
        <v>#DIV/0!</v>
      </c>
      <c r="BD48" s="182" t="e">
        <f>$V$48</f>
        <v>#DIV/0!</v>
      </c>
      <c r="BE48" s="182" t="e">
        <f>$W$48</f>
        <v>#DIV/0!</v>
      </c>
      <c r="BF48" s="182" t="e">
        <f>$X$48</f>
        <v>#DIV/0!</v>
      </c>
      <c r="BG48" s="182" t="e">
        <f>$Y$48</f>
        <v>#DIV/0!</v>
      </c>
      <c r="BH48" s="182" t="e">
        <f>$Z$48</f>
        <v>#DIV/0!</v>
      </c>
      <c r="BI48" s="182" t="e">
        <f>$AA$48</f>
        <v>#DIV/0!</v>
      </c>
      <c r="BJ48" s="182" t="e">
        <f>$AB$48</f>
        <v>#DIV/0!</v>
      </c>
      <c r="BK48" s="182" t="e">
        <f>$AC$48</f>
        <v>#DIV/0!</v>
      </c>
      <c r="BL48" s="182" t="e">
        <f>$AD$48</f>
        <v>#DIV/0!</v>
      </c>
      <c r="BM48" s="182" t="e">
        <f>$AE$48</f>
        <v>#DIV/0!</v>
      </c>
      <c r="BN48" s="182" t="e">
        <f>$AF$48</f>
        <v>#DIV/0!</v>
      </c>
    </row>
    <row r="49" spans="1:66">
      <c r="A49" s="68" t="s">
        <v>189</v>
      </c>
      <c r="B49" t="s">
        <v>153</v>
      </c>
      <c r="C49" s="100"/>
      <c r="E49" s="100">
        <v>8.235294117647058</v>
      </c>
      <c r="F49" t="e">
        <f t="shared" si="1"/>
        <v>#DIV/0!</v>
      </c>
      <c r="G49" t="e">
        <f t="shared" si="0"/>
        <v>#DIV/0!</v>
      </c>
      <c r="H49" t="e">
        <f t="shared" si="0"/>
        <v>#DIV/0!</v>
      </c>
      <c r="I49" t="e">
        <f t="shared" si="0"/>
        <v>#DIV/0!</v>
      </c>
      <c r="J49" t="e">
        <f t="shared" si="0"/>
        <v>#DIV/0!</v>
      </c>
      <c r="K49" t="e">
        <f t="shared" si="0"/>
        <v>#DIV/0!</v>
      </c>
      <c r="L49" t="e">
        <f t="shared" si="0"/>
        <v>#DIV/0!</v>
      </c>
      <c r="M49" t="e">
        <f t="shared" si="0"/>
        <v>#DIV/0!</v>
      </c>
      <c r="N49" t="e">
        <f t="shared" si="0"/>
        <v>#DIV/0!</v>
      </c>
      <c r="O49" t="e">
        <f t="shared" si="0"/>
        <v>#DIV/0!</v>
      </c>
      <c r="P49" t="e">
        <f t="shared" si="0"/>
        <v>#DIV/0!</v>
      </c>
      <c r="Q49" t="e">
        <f t="shared" si="0"/>
        <v>#DIV/0!</v>
      </c>
      <c r="R49" t="e">
        <f t="shared" si="0"/>
        <v>#DIV/0!</v>
      </c>
      <c r="S49" t="e">
        <f t="shared" si="0"/>
        <v>#DIV/0!</v>
      </c>
      <c r="T49" t="e">
        <f t="shared" si="0"/>
        <v>#DIV/0!</v>
      </c>
      <c r="U49" t="e">
        <f t="shared" si="0"/>
        <v>#DIV/0!</v>
      </c>
      <c r="V49" t="e">
        <f t="shared" si="0"/>
        <v>#DIV/0!</v>
      </c>
      <c r="W49" t="e">
        <f t="shared" si="0"/>
        <v>#DIV/0!</v>
      </c>
      <c r="X49" t="e">
        <f t="shared" si="0"/>
        <v>#DIV/0!</v>
      </c>
      <c r="Y49" t="e">
        <f t="shared" si="0"/>
        <v>#DIV/0!</v>
      </c>
      <c r="Z49" t="e">
        <f t="shared" si="0"/>
        <v>#DIV/0!</v>
      </c>
      <c r="AA49" t="e">
        <f t="shared" si="0"/>
        <v>#DIV/0!</v>
      </c>
      <c r="AB49" t="e">
        <f t="shared" si="0"/>
        <v>#DIV/0!</v>
      </c>
      <c r="AC49" t="e">
        <f t="shared" si="0"/>
        <v>#DIV/0!</v>
      </c>
      <c r="AD49" t="e">
        <f t="shared" si="0"/>
        <v>#DIV/0!</v>
      </c>
      <c r="AE49" t="e">
        <f t="shared" si="0"/>
        <v>#DIV/0!</v>
      </c>
      <c r="AF49" t="e">
        <f t="shared" si="0"/>
        <v>#DIV/0!</v>
      </c>
      <c r="AG49" s="82"/>
      <c r="AH49" s="244" t="s">
        <v>393</v>
      </c>
      <c r="AI49" s="244" t="s">
        <v>449</v>
      </c>
      <c r="AJ49" s="82"/>
      <c r="AK49" s="182">
        <f>$C$49</f>
        <v>0</v>
      </c>
      <c r="AL49" s="182">
        <f>$D$49</f>
        <v>0</v>
      </c>
      <c r="AM49" s="182">
        <f>$E$49</f>
        <v>8.235294117647058</v>
      </c>
      <c r="AN49" s="182" t="e">
        <f>$F$49</f>
        <v>#DIV/0!</v>
      </c>
      <c r="AO49" s="182" t="e">
        <f>$G$49</f>
        <v>#DIV/0!</v>
      </c>
      <c r="AP49" s="182" t="e">
        <f>$H$49</f>
        <v>#DIV/0!</v>
      </c>
      <c r="AQ49" s="182" t="e">
        <f>$I$49</f>
        <v>#DIV/0!</v>
      </c>
      <c r="AR49" s="182" t="e">
        <f>$J$49</f>
        <v>#DIV/0!</v>
      </c>
      <c r="AS49" s="182" t="e">
        <f>$K$49</f>
        <v>#DIV/0!</v>
      </c>
      <c r="AT49" s="182" t="e">
        <f>$L$49</f>
        <v>#DIV/0!</v>
      </c>
      <c r="AU49" s="182" t="e">
        <f>$M$49</f>
        <v>#DIV/0!</v>
      </c>
      <c r="AV49" s="182" t="e">
        <f>$N$49</f>
        <v>#DIV/0!</v>
      </c>
      <c r="AW49" s="182" t="e">
        <f>$O$49</f>
        <v>#DIV/0!</v>
      </c>
      <c r="AX49" s="182" t="e">
        <f>$P$49</f>
        <v>#DIV/0!</v>
      </c>
      <c r="AY49" s="182" t="e">
        <f>$Q$49</f>
        <v>#DIV/0!</v>
      </c>
      <c r="AZ49" s="182" t="e">
        <f>$R$49</f>
        <v>#DIV/0!</v>
      </c>
      <c r="BA49" s="182" t="e">
        <f>$S$49</f>
        <v>#DIV/0!</v>
      </c>
      <c r="BB49" s="182" t="e">
        <f>$T$49</f>
        <v>#DIV/0!</v>
      </c>
      <c r="BC49" s="182" t="e">
        <f>$U$49</f>
        <v>#DIV/0!</v>
      </c>
      <c r="BD49" s="182" t="e">
        <f>$V$49</f>
        <v>#DIV/0!</v>
      </c>
      <c r="BE49" s="182" t="e">
        <f>$W$49</f>
        <v>#DIV/0!</v>
      </c>
      <c r="BF49" s="182" t="e">
        <f>$X$49</f>
        <v>#DIV/0!</v>
      </c>
      <c r="BG49" s="182" t="e">
        <f>$Y$49</f>
        <v>#DIV/0!</v>
      </c>
      <c r="BH49" s="182" t="e">
        <f>$Z$49</f>
        <v>#DIV/0!</v>
      </c>
      <c r="BI49" s="182" t="e">
        <f>$AA$49</f>
        <v>#DIV/0!</v>
      </c>
      <c r="BJ49" s="182" t="e">
        <f>$AB$49</f>
        <v>#DIV/0!</v>
      </c>
      <c r="BK49" s="182" t="e">
        <f>$AC$49</f>
        <v>#DIV/0!</v>
      </c>
      <c r="BL49" s="182" t="e">
        <f>$AD$49</f>
        <v>#DIV/0!</v>
      </c>
      <c r="BM49" s="182" t="e">
        <f>$AE$49</f>
        <v>#DIV/0!</v>
      </c>
      <c r="BN49" s="182" t="e">
        <f>$AF$49</f>
        <v>#DIV/0!</v>
      </c>
    </row>
    <row r="50" spans="1:66">
      <c r="A50" s="69" t="s">
        <v>184</v>
      </c>
      <c r="B50" s="71" t="s">
        <v>188</v>
      </c>
      <c r="C50" s="100"/>
      <c r="E50" s="100">
        <v>5.1282051282051277</v>
      </c>
      <c r="F50" t="e">
        <f t="shared" si="1"/>
        <v>#DIV/0!</v>
      </c>
      <c r="G50" t="e">
        <f t="shared" si="0"/>
        <v>#DIV/0!</v>
      </c>
      <c r="H50" t="e">
        <f t="shared" si="0"/>
        <v>#DIV/0!</v>
      </c>
      <c r="I50" t="e">
        <f t="shared" si="0"/>
        <v>#DIV/0!</v>
      </c>
      <c r="J50" t="e">
        <f t="shared" si="0"/>
        <v>#DIV/0!</v>
      </c>
      <c r="K50" t="e">
        <f t="shared" si="0"/>
        <v>#DIV/0!</v>
      </c>
      <c r="L50" t="e">
        <f t="shared" si="0"/>
        <v>#DIV/0!</v>
      </c>
      <c r="M50" t="e">
        <f t="shared" si="0"/>
        <v>#DIV/0!</v>
      </c>
      <c r="N50" t="e">
        <f t="shared" si="0"/>
        <v>#DIV/0!</v>
      </c>
      <c r="O50" t="e">
        <f t="shared" si="0"/>
        <v>#DIV/0!</v>
      </c>
      <c r="P50" t="e">
        <f t="shared" si="0"/>
        <v>#DIV/0!</v>
      </c>
      <c r="Q50" t="e">
        <f t="shared" si="0"/>
        <v>#DIV/0!</v>
      </c>
      <c r="R50" t="e">
        <f t="shared" si="0"/>
        <v>#DIV/0!</v>
      </c>
      <c r="S50" t="e">
        <f t="shared" si="0"/>
        <v>#DIV/0!</v>
      </c>
      <c r="T50" t="e">
        <f t="shared" si="0"/>
        <v>#DIV/0!</v>
      </c>
      <c r="U50" t="e">
        <f t="shared" si="0"/>
        <v>#DIV/0!</v>
      </c>
      <c r="V50" t="e">
        <f t="shared" si="0"/>
        <v>#DIV/0!</v>
      </c>
      <c r="W50" t="e">
        <f t="shared" si="0"/>
        <v>#DIV/0!</v>
      </c>
      <c r="X50" t="e">
        <f t="shared" si="0"/>
        <v>#DIV/0!</v>
      </c>
      <c r="Y50" t="e">
        <f t="shared" si="0"/>
        <v>#DIV/0!</v>
      </c>
      <c r="Z50" t="e">
        <f t="shared" si="0"/>
        <v>#DIV/0!</v>
      </c>
      <c r="AA50" t="e">
        <f t="shared" si="0"/>
        <v>#DIV/0!</v>
      </c>
      <c r="AB50" t="e">
        <f t="shared" si="0"/>
        <v>#DIV/0!</v>
      </c>
      <c r="AC50" t="e">
        <f t="shared" si="0"/>
        <v>#DIV/0!</v>
      </c>
      <c r="AD50" t="e">
        <f t="shared" si="0"/>
        <v>#DIV/0!</v>
      </c>
      <c r="AE50" t="e">
        <f t="shared" si="0"/>
        <v>#DIV/0!</v>
      </c>
      <c r="AF50" t="e">
        <f t="shared" si="0"/>
        <v>#DIV/0!</v>
      </c>
      <c r="AG50" s="82"/>
      <c r="AH50" s="244" t="s">
        <v>394</v>
      </c>
      <c r="AI50" s="244" t="s">
        <v>450</v>
      </c>
      <c r="AJ50" s="82"/>
      <c r="AK50" s="182">
        <f>$C$50</f>
        <v>0</v>
      </c>
      <c r="AL50" s="182">
        <f>$D$50</f>
        <v>0</v>
      </c>
      <c r="AM50" s="182">
        <f>$E$50</f>
        <v>5.1282051282051277</v>
      </c>
      <c r="AN50" s="182" t="e">
        <f>$F$50</f>
        <v>#DIV/0!</v>
      </c>
      <c r="AO50" s="182" t="e">
        <f>$G$50</f>
        <v>#DIV/0!</v>
      </c>
      <c r="AP50" s="182" t="e">
        <f>$H$50</f>
        <v>#DIV/0!</v>
      </c>
      <c r="AQ50" s="182" t="e">
        <f>$I$50</f>
        <v>#DIV/0!</v>
      </c>
      <c r="AR50" s="182" t="e">
        <f>$J$50</f>
        <v>#DIV/0!</v>
      </c>
      <c r="AS50" s="182" t="e">
        <f>$K$50</f>
        <v>#DIV/0!</v>
      </c>
      <c r="AT50" s="182" t="e">
        <f>$L$50</f>
        <v>#DIV/0!</v>
      </c>
      <c r="AU50" s="182" t="e">
        <f>$M$50</f>
        <v>#DIV/0!</v>
      </c>
      <c r="AV50" s="182" t="e">
        <f>$N$50</f>
        <v>#DIV/0!</v>
      </c>
      <c r="AW50" s="182" t="e">
        <f>$O$50</f>
        <v>#DIV/0!</v>
      </c>
      <c r="AX50" s="182" t="e">
        <f>$P$50</f>
        <v>#DIV/0!</v>
      </c>
      <c r="AY50" s="182" t="e">
        <f>$Q$50</f>
        <v>#DIV/0!</v>
      </c>
      <c r="AZ50" s="182" t="e">
        <f>$R$50</f>
        <v>#DIV/0!</v>
      </c>
      <c r="BA50" s="182" t="e">
        <f>$S$50</f>
        <v>#DIV/0!</v>
      </c>
      <c r="BB50" s="182" t="e">
        <f>$T$50</f>
        <v>#DIV/0!</v>
      </c>
      <c r="BC50" s="182" t="e">
        <f>$U$50</f>
        <v>#DIV/0!</v>
      </c>
      <c r="BD50" s="182" t="e">
        <f>$V$50</f>
        <v>#DIV/0!</v>
      </c>
      <c r="BE50" s="182" t="e">
        <f>$W$50</f>
        <v>#DIV/0!</v>
      </c>
      <c r="BF50" s="182" t="e">
        <f>$X$50</f>
        <v>#DIV/0!</v>
      </c>
      <c r="BG50" s="182" t="e">
        <f>$Y$50</f>
        <v>#DIV/0!</v>
      </c>
      <c r="BH50" s="182" t="e">
        <f>$Z$50</f>
        <v>#DIV/0!</v>
      </c>
      <c r="BI50" s="182" t="e">
        <f>$AA$50</f>
        <v>#DIV/0!</v>
      </c>
      <c r="BJ50" s="182" t="e">
        <f>$AB$50</f>
        <v>#DIV/0!</v>
      </c>
      <c r="BK50" s="182" t="e">
        <f>$AC$50</f>
        <v>#DIV/0!</v>
      </c>
      <c r="BL50" s="182" t="e">
        <f>$AD$50</f>
        <v>#DIV/0!</v>
      </c>
      <c r="BM50" s="182" t="e">
        <f>$AE$50</f>
        <v>#DIV/0!</v>
      </c>
      <c r="BN50" s="182" t="e">
        <f>$AF$50</f>
        <v>#DIV/0!</v>
      </c>
    </row>
    <row r="51" spans="1:66">
      <c r="A51" s="69" t="s">
        <v>182</v>
      </c>
      <c r="B51" s="71" t="s">
        <v>188</v>
      </c>
      <c r="C51" s="100">
        <v>9.0425531914893629</v>
      </c>
      <c r="D51" s="100">
        <v>8.3123425692695214</v>
      </c>
      <c r="E51" s="100">
        <v>8.7121212121212128</v>
      </c>
      <c r="F51" t="e">
        <f t="shared" si="1"/>
        <v>#DIV/0!</v>
      </c>
      <c r="G51" t="e">
        <f t="shared" si="0"/>
        <v>#DIV/0!</v>
      </c>
      <c r="H51" t="e">
        <f t="shared" si="0"/>
        <v>#DIV/0!</v>
      </c>
      <c r="I51" t="e">
        <f t="shared" si="0"/>
        <v>#DIV/0!</v>
      </c>
      <c r="J51" t="e">
        <f t="shared" si="0"/>
        <v>#DIV/0!</v>
      </c>
      <c r="K51" t="e">
        <f t="shared" si="0"/>
        <v>#DIV/0!</v>
      </c>
      <c r="L51" t="e">
        <f t="shared" si="0"/>
        <v>#DIV/0!</v>
      </c>
      <c r="M51" t="e">
        <f t="shared" si="0"/>
        <v>#DIV/0!</v>
      </c>
      <c r="N51" t="e">
        <f t="shared" si="0"/>
        <v>#DIV/0!</v>
      </c>
      <c r="O51" t="e">
        <f t="shared" si="0"/>
        <v>#DIV/0!</v>
      </c>
      <c r="P51" t="e">
        <f t="shared" si="0"/>
        <v>#DIV/0!</v>
      </c>
      <c r="Q51" t="e">
        <f t="shared" si="0"/>
        <v>#DIV/0!</v>
      </c>
      <c r="R51" t="e">
        <f t="shared" si="0"/>
        <v>#DIV/0!</v>
      </c>
      <c r="S51" t="e">
        <f t="shared" si="0"/>
        <v>#DIV/0!</v>
      </c>
      <c r="T51" t="e">
        <f t="shared" si="0"/>
        <v>#DIV/0!</v>
      </c>
      <c r="U51" t="e">
        <f t="shared" si="0"/>
        <v>#DIV/0!</v>
      </c>
      <c r="V51" t="e">
        <f t="shared" si="0"/>
        <v>#DIV/0!</v>
      </c>
      <c r="W51" t="e">
        <f t="shared" si="0"/>
        <v>#DIV/0!</v>
      </c>
      <c r="X51" t="e">
        <f t="shared" si="0"/>
        <v>#DIV/0!</v>
      </c>
      <c r="Y51" t="e">
        <f t="shared" si="0"/>
        <v>#DIV/0!</v>
      </c>
      <c r="Z51" t="e">
        <f t="shared" si="0"/>
        <v>#DIV/0!</v>
      </c>
      <c r="AA51" t="e">
        <f t="shared" si="0"/>
        <v>#DIV/0!</v>
      </c>
      <c r="AB51" t="e">
        <f t="shared" si="0"/>
        <v>#DIV/0!</v>
      </c>
      <c r="AC51" t="e">
        <f t="shared" si="0"/>
        <v>#DIV/0!</v>
      </c>
      <c r="AD51" t="e">
        <f t="shared" si="0"/>
        <v>#DIV/0!</v>
      </c>
      <c r="AE51" t="e">
        <f t="shared" si="0"/>
        <v>#DIV/0!</v>
      </c>
      <c r="AF51" t="e">
        <f t="shared" si="0"/>
        <v>#DIV/0!</v>
      </c>
      <c r="AG51" s="82"/>
      <c r="AH51" s="244" t="s">
        <v>434</v>
      </c>
      <c r="AI51" s="244" t="s">
        <v>451</v>
      </c>
      <c r="AJ51" s="82"/>
      <c r="AK51" s="182">
        <f>$C$51</f>
        <v>9.0425531914893629</v>
      </c>
      <c r="AL51" s="182">
        <f>$D$51</f>
        <v>8.3123425692695214</v>
      </c>
      <c r="AM51" s="182">
        <f>$E$51</f>
        <v>8.7121212121212128</v>
      </c>
      <c r="AN51" s="182" t="e">
        <f>$F$51</f>
        <v>#DIV/0!</v>
      </c>
      <c r="AO51" s="182" t="e">
        <f>$G$51</f>
        <v>#DIV/0!</v>
      </c>
      <c r="AP51" s="182" t="e">
        <f>$H$51</f>
        <v>#DIV/0!</v>
      </c>
      <c r="AQ51" s="182" t="e">
        <f>$I$51</f>
        <v>#DIV/0!</v>
      </c>
      <c r="AR51" s="182" t="e">
        <f>$J$51</f>
        <v>#DIV/0!</v>
      </c>
      <c r="AS51" s="182" t="e">
        <f>$K$51</f>
        <v>#DIV/0!</v>
      </c>
      <c r="AT51" s="182" t="e">
        <f>$L$51</f>
        <v>#DIV/0!</v>
      </c>
      <c r="AU51" s="182" t="e">
        <f>$M$51</f>
        <v>#DIV/0!</v>
      </c>
      <c r="AV51" s="182" t="e">
        <f>$N$51</f>
        <v>#DIV/0!</v>
      </c>
      <c r="AW51" s="182" t="e">
        <f>$O$51</f>
        <v>#DIV/0!</v>
      </c>
      <c r="AX51" s="182" t="e">
        <f>$P$51</f>
        <v>#DIV/0!</v>
      </c>
      <c r="AY51" s="182" t="e">
        <f>$Q$51</f>
        <v>#DIV/0!</v>
      </c>
      <c r="AZ51" s="182" t="e">
        <f>$R$51</f>
        <v>#DIV/0!</v>
      </c>
      <c r="BA51" s="182" t="e">
        <f>$S$51</f>
        <v>#DIV/0!</v>
      </c>
      <c r="BB51" s="182" t="e">
        <f>$T$51</f>
        <v>#DIV/0!</v>
      </c>
      <c r="BC51" s="182" t="e">
        <f>$U$51</f>
        <v>#DIV/0!</v>
      </c>
      <c r="BD51" s="182" t="e">
        <f>$V$51</f>
        <v>#DIV/0!</v>
      </c>
      <c r="BE51" s="182" t="e">
        <f>$W$51</f>
        <v>#DIV/0!</v>
      </c>
      <c r="BF51" s="182" t="e">
        <f>$X$51</f>
        <v>#DIV/0!</v>
      </c>
      <c r="BG51" s="182" t="e">
        <f>$Y$51</f>
        <v>#DIV/0!</v>
      </c>
      <c r="BH51" s="182" t="e">
        <f>$Z$51</f>
        <v>#DIV/0!</v>
      </c>
      <c r="BI51" s="182" t="e">
        <f>$AA$51</f>
        <v>#DIV/0!</v>
      </c>
      <c r="BJ51" s="182" t="e">
        <f>$AB$51</f>
        <v>#DIV/0!</v>
      </c>
      <c r="BK51" s="182" t="e">
        <f>$AC$51</f>
        <v>#DIV/0!</v>
      </c>
      <c r="BL51" s="182" t="e">
        <f>$AD$51</f>
        <v>#DIV/0!</v>
      </c>
      <c r="BM51" s="182" t="e">
        <f>$AE$51</f>
        <v>#DIV/0!</v>
      </c>
      <c r="BN51" s="182" t="e">
        <f>$AF$51</f>
        <v>#DIV/0!</v>
      </c>
    </row>
    <row r="52" spans="1:66">
      <c r="A52" s="69" t="s">
        <v>163</v>
      </c>
      <c r="B52" s="71" t="s">
        <v>178</v>
      </c>
      <c r="C52" s="100"/>
      <c r="E52" s="100">
        <v>3.8461538461538463</v>
      </c>
      <c r="F52" t="e">
        <f t="shared" si="1"/>
        <v>#DIV/0!</v>
      </c>
      <c r="G52" t="e">
        <f t="shared" si="0"/>
        <v>#DIV/0!</v>
      </c>
      <c r="H52" t="e">
        <f t="shared" si="0"/>
        <v>#DIV/0!</v>
      </c>
      <c r="I52" t="e">
        <f t="shared" si="0"/>
        <v>#DIV/0!</v>
      </c>
      <c r="J52" t="e">
        <f t="shared" si="0"/>
        <v>#DIV/0!</v>
      </c>
      <c r="K52" t="e">
        <f t="shared" si="0"/>
        <v>#DIV/0!</v>
      </c>
      <c r="L52" t="e">
        <f t="shared" si="0"/>
        <v>#DIV/0!</v>
      </c>
      <c r="M52" t="e">
        <f t="shared" si="0"/>
        <v>#DIV/0!</v>
      </c>
      <c r="N52" t="e">
        <f t="shared" si="0"/>
        <v>#DIV/0!</v>
      </c>
      <c r="O52" t="e">
        <f t="shared" si="0"/>
        <v>#DIV/0!</v>
      </c>
      <c r="P52" t="e">
        <f t="shared" si="0"/>
        <v>#DIV/0!</v>
      </c>
      <c r="Q52" t="e">
        <f t="shared" si="0"/>
        <v>#DIV/0!</v>
      </c>
      <c r="R52" t="e">
        <f t="shared" si="0"/>
        <v>#DIV/0!</v>
      </c>
      <c r="S52" t="e">
        <f t="shared" si="0"/>
        <v>#DIV/0!</v>
      </c>
      <c r="T52" t="e">
        <f t="shared" si="0"/>
        <v>#DIV/0!</v>
      </c>
      <c r="U52" t="e">
        <f t="shared" si="0"/>
        <v>#DIV/0!</v>
      </c>
      <c r="V52" t="e">
        <f t="shared" si="0"/>
        <v>#DIV/0!</v>
      </c>
      <c r="W52" t="e">
        <f t="shared" si="0"/>
        <v>#DIV/0!</v>
      </c>
      <c r="X52" t="e">
        <f t="shared" si="0"/>
        <v>#DIV/0!</v>
      </c>
      <c r="Y52" t="e">
        <f t="shared" si="0"/>
        <v>#DIV/0!</v>
      </c>
      <c r="Z52" t="e">
        <f t="shared" si="0"/>
        <v>#DIV/0!</v>
      </c>
      <c r="AA52" t="e">
        <f t="shared" si="0"/>
        <v>#DIV/0!</v>
      </c>
      <c r="AB52" t="e">
        <f t="shared" si="0"/>
        <v>#DIV/0!</v>
      </c>
      <c r="AC52" t="e">
        <f t="shared" si="0"/>
        <v>#DIV/0!</v>
      </c>
      <c r="AD52" t="e">
        <f t="shared" si="0"/>
        <v>#DIV/0!</v>
      </c>
      <c r="AE52" t="e">
        <f t="shared" si="0"/>
        <v>#DIV/0!</v>
      </c>
      <c r="AF52" t="e">
        <f t="shared" si="0"/>
        <v>#DIV/0!</v>
      </c>
      <c r="AG52" s="82"/>
      <c r="AH52" s="244" t="s">
        <v>435</v>
      </c>
      <c r="AI52" s="244" t="s">
        <v>452</v>
      </c>
      <c r="AJ52" s="82"/>
      <c r="AK52" s="182">
        <f>$C$52</f>
        <v>0</v>
      </c>
      <c r="AL52" s="182">
        <f>$D$52</f>
        <v>0</v>
      </c>
      <c r="AM52" s="182">
        <f>$E$52</f>
        <v>3.8461538461538463</v>
      </c>
      <c r="AN52" s="182" t="e">
        <f>$F$52</f>
        <v>#DIV/0!</v>
      </c>
      <c r="AO52" s="182" t="e">
        <f>$G$52</f>
        <v>#DIV/0!</v>
      </c>
      <c r="AP52" s="182" t="e">
        <f>$H$52</f>
        <v>#DIV/0!</v>
      </c>
      <c r="AQ52" s="182" t="e">
        <f>$I$52</f>
        <v>#DIV/0!</v>
      </c>
      <c r="AR52" s="182" t="e">
        <f>$J$52</f>
        <v>#DIV/0!</v>
      </c>
      <c r="AS52" s="182" t="e">
        <f>$K$52</f>
        <v>#DIV/0!</v>
      </c>
      <c r="AT52" s="182" t="e">
        <f>$L$52</f>
        <v>#DIV/0!</v>
      </c>
      <c r="AU52" s="182" t="e">
        <f>$M$52</f>
        <v>#DIV/0!</v>
      </c>
      <c r="AV52" s="182" t="e">
        <f>$N$52</f>
        <v>#DIV/0!</v>
      </c>
      <c r="AW52" s="182" t="e">
        <f>$O$52</f>
        <v>#DIV/0!</v>
      </c>
      <c r="AX52" s="182" t="e">
        <f>$P$52</f>
        <v>#DIV/0!</v>
      </c>
      <c r="AY52" s="182" t="e">
        <f>$Q$52</f>
        <v>#DIV/0!</v>
      </c>
      <c r="AZ52" s="182" t="e">
        <f>$R$52</f>
        <v>#DIV/0!</v>
      </c>
      <c r="BA52" s="182" t="e">
        <f>$S$52</f>
        <v>#DIV/0!</v>
      </c>
      <c r="BB52" s="182" t="e">
        <f>$T$52</f>
        <v>#DIV/0!</v>
      </c>
      <c r="BC52" s="182" t="e">
        <f>$U$52</f>
        <v>#DIV/0!</v>
      </c>
      <c r="BD52" s="182" t="e">
        <f>$V$52</f>
        <v>#DIV/0!</v>
      </c>
      <c r="BE52" s="182" t="e">
        <f>$W$52</f>
        <v>#DIV/0!</v>
      </c>
      <c r="BF52" s="182" t="e">
        <f>$X$52</f>
        <v>#DIV/0!</v>
      </c>
      <c r="BG52" s="182" t="e">
        <f>$Y$52</f>
        <v>#DIV/0!</v>
      </c>
      <c r="BH52" s="182" t="e">
        <f>$Z$52</f>
        <v>#DIV/0!</v>
      </c>
      <c r="BI52" s="182" t="e">
        <f>$AA$52</f>
        <v>#DIV/0!</v>
      </c>
      <c r="BJ52" s="182" t="e">
        <f>$AB$52</f>
        <v>#DIV/0!</v>
      </c>
      <c r="BK52" s="182" t="e">
        <f>$AC$52</f>
        <v>#DIV/0!</v>
      </c>
      <c r="BL52" s="182" t="e">
        <f>$AD$52</f>
        <v>#DIV/0!</v>
      </c>
      <c r="BM52" s="182" t="e">
        <f>$AE$52</f>
        <v>#DIV/0!</v>
      </c>
      <c r="BN52" s="182" t="e">
        <f>$AF$52</f>
        <v>#DIV/0!</v>
      </c>
    </row>
    <row r="53" spans="1:66">
      <c r="A53" s="69" t="s">
        <v>164</v>
      </c>
      <c r="B53" s="71" t="s">
        <v>178</v>
      </c>
      <c r="C53" s="100">
        <v>5.6338028169014089</v>
      </c>
      <c r="D53" s="100">
        <v>11.612903225806452</v>
      </c>
      <c r="E53" s="100">
        <v>8.6666666666666679</v>
      </c>
      <c r="F53" t="e">
        <f t="shared" si="1"/>
        <v>#DIV/0!</v>
      </c>
      <c r="G53" t="e">
        <f t="shared" si="0"/>
        <v>#DIV/0!</v>
      </c>
      <c r="H53" t="e">
        <f t="shared" si="0"/>
        <v>#DIV/0!</v>
      </c>
      <c r="I53" t="e">
        <f t="shared" si="0"/>
        <v>#DIV/0!</v>
      </c>
      <c r="J53" t="e">
        <f t="shared" si="0"/>
        <v>#DIV/0!</v>
      </c>
      <c r="K53" t="e">
        <f t="shared" si="0"/>
        <v>#DIV/0!</v>
      </c>
      <c r="L53" t="e">
        <f t="shared" si="0"/>
        <v>#DIV/0!</v>
      </c>
      <c r="M53" t="e">
        <f t="shared" si="0"/>
        <v>#DIV/0!</v>
      </c>
      <c r="N53" t="e">
        <f t="shared" si="0"/>
        <v>#DIV/0!</v>
      </c>
      <c r="O53" t="e">
        <f t="shared" si="0"/>
        <v>#DIV/0!</v>
      </c>
      <c r="P53" t="e">
        <f t="shared" si="0"/>
        <v>#DIV/0!</v>
      </c>
      <c r="Q53" t="e">
        <f t="shared" si="0"/>
        <v>#DIV/0!</v>
      </c>
      <c r="R53" t="e">
        <f t="shared" si="0"/>
        <v>#DIV/0!</v>
      </c>
      <c r="S53" t="e">
        <f t="shared" si="0"/>
        <v>#DIV/0!</v>
      </c>
      <c r="T53" t="e">
        <f t="shared" si="0"/>
        <v>#DIV/0!</v>
      </c>
      <c r="U53" t="e">
        <f t="shared" si="0"/>
        <v>#DIV/0!</v>
      </c>
      <c r="V53" t="e">
        <f t="shared" si="0"/>
        <v>#DIV/0!</v>
      </c>
      <c r="W53" t="e">
        <f t="shared" si="0"/>
        <v>#DIV/0!</v>
      </c>
      <c r="X53" t="e">
        <f t="shared" si="0"/>
        <v>#DIV/0!</v>
      </c>
      <c r="Y53" t="e">
        <f t="shared" si="0"/>
        <v>#DIV/0!</v>
      </c>
      <c r="Z53" t="e">
        <f t="shared" si="0"/>
        <v>#DIV/0!</v>
      </c>
      <c r="AA53" t="e">
        <f t="shared" si="0"/>
        <v>#DIV/0!</v>
      </c>
      <c r="AB53" t="e">
        <f t="shared" si="0"/>
        <v>#DIV/0!</v>
      </c>
      <c r="AC53" t="e">
        <f t="shared" si="0"/>
        <v>#DIV/0!</v>
      </c>
      <c r="AD53" t="e">
        <f t="shared" si="0"/>
        <v>#DIV/0!</v>
      </c>
      <c r="AE53" t="e">
        <f t="shared" si="0"/>
        <v>#DIV/0!</v>
      </c>
      <c r="AF53" t="e">
        <f t="shared" si="0"/>
        <v>#DIV/0!</v>
      </c>
      <c r="AG53" s="82"/>
      <c r="AH53" s="244" t="s">
        <v>436</v>
      </c>
      <c r="AI53" s="244" t="s">
        <v>453</v>
      </c>
      <c r="AJ53" s="82"/>
      <c r="AK53" s="182">
        <f>$C$53</f>
        <v>5.6338028169014089</v>
      </c>
      <c r="AL53" s="182">
        <f>$D$53</f>
        <v>11.612903225806452</v>
      </c>
      <c r="AM53" s="182">
        <f>$E$53</f>
        <v>8.6666666666666679</v>
      </c>
      <c r="AN53" s="182" t="e">
        <f>$F$53</f>
        <v>#DIV/0!</v>
      </c>
      <c r="AO53" s="182" t="e">
        <f>$G$53</f>
        <v>#DIV/0!</v>
      </c>
      <c r="AP53" s="182" t="e">
        <f>$H$53</f>
        <v>#DIV/0!</v>
      </c>
      <c r="AQ53" s="182" t="e">
        <f>$I$53</f>
        <v>#DIV/0!</v>
      </c>
      <c r="AR53" s="182" t="e">
        <f>$J$53</f>
        <v>#DIV/0!</v>
      </c>
      <c r="AS53" s="182" t="e">
        <f>$K$53</f>
        <v>#DIV/0!</v>
      </c>
      <c r="AT53" s="182" t="e">
        <f>$L$53</f>
        <v>#DIV/0!</v>
      </c>
      <c r="AU53" s="182" t="e">
        <f>$M$53</f>
        <v>#DIV/0!</v>
      </c>
      <c r="AV53" s="182" t="e">
        <f>$N$53</f>
        <v>#DIV/0!</v>
      </c>
      <c r="AW53" s="182" t="e">
        <f>$O$53</f>
        <v>#DIV/0!</v>
      </c>
      <c r="AX53" s="182" t="e">
        <f>$P$53</f>
        <v>#DIV/0!</v>
      </c>
      <c r="AY53" s="182" t="e">
        <f>$Q$53</f>
        <v>#DIV/0!</v>
      </c>
      <c r="AZ53" s="182" t="e">
        <f>$R$53</f>
        <v>#DIV/0!</v>
      </c>
      <c r="BA53" s="182" t="e">
        <f>$S$53</f>
        <v>#DIV/0!</v>
      </c>
      <c r="BB53" s="182" t="e">
        <f>$T$53</f>
        <v>#DIV/0!</v>
      </c>
      <c r="BC53" s="182" t="e">
        <f>$U$53</f>
        <v>#DIV/0!</v>
      </c>
      <c r="BD53" s="182" t="e">
        <f>$V$53</f>
        <v>#DIV/0!</v>
      </c>
      <c r="BE53" s="182" t="e">
        <f>$W$53</f>
        <v>#DIV/0!</v>
      </c>
      <c r="BF53" s="182" t="e">
        <f>$X$53</f>
        <v>#DIV/0!</v>
      </c>
      <c r="BG53" s="182" t="e">
        <f>$Y$53</f>
        <v>#DIV/0!</v>
      </c>
      <c r="BH53" s="182" t="e">
        <f>$Z$53</f>
        <v>#DIV/0!</v>
      </c>
      <c r="BI53" s="182" t="e">
        <f>$AA$53</f>
        <v>#DIV/0!</v>
      </c>
      <c r="BJ53" s="182" t="e">
        <f>$AB$53</f>
        <v>#DIV/0!</v>
      </c>
      <c r="BK53" s="182" t="e">
        <f>$AC$53</f>
        <v>#DIV/0!</v>
      </c>
      <c r="BL53" s="182" t="e">
        <f>$AD$53</f>
        <v>#DIV/0!</v>
      </c>
      <c r="BM53" s="182" t="e">
        <f>$AE$53</f>
        <v>#DIV/0!</v>
      </c>
      <c r="BN53" s="182" t="e">
        <f>$AF$53</f>
        <v>#DIV/0!</v>
      </c>
    </row>
    <row r="54" spans="1:66">
      <c r="A54" s="69" t="s">
        <v>143</v>
      </c>
      <c r="B54" t="s">
        <v>153</v>
      </c>
      <c r="C54" s="100"/>
      <c r="E54" s="100">
        <v>8.9285714285714288</v>
      </c>
      <c r="F54" t="e">
        <f t="shared" si="1"/>
        <v>#DIV/0!</v>
      </c>
      <c r="G54" t="e">
        <f t="shared" si="0"/>
        <v>#DIV/0!</v>
      </c>
      <c r="H54" t="e">
        <f t="shared" si="0"/>
        <v>#DIV/0!</v>
      </c>
      <c r="I54" t="e">
        <f t="shared" si="0"/>
        <v>#DIV/0!</v>
      </c>
      <c r="J54" t="e">
        <f t="shared" si="0"/>
        <v>#DIV/0!</v>
      </c>
      <c r="K54" t="e">
        <f t="shared" si="0"/>
        <v>#DIV/0!</v>
      </c>
      <c r="L54" t="e">
        <f t="shared" si="0"/>
        <v>#DIV/0!</v>
      </c>
      <c r="M54" t="e">
        <f t="shared" si="0"/>
        <v>#DIV/0!</v>
      </c>
      <c r="N54" t="e">
        <f t="shared" si="0"/>
        <v>#DIV/0!</v>
      </c>
      <c r="O54" t="e">
        <f t="shared" si="0"/>
        <v>#DIV/0!</v>
      </c>
      <c r="P54" t="e">
        <f t="shared" si="0"/>
        <v>#DIV/0!</v>
      </c>
      <c r="Q54" t="e">
        <f t="shared" si="0"/>
        <v>#DIV/0!</v>
      </c>
      <c r="R54" t="e">
        <f t="shared" si="0"/>
        <v>#DIV/0!</v>
      </c>
      <c r="S54" t="e">
        <f t="shared" si="0"/>
        <v>#DIV/0!</v>
      </c>
      <c r="T54" t="e">
        <f t="shared" si="0"/>
        <v>#DIV/0!</v>
      </c>
      <c r="U54" t="e">
        <f t="shared" si="0"/>
        <v>#DIV/0!</v>
      </c>
      <c r="V54" t="e">
        <f t="shared" si="0"/>
        <v>#DIV/0!</v>
      </c>
      <c r="W54" t="e">
        <f t="shared" si="0"/>
        <v>#DIV/0!</v>
      </c>
      <c r="X54" t="e">
        <f t="shared" si="0"/>
        <v>#DIV/0!</v>
      </c>
      <c r="Y54" t="e">
        <f t="shared" si="0"/>
        <v>#DIV/0!</v>
      </c>
      <c r="Z54" t="e">
        <f t="shared" si="0"/>
        <v>#DIV/0!</v>
      </c>
      <c r="AA54" t="e">
        <f t="shared" si="0"/>
        <v>#DIV/0!</v>
      </c>
      <c r="AB54" t="e">
        <f t="shared" si="0"/>
        <v>#DIV/0!</v>
      </c>
      <c r="AC54" t="e">
        <f t="shared" si="0"/>
        <v>#DIV/0!</v>
      </c>
      <c r="AD54" t="e">
        <f t="shared" si="0"/>
        <v>#DIV/0!</v>
      </c>
      <c r="AE54" t="e">
        <f t="shared" si="0"/>
        <v>#DIV/0!</v>
      </c>
      <c r="AF54" t="e">
        <f t="shared" si="0"/>
        <v>#DIV/0!</v>
      </c>
      <c r="AG54" s="82"/>
      <c r="AH54" s="244" t="s">
        <v>437</v>
      </c>
      <c r="AI54" s="245" t="s">
        <v>454</v>
      </c>
      <c r="AJ54" s="82"/>
      <c r="AK54" s="182">
        <f>$C$54</f>
        <v>0</v>
      </c>
      <c r="AL54" s="182">
        <f>$D$54</f>
        <v>0</v>
      </c>
      <c r="AM54" s="182">
        <f>$E$54</f>
        <v>8.9285714285714288</v>
      </c>
      <c r="AN54" s="182" t="e">
        <f>$F$54</f>
        <v>#DIV/0!</v>
      </c>
      <c r="AO54" s="182" t="e">
        <f>$G$54</f>
        <v>#DIV/0!</v>
      </c>
      <c r="AP54" s="182" t="e">
        <f>$H$54</f>
        <v>#DIV/0!</v>
      </c>
      <c r="AQ54" s="182" t="e">
        <f>$I$54</f>
        <v>#DIV/0!</v>
      </c>
      <c r="AR54" s="182" t="e">
        <f>$J$54</f>
        <v>#DIV/0!</v>
      </c>
      <c r="AS54" s="182" t="e">
        <f>$K$54</f>
        <v>#DIV/0!</v>
      </c>
      <c r="AT54" s="182" t="e">
        <f>$L$54</f>
        <v>#DIV/0!</v>
      </c>
      <c r="AU54" s="182" t="e">
        <f>$M$54</f>
        <v>#DIV/0!</v>
      </c>
      <c r="AV54" s="182" t="e">
        <f>$N$54</f>
        <v>#DIV/0!</v>
      </c>
      <c r="AW54" s="182" t="e">
        <f>$O$54</f>
        <v>#DIV/0!</v>
      </c>
      <c r="AX54" s="182" t="e">
        <f>$P$54</f>
        <v>#DIV/0!</v>
      </c>
      <c r="AY54" s="182" t="e">
        <f>$Q$54</f>
        <v>#DIV/0!</v>
      </c>
      <c r="AZ54" s="182" t="e">
        <f>$R$54</f>
        <v>#DIV/0!</v>
      </c>
      <c r="BA54" s="182" t="e">
        <f>$S$54</f>
        <v>#DIV/0!</v>
      </c>
      <c r="BB54" s="182" t="e">
        <f>$T$54</f>
        <v>#DIV/0!</v>
      </c>
      <c r="BC54" s="182" t="e">
        <f>$U$54</f>
        <v>#DIV/0!</v>
      </c>
      <c r="BD54" s="182" t="e">
        <f>$V$54</f>
        <v>#DIV/0!</v>
      </c>
      <c r="BE54" s="182" t="e">
        <f>$W$54</f>
        <v>#DIV/0!</v>
      </c>
      <c r="BF54" s="182" t="e">
        <f>$X$54</f>
        <v>#DIV/0!</v>
      </c>
      <c r="BG54" s="182" t="e">
        <f>$Y$54</f>
        <v>#DIV/0!</v>
      </c>
      <c r="BH54" s="182" t="e">
        <f>$Z$54</f>
        <v>#DIV/0!</v>
      </c>
      <c r="BI54" s="182" t="e">
        <f>$AA$54</f>
        <v>#DIV/0!</v>
      </c>
      <c r="BJ54" s="182" t="e">
        <f>$AB$54</f>
        <v>#DIV/0!</v>
      </c>
      <c r="BK54" s="182" t="e">
        <f>$AC$54</f>
        <v>#DIV/0!</v>
      </c>
      <c r="BL54" s="182" t="e">
        <f>$AD$54</f>
        <v>#DIV/0!</v>
      </c>
      <c r="BM54" s="182" t="e">
        <f>$AE$54</f>
        <v>#DIV/0!</v>
      </c>
      <c r="BN54" s="182" t="e">
        <f>$AF$54</f>
        <v>#DIV/0!</v>
      </c>
    </row>
    <row r="55" spans="1:66">
      <c r="A55" s="69" t="s">
        <v>165</v>
      </c>
      <c r="B55" s="71" t="s">
        <v>178</v>
      </c>
      <c r="C55" s="100"/>
      <c r="E55" s="100">
        <v>2</v>
      </c>
      <c r="F55" t="e">
        <f t="shared" si="1"/>
        <v>#DIV/0!</v>
      </c>
      <c r="G55" t="e">
        <f t="shared" si="0"/>
        <v>#DIV/0!</v>
      </c>
      <c r="H55" t="e">
        <f t="shared" si="0"/>
        <v>#DIV/0!</v>
      </c>
      <c r="I55" t="e">
        <f t="shared" si="0"/>
        <v>#DIV/0!</v>
      </c>
      <c r="J55" t="e">
        <f t="shared" si="0"/>
        <v>#DIV/0!</v>
      </c>
      <c r="K55" t="e">
        <f t="shared" si="0"/>
        <v>#DIV/0!</v>
      </c>
      <c r="L55" t="e">
        <f t="shared" si="0"/>
        <v>#DIV/0!</v>
      </c>
      <c r="M55" t="e">
        <f t="shared" si="0"/>
        <v>#DIV/0!</v>
      </c>
      <c r="N55" t="e">
        <f t="shared" si="0"/>
        <v>#DIV/0!</v>
      </c>
      <c r="O55" t="e">
        <f t="shared" si="0"/>
        <v>#DIV/0!</v>
      </c>
      <c r="P55" t="e">
        <f t="shared" si="0"/>
        <v>#DIV/0!</v>
      </c>
      <c r="Q55" t="e">
        <f t="shared" si="0"/>
        <v>#DIV/0!</v>
      </c>
      <c r="R55" t="e">
        <f t="shared" si="0"/>
        <v>#DIV/0!</v>
      </c>
      <c r="S55" t="e">
        <f t="shared" si="0"/>
        <v>#DIV/0!</v>
      </c>
      <c r="T55" t="e">
        <f t="shared" si="0"/>
        <v>#DIV/0!</v>
      </c>
      <c r="U55" t="e">
        <f t="shared" si="0"/>
        <v>#DIV/0!</v>
      </c>
      <c r="V55" t="e">
        <f t="shared" si="0"/>
        <v>#DIV/0!</v>
      </c>
      <c r="W55" t="e">
        <f t="shared" si="0"/>
        <v>#DIV/0!</v>
      </c>
      <c r="X55" t="e">
        <f t="shared" si="0"/>
        <v>#DIV/0!</v>
      </c>
      <c r="Y55" t="e">
        <f t="shared" si="0"/>
        <v>#DIV/0!</v>
      </c>
      <c r="Z55" t="e">
        <f t="shared" si="0"/>
        <v>#DIV/0!</v>
      </c>
      <c r="AA55" t="e">
        <f t="shared" si="0"/>
        <v>#DIV/0!</v>
      </c>
      <c r="AB55" t="e">
        <f t="shared" si="0"/>
        <v>#DIV/0!</v>
      </c>
      <c r="AC55" t="e">
        <f t="shared" si="0"/>
        <v>#DIV/0!</v>
      </c>
      <c r="AD55" t="e">
        <f t="shared" si="0"/>
        <v>#DIV/0!</v>
      </c>
      <c r="AE55" t="e">
        <f t="shared" si="0"/>
        <v>#DIV/0!</v>
      </c>
      <c r="AF55" t="e">
        <f t="shared" si="0"/>
        <v>#DIV/0!</v>
      </c>
      <c r="AG55" s="82"/>
      <c r="AH55" s="244" t="s">
        <v>438</v>
      </c>
      <c r="AI55" s="244" t="s">
        <v>455</v>
      </c>
      <c r="AJ55" s="82"/>
      <c r="AK55" s="182">
        <f>$C$55</f>
        <v>0</v>
      </c>
      <c r="AL55" s="182">
        <f>$D$55</f>
        <v>0</v>
      </c>
      <c r="AM55" s="182">
        <f>$E$55</f>
        <v>2</v>
      </c>
      <c r="AN55" s="182" t="e">
        <f>$F$55</f>
        <v>#DIV/0!</v>
      </c>
      <c r="AO55" s="182" t="e">
        <f>$G$55</f>
        <v>#DIV/0!</v>
      </c>
      <c r="AP55" s="182" t="e">
        <f>$H$55</f>
        <v>#DIV/0!</v>
      </c>
      <c r="AQ55" s="182" t="e">
        <f>$I$55</f>
        <v>#DIV/0!</v>
      </c>
      <c r="AR55" s="182" t="e">
        <f>$J$55</f>
        <v>#DIV/0!</v>
      </c>
      <c r="AS55" s="182" t="e">
        <f>$K$55</f>
        <v>#DIV/0!</v>
      </c>
      <c r="AT55" s="182" t="e">
        <f>$L$55</f>
        <v>#DIV/0!</v>
      </c>
      <c r="AU55" s="182" t="e">
        <f>$M$55</f>
        <v>#DIV/0!</v>
      </c>
      <c r="AV55" s="182" t="e">
        <f>$N$55</f>
        <v>#DIV/0!</v>
      </c>
      <c r="AW55" s="182" t="e">
        <f>$O$55</f>
        <v>#DIV/0!</v>
      </c>
      <c r="AX55" s="182" t="e">
        <f>$P$55</f>
        <v>#DIV/0!</v>
      </c>
      <c r="AY55" s="182" t="e">
        <f>$Q$55</f>
        <v>#DIV/0!</v>
      </c>
      <c r="AZ55" s="182" t="e">
        <f>$R$55</f>
        <v>#DIV/0!</v>
      </c>
      <c r="BA55" s="182" t="e">
        <f>$S$55</f>
        <v>#DIV/0!</v>
      </c>
      <c r="BB55" s="182" t="e">
        <f>$T$55</f>
        <v>#DIV/0!</v>
      </c>
      <c r="BC55" s="182" t="e">
        <f>$U$55</f>
        <v>#DIV/0!</v>
      </c>
      <c r="BD55" s="182" t="e">
        <f>$V$55</f>
        <v>#DIV/0!</v>
      </c>
      <c r="BE55" s="182" t="e">
        <f>$W$55</f>
        <v>#DIV/0!</v>
      </c>
      <c r="BF55" s="182" t="e">
        <f>$X$55</f>
        <v>#DIV/0!</v>
      </c>
      <c r="BG55" s="182" t="e">
        <f>$Y$55</f>
        <v>#DIV/0!</v>
      </c>
      <c r="BH55" s="182" t="e">
        <f>$Z$55</f>
        <v>#DIV/0!</v>
      </c>
      <c r="BI55" s="182" t="e">
        <f>$AA$55</f>
        <v>#DIV/0!</v>
      </c>
      <c r="BJ55" s="182" t="e">
        <f>$AB$55</f>
        <v>#DIV/0!</v>
      </c>
      <c r="BK55" s="182" t="e">
        <f>$AC$55</f>
        <v>#DIV/0!</v>
      </c>
      <c r="BL55" s="182" t="e">
        <f>$AD$55</f>
        <v>#DIV/0!</v>
      </c>
      <c r="BM55" s="182" t="e">
        <f>$AE$55</f>
        <v>#DIV/0!</v>
      </c>
      <c r="BN55" s="182" t="e">
        <f>$AF$55</f>
        <v>#DIV/0!</v>
      </c>
    </row>
    <row r="56" spans="1:66">
      <c r="A56" s="69" t="s">
        <v>154</v>
      </c>
      <c r="B56" s="71" t="s">
        <v>158</v>
      </c>
      <c r="C56" s="100">
        <v>6.1168760240305851</v>
      </c>
      <c r="D56" s="100">
        <v>8.6701816051552427</v>
      </c>
      <c r="E56" s="100">
        <v>7.5331125827814569</v>
      </c>
      <c r="F56" t="e">
        <f t="shared" si="1"/>
        <v>#DIV/0!</v>
      </c>
      <c r="G56" t="e">
        <f t="shared" si="0"/>
        <v>#DIV/0!</v>
      </c>
      <c r="H56" t="e">
        <f t="shared" si="0"/>
        <v>#DIV/0!</v>
      </c>
      <c r="I56" t="e">
        <f t="shared" si="0"/>
        <v>#DIV/0!</v>
      </c>
      <c r="J56" t="e">
        <f t="shared" si="0"/>
        <v>#DIV/0!</v>
      </c>
      <c r="K56" t="e">
        <f t="shared" si="0"/>
        <v>#DIV/0!</v>
      </c>
      <c r="L56" t="e">
        <f t="shared" si="0"/>
        <v>#DIV/0!</v>
      </c>
      <c r="M56" t="e">
        <f t="shared" si="0"/>
        <v>#DIV/0!</v>
      </c>
      <c r="N56" t="e">
        <f t="shared" si="0"/>
        <v>#DIV/0!</v>
      </c>
      <c r="O56" t="e">
        <f t="shared" si="0"/>
        <v>#DIV/0!</v>
      </c>
      <c r="P56" t="e">
        <f t="shared" si="0"/>
        <v>#DIV/0!</v>
      </c>
      <c r="Q56" t="e">
        <f t="shared" si="0"/>
        <v>#DIV/0!</v>
      </c>
      <c r="R56" t="e">
        <f t="shared" si="0"/>
        <v>#DIV/0!</v>
      </c>
      <c r="S56" t="e">
        <f t="shared" si="0"/>
        <v>#DIV/0!</v>
      </c>
      <c r="T56" t="e">
        <f t="shared" si="0"/>
        <v>#DIV/0!</v>
      </c>
      <c r="U56" t="e">
        <f t="shared" si="0"/>
        <v>#DIV/0!</v>
      </c>
      <c r="V56" t="e">
        <f t="shared" si="0"/>
        <v>#DIV/0!</v>
      </c>
      <c r="W56" t="e">
        <f t="shared" si="0"/>
        <v>#DIV/0!</v>
      </c>
      <c r="X56" t="e">
        <f t="shared" si="0"/>
        <v>#DIV/0!</v>
      </c>
      <c r="Y56" t="e">
        <f t="shared" si="0"/>
        <v>#DIV/0!</v>
      </c>
      <c r="Z56" t="e">
        <f t="shared" si="0"/>
        <v>#DIV/0!</v>
      </c>
      <c r="AA56" t="e">
        <f t="shared" si="0"/>
        <v>#DIV/0!</v>
      </c>
      <c r="AB56" t="e">
        <f t="shared" si="0"/>
        <v>#DIV/0!</v>
      </c>
      <c r="AC56" t="e">
        <f t="shared" si="0"/>
        <v>#DIV/0!</v>
      </c>
      <c r="AD56" t="e">
        <f t="shared" si="0"/>
        <v>#DIV/0!</v>
      </c>
      <c r="AE56" t="e">
        <f t="shared" si="0"/>
        <v>#DIV/0!</v>
      </c>
      <c r="AF56" t="e">
        <f t="shared" si="0"/>
        <v>#DIV/0!</v>
      </c>
      <c r="AG56" s="82"/>
      <c r="AH56" s="245" t="s">
        <v>439</v>
      </c>
      <c r="AI56" s="244" t="s">
        <v>456</v>
      </c>
      <c r="AJ56" s="82"/>
      <c r="AK56" s="182">
        <f>$C$56</f>
        <v>6.1168760240305851</v>
      </c>
      <c r="AL56" s="182">
        <f>$D$56</f>
        <v>8.6701816051552427</v>
      </c>
      <c r="AM56" s="182">
        <f>$E$56</f>
        <v>7.5331125827814569</v>
      </c>
      <c r="AN56" s="182" t="e">
        <f>$F$56</f>
        <v>#DIV/0!</v>
      </c>
      <c r="AO56" s="182" t="e">
        <f>$G$56</f>
        <v>#DIV/0!</v>
      </c>
      <c r="AP56" s="182" t="e">
        <f>$H$56</f>
        <v>#DIV/0!</v>
      </c>
      <c r="AQ56" s="182" t="e">
        <f>$I$56</f>
        <v>#DIV/0!</v>
      </c>
      <c r="AR56" s="182" t="e">
        <f>$J$56</f>
        <v>#DIV/0!</v>
      </c>
      <c r="AS56" s="182" t="e">
        <f>$K$56</f>
        <v>#DIV/0!</v>
      </c>
      <c r="AT56" s="182" t="e">
        <f>$L$56</f>
        <v>#DIV/0!</v>
      </c>
      <c r="AU56" s="182" t="e">
        <f>$M$56</f>
        <v>#DIV/0!</v>
      </c>
      <c r="AV56" s="182" t="e">
        <f>$N$56</f>
        <v>#DIV/0!</v>
      </c>
      <c r="AW56" s="182" t="e">
        <f>$O$56</f>
        <v>#DIV/0!</v>
      </c>
      <c r="AX56" s="182" t="e">
        <f>$P$56</f>
        <v>#DIV/0!</v>
      </c>
      <c r="AY56" s="182" t="e">
        <f>$Q$56</f>
        <v>#DIV/0!</v>
      </c>
      <c r="AZ56" s="182" t="e">
        <f>$R$56</f>
        <v>#DIV/0!</v>
      </c>
      <c r="BA56" s="182" t="e">
        <f>$S$56</f>
        <v>#DIV/0!</v>
      </c>
      <c r="BB56" s="182" t="e">
        <f>$T$56</f>
        <v>#DIV/0!</v>
      </c>
      <c r="BC56" s="182" t="e">
        <f>$U$56</f>
        <v>#DIV/0!</v>
      </c>
      <c r="BD56" s="182" t="e">
        <f>$V$56</f>
        <v>#DIV/0!</v>
      </c>
      <c r="BE56" s="182" t="e">
        <f>$W$56</f>
        <v>#DIV/0!</v>
      </c>
      <c r="BF56" s="182" t="e">
        <f>$X$56</f>
        <v>#DIV/0!</v>
      </c>
      <c r="BG56" s="182" t="e">
        <f>$Y$56</f>
        <v>#DIV/0!</v>
      </c>
      <c r="BH56" s="182" t="e">
        <f>$Z$56</f>
        <v>#DIV/0!</v>
      </c>
      <c r="BI56" s="182" t="e">
        <f>$AA$56</f>
        <v>#DIV/0!</v>
      </c>
      <c r="BJ56" s="182" t="e">
        <f>$AB$56</f>
        <v>#DIV/0!</v>
      </c>
      <c r="BK56" s="182" t="e">
        <f>$AC$56</f>
        <v>#DIV/0!</v>
      </c>
      <c r="BL56" s="182" t="e">
        <f>$AD$56</f>
        <v>#DIV/0!</v>
      </c>
      <c r="BM56" s="182" t="e">
        <f>$AE$56</f>
        <v>#DIV/0!</v>
      </c>
      <c r="BN56" s="182" t="e">
        <f>$AF$56</f>
        <v>#DIV/0!</v>
      </c>
    </row>
    <row r="57" spans="1:66">
      <c r="A57" s="69" t="s">
        <v>167</v>
      </c>
      <c r="B57" s="71" t="s">
        <v>178</v>
      </c>
      <c r="C57" s="100">
        <v>5.6603773584905666</v>
      </c>
      <c r="D57" s="100">
        <v>3.5714285714285712</v>
      </c>
      <c r="E57" s="100">
        <v>4.5045045045045047</v>
      </c>
      <c r="F57" t="e">
        <f t="shared" si="1"/>
        <v>#DIV/0!</v>
      </c>
      <c r="G57" t="e">
        <f t="shared" si="0"/>
        <v>#DIV/0!</v>
      </c>
      <c r="H57" t="e">
        <f t="shared" si="0"/>
        <v>#DIV/0!</v>
      </c>
      <c r="I57" t="e">
        <f t="shared" si="0"/>
        <v>#DIV/0!</v>
      </c>
      <c r="J57" t="e">
        <f t="shared" si="0"/>
        <v>#DIV/0!</v>
      </c>
      <c r="K57" t="e">
        <f t="shared" si="0"/>
        <v>#DIV/0!</v>
      </c>
      <c r="L57" t="e">
        <f t="shared" si="0"/>
        <v>#DIV/0!</v>
      </c>
      <c r="M57" t="e">
        <f t="shared" si="0"/>
        <v>#DIV/0!</v>
      </c>
      <c r="N57" t="e">
        <f t="shared" si="0"/>
        <v>#DIV/0!</v>
      </c>
      <c r="O57" t="e">
        <f t="shared" si="0"/>
        <v>#DIV/0!</v>
      </c>
      <c r="P57" t="e">
        <f t="shared" si="0"/>
        <v>#DIV/0!</v>
      </c>
      <c r="Q57" t="e">
        <f t="shared" ref="G57:AF67" si="2">1/0</f>
        <v>#DIV/0!</v>
      </c>
      <c r="R57" t="e">
        <f t="shared" si="2"/>
        <v>#DIV/0!</v>
      </c>
      <c r="S57" t="e">
        <f t="shared" si="2"/>
        <v>#DIV/0!</v>
      </c>
      <c r="T57" t="e">
        <f t="shared" si="2"/>
        <v>#DIV/0!</v>
      </c>
      <c r="U57" t="e">
        <f t="shared" si="2"/>
        <v>#DIV/0!</v>
      </c>
      <c r="V57" t="e">
        <f t="shared" si="2"/>
        <v>#DIV/0!</v>
      </c>
      <c r="W57" t="e">
        <f t="shared" si="2"/>
        <v>#DIV/0!</v>
      </c>
      <c r="X57" t="e">
        <f t="shared" si="2"/>
        <v>#DIV/0!</v>
      </c>
      <c r="Y57" t="e">
        <f t="shared" si="2"/>
        <v>#DIV/0!</v>
      </c>
      <c r="Z57" t="e">
        <f t="shared" si="2"/>
        <v>#DIV/0!</v>
      </c>
      <c r="AA57" t="e">
        <f t="shared" si="2"/>
        <v>#DIV/0!</v>
      </c>
      <c r="AB57" t="e">
        <f t="shared" si="2"/>
        <v>#DIV/0!</v>
      </c>
      <c r="AC57" t="e">
        <f t="shared" si="2"/>
        <v>#DIV/0!</v>
      </c>
      <c r="AD57" t="e">
        <f t="shared" si="2"/>
        <v>#DIV/0!</v>
      </c>
      <c r="AE57" t="e">
        <f t="shared" si="2"/>
        <v>#DIV/0!</v>
      </c>
      <c r="AF57" t="e">
        <f t="shared" si="2"/>
        <v>#DIV/0!</v>
      </c>
      <c r="AG57" s="82"/>
      <c r="AH57" s="244" t="s">
        <v>440</v>
      </c>
      <c r="AI57" s="244" t="s">
        <v>457</v>
      </c>
      <c r="AJ57" s="82"/>
      <c r="AK57" s="182">
        <f>$C$57</f>
        <v>5.6603773584905666</v>
      </c>
      <c r="AL57" s="182">
        <f>$D$57</f>
        <v>3.5714285714285712</v>
      </c>
      <c r="AM57" s="182">
        <f>$E$57</f>
        <v>4.5045045045045047</v>
      </c>
      <c r="AN57" s="182" t="e">
        <f>$F$57</f>
        <v>#DIV/0!</v>
      </c>
      <c r="AO57" s="182" t="e">
        <f>$G$57</f>
        <v>#DIV/0!</v>
      </c>
      <c r="AP57" s="182" t="e">
        <f>$H$57</f>
        <v>#DIV/0!</v>
      </c>
      <c r="AQ57" s="182" t="e">
        <f>$I$57</f>
        <v>#DIV/0!</v>
      </c>
      <c r="AR57" s="182" t="e">
        <f>$J$57</f>
        <v>#DIV/0!</v>
      </c>
      <c r="AS57" s="182" t="e">
        <f>$K$57</f>
        <v>#DIV/0!</v>
      </c>
      <c r="AT57" s="182" t="e">
        <f>$L$57</f>
        <v>#DIV/0!</v>
      </c>
      <c r="AU57" s="182" t="e">
        <f>$M$57</f>
        <v>#DIV/0!</v>
      </c>
      <c r="AV57" s="182" t="e">
        <f>$N$57</f>
        <v>#DIV/0!</v>
      </c>
      <c r="AW57" s="182" t="e">
        <f>$O$57</f>
        <v>#DIV/0!</v>
      </c>
      <c r="AX57" s="182" t="e">
        <f>$P$57</f>
        <v>#DIV/0!</v>
      </c>
      <c r="AY57" s="182" t="e">
        <f>$Q$57</f>
        <v>#DIV/0!</v>
      </c>
      <c r="AZ57" s="182" t="e">
        <f>$R$57</f>
        <v>#DIV/0!</v>
      </c>
      <c r="BA57" s="182" t="e">
        <f>$S$57</f>
        <v>#DIV/0!</v>
      </c>
      <c r="BB57" s="182" t="e">
        <f>$T$57</f>
        <v>#DIV/0!</v>
      </c>
      <c r="BC57" s="182" t="e">
        <f>$U$57</f>
        <v>#DIV/0!</v>
      </c>
      <c r="BD57" s="182" t="e">
        <f>$V$57</f>
        <v>#DIV/0!</v>
      </c>
      <c r="BE57" s="182" t="e">
        <f>$W$57</f>
        <v>#DIV/0!</v>
      </c>
      <c r="BF57" s="182" t="e">
        <f>$X$57</f>
        <v>#DIV/0!</v>
      </c>
      <c r="BG57" s="182" t="e">
        <f>$Y$57</f>
        <v>#DIV/0!</v>
      </c>
      <c r="BH57" s="182" t="e">
        <f>$Z$57</f>
        <v>#DIV/0!</v>
      </c>
      <c r="BI57" s="182" t="e">
        <f>$AA$57</f>
        <v>#DIV/0!</v>
      </c>
      <c r="BJ57" s="182" t="e">
        <f>$AB$57</f>
        <v>#DIV/0!</v>
      </c>
      <c r="BK57" s="182" t="e">
        <f>$AC$57</f>
        <v>#DIV/0!</v>
      </c>
      <c r="BL57" s="182" t="e">
        <f>$AD$57</f>
        <v>#DIV/0!</v>
      </c>
      <c r="BM57" s="182" t="e">
        <f>$AE$57</f>
        <v>#DIV/0!</v>
      </c>
      <c r="BN57" s="182" t="e">
        <f>$AF$57</f>
        <v>#DIV/0!</v>
      </c>
    </row>
    <row r="58" spans="1:66">
      <c r="A58" s="69" t="s">
        <v>181</v>
      </c>
      <c r="B58" s="71" t="s">
        <v>188</v>
      </c>
      <c r="C58" s="100"/>
      <c r="E58" s="100">
        <v>5.4794520547945202</v>
      </c>
      <c r="F58" t="e">
        <f t="shared" si="1"/>
        <v>#DIV/0!</v>
      </c>
      <c r="G58" t="e">
        <f t="shared" si="2"/>
        <v>#DIV/0!</v>
      </c>
      <c r="H58" t="e">
        <f t="shared" si="2"/>
        <v>#DIV/0!</v>
      </c>
      <c r="I58" t="e">
        <f t="shared" si="2"/>
        <v>#DIV/0!</v>
      </c>
      <c r="J58" t="e">
        <f t="shared" si="2"/>
        <v>#DIV/0!</v>
      </c>
      <c r="K58" t="e">
        <f t="shared" si="2"/>
        <v>#DIV/0!</v>
      </c>
      <c r="L58" t="e">
        <f t="shared" si="2"/>
        <v>#DIV/0!</v>
      </c>
      <c r="M58" t="e">
        <f t="shared" si="2"/>
        <v>#DIV/0!</v>
      </c>
      <c r="N58" t="e">
        <f t="shared" si="2"/>
        <v>#DIV/0!</v>
      </c>
      <c r="O58" t="e">
        <f t="shared" si="2"/>
        <v>#DIV/0!</v>
      </c>
      <c r="P58" t="e">
        <f t="shared" si="2"/>
        <v>#DIV/0!</v>
      </c>
      <c r="Q58" t="e">
        <f t="shared" si="2"/>
        <v>#DIV/0!</v>
      </c>
      <c r="R58" t="e">
        <f t="shared" si="2"/>
        <v>#DIV/0!</v>
      </c>
      <c r="S58" t="e">
        <f t="shared" si="2"/>
        <v>#DIV/0!</v>
      </c>
      <c r="T58" t="e">
        <f t="shared" si="2"/>
        <v>#DIV/0!</v>
      </c>
      <c r="U58" t="e">
        <f t="shared" si="2"/>
        <v>#DIV/0!</v>
      </c>
      <c r="V58" t="e">
        <f t="shared" si="2"/>
        <v>#DIV/0!</v>
      </c>
      <c r="W58" t="e">
        <f t="shared" si="2"/>
        <v>#DIV/0!</v>
      </c>
      <c r="X58" t="e">
        <f t="shared" si="2"/>
        <v>#DIV/0!</v>
      </c>
      <c r="Y58" t="e">
        <f t="shared" si="2"/>
        <v>#DIV/0!</v>
      </c>
      <c r="Z58" t="e">
        <f t="shared" si="2"/>
        <v>#DIV/0!</v>
      </c>
      <c r="AA58" t="e">
        <f t="shared" si="2"/>
        <v>#DIV/0!</v>
      </c>
      <c r="AB58" t="e">
        <f t="shared" si="2"/>
        <v>#DIV/0!</v>
      </c>
      <c r="AC58" t="e">
        <f t="shared" si="2"/>
        <v>#DIV/0!</v>
      </c>
      <c r="AD58" t="e">
        <f t="shared" si="2"/>
        <v>#DIV/0!</v>
      </c>
      <c r="AE58" t="e">
        <f t="shared" si="2"/>
        <v>#DIV/0!</v>
      </c>
      <c r="AF58" t="e">
        <f t="shared" si="2"/>
        <v>#DIV/0!</v>
      </c>
      <c r="AG58" s="82"/>
      <c r="AH58" s="244" t="s">
        <v>441</v>
      </c>
      <c r="AI58" s="244" t="s">
        <v>458</v>
      </c>
      <c r="AJ58" s="82"/>
      <c r="AK58" s="182">
        <f>$C$58</f>
        <v>0</v>
      </c>
      <c r="AL58" s="182">
        <f>$D$58</f>
        <v>0</v>
      </c>
      <c r="AM58" s="182">
        <f>$E$58</f>
        <v>5.4794520547945202</v>
      </c>
      <c r="AN58" s="182" t="e">
        <f>$F$58</f>
        <v>#DIV/0!</v>
      </c>
      <c r="AO58" s="182" t="e">
        <f>$G$58</f>
        <v>#DIV/0!</v>
      </c>
      <c r="AP58" s="182" t="e">
        <f>$H$58</f>
        <v>#DIV/0!</v>
      </c>
      <c r="AQ58" s="182" t="e">
        <f>$I$58</f>
        <v>#DIV/0!</v>
      </c>
      <c r="AR58" s="182" t="e">
        <f>$J$58</f>
        <v>#DIV/0!</v>
      </c>
      <c r="AS58" s="182" t="e">
        <f>$K$58</f>
        <v>#DIV/0!</v>
      </c>
      <c r="AT58" s="182" t="e">
        <f>$L$58</f>
        <v>#DIV/0!</v>
      </c>
      <c r="AU58" s="182" t="e">
        <f>$M$58</f>
        <v>#DIV/0!</v>
      </c>
      <c r="AV58" s="182" t="e">
        <f>$N$58</f>
        <v>#DIV/0!</v>
      </c>
      <c r="AW58" s="182" t="e">
        <f>$O$58</f>
        <v>#DIV/0!</v>
      </c>
      <c r="AX58" s="182" t="e">
        <f>$P$58</f>
        <v>#DIV/0!</v>
      </c>
      <c r="AY58" s="182" t="e">
        <f>$Q$58</f>
        <v>#DIV/0!</v>
      </c>
      <c r="AZ58" s="182" t="e">
        <f>$R$58</f>
        <v>#DIV/0!</v>
      </c>
      <c r="BA58" s="182" t="e">
        <f>$S$58</f>
        <v>#DIV/0!</v>
      </c>
      <c r="BB58" s="182" t="e">
        <f>$T$58</f>
        <v>#DIV/0!</v>
      </c>
      <c r="BC58" s="182" t="e">
        <f>$U$58</f>
        <v>#DIV/0!</v>
      </c>
      <c r="BD58" s="182" t="e">
        <f>$V$58</f>
        <v>#DIV/0!</v>
      </c>
      <c r="BE58" s="182" t="e">
        <f>$W$58</f>
        <v>#DIV/0!</v>
      </c>
      <c r="BF58" s="182" t="e">
        <f>$X$58</f>
        <v>#DIV/0!</v>
      </c>
      <c r="BG58" s="182" t="e">
        <f>$Y$58</f>
        <v>#DIV/0!</v>
      </c>
      <c r="BH58" s="182" t="e">
        <f>$Z$58</f>
        <v>#DIV/0!</v>
      </c>
      <c r="BI58" s="182" t="e">
        <f>$AA$58</f>
        <v>#DIV/0!</v>
      </c>
      <c r="BJ58" s="182" t="e">
        <f>$AB$58</f>
        <v>#DIV/0!</v>
      </c>
      <c r="BK58" s="182" t="e">
        <f>$AC$58</f>
        <v>#DIV/0!</v>
      </c>
      <c r="BL58" s="182" t="e">
        <f>$AD$58</f>
        <v>#DIV/0!</v>
      </c>
      <c r="BM58" s="182" t="e">
        <f>$AE$58</f>
        <v>#DIV/0!</v>
      </c>
      <c r="BN58" s="182" t="e">
        <f>$AF$58</f>
        <v>#DIV/0!</v>
      </c>
    </row>
    <row r="59" spans="1:66">
      <c r="A59" s="69" t="s">
        <v>168</v>
      </c>
      <c r="B59" s="71" t="s">
        <v>178</v>
      </c>
      <c r="C59" s="100"/>
      <c r="E59" s="100">
        <v>12</v>
      </c>
      <c r="F59" t="e">
        <f t="shared" si="1"/>
        <v>#DIV/0!</v>
      </c>
      <c r="G59" t="e">
        <f t="shared" si="2"/>
        <v>#DIV/0!</v>
      </c>
      <c r="H59" t="e">
        <f t="shared" si="2"/>
        <v>#DIV/0!</v>
      </c>
      <c r="I59" t="e">
        <f t="shared" si="2"/>
        <v>#DIV/0!</v>
      </c>
      <c r="J59" t="e">
        <f t="shared" si="2"/>
        <v>#DIV/0!</v>
      </c>
      <c r="K59" t="e">
        <f t="shared" si="2"/>
        <v>#DIV/0!</v>
      </c>
      <c r="L59" t="e">
        <f t="shared" si="2"/>
        <v>#DIV/0!</v>
      </c>
      <c r="M59" t="e">
        <f t="shared" si="2"/>
        <v>#DIV/0!</v>
      </c>
      <c r="N59" t="e">
        <f t="shared" si="2"/>
        <v>#DIV/0!</v>
      </c>
      <c r="O59" t="e">
        <f t="shared" si="2"/>
        <v>#DIV/0!</v>
      </c>
      <c r="P59" t="e">
        <f t="shared" si="2"/>
        <v>#DIV/0!</v>
      </c>
      <c r="Q59" t="e">
        <f t="shared" si="2"/>
        <v>#DIV/0!</v>
      </c>
      <c r="R59" t="e">
        <f t="shared" si="2"/>
        <v>#DIV/0!</v>
      </c>
      <c r="S59" t="e">
        <f t="shared" si="2"/>
        <v>#DIV/0!</v>
      </c>
      <c r="T59" t="e">
        <f t="shared" si="2"/>
        <v>#DIV/0!</v>
      </c>
      <c r="U59" t="e">
        <f t="shared" si="2"/>
        <v>#DIV/0!</v>
      </c>
      <c r="V59" t="e">
        <f t="shared" si="2"/>
        <v>#DIV/0!</v>
      </c>
      <c r="W59" t="e">
        <f t="shared" si="2"/>
        <v>#DIV/0!</v>
      </c>
      <c r="X59" t="e">
        <f t="shared" si="2"/>
        <v>#DIV/0!</v>
      </c>
      <c r="Y59" t="e">
        <f t="shared" si="2"/>
        <v>#DIV/0!</v>
      </c>
      <c r="Z59" t="e">
        <f t="shared" si="2"/>
        <v>#DIV/0!</v>
      </c>
      <c r="AA59" t="e">
        <f t="shared" si="2"/>
        <v>#DIV/0!</v>
      </c>
      <c r="AB59" t="e">
        <f t="shared" si="2"/>
        <v>#DIV/0!</v>
      </c>
      <c r="AC59" t="e">
        <f t="shared" si="2"/>
        <v>#DIV/0!</v>
      </c>
      <c r="AD59" t="e">
        <f t="shared" si="2"/>
        <v>#DIV/0!</v>
      </c>
      <c r="AE59" t="e">
        <f t="shared" si="2"/>
        <v>#DIV/0!</v>
      </c>
      <c r="AF59" t="e">
        <f t="shared" si="2"/>
        <v>#DIV/0!</v>
      </c>
      <c r="AG59" s="82"/>
      <c r="AH59" s="244" t="s">
        <v>442</v>
      </c>
      <c r="AI59" s="244" t="s">
        <v>459</v>
      </c>
      <c r="AJ59" s="82"/>
      <c r="AK59" s="182">
        <f>$C$59</f>
        <v>0</v>
      </c>
      <c r="AL59" s="182">
        <f>$D$59</f>
        <v>0</v>
      </c>
      <c r="AM59" s="182">
        <f>$E$59</f>
        <v>12</v>
      </c>
      <c r="AN59" s="182" t="e">
        <f>$F$59</f>
        <v>#DIV/0!</v>
      </c>
      <c r="AO59" s="182" t="e">
        <f>$G$59</f>
        <v>#DIV/0!</v>
      </c>
      <c r="AP59" s="182" t="e">
        <f>$H$59</f>
        <v>#DIV/0!</v>
      </c>
      <c r="AQ59" s="182" t="e">
        <f>$I$59</f>
        <v>#DIV/0!</v>
      </c>
      <c r="AR59" s="182" t="e">
        <f>$J$59</f>
        <v>#DIV/0!</v>
      </c>
      <c r="AS59" s="182" t="e">
        <f>$K$59</f>
        <v>#DIV/0!</v>
      </c>
      <c r="AT59" s="182" t="e">
        <f>$L$59</f>
        <v>#DIV/0!</v>
      </c>
      <c r="AU59" s="182" t="e">
        <f>$M$59</f>
        <v>#DIV/0!</v>
      </c>
      <c r="AV59" s="182" t="e">
        <f>$N$59</f>
        <v>#DIV/0!</v>
      </c>
      <c r="AW59" s="182" t="e">
        <f>$O$59</f>
        <v>#DIV/0!</v>
      </c>
      <c r="AX59" s="182" t="e">
        <f>$P$59</f>
        <v>#DIV/0!</v>
      </c>
      <c r="AY59" s="182" t="e">
        <f>$Q$59</f>
        <v>#DIV/0!</v>
      </c>
      <c r="AZ59" s="182" t="e">
        <f>$R$59</f>
        <v>#DIV/0!</v>
      </c>
      <c r="BA59" s="182" t="e">
        <f>$S$59</f>
        <v>#DIV/0!</v>
      </c>
      <c r="BB59" s="182" t="e">
        <f>$T$59</f>
        <v>#DIV/0!</v>
      </c>
      <c r="BC59" s="182" t="e">
        <f>$U$59</f>
        <v>#DIV/0!</v>
      </c>
      <c r="BD59" s="182" t="e">
        <f>$V$59</f>
        <v>#DIV/0!</v>
      </c>
      <c r="BE59" s="182" t="e">
        <f>$W$59</f>
        <v>#DIV/0!</v>
      </c>
      <c r="BF59" s="182" t="e">
        <f>$X$59</f>
        <v>#DIV/0!</v>
      </c>
      <c r="BG59" s="182" t="e">
        <f>$Y$59</f>
        <v>#DIV/0!</v>
      </c>
      <c r="BH59" s="182" t="e">
        <f>$Z$59</f>
        <v>#DIV/0!</v>
      </c>
      <c r="BI59" s="182" t="e">
        <f>$AA$59</f>
        <v>#DIV/0!</v>
      </c>
      <c r="BJ59" s="182" t="e">
        <f>$AB$59</f>
        <v>#DIV/0!</v>
      </c>
      <c r="BK59" s="182" t="e">
        <f>$AC$59</f>
        <v>#DIV/0!</v>
      </c>
      <c r="BL59" s="182" t="e">
        <f>$AD$59</f>
        <v>#DIV/0!</v>
      </c>
      <c r="BM59" s="182" t="e">
        <f>$AE$59</f>
        <v>#DIV/0!</v>
      </c>
      <c r="BN59" s="182" t="e">
        <f>$AF$59</f>
        <v>#DIV/0!</v>
      </c>
    </row>
    <row r="60" spans="1:66">
      <c r="A60" s="69" t="s">
        <v>169</v>
      </c>
      <c r="B60" s="71" t="s">
        <v>178</v>
      </c>
      <c r="C60" s="100"/>
      <c r="E60" s="100">
        <v>26.923076923076923</v>
      </c>
      <c r="F60" t="e">
        <f t="shared" si="1"/>
        <v>#DIV/0!</v>
      </c>
      <c r="G60" t="e">
        <f t="shared" si="2"/>
        <v>#DIV/0!</v>
      </c>
      <c r="H60" t="e">
        <f t="shared" si="2"/>
        <v>#DIV/0!</v>
      </c>
      <c r="I60" t="e">
        <f t="shared" si="2"/>
        <v>#DIV/0!</v>
      </c>
      <c r="J60" t="e">
        <f t="shared" si="2"/>
        <v>#DIV/0!</v>
      </c>
      <c r="K60" t="e">
        <f t="shared" si="2"/>
        <v>#DIV/0!</v>
      </c>
      <c r="L60" t="e">
        <f t="shared" si="2"/>
        <v>#DIV/0!</v>
      </c>
      <c r="M60" t="e">
        <f t="shared" si="2"/>
        <v>#DIV/0!</v>
      </c>
      <c r="N60" t="e">
        <f t="shared" si="2"/>
        <v>#DIV/0!</v>
      </c>
      <c r="O60" t="e">
        <f t="shared" si="2"/>
        <v>#DIV/0!</v>
      </c>
      <c r="P60" t="e">
        <f t="shared" si="2"/>
        <v>#DIV/0!</v>
      </c>
      <c r="Q60" t="e">
        <f t="shared" si="2"/>
        <v>#DIV/0!</v>
      </c>
      <c r="R60" t="e">
        <f t="shared" si="2"/>
        <v>#DIV/0!</v>
      </c>
      <c r="S60" t="e">
        <f t="shared" si="2"/>
        <v>#DIV/0!</v>
      </c>
      <c r="T60" t="e">
        <f t="shared" si="2"/>
        <v>#DIV/0!</v>
      </c>
      <c r="U60" t="e">
        <f t="shared" si="2"/>
        <v>#DIV/0!</v>
      </c>
      <c r="V60" t="e">
        <f t="shared" si="2"/>
        <v>#DIV/0!</v>
      </c>
      <c r="W60" t="e">
        <f t="shared" si="2"/>
        <v>#DIV/0!</v>
      </c>
      <c r="X60" t="e">
        <f t="shared" si="2"/>
        <v>#DIV/0!</v>
      </c>
      <c r="Y60" t="e">
        <f t="shared" si="2"/>
        <v>#DIV/0!</v>
      </c>
      <c r="Z60" t="e">
        <f t="shared" si="2"/>
        <v>#DIV/0!</v>
      </c>
      <c r="AA60" t="e">
        <f t="shared" si="2"/>
        <v>#DIV/0!</v>
      </c>
      <c r="AB60" t="e">
        <f t="shared" si="2"/>
        <v>#DIV/0!</v>
      </c>
      <c r="AC60" t="e">
        <f t="shared" si="2"/>
        <v>#DIV/0!</v>
      </c>
      <c r="AD60" t="e">
        <f t="shared" si="2"/>
        <v>#DIV/0!</v>
      </c>
      <c r="AE60" t="e">
        <f t="shared" si="2"/>
        <v>#DIV/0!</v>
      </c>
      <c r="AF60" t="e">
        <f t="shared" si="2"/>
        <v>#DIV/0!</v>
      </c>
      <c r="AG60" s="82"/>
      <c r="AH60" s="244" t="s">
        <v>443</v>
      </c>
      <c r="AI60" s="244" t="s">
        <v>460</v>
      </c>
      <c r="AJ60" s="96"/>
      <c r="AK60" s="182">
        <f>$C$60</f>
        <v>0</v>
      </c>
      <c r="AL60" s="182">
        <f>$D$60</f>
        <v>0</v>
      </c>
      <c r="AM60" s="182">
        <f>$E$60</f>
        <v>26.923076923076923</v>
      </c>
      <c r="AN60" s="182" t="e">
        <f>$F$60</f>
        <v>#DIV/0!</v>
      </c>
      <c r="AO60" s="182" t="e">
        <f>$G$60</f>
        <v>#DIV/0!</v>
      </c>
      <c r="AP60" s="182" t="e">
        <f>$H$60</f>
        <v>#DIV/0!</v>
      </c>
      <c r="AQ60" s="182" t="e">
        <f>$I$60</f>
        <v>#DIV/0!</v>
      </c>
      <c r="AR60" s="182" t="e">
        <f>$J$60</f>
        <v>#DIV/0!</v>
      </c>
      <c r="AS60" s="182" t="e">
        <f>$K$60</f>
        <v>#DIV/0!</v>
      </c>
      <c r="AT60" s="182" t="e">
        <f>$L$60</f>
        <v>#DIV/0!</v>
      </c>
      <c r="AU60" s="182" t="e">
        <f>$M$60</f>
        <v>#DIV/0!</v>
      </c>
      <c r="AV60" s="182" t="e">
        <f>$N$60</f>
        <v>#DIV/0!</v>
      </c>
      <c r="AW60" s="182" t="e">
        <f>$O$60</f>
        <v>#DIV/0!</v>
      </c>
      <c r="AX60" s="182" t="e">
        <f>$P$60</f>
        <v>#DIV/0!</v>
      </c>
      <c r="AY60" s="182" t="e">
        <f>$Q$60</f>
        <v>#DIV/0!</v>
      </c>
      <c r="AZ60" s="182" t="e">
        <f>$R$60</f>
        <v>#DIV/0!</v>
      </c>
      <c r="BA60" s="182" t="e">
        <f>$S$60</f>
        <v>#DIV/0!</v>
      </c>
      <c r="BB60" s="182" t="e">
        <f>$T$60</f>
        <v>#DIV/0!</v>
      </c>
      <c r="BC60" s="182" t="e">
        <f>$U$60</f>
        <v>#DIV/0!</v>
      </c>
      <c r="BD60" s="182" t="e">
        <f>$V$60</f>
        <v>#DIV/0!</v>
      </c>
      <c r="BE60" s="182" t="e">
        <f>$W$60</f>
        <v>#DIV/0!</v>
      </c>
      <c r="BF60" s="182" t="e">
        <f>$X$60</f>
        <v>#DIV/0!</v>
      </c>
      <c r="BG60" s="182" t="e">
        <f>$Y$60</f>
        <v>#DIV/0!</v>
      </c>
      <c r="BH60" s="182" t="e">
        <f>$Z$60</f>
        <v>#DIV/0!</v>
      </c>
      <c r="BI60" s="182" t="e">
        <f>$AA$60</f>
        <v>#DIV/0!</v>
      </c>
      <c r="BJ60" s="182" t="e">
        <f>$AB$60</f>
        <v>#DIV/0!</v>
      </c>
      <c r="BK60" s="182" t="e">
        <f>$AC$60</f>
        <v>#DIV/0!</v>
      </c>
      <c r="BL60" s="182" t="e">
        <f>$AD$60</f>
        <v>#DIV/0!</v>
      </c>
      <c r="BM60" s="182" t="e">
        <f>$AE$60</f>
        <v>#DIV/0!</v>
      </c>
      <c r="BN60" s="182" t="e">
        <f>$AF$60</f>
        <v>#DIV/0!</v>
      </c>
    </row>
    <row r="61" spans="1:66">
      <c r="A61" s="69" t="s">
        <v>160</v>
      </c>
      <c r="B61" s="71" t="s">
        <v>162</v>
      </c>
      <c r="C61" s="100">
        <v>6.5359477124183014</v>
      </c>
      <c r="D61" s="100">
        <v>5.2631578947368416</v>
      </c>
      <c r="E61" s="100">
        <v>5.8419243986254292</v>
      </c>
      <c r="F61" t="e">
        <f t="shared" si="1"/>
        <v>#DIV/0!</v>
      </c>
      <c r="G61" t="e">
        <f t="shared" si="2"/>
        <v>#DIV/0!</v>
      </c>
      <c r="H61" t="e">
        <f t="shared" si="2"/>
        <v>#DIV/0!</v>
      </c>
      <c r="I61" t="e">
        <f t="shared" si="2"/>
        <v>#DIV/0!</v>
      </c>
      <c r="J61" t="e">
        <f t="shared" si="2"/>
        <v>#DIV/0!</v>
      </c>
      <c r="K61" t="e">
        <f t="shared" si="2"/>
        <v>#DIV/0!</v>
      </c>
      <c r="L61" t="e">
        <f t="shared" si="2"/>
        <v>#DIV/0!</v>
      </c>
      <c r="M61" t="e">
        <f t="shared" si="2"/>
        <v>#DIV/0!</v>
      </c>
      <c r="N61" t="e">
        <f t="shared" si="2"/>
        <v>#DIV/0!</v>
      </c>
      <c r="O61" t="e">
        <f t="shared" si="2"/>
        <v>#DIV/0!</v>
      </c>
      <c r="P61" t="e">
        <f t="shared" si="2"/>
        <v>#DIV/0!</v>
      </c>
      <c r="Q61" t="e">
        <f t="shared" si="2"/>
        <v>#DIV/0!</v>
      </c>
      <c r="R61" t="e">
        <f t="shared" si="2"/>
        <v>#DIV/0!</v>
      </c>
      <c r="S61" t="e">
        <f t="shared" si="2"/>
        <v>#DIV/0!</v>
      </c>
      <c r="T61" t="e">
        <f t="shared" si="2"/>
        <v>#DIV/0!</v>
      </c>
      <c r="U61" t="e">
        <f t="shared" si="2"/>
        <v>#DIV/0!</v>
      </c>
      <c r="V61" t="e">
        <f t="shared" si="2"/>
        <v>#DIV/0!</v>
      </c>
      <c r="W61" t="e">
        <f t="shared" si="2"/>
        <v>#DIV/0!</v>
      </c>
      <c r="X61" t="e">
        <f t="shared" si="2"/>
        <v>#DIV/0!</v>
      </c>
      <c r="Y61" t="e">
        <f t="shared" si="2"/>
        <v>#DIV/0!</v>
      </c>
      <c r="Z61" t="e">
        <f t="shared" si="2"/>
        <v>#DIV/0!</v>
      </c>
      <c r="AA61" t="e">
        <f t="shared" si="2"/>
        <v>#DIV/0!</v>
      </c>
      <c r="AB61" t="e">
        <f t="shared" si="2"/>
        <v>#DIV/0!</v>
      </c>
      <c r="AC61" t="e">
        <f t="shared" si="2"/>
        <v>#DIV/0!</v>
      </c>
      <c r="AD61" t="e">
        <f t="shared" si="2"/>
        <v>#DIV/0!</v>
      </c>
      <c r="AE61" t="e">
        <f t="shared" si="2"/>
        <v>#DIV/0!</v>
      </c>
      <c r="AF61" t="e">
        <f t="shared" si="2"/>
        <v>#DIV/0!</v>
      </c>
      <c r="AG61" s="82"/>
      <c r="AH61" s="244" t="s">
        <v>444</v>
      </c>
      <c r="AI61" s="245" t="s">
        <v>461</v>
      </c>
      <c r="AJ61" s="96"/>
      <c r="AK61" s="182">
        <f>$C$61</f>
        <v>6.5359477124183014</v>
      </c>
      <c r="AL61" s="182">
        <f>$D$61</f>
        <v>5.2631578947368416</v>
      </c>
      <c r="AM61" s="182">
        <f>$E$61</f>
        <v>5.8419243986254292</v>
      </c>
      <c r="AN61" s="182" t="e">
        <f>$F$61</f>
        <v>#DIV/0!</v>
      </c>
      <c r="AO61" s="182" t="e">
        <f>$G$61</f>
        <v>#DIV/0!</v>
      </c>
      <c r="AP61" s="182" t="e">
        <f>$H$61</f>
        <v>#DIV/0!</v>
      </c>
      <c r="AQ61" s="182" t="e">
        <f>$I$61</f>
        <v>#DIV/0!</v>
      </c>
      <c r="AR61" s="182" t="e">
        <f>$J$61</f>
        <v>#DIV/0!</v>
      </c>
      <c r="AS61" s="182" t="e">
        <f>$K$61</f>
        <v>#DIV/0!</v>
      </c>
      <c r="AT61" s="182" t="e">
        <f>$L$61</f>
        <v>#DIV/0!</v>
      </c>
      <c r="AU61" s="182" t="e">
        <f>$M$61</f>
        <v>#DIV/0!</v>
      </c>
      <c r="AV61" s="182" t="e">
        <f>$N$61</f>
        <v>#DIV/0!</v>
      </c>
      <c r="AW61" s="182" t="e">
        <f>$O$61</f>
        <v>#DIV/0!</v>
      </c>
      <c r="AX61" s="182" t="e">
        <f>$P$61</f>
        <v>#DIV/0!</v>
      </c>
      <c r="AY61" s="182" t="e">
        <f>$Q$61</f>
        <v>#DIV/0!</v>
      </c>
      <c r="AZ61" s="182" t="e">
        <f>$R$61</f>
        <v>#DIV/0!</v>
      </c>
      <c r="BA61" s="182" t="e">
        <f>$S$61</f>
        <v>#DIV/0!</v>
      </c>
      <c r="BB61" s="182" t="e">
        <f>$T$61</f>
        <v>#DIV/0!</v>
      </c>
      <c r="BC61" s="182" t="e">
        <f>$U$61</f>
        <v>#DIV/0!</v>
      </c>
      <c r="BD61" s="182" t="e">
        <f>$V$61</f>
        <v>#DIV/0!</v>
      </c>
      <c r="BE61" s="182" t="e">
        <f>$W$61</f>
        <v>#DIV/0!</v>
      </c>
      <c r="BF61" s="182" t="e">
        <f>$X$61</f>
        <v>#DIV/0!</v>
      </c>
      <c r="BG61" s="182" t="e">
        <f>$Y$61</f>
        <v>#DIV/0!</v>
      </c>
      <c r="BH61" s="182" t="e">
        <f>$Z$61</f>
        <v>#DIV/0!</v>
      </c>
      <c r="BI61" s="182" t="e">
        <f>$AA$61</f>
        <v>#DIV/0!</v>
      </c>
      <c r="BJ61" s="182" t="e">
        <f>$AB$61</f>
        <v>#DIV/0!</v>
      </c>
      <c r="BK61" s="182" t="e">
        <f>$AC$61</f>
        <v>#DIV/0!</v>
      </c>
      <c r="BL61" s="182" t="e">
        <f>$AD$61</f>
        <v>#DIV/0!</v>
      </c>
      <c r="BM61" s="182" t="e">
        <f>$AE$61</f>
        <v>#DIV/0!</v>
      </c>
      <c r="BN61" s="182" t="e">
        <f>$AF$61</f>
        <v>#DIV/0!</v>
      </c>
    </row>
    <row r="62" spans="1:66">
      <c r="A62" s="69" t="s">
        <v>179</v>
      </c>
      <c r="B62" s="71" t="s">
        <v>188</v>
      </c>
      <c r="C62" s="100">
        <v>11.046511627906977</v>
      </c>
      <c r="D62" s="100">
        <v>14.374999999999998</v>
      </c>
      <c r="E62" s="100">
        <v>12.609970674486803</v>
      </c>
      <c r="F62" t="e">
        <f t="shared" si="1"/>
        <v>#DIV/0!</v>
      </c>
      <c r="G62" t="e">
        <f t="shared" si="2"/>
        <v>#DIV/0!</v>
      </c>
      <c r="H62" t="e">
        <f t="shared" si="2"/>
        <v>#DIV/0!</v>
      </c>
      <c r="I62" t="e">
        <f t="shared" si="2"/>
        <v>#DIV/0!</v>
      </c>
      <c r="J62" t="e">
        <f t="shared" si="2"/>
        <v>#DIV/0!</v>
      </c>
      <c r="K62" t="e">
        <f t="shared" si="2"/>
        <v>#DIV/0!</v>
      </c>
      <c r="L62" t="e">
        <f t="shared" si="2"/>
        <v>#DIV/0!</v>
      </c>
      <c r="M62" t="e">
        <f t="shared" si="2"/>
        <v>#DIV/0!</v>
      </c>
      <c r="N62" t="e">
        <f t="shared" si="2"/>
        <v>#DIV/0!</v>
      </c>
      <c r="O62" t="e">
        <f t="shared" si="2"/>
        <v>#DIV/0!</v>
      </c>
      <c r="P62" t="e">
        <f t="shared" si="2"/>
        <v>#DIV/0!</v>
      </c>
      <c r="Q62" t="e">
        <f t="shared" si="2"/>
        <v>#DIV/0!</v>
      </c>
      <c r="R62" t="e">
        <f t="shared" si="2"/>
        <v>#DIV/0!</v>
      </c>
      <c r="S62" t="e">
        <f t="shared" si="2"/>
        <v>#DIV/0!</v>
      </c>
      <c r="T62" t="e">
        <f t="shared" si="2"/>
        <v>#DIV/0!</v>
      </c>
      <c r="U62" t="e">
        <f t="shared" si="2"/>
        <v>#DIV/0!</v>
      </c>
      <c r="V62" t="e">
        <f t="shared" si="2"/>
        <v>#DIV/0!</v>
      </c>
      <c r="W62" t="e">
        <f t="shared" si="2"/>
        <v>#DIV/0!</v>
      </c>
      <c r="X62" t="e">
        <f t="shared" si="2"/>
        <v>#DIV/0!</v>
      </c>
      <c r="Y62" t="e">
        <f t="shared" si="2"/>
        <v>#DIV/0!</v>
      </c>
      <c r="Z62" t="e">
        <f t="shared" si="2"/>
        <v>#DIV/0!</v>
      </c>
      <c r="AA62" t="e">
        <f t="shared" si="2"/>
        <v>#DIV/0!</v>
      </c>
      <c r="AB62" t="e">
        <f t="shared" si="2"/>
        <v>#DIV/0!</v>
      </c>
      <c r="AC62" t="e">
        <f t="shared" si="2"/>
        <v>#DIV/0!</v>
      </c>
      <c r="AD62" t="e">
        <f t="shared" si="2"/>
        <v>#DIV/0!</v>
      </c>
      <c r="AE62" t="e">
        <f t="shared" si="2"/>
        <v>#DIV/0!</v>
      </c>
      <c r="AF62" t="e">
        <f t="shared" si="2"/>
        <v>#DIV/0!</v>
      </c>
      <c r="AG62" s="82"/>
      <c r="AH62" s="244" t="s">
        <v>445</v>
      </c>
      <c r="AI62" s="244" t="s">
        <v>462</v>
      </c>
      <c r="AJ62" s="96"/>
      <c r="AK62" s="182">
        <f>$C$62</f>
        <v>11.046511627906977</v>
      </c>
      <c r="AL62" s="182">
        <f>$D$62</f>
        <v>14.374999999999998</v>
      </c>
      <c r="AM62" s="182">
        <f>$E$62</f>
        <v>12.609970674486803</v>
      </c>
      <c r="AN62" s="182" t="e">
        <f>$F$62</f>
        <v>#DIV/0!</v>
      </c>
      <c r="AO62" s="182" t="e">
        <f>$G$62</f>
        <v>#DIV/0!</v>
      </c>
      <c r="AP62" s="182" t="e">
        <f>$H$62</f>
        <v>#DIV/0!</v>
      </c>
      <c r="AQ62" s="182" t="e">
        <f>$I$62</f>
        <v>#DIV/0!</v>
      </c>
      <c r="AR62" s="182" t="e">
        <f>$J$62</f>
        <v>#DIV/0!</v>
      </c>
      <c r="AS62" s="182" t="e">
        <f>$K$62</f>
        <v>#DIV/0!</v>
      </c>
      <c r="AT62" s="182" t="e">
        <f>$L$62</f>
        <v>#DIV/0!</v>
      </c>
      <c r="AU62" s="182" t="e">
        <f>$M$62</f>
        <v>#DIV/0!</v>
      </c>
      <c r="AV62" s="182" t="e">
        <f>$N$62</f>
        <v>#DIV/0!</v>
      </c>
      <c r="AW62" s="182" t="e">
        <f>$O$62</f>
        <v>#DIV/0!</v>
      </c>
      <c r="AX62" s="182" t="e">
        <f>$P$62</f>
        <v>#DIV/0!</v>
      </c>
      <c r="AY62" s="182" t="e">
        <f>$Q$62</f>
        <v>#DIV/0!</v>
      </c>
      <c r="AZ62" s="182" t="e">
        <f>$R$62</f>
        <v>#DIV/0!</v>
      </c>
      <c r="BA62" s="182" t="e">
        <f>$S$62</f>
        <v>#DIV/0!</v>
      </c>
      <c r="BB62" s="182" t="e">
        <f>$T$62</f>
        <v>#DIV/0!</v>
      </c>
      <c r="BC62" s="182" t="e">
        <f>$U$62</f>
        <v>#DIV/0!</v>
      </c>
      <c r="BD62" s="182" t="e">
        <f>$V$62</f>
        <v>#DIV/0!</v>
      </c>
      <c r="BE62" s="182" t="e">
        <f>$W$62</f>
        <v>#DIV/0!</v>
      </c>
      <c r="BF62" s="182" t="e">
        <f>$X$62</f>
        <v>#DIV/0!</v>
      </c>
      <c r="BG62" s="182" t="e">
        <f>$Y$62</f>
        <v>#DIV/0!</v>
      </c>
      <c r="BH62" s="182" t="e">
        <f>$Z$62</f>
        <v>#DIV/0!</v>
      </c>
      <c r="BI62" s="182" t="e">
        <f>$AA$62</f>
        <v>#DIV/0!</v>
      </c>
      <c r="BJ62" s="182" t="e">
        <f>$AB$62</f>
        <v>#DIV/0!</v>
      </c>
      <c r="BK62" s="182" t="e">
        <f>$AC$62</f>
        <v>#DIV/0!</v>
      </c>
      <c r="BL62" s="182" t="e">
        <f>$AD$62</f>
        <v>#DIV/0!</v>
      </c>
      <c r="BM62" s="182" t="e">
        <f>$AE$62</f>
        <v>#DIV/0!</v>
      </c>
      <c r="BN62" s="182" t="e">
        <f>$AF$62</f>
        <v>#DIV/0!</v>
      </c>
    </row>
    <row r="63" spans="1:66">
      <c r="A63" s="69" t="s">
        <v>170</v>
      </c>
      <c r="B63" s="71" t="s">
        <v>178</v>
      </c>
      <c r="C63" s="100">
        <v>6.1349693251533743</v>
      </c>
      <c r="D63" s="100">
        <v>7.1428571428571423</v>
      </c>
      <c r="E63" s="100">
        <v>7.1661237785016292</v>
      </c>
      <c r="F63" t="e">
        <f t="shared" si="1"/>
        <v>#DIV/0!</v>
      </c>
      <c r="G63" t="e">
        <f t="shared" si="2"/>
        <v>#DIV/0!</v>
      </c>
      <c r="H63" t="e">
        <f t="shared" si="2"/>
        <v>#DIV/0!</v>
      </c>
      <c r="I63" t="e">
        <f t="shared" si="2"/>
        <v>#DIV/0!</v>
      </c>
      <c r="J63" t="e">
        <f t="shared" si="2"/>
        <v>#DIV/0!</v>
      </c>
      <c r="K63" t="e">
        <f t="shared" si="2"/>
        <v>#DIV/0!</v>
      </c>
      <c r="L63" t="e">
        <f t="shared" si="2"/>
        <v>#DIV/0!</v>
      </c>
      <c r="M63" t="e">
        <f t="shared" si="2"/>
        <v>#DIV/0!</v>
      </c>
      <c r="N63" t="e">
        <f t="shared" si="2"/>
        <v>#DIV/0!</v>
      </c>
      <c r="O63" t="e">
        <f t="shared" si="2"/>
        <v>#DIV/0!</v>
      </c>
      <c r="P63" t="e">
        <f t="shared" si="2"/>
        <v>#DIV/0!</v>
      </c>
      <c r="Q63" t="e">
        <f t="shared" si="2"/>
        <v>#DIV/0!</v>
      </c>
      <c r="R63" t="e">
        <f t="shared" si="2"/>
        <v>#DIV/0!</v>
      </c>
      <c r="S63" t="e">
        <f t="shared" si="2"/>
        <v>#DIV/0!</v>
      </c>
      <c r="T63" t="e">
        <f t="shared" si="2"/>
        <v>#DIV/0!</v>
      </c>
      <c r="U63" t="e">
        <f t="shared" si="2"/>
        <v>#DIV/0!</v>
      </c>
      <c r="V63" t="e">
        <f t="shared" si="2"/>
        <v>#DIV/0!</v>
      </c>
      <c r="W63" t="e">
        <f t="shared" si="2"/>
        <v>#DIV/0!</v>
      </c>
      <c r="X63" t="e">
        <f t="shared" si="2"/>
        <v>#DIV/0!</v>
      </c>
      <c r="Y63" t="e">
        <f t="shared" si="2"/>
        <v>#DIV/0!</v>
      </c>
      <c r="Z63" t="e">
        <f t="shared" si="2"/>
        <v>#DIV/0!</v>
      </c>
      <c r="AA63" t="e">
        <f t="shared" si="2"/>
        <v>#DIV/0!</v>
      </c>
      <c r="AB63" t="e">
        <f t="shared" si="2"/>
        <v>#DIV/0!</v>
      </c>
      <c r="AC63" t="e">
        <f t="shared" si="2"/>
        <v>#DIV/0!</v>
      </c>
      <c r="AD63" t="e">
        <f t="shared" si="2"/>
        <v>#DIV/0!</v>
      </c>
      <c r="AE63" t="e">
        <f t="shared" si="2"/>
        <v>#DIV/0!</v>
      </c>
      <c r="AF63" t="e">
        <f t="shared" si="2"/>
        <v>#DIV/0!</v>
      </c>
      <c r="AG63" s="82"/>
      <c r="AH63" s="246" t="s">
        <v>446</v>
      </c>
      <c r="AI63" s="244" t="s">
        <v>463</v>
      </c>
      <c r="AJ63" s="96"/>
      <c r="AK63" s="182">
        <f>$C$63</f>
        <v>6.1349693251533743</v>
      </c>
      <c r="AL63" s="182">
        <f>$D$63</f>
        <v>7.1428571428571423</v>
      </c>
      <c r="AM63" s="182">
        <f>$E$63</f>
        <v>7.1661237785016292</v>
      </c>
      <c r="AN63" s="182" t="e">
        <f>$F$63</f>
        <v>#DIV/0!</v>
      </c>
      <c r="AO63" s="182" t="e">
        <f>$G$63</f>
        <v>#DIV/0!</v>
      </c>
      <c r="AP63" s="182" t="e">
        <f>$H$63</f>
        <v>#DIV/0!</v>
      </c>
      <c r="AQ63" s="182" t="e">
        <f>$I$63</f>
        <v>#DIV/0!</v>
      </c>
      <c r="AR63" s="182" t="e">
        <f>$J$63</f>
        <v>#DIV/0!</v>
      </c>
      <c r="AS63" s="182" t="e">
        <f>$K$63</f>
        <v>#DIV/0!</v>
      </c>
      <c r="AT63" s="182" t="e">
        <f>$L$63</f>
        <v>#DIV/0!</v>
      </c>
      <c r="AU63" s="182" t="e">
        <f>$M$63</f>
        <v>#DIV/0!</v>
      </c>
      <c r="AV63" s="182" t="e">
        <f>$N$63</f>
        <v>#DIV/0!</v>
      </c>
      <c r="AW63" s="182" t="e">
        <f>$O$63</f>
        <v>#DIV/0!</v>
      </c>
      <c r="AX63" s="182" t="e">
        <f>$P$63</f>
        <v>#DIV/0!</v>
      </c>
      <c r="AY63" s="182" t="e">
        <f>$Q$63</f>
        <v>#DIV/0!</v>
      </c>
      <c r="AZ63" s="182" t="e">
        <f>$R$63</f>
        <v>#DIV/0!</v>
      </c>
      <c r="BA63" s="182" t="e">
        <f>$S$63</f>
        <v>#DIV/0!</v>
      </c>
      <c r="BB63" s="182" t="e">
        <f>$T$63</f>
        <v>#DIV/0!</v>
      </c>
      <c r="BC63" s="182" t="e">
        <f>$U$63</f>
        <v>#DIV/0!</v>
      </c>
      <c r="BD63" s="182" t="e">
        <f>$V$63</f>
        <v>#DIV/0!</v>
      </c>
      <c r="BE63" s="182" t="e">
        <f>$W$63</f>
        <v>#DIV/0!</v>
      </c>
      <c r="BF63" s="182" t="e">
        <f>$X$63</f>
        <v>#DIV/0!</v>
      </c>
      <c r="BG63" s="182" t="e">
        <f>$Y$63</f>
        <v>#DIV/0!</v>
      </c>
      <c r="BH63" s="182" t="e">
        <f>$Z$63</f>
        <v>#DIV/0!</v>
      </c>
      <c r="BI63" s="182" t="e">
        <f>$AA$63</f>
        <v>#DIV/0!</v>
      </c>
      <c r="BJ63" s="182" t="e">
        <f>$AB$63</f>
        <v>#DIV/0!</v>
      </c>
      <c r="BK63" s="182" t="e">
        <f>$AC$63</f>
        <v>#DIV/0!</v>
      </c>
      <c r="BL63" s="182" t="e">
        <f>$AD$63</f>
        <v>#DIV/0!</v>
      </c>
      <c r="BM63" s="182" t="e">
        <f>$AE$63</f>
        <v>#DIV/0!</v>
      </c>
      <c r="BN63" s="182" t="e">
        <f>$AF$63</f>
        <v>#DIV/0!</v>
      </c>
    </row>
    <row r="64" spans="1:66">
      <c r="A64" s="69" t="s">
        <v>152</v>
      </c>
      <c r="B64" t="s">
        <v>153</v>
      </c>
      <c r="C64" s="100">
        <v>6.666666666666667</v>
      </c>
      <c r="D64" s="100">
        <v>20</v>
      </c>
      <c r="E64" s="100">
        <v>14.953271028037381</v>
      </c>
      <c r="F64" t="e">
        <f t="shared" si="1"/>
        <v>#DIV/0!</v>
      </c>
      <c r="G64" t="e">
        <f t="shared" si="2"/>
        <v>#DIV/0!</v>
      </c>
      <c r="H64" t="e">
        <f t="shared" si="2"/>
        <v>#DIV/0!</v>
      </c>
      <c r="I64" t="e">
        <f t="shared" si="2"/>
        <v>#DIV/0!</v>
      </c>
      <c r="J64" t="e">
        <f t="shared" si="2"/>
        <v>#DIV/0!</v>
      </c>
      <c r="K64" t="e">
        <f t="shared" si="2"/>
        <v>#DIV/0!</v>
      </c>
      <c r="L64" t="e">
        <f t="shared" si="2"/>
        <v>#DIV/0!</v>
      </c>
      <c r="M64" t="e">
        <f t="shared" si="2"/>
        <v>#DIV/0!</v>
      </c>
      <c r="N64" t="e">
        <f t="shared" si="2"/>
        <v>#DIV/0!</v>
      </c>
      <c r="O64" t="e">
        <f t="shared" si="2"/>
        <v>#DIV/0!</v>
      </c>
      <c r="P64" t="e">
        <f t="shared" si="2"/>
        <v>#DIV/0!</v>
      </c>
      <c r="Q64" t="e">
        <f t="shared" si="2"/>
        <v>#DIV/0!</v>
      </c>
      <c r="R64" t="e">
        <f t="shared" si="2"/>
        <v>#DIV/0!</v>
      </c>
      <c r="S64" t="e">
        <f t="shared" si="2"/>
        <v>#DIV/0!</v>
      </c>
      <c r="T64" t="e">
        <f t="shared" si="2"/>
        <v>#DIV/0!</v>
      </c>
      <c r="U64" t="e">
        <f t="shared" si="2"/>
        <v>#DIV/0!</v>
      </c>
      <c r="V64" t="e">
        <f t="shared" si="2"/>
        <v>#DIV/0!</v>
      </c>
      <c r="W64" t="e">
        <f t="shared" si="2"/>
        <v>#DIV/0!</v>
      </c>
      <c r="X64" t="e">
        <f t="shared" si="2"/>
        <v>#DIV/0!</v>
      </c>
      <c r="Y64" t="e">
        <f t="shared" si="2"/>
        <v>#DIV/0!</v>
      </c>
      <c r="Z64" t="e">
        <f t="shared" si="2"/>
        <v>#DIV/0!</v>
      </c>
      <c r="AA64" t="e">
        <f t="shared" si="2"/>
        <v>#DIV/0!</v>
      </c>
      <c r="AB64" t="e">
        <f t="shared" si="2"/>
        <v>#DIV/0!</v>
      </c>
      <c r="AC64" t="e">
        <f t="shared" si="2"/>
        <v>#DIV/0!</v>
      </c>
      <c r="AD64" t="e">
        <f t="shared" si="2"/>
        <v>#DIV/0!</v>
      </c>
      <c r="AE64" t="e">
        <f t="shared" si="2"/>
        <v>#DIV/0!</v>
      </c>
      <c r="AF64" t="e">
        <f t="shared" si="2"/>
        <v>#DIV/0!</v>
      </c>
      <c r="AG64" s="82"/>
      <c r="AH64" s="247" t="s">
        <v>447</v>
      </c>
      <c r="AI64" s="244" t="s">
        <v>464</v>
      </c>
      <c r="AJ64" s="96"/>
      <c r="AK64" s="182">
        <f>$C$64</f>
        <v>6.666666666666667</v>
      </c>
      <c r="AL64" s="182">
        <f>$D$64</f>
        <v>20</v>
      </c>
      <c r="AM64" s="182">
        <f>$E$64</f>
        <v>14.953271028037381</v>
      </c>
      <c r="AN64" s="182" t="e">
        <f>$F$64</f>
        <v>#DIV/0!</v>
      </c>
      <c r="AO64" s="182" t="e">
        <f>$G$64</f>
        <v>#DIV/0!</v>
      </c>
      <c r="AP64" s="182" t="e">
        <f>$H$64</f>
        <v>#DIV/0!</v>
      </c>
      <c r="AQ64" s="182" t="e">
        <f>$I$64</f>
        <v>#DIV/0!</v>
      </c>
      <c r="AR64" s="182" t="e">
        <f>$J$64</f>
        <v>#DIV/0!</v>
      </c>
      <c r="AS64" s="182" t="e">
        <f>$K$64</f>
        <v>#DIV/0!</v>
      </c>
      <c r="AT64" s="182" t="e">
        <f>$L$64</f>
        <v>#DIV/0!</v>
      </c>
      <c r="AU64" s="182" t="e">
        <f>$M$64</f>
        <v>#DIV/0!</v>
      </c>
      <c r="AV64" s="182" t="e">
        <f>$N$64</f>
        <v>#DIV/0!</v>
      </c>
      <c r="AW64" s="182" t="e">
        <f>$O$64</f>
        <v>#DIV/0!</v>
      </c>
      <c r="AX64" s="182" t="e">
        <f>$P$64</f>
        <v>#DIV/0!</v>
      </c>
      <c r="AY64" s="182" t="e">
        <f>$Q$64</f>
        <v>#DIV/0!</v>
      </c>
      <c r="AZ64" s="182" t="e">
        <f>$R$64</f>
        <v>#DIV/0!</v>
      </c>
      <c r="BA64" s="182" t="e">
        <f>$S$64</f>
        <v>#DIV/0!</v>
      </c>
      <c r="BB64" s="182" t="e">
        <f>$T$64</f>
        <v>#DIV/0!</v>
      </c>
      <c r="BC64" s="182" t="e">
        <f>$U$64</f>
        <v>#DIV/0!</v>
      </c>
      <c r="BD64" s="182" t="e">
        <f>$V$64</f>
        <v>#DIV/0!</v>
      </c>
      <c r="BE64" s="182" t="e">
        <f>$W$64</f>
        <v>#DIV/0!</v>
      </c>
      <c r="BF64" s="182" t="e">
        <f>$X$64</f>
        <v>#DIV/0!</v>
      </c>
      <c r="BG64" s="182" t="e">
        <f>$Y$64</f>
        <v>#DIV/0!</v>
      </c>
      <c r="BH64" s="182" t="e">
        <f>$Z$64</f>
        <v>#DIV/0!</v>
      </c>
      <c r="BI64" s="182" t="e">
        <f>$AA$64</f>
        <v>#DIV/0!</v>
      </c>
      <c r="BJ64" s="182" t="e">
        <f>$AB$64</f>
        <v>#DIV/0!</v>
      </c>
      <c r="BK64" s="182" t="e">
        <f>$AC$64</f>
        <v>#DIV/0!</v>
      </c>
      <c r="BL64" s="182" t="e">
        <f>$AD$64</f>
        <v>#DIV/0!</v>
      </c>
      <c r="BM64" s="182" t="e">
        <f>$AE$64</f>
        <v>#DIV/0!</v>
      </c>
      <c r="BN64" s="182" t="e">
        <f>$AF$64</f>
        <v>#DIV/0!</v>
      </c>
    </row>
    <row r="65" spans="1:66">
      <c r="A65" s="69" t="s">
        <v>146</v>
      </c>
      <c r="B65" t="s">
        <v>153</v>
      </c>
      <c r="C65" s="100"/>
      <c r="E65" s="100">
        <v>17.021276595744681</v>
      </c>
      <c r="F65" t="e">
        <f t="shared" si="1"/>
        <v>#DIV/0!</v>
      </c>
      <c r="G65" t="e">
        <f t="shared" si="2"/>
        <v>#DIV/0!</v>
      </c>
      <c r="H65" t="e">
        <f t="shared" si="2"/>
        <v>#DIV/0!</v>
      </c>
      <c r="I65" t="e">
        <f t="shared" si="2"/>
        <v>#DIV/0!</v>
      </c>
      <c r="J65" t="e">
        <f t="shared" si="2"/>
        <v>#DIV/0!</v>
      </c>
      <c r="K65" t="e">
        <f t="shared" si="2"/>
        <v>#DIV/0!</v>
      </c>
      <c r="L65" t="e">
        <f t="shared" si="2"/>
        <v>#DIV/0!</v>
      </c>
      <c r="M65" t="e">
        <f t="shared" si="2"/>
        <v>#DIV/0!</v>
      </c>
      <c r="N65" t="e">
        <f t="shared" si="2"/>
        <v>#DIV/0!</v>
      </c>
      <c r="O65" t="e">
        <f t="shared" si="2"/>
        <v>#DIV/0!</v>
      </c>
      <c r="P65" t="e">
        <f t="shared" si="2"/>
        <v>#DIV/0!</v>
      </c>
      <c r="Q65" t="e">
        <f t="shared" si="2"/>
        <v>#DIV/0!</v>
      </c>
      <c r="R65" t="e">
        <f t="shared" si="2"/>
        <v>#DIV/0!</v>
      </c>
      <c r="S65" t="e">
        <f t="shared" si="2"/>
        <v>#DIV/0!</v>
      </c>
      <c r="T65" t="e">
        <f t="shared" si="2"/>
        <v>#DIV/0!</v>
      </c>
      <c r="U65" t="e">
        <f t="shared" si="2"/>
        <v>#DIV/0!</v>
      </c>
      <c r="V65" t="e">
        <f t="shared" si="2"/>
        <v>#DIV/0!</v>
      </c>
      <c r="W65" t="e">
        <f t="shared" si="2"/>
        <v>#DIV/0!</v>
      </c>
      <c r="X65" t="e">
        <f t="shared" si="2"/>
        <v>#DIV/0!</v>
      </c>
      <c r="Y65" t="e">
        <f t="shared" si="2"/>
        <v>#DIV/0!</v>
      </c>
      <c r="Z65" t="e">
        <f t="shared" si="2"/>
        <v>#DIV/0!</v>
      </c>
      <c r="AA65" t="e">
        <f t="shared" si="2"/>
        <v>#DIV/0!</v>
      </c>
      <c r="AB65" t="e">
        <f t="shared" si="2"/>
        <v>#DIV/0!</v>
      </c>
      <c r="AC65" t="e">
        <f t="shared" si="2"/>
        <v>#DIV/0!</v>
      </c>
      <c r="AD65" t="e">
        <f t="shared" si="2"/>
        <v>#DIV/0!</v>
      </c>
      <c r="AE65" t="e">
        <f t="shared" si="2"/>
        <v>#DIV/0!</v>
      </c>
      <c r="AF65" t="e">
        <f t="shared" si="2"/>
        <v>#DIV/0!</v>
      </c>
      <c r="AG65" s="82"/>
      <c r="AH65" s="295"/>
      <c r="AI65" s="244" t="s">
        <v>465</v>
      </c>
      <c r="AJ65" s="96"/>
      <c r="AK65" s="182">
        <f>$C$65</f>
        <v>0</v>
      </c>
      <c r="AL65" s="182">
        <f>$D$65</f>
        <v>0</v>
      </c>
      <c r="AM65" s="182">
        <f>$E$65</f>
        <v>17.021276595744681</v>
      </c>
      <c r="AN65" s="182" t="e">
        <f>$F$65</f>
        <v>#DIV/0!</v>
      </c>
      <c r="AO65" s="182" t="e">
        <f>$G$65</f>
        <v>#DIV/0!</v>
      </c>
      <c r="AP65" s="182" t="e">
        <f>$H$65</f>
        <v>#DIV/0!</v>
      </c>
      <c r="AQ65" s="182" t="e">
        <f>$I$65</f>
        <v>#DIV/0!</v>
      </c>
      <c r="AR65" s="182" t="e">
        <f>$J$65</f>
        <v>#DIV/0!</v>
      </c>
      <c r="AS65" s="182" t="e">
        <f>$K$65</f>
        <v>#DIV/0!</v>
      </c>
      <c r="AT65" s="182" t="e">
        <f>$L$65</f>
        <v>#DIV/0!</v>
      </c>
      <c r="AU65" s="182" t="e">
        <f>$M$65</f>
        <v>#DIV/0!</v>
      </c>
      <c r="AV65" s="182" t="e">
        <f>$N$65</f>
        <v>#DIV/0!</v>
      </c>
      <c r="AW65" s="182" t="e">
        <f>$O$65</f>
        <v>#DIV/0!</v>
      </c>
      <c r="AX65" s="182" t="e">
        <f>$P$65</f>
        <v>#DIV/0!</v>
      </c>
      <c r="AY65" s="182" t="e">
        <f>$Q$65</f>
        <v>#DIV/0!</v>
      </c>
      <c r="AZ65" s="182" t="e">
        <f>$R$65</f>
        <v>#DIV/0!</v>
      </c>
      <c r="BA65" s="182" t="e">
        <f>$S$65</f>
        <v>#DIV/0!</v>
      </c>
      <c r="BB65" s="182" t="e">
        <f>$T$65</f>
        <v>#DIV/0!</v>
      </c>
      <c r="BC65" s="182" t="e">
        <f>$U$65</f>
        <v>#DIV/0!</v>
      </c>
      <c r="BD65" s="182" t="e">
        <f>$V$65</f>
        <v>#DIV/0!</v>
      </c>
      <c r="BE65" s="182" t="e">
        <f>$W$65</f>
        <v>#DIV/0!</v>
      </c>
      <c r="BF65" s="182" t="e">
        <f>$X$65</f>
        <v>#DIV/0!</v>
      </c>
      <c r="BG65" s="182" t="e">
        <f>$Y$65</f>
        <v>#DIV/0!</v>
      </c>
      <c r="BH65" s="182" t="e">
        <f>$Z$65</f>
        <v>#DIV/0!</v>
      </c>
      <c r="BI65" s="182" t="e">
        <f>$AA$65</f>
        <v>#DIV/0!</v>
      </c>
      <c r="BJ65" s="182" t="e">
        <f>$AB$65</f>
        <v>#DIV/0!</v>
      </c>
      <c r="BK65" s="182" t="e">
        <f>$AC$65</f>
        <v>#DIV/0!</v>
      </c>
      <c r="BL65" s="182" t="e">
        <f>$AD$65</f>
        <v>#DIV/0!</v>
      </c>
      <c r="BM65" s="182" t="e">
        <f>$AE$65</f>
        <v>#DIV/0!</v>
      </c>
      <c r="BN65" s="182" t="e">
        <f>$AF$65</f>
        <v>#DIV/0!</v>
      </c>
    </row>
    <row r="66" spans="1:66">
      <c r="A66" s="69" t="s">
        <v>171</v>
      </c>
      <c r="B66" s="71" t="s">
        <v>178</v>
      </c>
      <c r="C66" s="100">
        <v>16.161616161616163</v>
      </c>
      <c r="D66" s="100">
        <v>12.790697674418606</v>
      </c>
      <c r="E66" s="100">
        <v>14.438502673796791</v>
      </c>
      <c r="F66" t="e">
        <f t="shared" si="1"/>
        <v>#DIV/0!</v>
      </c>
      <c r="G66" t="e">
        <f t="shared" si="2"/>
        <v>#DIV/0!</v>
      </c>
      <c r="H66" t="e">
        <f t="shared" si="2"/>
        <v>#DIV/0!</v>
      </c>
      <c r="I66" t="e">
        <f t="shared" si="2"/>
        <v>#DIV/0!</v>
      </c>
      <c r="J66" t="e">
        <f t="shared" si="2"/>
        <v>#DIV/0!</v>
      </c>
      <c r="K66" t="e">
        <f t="shared" si="2"/>
        <v>#DIV/0!</v>
      </c>
      <c r="L66" t="e">
        <f t="shared" si="2"/>
        <v>#DIV/0!</v>
      </c>
      <c r="M66" t="e">
        <f t="shared" si="2"/>
        <v>#DIV/0!</v>
      </c>
      <c r="N66" t="e">
        <f t="shared" si="2"/>
        <v>#DIV/0!</v>
      </c>
      <c r="O66" t="e">
        <f t="shared" si="2"/>
        <v>#DIV/0!</v>
      </c>
      <c r="P66" t="e">
        <f t="shared" si="2"/>
        <v>#DIV/0!</v>
      </c>
      <c r="Q66" t="e">
        <f t="shared" si="2"/>
        <v>#DIV/0!</v>
      </c>
      <c r="R66" t="e">
        <f t="shared" si="2"/>
        <v>#DIV/0!</v>
      </c>
      <c r="S66" t="e">
        <f t="shared" si="2"/>
        <v>#DIV/0!</v>
      </c>
      <c r="T66" t="e">
        <f t="shared" si="2"/>
        <v>#DIV/0!</v>
      </c>
      <c r="U66" t="e">
        <f t="shared" si="2"/>
        <v>#DIV/0!</v>
      </c>
      <c r="V66" t="e">
        <f t="shared" si="2"/>
        <v>#DIV/0!</v>
      </c>
      <c r="W66" t="e">
        <f t="shared" si="2"/>
        <v>#DIV/0!</v>
      </c>
      <c r="X66" t="e">
        <f t="shared" si="2"/>
        <v>#DIV/0!</v>
      </c>
      <c r="Y66" t="e">
        <f t="shared" si="2"/>
        <v>#DIV/0!</v>
      </c>
      <c r="Z66" t="e">
        <f t="shared" si="2"/>
        <v>#DIV/0!</v>
      </c>
      <c r="AA66" t="e">
        <f t="shared" si="2"/>
        <v>#DIV/0!</v>
      </c>
      <c r="AB66" t="e">
        <f t="shared" si="2"/>
        <v>#DIV/0!</v>
      </c>
      <c r="AC66" t="e">
        <f t="shared" si="2"/>
        <v>#DIV/0!</v>
      </c>
      <c r="AD66" t="e">
        <f t="shared" si="2"/>
        <v>#DIV/0!</v>
      </c>
      <c r="AE66" t="e">
        <f t="shared" si="2"/>
        <v>#DIV/0!</v>
      </c>
      <c r="AF66" t="e">
        <f t="shared" si="2"/>
        <v>#DIV/0!</v>
      </c>
      <c r="AG66" s="82"/>
      <c r="AH66" s="204"/>
      <c r="AI66" s="248" t="s">
        <v>466</v>
      </c>
      <c r="AJ66" s="96"/>
      <c r="AK66" s="182">
        <f>$C$66</f>
        <v>16.161616161616163</v>
      </c>
      <c r="AL66" s="182">
        <f>$D$66</f>
        <v>12.790697674418606</v>
      </c>
      <c r="AM66" s="182">
        <f>$E$66</f>
        <v>14.438502673796791</v>
      </c>
      <c r="AN66" s="182" t="e">
        <f>$F$66</f>
        <v>#DIV/0!</v>
      </c>
      <c r="AO66" s="182" t="e">
        <f>$G$66</f>
        <v>#DIV/0!</v>
      </c>
      <c r="AP66" s="182" t="e">
        <f>$H$66</f>
        <v>#DIV/0!</v>
      </c>
      <c r="AQ66" s="182" t="e">
        <f>$I$66</f>
        <v>#DIV/0!</v>
      </c>
      <c r="AR66" s="182" t="e">
        <f>$J$66</f>
        <v>#DIV/0!</v>
      </c>
      <c r="AS66" s="182" t="e">
        <f>$K$66</f>
        <v>#DIV/0!</v>
      </c>
      <c r="AT66" s="182" t="e">
        <f>$L$66</f>
        <v>#DIV/0!</v>
      </c>
      <c r="AU66" s="182" t="e">
        <f>$M$66</f>
        <v>#DIV/0!</v>
      </c>
      <c r="AV66" s="182" t="e">
        <f>$N$66</f>
        <v>#DIV/0!</v>
      </c>
      <c r="AW66" s="182" t="e">
        <f>$O$66</f>
        <v>#DIV/0!</v>
      </c>
      <c r="AX66" s="182" t="e">
        <f>$P$66</f>
        <v>#DIV/0!</v>
      </c>
      <c r="AY66" s="182" t="e">
        <f>$Q$66</f>
        <v>#DIV/0!</v>
      </c>
      <c r="AZ66" s="182" t="e">
        <f>$R$66</f>
        <v>#DIV/0!</v>
      </c>
      <c r="BA66" s="182" t="e">
        <f>$S$66</f>
        <v>#DIV/0!</v>
      </c>
      <c r="BB66" s="182" t="e">
        <f>$T$66</f>
        <v>#DIV/0!</v>
      </c>
      <c r="BC66" s="182" t="e">
        <f>$U$66</f>
        <v>#DIV/0!</v>
      </c>
      <c r="BD66" s="182" t="e">
        <f>$V$66</f>
        <v>#DIV/0!</v>
      </c>
      <c r="BE66" s="182" t="e">
        <f>$W$66</f>
        <v>#DIV/0!</v>
      </c>
      <c r="BF66" s="182" t="e">
        <f>$X$66</f>
        <v>#DIV/0!</v>
      </c>
      <c r="BG66" s="182" t="e">
        <f>$Y$66</f>
        <v>#DIV/0!</v>
      </c>
      <c r="BH66" s="182" t="e">
        <f>$Z$66</f>
        <v>#DIV/0!</v>
      </c>
      <c r="BI66" s="182" t="e">
        <f>$AA$66</f>
        <v>#DIV/0!</v>
      </c>
      <c r="BJ66" s="182" t="e">
        <f>$AB$66</f>
        <v>#DIV/0!</v>
      </c>
      <c r="BK66" s="182" t="e">
        <f>$AC$66</f>
        <v>#DIV/0!</v>
      </c>
      <c r="BL66" s="182" t="e">
        <f>$AD$66</f>
        <v>#DIV/0!</v>
      </c>
      <c r="BM66" s="182" t="e">
        <f>$AE$66</f>
        <v>#DIV/0!</v>
      </c>
      <c r="BN66" s="182" t="e">
        <f>$AF$66</f>
        <v>#DIV/0!</v>
      </c>
    </row>
    <row r="67" spans="1:66">
      <c r="A67" s="69" t="s">
        <v>185</v>
      </c>
      <c r="B67" s="71" t="s">
        <v>188</v>
      </c>
      <c r="C67" s="100">
        <v>8.5889570552147241</v>
      </c>
      <c r="D67" s="100">
        <v>8.9041095890410951</v>
      </c>
      <c r="E67" s="100">
        <v>8.722741433021806</v>
      </c>
      <c r="F67" t="e">
        <f t="shared" si="1"/>
        <v>#DIV/0!</v>
      </c>
      <c r="G67" t="e">
        <f t="shared" si="2"/>
        <v>#DIV/0!</v>
      </c>
      <c r="H67" t="e">
        <f t="shared" si="2"/>
        <v>#DIV/0!</v>
      </c>
      <c r="I67" t="e">
        <f t="shared" si="2"/>
        <v>#DIV/0!</v>
      </c>
      <c r="J67" t="e">
        <f t="shared" si="2"/>
        <v>#DIV/0!</v>
      </c>
      <c r="K67" t="e">
        <f t="shared" si="2"/>
        <v>#DIV/0!</v>
      </c>
      <c r="L67" t="e">
        <f t="shared" ref="G67:AF76" si="3">1/0</f>
        <v>#DIV/0!</v>
      </c>
      <c r="M67" t="e">
        <f t="shared" si="3"/>
        <v>#DIV/0!</v>
      </c>
      <c r="N67" t="e">
        <f t="shared" si="3"/>
        <v>#DIV/0!</v>
      </c>
      <c r="O67" t="e">
        <f t="shared" si="3"/>
        <v>#DIV/0!</v>
      </c>
      <c r="P67" t="e">
        <f t="shared" si="3"/>
        <v>#DIV/0!</v>
      </c>
      <c r="Q67" t="e">
        <f t="shared" si="3"/>
        <v>#DIV/0!</v>
      </c>
      <c r="R67" t="e">
        <f t="shared" si="3"/>
        <v>#DIV/0!</v>
      </c>
      <c r="S67" t="e">
        <f t="shared" si="3"/>
        <v>#DIV/0!</v>
      </c>
      <c r="T67" t="e">
        <f t="shared" si="3"/>
        <v>#DIV/0!</v>
      </c>
      <c r="U67" t="e">
        <f t="shared" si="3"/>
        <v>#DIV/0!</v>
      </c>
      <c r="V67" t="e">
        <f t="shared" si="3"/>
        <v>#DIV/0!</v>
      </c>
      <c r="W67" t="e">
        <f t="shared" si="3"/>
        <v>#DIV/0!</v>
      </c>
      <c r="X67" t="e">
        <f t="shared" si="3"/>
        <v>#DIV/0!</v>
      </c>
      <c r="Y67" t="e">
        <f t="shared" si="3"/>
        <v>#DIV/0!</v>
      </c>
      <c r="Z67" t="e">
        <f t="shared" si="3"/>
        <v>#DIV/0!</v>
      </c>
      <c r="AA67" t="e">
        <f t="shared" si="3"/>
        <v>#DIV/0!</v>
      </c>
      <c r="AB67" t="e">
        <f t="shared" si="3"/>
        <v>#DIV/0!</v>
      </c>
      <c r="AC67" t="e">
        <f t="shared" si="3"/>
        <v>#DIV/0!</v>
      </c>
      <c r="AD67" t="e">
        <f t="shared" si="3"/>
        <v>#DIV/0!</v>
      </c>
      <c r="AE67" t="e">
        <f t="shared" si="3"/>
        <v>#DIV/0!</v>
      </c>
      <c r="AF67" t="e">
        <f t="shared" si="3"/>
        <v>#DIV/0!</v>
      </c>
      <c r="AG67" s="82"/>
      <c r="AH67" s="256"/>
      <c r="AI67" s="254"/>
      <c r="AJ67" s="96"/>
      <c r="AK67" s="182">
        <f>$C$67</f>
        <v>8.5889570552147241</v>
      </c>
      <c r="AL67" s="182">
        <f>$D$67</f>
        <v>8.9041095890410951</v>
      </c>
      <c r="AM67" s="182">
        <f>$E$67</f>
        <v>8.722741433021806</v>
      </c>
      <c r="AN67" s="182" t="e">
        <f>$F$67</f>
        <v>#DIV/0!</v>
      </c>
      <c r="AO67" s="182" t="e">
        <f>$G$67</f>
        <v>#DIV/0!</v>
      </c>
      <c r="AP67" s="182" t="e">
        <f>$H$67</f>
        <v>#DIV/0!</v>
      </c>
      <c r="AQ67" s="182" t="e">
        <f>$I$67</f>
        <v>#DIV/0!</v>
      </c>
      <c r="AR67" s="182" t="e">
        <f>$J$67</f>
        <v>#DIV/0!</v>
      </c>
      <c r="AS67" s="182" t="e">
        <f>$K$67</f>
        <v>#DIV/0!</v>
      </c>
      <c r="AT67" s="182" t="e">
        <f>$L$67</f>
        <v>#DIV/0!</v>
      </c>
      <c r="AU67" s="182" t="e">
        <f>$M$67</f>
        <v>#DIV/0!</v>
      </c>
      <c r="AV67" s="182" t="e">
        <f>$N$67</f>
        <v>#DIV/0!</v>
      </c>
      <c r="AW67" s="182" t="e">
        <f>$O$67</f>
        <v>#DIV/0!</v>
      </c>
      <c r="AX67" s="182" t="e">
        <f>$P$67</f>
        <v>#DIV/0!</v>
      </c>
      <c r="AY67" s="182" t="e">
        <f>$Q$67</f>
        <v>#DIV/0!</v>
      </c>
      <c r="AZ67" s="182" t="e">
        <f>$R$67</f>
        <v>#DIV/0!</v>
      </c>
      <c r="BA67" s="182" t="e">
        <f>$S$67</f>
        <v>#DIV/0!</v>
      </c>
      <c r="BB67" s="182" t="e">
        <f>$T$67</f>
        <v>#DIV/0!</v>
      </c>
      <c r="BC67" s="182" t="e">
        <f>$U$67</f>
        <v>#DIV/0!</v>
      </c>
      <c r="BD67" s="182" t="e">
        <f>$V$67</f>
        <v>#DIV/0!</v>
      </c>
      <c r="BE67" s="182" t="e">
        <f>$W$67</f>
        <v>#DIV/0!</v>
      </c>
      <c r="BF67" s="182" t="e">
        <f>$X$67</f>
        <v>#DIV/0!</v>
      </c>
      <c r="BG67" s="182" t="e">
        <f>$Y$67</f>
        <v>#DIV/0!</v>
      </c>
      <c r="BH67" s="182" t="e">
        <f>$Z$67</f>
        <v>#DIV/0!</v>
      </c>
      <c r="BI67" s="182" t="e">
        <f>$AA$67</f>
        <v>#DIV/0!</v>
      </c>
      <c r="BJ67" s="182" t="e">
        <f>$AB$67</f>
        <v>#DIV/0!</v>
      </c>
      <c r="BK67" s="182" t="e">
        <f>$AC$67</f>
        <v>#DIV/0!</v>
      </c>
      <c r="BL67" s="182" t="e">
        <f>$AD$67</f>
        <v>#DIV/0!</v>
      </c>
      <c r="BM67" s="182" t="e">
        <f>$AE$67</f>
        <v>#DIV/0!</v>
      </c>
      <c r="BN67" s="182" t="e">
        <f>$AF$67</f>
        <v>#DIV/0!</v>
      </c>
    </row>
    <row r="68" spans="1:66">
      <c r="A68" s="69" t="s">
        <v>142</v>
      </c>
      <c r="B68" t="s">
        <v>153</v>
      </c>
      <c r="C68" s="100"/>
      <c r="E68" s="100">
        <v>16</v>
      </c>
      <c r="F68" t="e">
        <f t="shared" si="1"/>
        <v>#DIV/0!</v>
      </c>
      <c r="G68" t="e">
        <f t="shared" si="3"/>
        <v>#DIV/0!</v>
      </c>
      <c r="H68" t="e">
        <f t="shared" si="3"/>
        <v>#DIV/0!</v>
      </c>
      <c r="I68" t="e">
        <f t="shared" si="3"/>
        <v>#DIV/0!</v>
      </c>
      <c r="J68" t="e">
        <f t="shared" si="3"/>
        <v>#DIV/0!</v>
      </c>
      <c r="K68" t="e">
        <f t="shared" si="3"/>
        <v>#DIV/0!</v>
      </c>
      <c r="L68" t="e">
        <f t="shared" si="3"/>
        <v>#DIV/0!</v>
      </c>
      <c r="M68" t="e">
        <f t="shared" si="3"/>
        <v>#DIV/0!</v>
      </c>
      <c r="N68" t="e">
        <f t="shared" si="3"/>
        <v>#DIV/0!</v>
      </c>
      <c r="O68" t="e">
        <f t="shared" si="3"/>
        <v>#DIV/0!</v>
      </c>
      <c r="P68" t="e">
        <f t="shared" si="3"/>
        <v>#DIV/0!</v>
      </c>
      <c r="Q68" t="e">
        <f t="shared" si="3"/>
        <v>#DIV/0!</v>
      </c>
      <c r="R68" t="e">
        <f t="shared" si="3"/>
        <v>#DIV/0!</v>
      </c>
      <c r="S68" t="e">
        <f t="shared" si="3"/>
        <v>#DIV/0!</v>
      </c>
      <c r="T68" t="e">
        <f t="shared" si="3"/>
        <v>#DIV/0!</v>
      </c>
      <c r="U68" t="e">
        <f t="shared" si="3"/>
        <v>#DIV/0!</v>
      </c>
      <c r="V68" t="e">
        <f t="shared" si="3"/>
        <v>#DIV/0!</v>
      </c>
      <c r="W68" t="e">
        <f t="shared" si="3"/>
        <v>#DIV/0!</v>
      </c>
      <c r="X68" t="e">
        <f t="shared" si="3"/>
        <v>#DIV/0!</v>
      </c>
      <c r="Y68" t="e">
        <f t="shared" si="3"/>
        <v>#DIV/0!</v>
      </c>
      <c r="Z68" t="e">
        <f t="shared" si="3"/>
        <v>#DIV/0!</v>
      </c>
      <c r="AA68" t="e">
        <f t="shared" si="3"/>
        <v>#DIV/0!</v>
      </c>
      <c r="AB68" t="e">
        <f t="shared" si="3"/>
        <v>#DIV/0!</v>
      </c>
      <c r="AC68" t="e">
        <f t="shared" si="3"/>
        <v>#DIV/0!</v>
      </c>
      <c r="AD68" t="e">
        <f t="shared" si="3"/>
        <v>#DIV/0!</v>
      </c>
      <c r="AE68" t="e">
        <f t="shared" si="3"/>
        <v>#DIV/0!</v>
      </c>
      <c r="AF68" t="e">
        <f t="shared" si="3"/>
        <v>#DIV/0!</v>
      </c>
      <c r="AG68" s="82"/>
      <c r="AH68" s="242"/>
      <c r="AI68" s="254"/>
      <c r="AJ68" s="96"/>
      <c r="AK68" s="182">
        <f>$C$68</f>
        <v>0</v>
      </c>
      <c r="AL68" s="182">
        <f>$D$68</f>
        <v>0</v>
      </c>
      <c r="AM68" s="182">
        <f>$E$68</f>
        <v>16</v>
      </c>
      <c r="AN68" s="182" t="e">
        <f>$F$68</f>
        <v>#DIV/0!</v>
      </c>
      <c r="AO68" s="182" t="e">
        <f>$G$68</f>
        <v>#DIV/0!</v>
      </c>
      <c r="AP68" s="182" t="e">
        <f>$H$68</f>
        <v>#DIV/0!</v>
      </c>
      <c r="AQ68" s="182" t="e">
        <f>$I$68</f>
        <v>#DIV/0!</v>
      </c>
      <c r="AR68" s="182" t="e">
        <f>$J$68</f>
        <v>#DIV/0!</v>
      </c>
      <c r="AS68" s="182" t="e">
        <f>$K$68</f>
        <v>#DIV/0!</v>
      </c>
      <c r="AT68" s="182" t="e">
        <f>$L$68</f>
        <v>#DIV/0!</v>
      </c>
      <c r="AU68" s="182" t="e">
        <f>$M$68</f>
        <v>#DIV/0!</v>
      </c>
      <c r="AV68" s="182" t="e">
        <f>$N$68</f>
        <v>#DIV/0!</v>
      </c>
      <c r="AW68" s="182" t="e">
        <f>$O$68</f>
        <v>#DIV/0!</v>
      </c>
      <c r="AX68" s="182" t="e">
        <f>$P$68</f>
        <v>#DIV/0!</v>
      </c>
      <c r="AY68" s="182" t="e">
        <f>$Q$68</f>
        <v>#DIV/0!</v>
      </c>
      <c r="AZ68" s="182" t="e">
        <f>$R$68</f>
        <v>#DIV/0!</v>
      </c>
      <c r="BA68" s="182" t="e">
        <f>$S$68</f>
        <v>#DIV/0!</v>
      </c>
      <c r="BB68" s="182" t="e">
        <f>$T$68</f>
        <v>#DIV/0!</v>
      </c>
      <c r="BC68" s="182" t="e">
        <f>$U$68</f>
        <v>#DIV/0!</v>
      </c>
      <c r="BD68" s="182" t="e">
        <f>$V$68</f>
        <v>#DIV/0!</v>
      </c>
      <c r="BE68" s="182" t="e">
        <f>$W$68</f>
        <v>#DIV/0!</v>
      </c>
      <c r="BF68" s="182" t="e">
        <f>$X$68</f>
        <v>#DIV/0!</v>
      </c>
      <c r="BG68" s="182" t="e">
        <f>$Y$68</f>
        <v>#DIV/0!</v>
      </c>
      <c r="BH68" s="182" t="e">
        <f>$Z$68</f>
        <v>#DIV/0!</v>
      </c>
      <c r="BI68" s="182" t="e">
        <f>$AA$68</f>
        <v>#DIV/0!</v>
      </c>
      <c r="BJ68" s="182" t="e">
        <f>$AB$68</f>
        <v>#DIV/0!</v>
      </c>
      <c r="BK68" s="182" t="e">
        <f>$AC$68</f>
        <v>#DIV/0!</v>
      </c>
      <c r="BL68" s="182" t="e">
        <f>$AD$68</f>
        <v>#DIV/0!</v>
      </c>
      <c r="BM68" s="182" t="e">
        <f>$AE$68</f>
        <v>#DIV/0!</v>
      </c>
      <c r="BN68" s="182" t="e">
        <f>$AF$68</f>
        <v>#DIV/0!</v>
      </c>
    </row>
    <row r="69" spans="1:66">
      <c r="A69" s="69" t="s">
        <v>148</v>
      </c>
      <c r="B69" t="s">
        <v>153</v>
      </c>
      <c r="C69" s="100"/>
      <c r="E69" s="100">
        <v>15.463917525773196</v>
      </c>
      <c r="F69" t="e">
        <f t="shared" si="1"/>
        <v>#DIV/0!</v>
      </c>
      <c r="G69" t="e">
        <f t="shared" si="3"/>
        <v>#DIV/0!</v>
      </c>
      <c r="H69" t="e">
        <f t="shared" si="3"/>
        <v>#DIV/0!</v>
      </c>
      <c r="I69" t="e">
        <f t="shared" si="3"/>
        <v>#DIV/0!</v>
      </c>
      <c r="J69" t="e">
        <f t="shared" si="3"/>
        <v>#DIV/0!</v>
      </c>
      <c r="K69" t="e">
        <f t="shared" si="3"/>
        <v>#DIV/0!</v>
      </c>
      <c r="L69" t="e">
        <f t="shared" si="3"/>
        <v>#DIV/0!</v>
      </c>
      <c r="M69" t="e">
        <f t="shared" si="3"/>
        <v>#DIV/0!</v>
      </c>
      <c r="N69" t="e">
        <f t="shared" si="3"/>
        <v>#DIV/0!</v>
      </c>
      <c r="O69" t="e">
        <f t="shared" si="3"/>
        <v>#DIV/0!</v>
      </c>
      <c r="P69" t="e">
        <f t="shared" si="3"/>
        <v>#DIV/0!</v>
      </c>
      <c r="Q69" t="e">
        <f t="shared" si="3"/>
        <v>#DIV/0!</v>
      </c>
      <c r="R69" t="e">
        <f t="shared" si="3"/>
        <v>#DIV/0!</v>
      </c>
      <c r="S69" t="e">
        <f t="shared" si="3"/>
        <v>#DIV/0!</v>
      </c>
      <c r="T69" t="e">
        <f t="shared" si="3"/>
        <v>#DIV/0!</v>
      </c>
      <c r="U69" t="e">
        <f t="shared" si="3"/>
        <v>#DIV/0!</v>
      </c>
      <c r="V69" t="e">
        <f t="shared" si="3"/>
        <v>#DIV/0!</v>
      </c>
      <c r="W69" t="e">
        <f t="shared" si="3"/>
        <v>#DIV/0!</v>
      </c>
      <c r="X69" t="e">
        <f t="shared" si="3"/>
        <v>#DIV/0!</v>
      </c>
      <c r="Y69" t="e">
        <f t="shared" si="3"/>
        <v>#DIV/0!</v>
      </c>
      <c r="Z69" t="e">
        <f t="shared" si="3"/>
        <v>#DIV/0!</v>
      </c>
      <c r="AA69" t="e">
        <f t="shared" si="3"/>
        <v>#DIV/0!</v>
      </c>
      <c r="AB69" t="e">
        <f t="shared" si="3"/>
        <v>#DIV/0!</v>
      </c>
      <c r="AC69" t="e">
        <f t="shared" si="3"/>
        <v>#DIV/0!</v>
      </c>
      <c r="AD69" t="e">
        <f t="shared" si="3"/>
        <v>#DIV/0!</v>
      </c>
      <c r="AE69" t="e">
        <f t="shared" si="3"/>
        <v>#DIV/0!</v>
      </c>
      <c r="AF69" t="e">
        <f t="shared" si="3"/>
        <v>#DIV/0!</v>
      </c>
      <c r="AG69" s="82"/>
      <c r="AJ69" s="82"/>
      <c r="AK69" s="182">
        <f>$C$69</f>
        <v>0</v>
      </c>
      <c r="AL69" s="182">
        <f>$D$69</f>
        <v>0</v>
      </c>
      <c r="AM69" s="182">
        <f>$E$69</f>
        <v>15.463917525773196</v>
      </c>
      <c r="AN69" s="182" t="e">
        <f>$F$69</f>
        <v>#DIV/0!</v>
      </c>
      <c r="AO69" s="182" t="e">
        <f>$G$69</f>
        <v>#DIV/0!</v>
      </c>
      <c r="AP69" s="182" t="e">
        <f>$H$69</f>
        <v>#DIV/0!</v>
      </c>
      <c r="AQ69" s="182" t="e">
        <f>$I$69</f>
        <v>#DIV/0!</v>
      </c>
      <c r="AR69" s="182" t="e">
        <f>$J$69</f>
        <v>#DIV/0!</v>
      </c>
      <c r="AS69" s="182" t="e">
        <f>$K$69</f>
        <v>#DIV/0!</v>
      </c>
      <c r="AT69" s="182" t="e">
        <f>$L$69</f>
        <v>#DIV/0!</v>
      </c>
      <c r="AU69" s="182" t="e">
        <f>$M$69</f>
        <v>#DIV/0!</v>
      </c>
      <c r="AV69" s="182" t="e">
        <f>$N$69</f>
        <v>#DIV/0!</v>
      </c>
      <c r="AW69" s="182" t="e">
        <f>$O$69</f>
        <v>#DIV/0!</v>
      </c>
      <c r="AX69" s="182" t="e">
        <f>$P$69</f>
        <v>#DIV/0!</v>
      </c>
      <c r="AY69" s="182" t="e">
        <f>$Q$69</f>
        <v>#DIV/0!</v>
      </c>
      <c r="AZ69" s="182" t="e">
        <f>$R$69</f>
        <v>#DIV/0!</v>
      </c>
      <c r="BA69" s="182" t="e">
        <f>$S$69</f>
        <v>#DIV/0!</v>
      </c>
      <c r="BB69" s="182" t="e">
        <f>$T$69</f>
        <v>#DIV/0!</v>
      </c>
      <c r="BC69" s="182" t="e">
        <f>$U$69</f>
        <v>#DIV/0!</v>
      </c>
      <c r="BD69" s="182" t="e">
        <f>$V$69</f>
        <v>#DIV/0!</v>
      </c>
      <c r="BE69" s="182" t="e">
        <f>$W$69</f>
        <v>#DIV/0!</v>
      </c>
      <c r="BF69" s="182" t="e">
        <f>$X$69</f>
        <v>#DIV/0!</v>
      </c>
      <c r="BG69" s="182" t="e">
        <f>$Y$69</f>
        <v>#DIV/0!</v>
      </c>
      <c r="BH69" s="182" t="e">
        <f>$Z$69</f>
        <v>#DIV/0!</v>
      </c>
      <c r="BI69" s="182" t="e">
        <f>$AA$69</f>
        <v>#DIV/0!</v>
      </c>
      <c r="BJ69" s="182" t="e">
        <f>$AB$69</f>
        <v>#DIV/0!</v>
      </c>
      <c r="BK69" s="182" t="e">
        <f>$AC$69</f>
        <v>#DIV/0!</v>
      </c>
      <c r="BL69" s="182" t="e">
        <f>$AD$69</f>
        <v>#DIV/0!</v>
      </c>
      <c r="BM69" s="182" t="e">
        <f>$AE$69</f>
        <v>#DIV/0!</v>
      </c>
      <c r="BN69" s="182" t="e">
        <f>$AF$69</f>
        <v>#DIV/0!</v>
      </c>
    </row>
    <row r="70" spans="1:66" ht="23.65" thickBot="1">
      <c r="A70" s="69" t="s">
        <v>156</v>
      </c>
      <c r="B70" s="71" t="s">
        <v>158</v>
      </c>
      <c r="C70" s="100">
        <v>9.6153846153846168</v>
      </c>
      <c r="D70" s="100">
        <v>8.984375</v>
      </c>
      <c r="E70" s="100">
        <v>9.3690248565965586</v>
      </c>
      <c r="F70" t="e">
        <f t="shared" si="1"/>
        <v>#DIV/0!</v>
      </c>
      <c r="G70" t="e">
        <f t="shared" si="3"/>
        <v>#DIV/0!</v>
      </c>
      <c r="H70" t="e">
        <f t="shared" si="3"/>
        <v>#DIV/0!</v>
      </c>
      <c r="I70" t="e">
        <f t="shared" si="3"/>
        <v>#DIV/0!</v>
      </c>
      <c r="J70" t="e">
        <f t="shared" si="3"/>
        <v>#DIV/0!</v>
      </c>
      <c r="K70" t="e">
        <f t="shared" si="3"/>
        <v>#DIV/0!</v>
      </c>
      <c r="L70" t="e">
        <f t="shared" si="3"/>
        <v>#DIV/0!</v>
      </c>
      <c r="M70" t="e">
        <f t="shared" si="3"/>
        <v>#DIV/0!</v>
      </c>
      <c r="N70" t="e">
        <f t="shared" si="3"/>
        <v>#DIV/0!</v>
      </c>
      <c r="O70" t="e">
        <f t="shared" si="3"/>
        <v>#DIV/0!</v>
      </c>
      <c r="P70" t="e">
        <f t="shared" si="3"/>
        <v>#DIV/0!</v>
      </c>
      <c r="Q70" t="e">
        <f t="shared" si="3"/>
        <v>#DIV/0!</v>
      </c>
      <c r="R70" t="e">
        <f t="shared" si="3"/>
        <v>#DIV/0!</v>
      </c>
      <c r="S70" t="e">
        <f t="shared" si="3"/>
        <v>#DIV/0!</v>
      </c>
      <c r="T70" t="e">
        <f t="shared" si="3"/>
        <v>#DIV/0!</v>
      </c>
      <c r="U70" t="e">
        <f t="shared" si="3"/>
        <v>#DIV/0!</v>
      </c>
      <c r="V70" t="e">
        <f t="shared" si="3"/>
        <v>#DIV/0!</v>
      </c>
      <c r="W70" t="e">
        <f t="shared" si="3"/>
        <v>#DIV/0!</v>
      </c>
      <c r="X70" t="e">
        <f t="shared" si="3"/>
        <v>#DIV/0!</v>
      </c>
      <c r="Y70" t="e">
        <f t="shared" si="3"/>
        <v>#DIV/0!</v>
      </c>
      <c r="Z70" t="e">
        <f t="shared" si="3"/>
        <v>#DIV/0!</v>
      </c>
      <c r="AA70" t="e">
        <f t="shared" si="3"/>
        <v>#DIV/0!</v>
      </c>
      <c r="AB70" t="e">
        <f t="shared" si="3"/>
        <v>#DIV/0!</v>
      </c>
      <c r="AC70" t="e">
        <f t="shared" si="3"/>
        <v>#DIV/0!</v>
      </c>
      <c r="AD70" t="e">
        <f t="shared" si="3"/>
        <v>#DIV/0!</v>
      </c>
      <c r="AE70" t="e">
        <f t="shared" si="3"/>
        <v>#DIV/0!</v>
      </c>
      <c r="AF70" t="e">
        <f t="shared" si="3"/>
        <v>#DIV/0!</v>
      </c>
      <c r="AG70" s="82"/>
      <c r="AH70" s="318" t="s">
        <v>46</v>
      </c>
      <c r="AI70" s="318"/>
      <c r="AJ70" s="82"/>
      <c r="AK70" s="182">
        <f>$C$70</f>
        <v>9.6153846153846168</v>
      </c>
      <c r="AL70" s="182">
        <f>$D$70</f>
        <v>8.984375</v>
      </c>
      <c r="AM70" s="182">
        <f>$E$70</f>
        <v>9.3690248565965586</v>
      </c>
      <c r="AN70" s="182" t="e">
        <f>$F$70</f>
        <v>#DIV/0!</v>
      </c>
      <c r="AO70" s="182" t="e">
        <f>$G$70</f>
        <v>#DIV/0!</v>
      </c>
      <c r="AP70" s="182" t="e">
        <f>$H$70</f>
        <v>#DIV/0!</v>
      </c>
      <c r="AQ70" s="182" t="e">
        <f>$I$70</f>
        <v>#DIV/0!</v>
      </c>
      <c r="AR70" s="182" t="e">
        <f>$J$70</f>
        <v>#DIV/0!</v>
      </c>
      <c r="AS70" s="182" t="e">
        <f>$K$70</f>
        <v>#DIV/0!</v>
      </c>
      <c r="AT70" s="182" t="e">
        <f>$L$70</f>
        <v>#DIV/0!</v>
      </c>
      <c r="AU70" s="182" t="e">
        <f>$M$70</f>
        <v>#DIV/0!</v>
      </c>
      <c r="AV70" s="182" t="e">
        <f>$N$70</f>
        <v>#DIV/0!</v>
      </c>
      <c r="AW70" s="182" t="e">
        <f>$O$70</f>
        <v>#DIV/0!</v>
      </c>
      <c r="AX70" s="182" t="e">
        <f>$P$70</f>
        <v>#DIV/0!</v>
      </c>
      <c r="AY70" s="182" t="e">
        <f>$Q$70</f>
        <v>#DIV/0!</v>
      </c>
      <c r="AZ70" s="182" t="e">
        <f>$R$70</f>
        <v>#DIV/0!</v>
      </c>
      <c r="BA70" s="182" t="e">
        <f>$S$70</f>
        <v>#DIV/0!</v>
      </c>
      <c r="BB70" s="182" t="e">
        <f>$T$70</f>
        <v>#DIV/0!</v>
      </c>
      <c r="BC70" s="182" t="e">
        <f>$U$70</f>
        <v>#DIV/0!</v>
      </c>
      <c r="BD70" s="182" t="e">
        <f>$V$70</f>
        <v>#DIV/0!</v>
      </c>
      <c r="BE70" s="182" t="e">
        <f>$W$70</f>
        <v>#DIV/0!</v>
      </c>
      <c r="BF70" s="182" t="e">
        <f>$X$70</f>
        <v>#DIV/0!</v>
      </c>
      <c r="BG70" s="182" t="e">
        <f>$Y$70</f>
        <v>#DIV/0!</v>
      </c>
      <c r="BH70" s="182" t="e">
        <f>$Z$70</f>
        <v>#DIV/0!</v>
      </c>
      <c r="BI70" s="182" t="e">
        <f>$AA$70</f>
        <v>#DIV/0!</v>
      </c>
      <c r="BJ70" s="182" t="e">
        <f>$AB$70</f>
        <v>#DIV/0!</v>
      </c>
      <c r="BK70" s="182" t="e">
        <f>$AC$70</f>
        <v>#DIV/0!</v>
      </c>
      <c r="BL70" s="182" t="e">
        <f>$AD$70</f>
        <v>#DIV/0!</v>
      </c>
      <c r="BM70" s="182" t="e">
        <f>$AE$70</f>
        <v>#DIV/0!</v>
      </c>
      <c r="BN70" s="182" t="e">
        <f>$AF$70</f>
        <v>#DIV/0!</v>
      </c>
    </row>
    <row r="71" spans="1:66">
      <c r="A71" s="69" t="s">
        <v>149</v>
      </c>
      <c r="B71" t="s">
        <v>153</v>
      </c>
      <c r="C71" s="100">
        <v>14.754098360655737</v>
      </c>
      <c r="D71" s="100">
        <v>13.20754716981132</v>
      </c>
      <c r="E71" s="100">
        <v>13.675213675213676</v>
      </c>
      <c r="F71" t="e">
        <f t="shared" si="1"/>
        <v>#DIV/0!</v>
      </c>
      <c r="G71" t="e">
        <f t="shared" si="3"/>
        <v>#DIV/0!</v>
      </c>
      <c r="H71" t="e">
        <f t="shared" si="3"/>
        <v>#DIV/0!</v>
      </c>
      <c r="I71" t="e">
        <f t="shared" si="3"/>
        <v>#DIV/0!</v>
      </c>
      <c r="J71" t="e">
        <f t="shared" si="3"/>
        <v>#DIV/0!</v>
      </c>
      <c r="K71" t="e">
        <f t="shared" si="3"/>
        <v>#DIV/0!</v>
      </c>
      <c r="L71" t="e">
        <f t="shared" si="3"/>
        <v>#DIV/0!</v>
      </c>
      <c r="M71" t="e">
        <f t="shared" si="3"/>
        <v>#DIV/0!</v>
      </c>
      <c r="N71" t="e">
        <f t="shared" si="3"/>
        <v>#DIV/0!</v>
      </c>
      <c r="O71" t="e">
        <f t="shared" si="3"/>
        <v>#DIV/0!</v>
      </c>
      <c r="P71" t="e">
        <f t="shared" si="3"/>
        <v>#DIV/0!</v>
      </c>
      <c r="Q71" t="e">
        <f t="shared" si="3"/>
        <v>#DIV/0!</v>
      </c>
      <c r="R71" t="e">
        <f t="shared" si="3"/>
        <v>#DIV/0!</v>
      </c>
      <c r="S71" t="e">
        <f t="shared" si="3"/>
        <v>#DIV/0!</v>
      </c>
      <c r="T71" t="e">
        <f t="shared" si="3"/>
        <v>#DIV/0!</v>
      </c>
      <c r="U71" t="e">
        <f t="shared" si="3"/>
        <v>#DIV/0!</v>
      </c>
      <c r="V71" t="e">
        <f t="shared" si="3"/>
        <v>#DIV/0!</v>
      </c>
      <c r="W71" t="e">
        <f t="shared" si="3"/>
        <v>#DIV/0!</v>
      </c>
      <c r="X71" t="e">
        <f t="shared" si="3"/>
        <v>#DIV/0!</v>
      </c>
      <c r="Y71" t="e">
        <f t="shared" si="3"/>
        <v>#DIV/0!</v>
      </c>
      <c r="Z71" t="e">
        <f t="shared" si="3"/>
        <v>#DIV/0!</v>
      </c>
      <c r="AA71" t="e">
        <f t="shared" si="3"/>
        <v>#DIV/0!</v>
      </c>
      <c r="AB71" t="e">
        <f t="shared" si="3"/>
        <v>#DIV/0!</v>
      </c>
      <c r="AC71" t="e">
        <f t="shared" si="3"/>
        <v>#DIV/0!</v>
      </c>
      <c r="AD71" t="e">
        <f t="shared" si="3"/>
        <v>#DIV/0!</v>
      </c>
      <c r="AE71" t="e">
        <f t="shared" si="3"/>
        <v>#DIV/0!</v>
      </c>
      <c r="AF71" t="e">
        <f t="shared" si="3"/>
        <v>#DIV/0!</v>
      </c>
      <c r="AG71" s="82"/>
      <c r="AH71" s="319" t="s">
        <v>66</v>
      </c>
      <c r="AI71" s="320"/>
      <c r="AJ71" s="82"/>
      <c r="AK71" s="182">
        <f>$C$71</f>
        <v>14.754098360655737</v>
      </c>
      <c r="AL71" s="182">
        <f>$D$71</f>
        <v>13.20754716981132</v>
      </c>
      <c r="AM71" s="182">
        <f>$E$71</f>
        <v>13.675213675213676</v>
      </c>
      <c r="AN71" s="182" t="e">
        <f>$F$71</f>
        <v>#DIV/0!</v>
      </c>
      <c r="AO71" s="182" t="e">
        <f>$G$71</f>
        <v>#DIV/0!</v>
      </c>
      <c r="AP71" s="182" t="e">
        <f>$H$71</f>
        <v>#DIV/0!</v>
      </c>
      <c r="AQ71" s="182" t="e">
        <f>$I$71</f>
        <v>#DIV/0!</v>
      </c>
      <c r="AR71" s="182" t="e">
        <f>$J$71</f>
        <v>#DIV/0!</v>
      </c>
      <c r="AS71" s="182" t="e">
        <f>$K$71</f>
        <v>#DIV/0!</v>
      </c>
      <c r="AT71" s="182" t="e">
        <f>$L$71</f>
        <v>#DIV/0!</v>
      </c>
      <c r="AU71" s="182" t="e">
        <f>$M$71</f>
        <v>#DIV/0!</v>
      </c>
      <c r="AV71" s="182" t="e">
        <f>$N$71</f>
        <v>#DIV/0!</v>
      </c>
      <c r="AW71" s="182" t="e">
        <f>$O$71</f>
        <v>#DIV/0!</v>
      </c>
      <c r="AX71" s="182" t="e">
        <f>$P$71</f>
        <v>#DIV/0!</v>
      </c>
      <c r="AY71" s="182" t="e">
        <f>$Q$71</f>
        <v>#DIV/0!</v>
      </c>
      <c r="AZ71" s="182" t="e">
        <f>$R$71</f>
        <v>#DIV/0!</v>
      </c>
      <c r="BA71" s="182" t="e">
        <f>$S$71</f>
        <v>#DIV/0!</v>
      </c>
      <c r="BB71" s="182" t="e">
        <f>$T$71</f>
        <v>#DIV/0!</v>
      </c>
      <c r="BC71" s="182" t="e">
        <f>$U$71</f>
        <v>#DIV/0!</v>
      </c>
      <c r="BD71" s="182" t="e">
        <f>$V$71</f>
        <v>#DIV/0!</v>
      </c>
      <c r="BE71" s="182" t="e">
        <f>$W$71</f>
        <v>#DIV/0!</v>
      </c>
      <c r="BF71" s="182" t="e">
        <f>$X$71</f>
        <v>#DIV/0!</v>
      </c>
      <c r="BG71" s="182" t="e">
        <f>$Y$71</f>
        <v>#DIV/0!</v>
      </c>
      <c r="BH71" s="182" t="e">
        <f>$Z$71</f>
        <v>#DIV/0!</v>
      </c>
      <c r="BI71" s="182" t="e">
        <f>$AA$71</f>
        <v>#DIV/0!</v>
      </c>
      <c r="BJ71" s="182" t="e">
        <f>$AB$71</f>
        <v>#DIV/0!</v>
      </c>
      <c r="BK71" s="182" t="e">
        <f>$AC$71</f>
        <v>#DIV/0!</v>
      </c>
      <c r="BL71" s="182" t="e">
        <f>$AD$71</f>
        <v>#DIV/0!</v>
      </c>
      <c r="BM71" s="182" t="e">
        <f>$AE$71</f>
        <v>#DIV/0!</v>
      </c>
      <c r="BN71" s="182" t="e">
        <f>$AF$71</f>
        <v>#DIV/0!</v>
      </c>
    </row>
    <row r="72" spans="1:66">
      <c r="A72" s="69" t="s">
        <v>157</v>
      </c>
      <c r="B72" s="71" t="s">
        <v>158</v>
      </c>
      <c r="C72" s="100">
        <v>8.0213903743315509</v>
      </c>
      <c r="D72" s="100">
        <v>8.8757396449704142</v>
      </c>
      <c r="E72" s="100">
        <v>8.1967213114754092</v>
      </c>
      <c r="F72" t="e">
        <f t="shared" si="1"/>
        <v>#DIV/0!</v>
      </c>
      <c r="G72" t="e">
        <f t="shared" si="3"/>
        <v>#DIV/0!</v>
      </c>
      <c r="H72" t="e">
        <f t="shared" si="3"/>
        <v>#DIV/0!</v>
      </c>
      <c r="I72" t="e">
        <f t="shared" si="3"/>
        <v>#DIV/0!</v>
      </c>
      <c r="J72" t="e">
        <f t="shared" si="3"/>
        <v>#DIV/0!</v>
      </c>
      <c r="K72" t="e">
        <f t="shared" si="3"/>
        <v>#DIV/0!</v>
      </c>
      <c r="L72" t="e">
        <f t="shared" si="3"/>
        <v>#DIV/0!</v>
      </c>
      <c r="M72" t="e">
        <f t="shared" si="3"/>
        <v>#DIV/0!</v>
      </c>
      <c r="N72" t="e">
        <f t="shared" si="3"/>
        <v>#DIV/0!</v>
      </c>
      <c r="O72" t="e">
        <f t="shared" si="3"/>
        <v>#DIV/0!</v>
      </c>
      <c r="P72" t="e">
        <f t="shared" si="3"/>
        <v>#DIV/0!</v>
      </c>
      <c r="Q72" t="e">
        <f t="shared" si="3"/>
        <v>#DIV/0!</v>
      </c>
      <c r="R72" t="e">
        <f t="shared" si="3"/>
        <v>#DIV/0!</v>
      </c>
      <c r="S72" t="e">
        <f t="shared" si="3"/>
        <v>#DIV/0!</v>
      </c>
      <c r="T72" t="e">
        <f t="shared" si="3"/>
        <v>#DIV/0!</v>
      </c>
      <c r="U72" t="e">
        <f t="shared" si="3"/>
        <v>#DIV/0!</v>
      </c>
      <c r="V72" t="e">
        <f t="shared" si="3"/>
        <v>#DIV/0!</v>
      </c>
      <c r="W72" t="e">
        <f t="shared" si="3"/>
        <v>#DIV/0!</v>
      </c>
      <c r="X72" t="e">
        <f t="shared" si="3"/>
        <v>#DIV/0!</v>
      </c>
      <c r="Y72" t="e">
        <f t="shared" si="3"/>
        <v>#DIV/0!</v>
      </c>
      <c r="Z72" t="e">
        <f t="shared" si="3"/>
        <v>#DIV/0!</v>
      </c>
      <c r="AA72" t="e">
        <f t="shared" si="3"/>
        <v>#DIV/0!</v>
      </c>
      <c r="AB72" t="e">
        <f t="shared" si="3"/>
        <v>#DIV/0!</v>
      </c>
      <c r="AC72" t="e">
        <f t="shared" si="3"/>
        <v>#DIV/0!</v>
      </c>
      <c r="AD72" t="e">
        <f t="shared" si="3"/>
        <v>#DIV/0!</v>
      </c>
      <c r="AE72" t="e">
        <f t="shared" si="3"/>
        <v>#DIV/0!</v>
      </c>
      <c r="AF72" t="e">
        <f t="shared" si="3"/>
        <v>#DIV/0!</v>
      </c>
      <c r="AG72" s="82"/>
      <c r="AH72" s="56" t="s">
        <v>61</v>
      </c>
      <c r="AI72" s="56" t="s">
        <v>62</v>
      </c>
      <c r="AJ72" s="82"/>
      <c r="AK72" s="182">
        <f>$C$72</f>
        <v>8.0213903743315509</v>
      </c>
      <c r="AL72" s="182">
        <f>$D$72</f>
        <v>8.8757396449704142</v>
      </c>
      <c r="AM72" s="182">
        <f>$E$72</f>
        <v>8.1967213114754092</v>
      </c>
      <c r="AN72" s="182" t="e">
        <f>$F$72</f>
        <v>#DIV/0!</v>
      </c>
      <c r="AO72" s="182" t="e">
        <f>$G$72</f>
        <v>#DIV/0!</v>
      </c>
      <c r="AP72" s="182" t="e">
        <f>$H$72</f>
        <v>#DIV/0!</v>
      </c>
      <c r="AQ72" s="182" t="e">
        <f>$I$72</f>
        <v>#DIV/0!</v>
      </c>
      <c r="AR72" s="182" t="e">
        <f>$J$72</f>
        <v>#DIV/0!</v>
      </c>
      <c r="AS72" s="182" t="e">
        <f>$K$72</f>
        <v>#DIV/0!</v>
      </c>
      <c r="AT72" s="182" t="e">
        <f>$L$72</f>
        <v>#DIV/0!</v>
      </c>
      <c r="AU72" s="182" t="e">
        <f>$M$72</f>
        <v>#DIV/0!</v>
      </c>
      <c r="AV72" s="182" t="e">
        <f>$N$72</f>
        <v>#DIV/0!</v>
      </c>
      <c r="AW72" s="182" t="e">
        <f>$O$72</f>
        <v>#DIV/0!</v>
      </c>
      <c r="AX72" s="182" t="e">
        <f>$P$72</f>
        <v>#DIV/0!</v>
      </c>
      <c r="AY72" s="182" t="e">
        <f>$Q$72</f>
        <v>#DIV/0!</v>
      </c>
      <c r="AZ72" s="182" t="e">
        <f>$R$72</f>
        <v>#DIV/0!</v>
      </c>
      <c r="BA72" s="182" t="e">
        <f>$S$72</f>
        <v>#DIV/0!</v>
      </c>
      <c r="BB72" s="182" t="e">
        <f>$T$72</f>
        <v>#DIV/0!</v>
      </c>
      <c r="BC72" s="182" t="e">
        <f>$U$72</f>
        <v>#DIV/0!</v>
      </c>
      <c r="BD72" s="182" t="e">
        <f>$V$72</f>
        <v>#DIV/0!</v>
      </c>
      <c r="BE72" s="182" t="e">
        <f>$W$72</f>
        <v>#DIV/0!</v>
      </c>
      <c r="BF72" s="182" t="e">
        <f>$X$72</f>
        <v>#DIV/0!</v>
      </c>
      <c r="BG72" s="182" t="e">
        <f>$Y$72</f>
        <v>#DIV/0!</v>
      </c>
      <c r="BH72" s="182" t="e">
        <f>$Z$72</f>
        <v>#DIV/0!</v>
      </c>
      <c r="BI72" s="182" t="e">
        <f>$AA$72</f>
        <v>#DIV/0!</v>
      </c>
      <c r="BJ72" s="182" t="e">
        <f>$AB$72</f>
        <v>#DIV/0!</v>
      </c>
      <c r="BK72" s="182" t="e">
        <f>$AC$72</f>
        <v>#DIV/0!</v>
      </c>
      <c r="BL72" s="182" t="e">
        <f>$AD$72</f>
        <v>#DIV/0!</v>
      </c>
      <c r="BM72" s="182" t="e">
        <f>$AE$72</f>
        <v>#DIV/0!</v>
      </c>
      <c r="BN72" s="182" t="e">
        <f>$AF$72</f>
        <v>#DIV/0!</v>
      </c>
    </row>
    <row r="73" spans="1:66">
      <c r="A73" s="69" t="s">
        <v>172</v>
      </c>
      <c r="B73" s="71" t="s">
        <v>178</v>
      </c>
      <c r="C73" s="100">
        <v>11.111111111111111</v>
      </c>
      <c r="D73" s="100">
        <v>11.363636363636363</v>
      </c>
      <c r="E73" s="100">
        <v>11.046511627906977</v>
      </c>
      <c r="F73" t="e">
        <f t="shared" si="1"/>
        <v>#DIV/0!</v>
      </c>
      <c r="G73" t="e">
        <f t="shared" si="3"/>
        <v>#DIV/0!</v>
      </c>
      <c r="H73" t="e">
        <f t="shared" si="3"/>
        <v>#DIV/0!</v>
      </c>
      <c r="I73" t="e">
        <f t="shared" si="3"/>
        <v>#DIV/0!</v>
      </c>
      <c r="J73" t="e">
        <f t="shared" si="3"/>
        <v>#DIV/0!</v>
      </c>
      <c r="K73" t="e">
        <f t="shared" si="3"/>
        <v>#DIV/0!</v>
      </c>
      <c r="L73" t="e">
        <f t="shared" si="3"/>
        <v>#DIV/0!</v>
      </c>
      <c r="M73" t="e">
        <f t="shared" si="3"/>
        <v>#DIV/0!</v>
      </c>
      <c r="N73" t="e">
        <f t="shared" si="3"/>
        <v>#DIV/0!</v>
      </c>
      <c r="O73" t="e">
        <f t="shared" si="3"/>
        <v>#DIV/0!</v>
      </c>
      <c r="P73" t="e">
        <f t="shared" si="3"/>
        <v>#DIV/0!</v>
      </c>
      <c r="Q73" t="e">
        <f t="shared" si="3"/>
        <v>#DIV/0!</v>
      </c>
      <c r="R73" t="e">
        <f t="shared" si="3"/>
        <v>#DIV/0!</v>
      </c>
      <c r="S73" t="e">
        <f t="shared" si="3"/>
        <v>#DIV/0!</v>
      </c>
      <c r="T73" t="e">
        <f t="shared" si="3"/>
        <v>#DIV/0!</v>
      </c>
      <c r="U73" t="e">
        <f t="shared" si="3"/>
        <v>#DIV/0!</v>
      </c>
      <c r="V73" t="e">
        <f t="shared" si="3"/>
        <v>#DIV/0!</v>
      </c>
      <c r="W73" t="e">
        <f t="shared" si="3"/>
        <v>#DIV/0!</v>
      </c>
      <c r="X73" t="e">
        <f t="shared" si="3"/>
        <v>#DIV/0!</v>
      </c>
      <c r="Y73" t="e">
        <f t="shared" si="3"/>
        <v>#DIV/0!</v>
      </c>
      <c r="Z73" t="e">
        <f t="shared" si="3"/>
        <v>#DIV/0!</v>
      </c>
      <c r="AA73" t="e">
        <f t="shared" si="3"/>
        <v>#DIV/0!</v>
      </c>
      <c r="AB73" t="e">
        <f t="shared" si="3"/>
        <v>#DIV/0!</v>
      </c>
      <c r="AC73" t="e">
        <f t="shared" si="3"/>
        <v>#DIV/0!</v>
      </c>
      <c r="AD73" t="e">
        <f t="shared" si="3"/>
        <v>#DIV/0!</v>
      </c>
      <c r="AE73" t="e">
        <f t="shared" si="3"/>
        <v>#DIV/0!</v>
      </c>
      <c r="AF73" t="e">
        <f t="shared" si="3"/>
        <v>#DIV/0!</v>
      </c>
      <c r="AG73" s="82"/>
      <c r="AH73" s="244" t="s">
        <v>392</v>
      </c>
      <c r="AI73" s="244" t="s">
        <v>448</v>
      </c>
      <c r="AJ73" s="82"/>
      <c r="AK73" s="182">
        <f>$C$73</f>
        <v>11.111111111111111</v>
      </c>
      <c r="AL73" s="182">
        <f>$D$73</f>
        <v>11.363636363636363</v>
      </c>
      <c r="AM73" s="182">
        <f>$E$73</f>
        <v>11.046511627906977</v>
      </c>
      <c r="AN73" s="182" t="e">
        <f>$F$73</f>
        <v>#DIV/0!</v>
      </c>
      <c r="AO73" s="182" t="e">
        <f>$G$73</f>
        <v>#DIV/0!</v>
      </c>
      <c r="AP73" s="182" t="e">
        <f>$H$73</f>
        <v>#DIV/0!</v>
      </c>
      <c r="AQ73" s="182" t="e">
        <f>$I$73</f>
        <v>#DIV/0!</v>
      </c>
      <c r="AR73" s="182" t="e">
        <f>$J$73</f>
        <v>#DIV/0!</v>
      </c>
      <c r="AS73" s="182" t="e">
        <f>$K$73</f>
        <v>#DIV/0!</v>
      </c>
      <c r="AT73" s="182" t="e">
        <f>$L$73</f>
        <v>#DIV/0!</v>
      </c>
      <c r="AU73" s="182" t="e">
        <f>$M$73</f>
        <v>#DIV/0!</v>
      </c>
      <c r="AV73" s="182" t="e">
        <f>$N$73</f>
        <v>#DIV/0!</v>
      </c>
      <c r="AW73" s="182" t="e">
        <f>$O$73</f>
        <v>#DIV/0!</v>
      </c>
      <c r="AX73" s="182" t="e">
        <f>$P$73</f>
        <v>#DIV/0!</v>
      </c>
      <c r="AY73" s="182" t="e">
        <f>$Q$73</f>
        <v>#DIV/0!</v>
      </c>
      <c r="AZ73" s="182" t="e">
        <f>$R$73</f>
        <v>#DIV/0!</v>
      </c>
      <c r="BA73" s="182" t="e">
        <f>$S$73</f>
        <v>#DIV/0!</v>
      </c>
      <c r="BB73" s="182" t="e">
        <f>$T$73</f>
        <v>#DIV/0!</v>
      </c>
      <c r="BC73" s="182" t="e">
        <f>$U$73</f>
        <v>#DIV/0!</v>
      </c>
      <c r="BD73" s="182" t="e">
        <f>$V$73</f>
        <v>#DIV/0!</v>
      </c>
      <c r="BE73" s="182" t="e">
        <f>$W$73</f>
        <v>#DIV/0!</v>
      </c>
      <c r="BF73" s="182" t="e">
        <f>$X$73</f>
        <v>#DIV/0!</v>
      </c>
      <c r="BG73" s="182" t="e">
        <f>$Y$73</f>
        <v>#DIV/0!</v>
      </c>
      <c r="BH73" s="182" t="e">
        <f>$Z$73</f>
        <v>#DIV/0!</v>
      </c>
      <c r="BI73" s="182" t="e">
        <f>$AA$73</f>
        <v>#DIV/0!</v>
      </c>
      <c r="BJ73" s="182" t="e">
        <f>$AB$73</f>
        <v>#DIV/0!</v>
      </c>
      <c r="BK73" s="182" t="e">
        <f>$AC$73</f>
        <v>#DIV/0!</v>
      </c>
      <c r="BL73" s="182" t="e">
        <f>$AD$73</f>
        <v>#DIV/0!</v>
      </c>
      <c r="BM73" s="182" t="e">
        <f>$AE$73</f>
        <v>#DIV/0!</v>
      </c>
      <c r="BN73" s="182" t="e">
        <f>$AF$73</f>
        <v>#DIV/0!</v>
      </c>
    </row>
    <row r="74" spans="1:66">
      <c r="A74" s="69" t="s">
        <v>173</v>
      </c>
      <c r="B74" s="71" t="s">
        <v>178</v>
      </c>
      <c r="C74" s="100">
        <v>8.2568807339449553</v>
      </c>
      <c r="D74" s="100">
        <v>8.7179487179487172</v>
      </c>
      <c r="E74" s="100">
        <v>8.3732057416267942</v>
      </c>
      <c r="F74" t="e">
        <f t="shared" si="1"/>
        <v>#DIV/0!</v>
      </c>
      <c r="G74" t="e">
        <f t="shared" si="3"/>
        <v>#DIV/0!</v>
      </c>
      <c r="H74" t="e">
        <f t="shared" si="3"/>
        <v>#DIV/0!</v>
      </c>
      <c r="I74" t="e">
        <f t="shared" si="3"/>
        <v>#DIV/0!</v>
      </c>
      <c r="J74" t="e">
        <f t="shared" si="3"/>
        <v>#DIV/0!</v>
      </c>
      <c r="K74" t="e">
        <f t="shared" si="3"/>
        <v>#DIV/0!</v>
      </c>
      <c r="L74" t="e">
        <f t="shared" si="3"/>
        <v>#DIV/0!</v>
      </c>
      <c r="M74" t="e">
        <f t="shared" si="3"/>
        <v>#DIV/0!</v>
      </c>
      <c r="N74" t="e">
        <f t="shared" si="3"/>
        <v>#DIV/0!</v>
      </c>
      <c r="O74" t="e">
        <f t="shared" si="3"/>
        <v>#DIV/0!</v>
      </c>
      <c r="P74" t="e">
        <f t="shared" si="3"/>
        <v>#DIV/0!</v>
      </c>
      <c r="Q74" t="e">
        <f t="shared" si="3"/>
        <v>#DIV/0!</v>
      </c>
      <c r="R74" t="e">
        <f t="shared" si="3"/>
        <v>#DIV/0!</v>
      </c>
      <c r="S74" t="e">
        <f t="shared" si="3"/>
        <v>#DIV/0!</v>
      </c>
      <c r="T74" t="e">
        <f t="shared" si="3"/>
        <v>#DIV/0!</v>
      </c>
      <c r="U74" t="e">
        <f t="shared" si="3"/>
        <v>#DIV/0!</v>
      </c>
      <c r="V74" t="e">
        <f t="shared" si="3"/>
        <v>#DIV/0!</v>
      </c>
      <c r="W74" t="e">
        <f t="shared" si="3"/>
        <v>#DIV/0!</v>
      </c>
      <c r="X74" t="e">
        <f t="shared" si="3"/>
        <v>#DIV/0!</v>
      </c>
      <c r="Y74" t="e">
        <f t="shared" si="3"/>
        <v>#DIV/0!</v>
      </c>
      <c r="Z74" t="e">
        <f t="shared" si="3"/>
        <v>#DIV/0!</v>
      </c>
      <c r="AA74" t="e">
        <f t="shared" si="3"/>
        <v>#DIV/0!</v>
      </c>
      <c r="AB74" t="e">
        <f t="shared" si="3"/>
        <v>#DIV/0!</v>
      </c>
      <c r="AC74" t="e">
        <f t="shared" si="3"/>
        <v>#DIV/0!</v>
      </c>
      <c r="AD74" t="e">
        <f t="shared" si="3"/>
        <v>#DIV/0!</v>
      </c>
      <c r="AE74" t="e">
        <f t="shared" si="3"/>
        <v>#DIV/0!</v>
      </c>
      <c r="AF74" t="e">
        <f t="shared" si="3"/>
        <v>#DIV/0!</v>
      </c>
      <c r="AG74" s="82"/>
      <c r="AH74" s="244" t="s">
        <v>393</v>
      </c>
      <c r="AI74" s="244" t="s">
        <v>449</v>
      </c>
      <c r="AJ74" s="82"/>
      <c r="AK74" s="182">
        <f>$C$74</f>
        <v>8.2568807339449553</v>
      </c>
      <c r="AL74" s="182">
        <f>$D$74</f>
        <v>8.7179487179487172</v>
      </c>
      <c r="AM74" s="182">
        <f>$E$74</f>
        <v>8.3732057416267942</v>
      </c>
      <c r="AN74" s="182" t="e">
        <f>$F$74</f>
        <v>#DIV/0!</v>
      </c>
      <c r="AO74" s="182" t="e">
        <f>$G$74</f>
        <v>#DIV/0!</v>
      </c>
      <c r="AP74" s="182" t="e">
        <f>$H$74</f>
        <v>#DIV/0!</v>
      </c>
      <c r="AQ74" s="182" t="e">
        <f>$I$74</f>
        <v>#DIV/0!</v>
      </c>
      <c r="AR74" s="182" t="e">
        <f>$J$74</f>
        <v>#DIV/0!</v>
      </c>
      <c r="AS74" s="182" t="e">
        <f>$K$74</f>
        <v>#DIV/0!</v>
      </c>
      <c r="AT74" s="182" t="e">
        <f>$L$74</f>
        <v>#DIV/0!</v>
      </c>
      <c r="AU74" s="182" t="e">
        <f>$M$74</f>
        <v>#DIV/0!</v>
      </c>
      <c r="AV74" s="182" t="e">
        <f>$N$74</f>
        <v>#DIV/0!</v>
      </c>
      <c r="AW74" s="182" t="e">
        <f>$O$74</f>
        <v>#DIV/0!</v>
      </c>
      <c r="AX74" s="182" t="e">
        <f>$P$74</f>
        <v>#DIV/0!</v>
      </c>
      <c r="AY74" s="182" t="e">
        <f>$Q$74</f>
        <v>#DIV/0!</v>
      </c>
      <c r="AZ74" s="182" t="e">
        <f>$R$74</f>
        <v>#DIV/0!</v>
      </c>
      <c r="BA74" s="182" t="e">
        <f>$S$74</f>
        <v>#DIV/0!</v>
      </c>
      <c r="BB74" s="182" t="e">
        <f>$T$74</f>
        <v>#DIV/0!</v>
      </c>
      <c r="BC74" s="182" t="e">
        <f>$U$74</f>
        <v>#DIV/0!</v>
      </c>
      <c r="BD74" s="182" t="e">
        <f>$V$74</f>
        <v>#DIV/0!</v>
      </c>
      <c r="BE74" s="182" t="e">
        <f>$W$74</f>
        <v>#DIV/0!</v>
      </c>
      <c r="BF74" s="182" t="e">
        <f>$X$74</f>
        <v>#DIV/0!</v>
      </c>
      <c r="BG74" s="182" t="e">
        <f>$Y$74</f>
        <v>#DIV/0!</v>
      </c>
      <c r="BH74" s="182" t="e">
        <f>$Z$74</f>
        <v>#DIV/0!</v>
      </c>
      <c r="BI74" s="182" t="e">
        <f>$AA$74</f>
        <v>#DIV/0!</v>
      </c>
      <c r="BJ74" s="182" t="e">
        <f>$AB$74</f>
        <v>#DIV/0!</v>
      </c>
      <c r="BK74" s="182" t="e">
        <f>$AC$74</f>
        <v>#DIV/0!</v>
      </c>
      <c r="BL74" s="182" t="e">
        <f>$AD$74</f>
        <v>#DIV/0!</v>
      </c>
      <c r="BM74" s="182" t="e">
        <f>$AE$74</f>
        <v>#DIV/0!</v>
      </c>
      <c r="BN74" s="182" t="e">
        <f>$AF$74</f>
        <v>#DIV/0!</v>
      </c>
    </row>
    <row r="75" spans="1:66">
      <c r="A75" s="69" t="s">
        <v>147</v>
      </c>
      <c r="B75" t="s">
        <v>153</v>
      </c>
      <c r="C75" s="100"/>
      <c r="E75" s="100">
        <v>10.9375</v>
      </c>
      <c r="F75" t="e">
        <f t="shared" si="1"/>
        <v>#DIV/0!</v>
      </c>
      <c r="G75" t="e">
        <f t="shared" si="3"/>
        <v>#DIV/0!</v>
      </c>
      <c r="H75" t="e">
        <f t="shared" si="3"/>
        <v>#DIV/0!</v>
      </c>
      <c r="I75" t="e">
        <f t="shared" si="3"/>
        <v>#DIV/0!</v>
      </c>
      <c r="J75" t="e">
        <f t="shared" si="3"/>
        <v>#DIV/0!</v>
      </c>
      <c r="K75" t="e">
        <f t="shared" si="3"/>
        <v>#DIV/0!</v>
      </c>
      <c r="L75" t="e">
        <f t="shared" si="3"/>
        <v>#DIV/0!</v>
      </c>
      <c r="M75" t="e">
        <f t="shared" si="3"/>
        <v>#DIV/0!</v>
      </c>
      <c r="N75" t="e">
        <f t="shared" si="3"/>
        <v>#DIV/0!</v>
      </c>
      <c r="O75" t="e">
        <f t="shared" si="3"/>
        <v>#DIV/0!</v>
      </c>
      <c r="P75" t="e">
        <f t="shared" si="3"/>
        <v>#DIV/0!</v>
      </c>
      <c r="Q75" t="e">
        <f t="shared" si="3"/>
        <v>#DIV/0!</v>
      </c>
      <c r="R75" t="e">
        <f t="shared" si="3"/>
        <v>#DIV/0!</v>
      </c>
      <c r="S75" t="e">
        <f t="shared" si="3"/>
        <v>#DIV/0!</v>
      </c>
      <c r="T75" t="e">
        <f t="shared" si="3"/>
        <v>#DIV/0!</v>
      </c>
      <c r="U75" t="e">
        <f t="shared" si="3"/>
        <v>#DIV/0!</v>
      </c>
      <c r="V75" t="e">
        <f t="shared" si="3"/>
        <v>#DIV/0!</v>
      </c>
      <c r="W75" t="e">
        <f t="shared" si="3"/>
        <v>#DIV/0!</v>
      </c>
      <c r="X75" t="e">
        <f t="shared" si="3"/>
        <v>#DIV/0!</v>
      </c>
      <c r="Y75" t="e">
        <f t="shared" si="3"/>
        <v>#DIV/0!</v>
      </c>
      <c r="Z75" t="e">
        <f t="shared" si="3"/>
        <v>#DIV/0!</v>
      </c>
      <c r="AA75" t="e">
        <f t="shared" si="3"/>
        <v>#DIV/0!</v>
      </c>
      <c r="AB75" t="e">
        <f t="shared" si="3"/>
        <v>#DIV/0!</v>
      </c>
      <c r="AC75" t="e">
        <f t="shared" si="3"/>
        <v>#DIV/0!</v>
      </c>
      <c r="AD75" t="e">
        <f t="shared" si="3"/>
        <v>#DIV/0!</v>
      </c>
      <c r="AE75" t="e">
        <f t="shared" si="3"/>
        <v>#DIV/0!</v>
      </c>
      <c r="AF75" t="e">
        <f t="shared" si="3"/>
        <v>#DIV/0!</v>
      </c>
      <c r="AG75" s="82"/>
      <c r="AH75" s="244" t="s">
        <v>394</v>
      </c>
      <c r="AI75" s="244" t="s">
        <v>450</v>
      </c>
      <c r="AJ75" s="82"/>
      <c r="AK75" s="182">
        <f>$C$75</f>
        <v>0</v>
      </c>
      <c r="AL75" s="182">
        <f>$D$75</f>
        <v>0</v>
      </c>
      <c r="AM75" s="182">
        <f>$E$75</f>
        <v>10.9375</v>
      </c>
      <c r="AN75" s="182" t="e">
        <f>$F$75</f>
        <v>#DIV/0!</v>
      </c>
      <c r="AO75" s="182" t="e">
        <f>$G$75</f>
        <v>#DIV/0!</v>
      </c>
      <c r="AP75" s="182" t="e">
        <f>$H$75</f>
        <v>#DIV/0!</v>
      </c>
      <c r="AQ75" s="182" t="e">
        <f>$I$75</f>
        <v>#DIV/0!</v>
      </c>
      <c r="AR75" s="182" t="e">
        <f>$J$75</f>
        <v>#DIV/0!</v>
      </c>
      <c r="AS75" s="182" t="e">
        <f>$K$75</f>
        <v>#DIV/0!</v>
      </c>
      <c r="AT75" s="182" t="e">
        <f>$L$75</f>
        <v>#DIV/0!</v>
      </c>
      <c r="AU75" s="182" t="e">
        <f>$M$75</f>
        <v>#DIV/0!</v>
      </c>
      <c r="AV75" s="182" t="e">
        <f>$N$75</f>
        <v>#DIV/0!</v>
      </c>
      <c r="AW75" s="182" t="e">
        <f>$O$75</f>
        <v>#DIV/0!</v>
      </c>
      <c r="AX75" s="182" t="e">
        <f>$P$75</f>
        <v>#DIV/0!</v>
      </c>
      <c r="AY75" s="182" t="e">
        <f>$Q$75</f>
        <v>#DIV/0!</v>
      </c>
      <c r="AZ75" s="182" t="e">
        <f>$R$75</f>
        <v>#DIV/0!</v>
      </c>
      <c r="BA75" s="182" t="e">
        <f>$S$75</f>
        <v>#DIV/0!</v>
      </c>
      <c r="BB75" s="182" t="e">
        <f>$T$75</f>
        <v>#DIV/0!</v>
      </c>
      <c r="BC75" s="182" t="e">
        <f>$U$75</f>
        <v>#DIV/0!</v>
      </c>
      <c r="BD75" s="182" t="e">
        <f>$V$75</f>
        <v>#DIV/0!</v>
      </c>
      <c r="BE75" s="182" t="e">
        <f>$W$75</f>
        <v>#DIV/0!</v>
      </c>
      <c r="BF75" s="182" t="e">
        <f>$X$75</f>
        <v>#DIV/0!</v>
      </c>
      <c r="BG75" s="182" t="e">
        <f>$Y$75</f>
        <v>#DIV/0!</v>
      </c>
      <c r="BH75" s="182" t="e">
        <f>$Z$75</f>
        <v>#DIV/0!</v>
      </c>
      <c r="BI75" s="182" t="e">
        <f>$AA$75</f>
        <v>#DIV/0!</v>
      </c>
      <c r="BJ75" s="182" t="e">
        <f>$AB$75</f>
        <v>#DIV/0!</v>
      </c>
      <c r="BK75" s="182" t="e">
        <f>$AC$75</f>
        <v>#DIV/0!</v>
      </c>
      <c r="BL75" s="182" t="e">
        <f>$AD$75</f>
        <v>#DIV/0!</v>
      </c>
      <c r="BM75" s="182" t="e">
        <f>$AE$75</f>
        <v>#DIV/0!</v>
      </c>
      <c r="BN75" s="182" t="e">
        <f>$AF$75</f>
        <v>#DIV/0!</v>
      </c>
    </row>
    <row r="76" spans="1:66">
      <c r="A76" s="68" t="s">
        <v>193</v>
      </c>
      <c r="B76" s="71" t="s">
        <v>162</v>
      </c>
      <c r="C76" s="100">
        <v>9.9173553719008272</v>
      </c>
      <c r="D76" s="100">
        <v>17.142857142857142</v>
      </c>
      <c r="E76" s="100">
        <v>13.617021276595745</v>
      </c>
      <c r="F76" t="e">
        <f t="shared" si="1"/>
        <v>#DIV/0!</v>
      </c>
      <c r="G76" t="e">
        <f t="shared" si="3"/>
        <v>#DIV/0!</v>
      </c>
      <c r="H76" t="e">
        <f t="shared" si="3"/>
        <v>#DIV/0!</v>
      </c>
      <c r="I76" t="e">
        <f t="shared" si="3"/>
        <v>#DIV/0!</v>
      </c>
      <c r="J76" t="e">
        <f t="shared" si="3"/>
        <v>#DIV/0!</v>
      </c>
      <c r="K76" t="e">
        <f t="shared" si="3"/>
        <v>#DIV/0!</v>
      </c>
      <c r="L76" t="e">
        <f t="shared" si="3"/>
        <v>#DIV/0!</v>
      </c>
      <c r="M76" t="e">
        <f t="shared" si="3"/>
        <v>#DIV/0!</v>
      </c>
      <c r="N76" t="e">
        <f t="shared" si="3"/>
        <v>#DIV/0!</v>
      </c>
      <c r="O76" t="e">
        <f t="shared" si="3"/>
        <v>#DIV/0!</v>
      </c>
      <c r="P76" t="e">
        <f t="shared" si="3"/>
        <v>#DIV/0!</v>
      </c>
      <c r="Q76" t="e">
        <f t="shared" si="3"/>
        <v>#DIV/0!</v>
      </c>
      <c r="R76" t="e">
        <f t="shared" si="3"/>
        <v>#DIV/0!</v>
      </c>
      <c r="S76" t="e">
        <f t="shared" si="3"/>
        <v>#DIV/0!</v>
      </c>
      <c r="T76" t="e">
        <f t="shared" si="3"/>
        <v>#DIV/0!</v>
      </c>
      <c r="U76" t="e">
        <f t="shared" si="3"/>
        <v>#DIV/0!</v>
      </c>
      <c r="V76" t="e">
        <f t="shared" si="3"/>
        <v>#DIV/0!</v>
      </c>
      <c r="W76" t="e">
        <f t="shared" si="3"/>
        <v>#DIV/0!</v>
      </c>
      <c r="X76" t="e">
        <f t="shared" si="3"/>
        <v>#DIV/0!</v>
      </c>
      <c r="Y76" t="e">
        <f t="shared" si="3"/>
        <v>#DIV/0!</v>
      </c>
      <c r="Z76" t="e">
        <f t="shared" si="3"/>
        <v>#DIV/0!</v>
      </c>
      <c r="AA76" t="e">
        <f t="shared" si="3"/>
        <v>#DIV/0!</v>
      </c>
      <c r="AB76" t="e">
        <f t="shared" si="3"/>
        <v>#DIV/0!</v>
      </c>
      <c r="AC76" t="e">
        <f t="shared" si="3"/>
        <v>#DIV/0!</v>
      </c>
      <c r="AD76" t="e">
        <f t="shared" si="3"/>
        <v>#DIV/0!</v>
      </c>
      <c r="AE76" t="e">
        <f t="shared" si="3"/>
        <v>#DIV/0!</v>
      </c>
      <c r="AF76" t="e">
        <f t="shared" si="3"/>
        <v>#DIV/0!</v>
      </c>
      <c r="AG76" s="82"/>
      <c r="AH76" s="244" t="s">
        <v>434</v>
      </c>
      <c r="AI76" s="244" t="s">
        <v>451</v>
      </c>
      <c r="AJ76" s="82"/>
      <c r="AK76" s="182">
        <f>$C$76</f>
        <v>9.9173553719008272</v>
      </c>
      <c r="AL76" s="182">
        <f>$D$76</f>
        <v>17.142857142857142</v>
      </c>
      <c r="AM76" s="182">
        <f>$E$76</f>
        <v>13.617021276595745</v>
      </c>
      <c r="AN76" s="182" t="e">
        <f>$F$76</f>
        <v>#DIV/0!</v>
      </c>
      <c r="AO76" s="182" t="e">
        <f>$G$76</f>
        <v>#DIV/0!</v>
      </c>
      <c r="AP76" s="182" t="e">
        <f>$H$76</f>
        <v>#DIV/0!</v>
      </c>
      <c r="AQ76" s="182" t="e">
        <f>$I$76</f>
        <v>#DIV/0!</v>
      </c>
      <c r="AR76" s="182" t="e">
        <f>$J$76</f>
        <v>#DIV/0!</v>
      </c>
      <c r="AS76" s="182" t="e">
        <f>$K$76</f>
        <v>#DIV/0!</v>
      </c>
      <c r="AT76" s="182" t="e">
        <f>$L$76</f>
        <v>#DIV/0!</v>
      </c>
      <c r="AU76" s="182" t="e">
        <f>$M$76</f>
        <v>#DIV/0!</v>
      </c>
      <c r="AV76" s="182" t="e">
        <f>$N$76</f>
        <v>#DIV/0!</v>
      </c>
      <c r="AW76" s="182" t="e">
        <f>$O$76</f>
        <v>#DIV/0!</v>
      </c>
      <c r="AX76" s="182" t="e">
        <f>$P$76</f>
        <v>#DIV/0!</v>
      </c>
      <c r="AY76" s="182" t="e">
        <f>$Q$76</f>
        <v>#DIV/0!</v>
      </c>
      <c r="AZ76" s="182" t="e">
        <f>$R$76</f>
        <v>#DIV/0!</v>
      </c>
      <c r="BA76" s="182" t="e">
        <f>$S$76</f>
        <v>#DIV/0!</v>
      </c>
      <c r="BB76" s="182" t="e">
        <f>$T$76</f>
        <v>#DIV/0!</v>
      </c>
      <c r="BC76" s="182" t="e">
        <f>$U$76</f>
        <v>#DIV/0!</v>
      </c>
      <c r="BD76" s="182" t="e">
        <f>$V$76</f>
        <v>#DIV/0!</v>
      </c>
      <c r="BE76" s="182" t="e">
        <f>$W$76</f>
        <v>#DIV/0!</v>
      </c>
      <c r="BF76" s="182" t="e">
        <f>$X$76</f>
        <v>#DIV/0!</v>
      </c>
      <c r="BG76" s="182" t="e">
        <f>$Y$76</f>
        <v>#DIV/0!</v>
      </c>
      <c r="BH76" s="182" t="e">
        <f>$Z$76</f>
        <v>#DIV/0!</v>
      </c>
      <c r="BI76" s="182" t="e">
        <f>$AA$76</f>
        <v>#DIV/0!</v>
      </c>
      <c r="BJ76" s="182" t="e">
        <f>$AB$76</f>
        <v>#DIV/0!</v>
      </c>
      <c r="BK76" s="182" t="e">
        <f>$AC$76</f>
        <v>#DIV/0!</v>
      </c>
      <c r="BL76" s="182" t="e">
        <f>$AD$76</f>
        <v>#DIV/0!</v>
      </c>
      <c r="BM76" s="182" t="e">
        <f>$AE$76</f>
        <v>#DIV/0!</v>
      </c>
      <c r="BN76" s="182" t="e">
        <f>$AF$76</f>
        <v>#DIV/0!</v>
      </c>
    </row>
    <row r="77" spans="1:66">
      <c r="A77" s="68" t="s">
        <v>190</v>
      </c>
      <c r="B77" t="s">
        <v>153</v>
      </c>
      <c r="C77" s="100"/>
      <c r="E77" s="100">
        <v>7.4766355140186906</v>
      </c>
      <c r="F77" t="e">
        <f t="shared" si="1"/>
        <v>#DIV/0!</v>
      </c>
      <c r="G77" t="e">
        <f t="shared" ref="G77:AF86" si="4">1/0</f>
        <v>#DIV/0!</v>
      </c>
      <c r="H77" t="e">
        <f t="shared" si="4"/>
        <v>#DIV/0!</v>
      </c>
      <c r="I77" t="e">
        <f t="shared" si="4"/>
        <v>#DIV/0!</v>
      </c>
      <c r="J77" t="e">
        <f t="shared" si="4"/>
        <v>#DIV/0!</v>
      </c>
      <c r="K77" t="e">
        <f t="shared" si="4"/>
        <v>#DIV/0!</v>
      </c>
      <c r="L77" t="e">
        <f t="shared" si="4"/>
        <v>#DIV/0!</v>
      </c>
      <c r="M77" t="e">
        <f t="shared" si="4"/>
        <v>#DIV/0!</v>
      </c>
      <c r="N77" t="e">
        <f t="shared" si="4"/>
        <v>#DIV/0!</v>
      </c>
      <c r="O77" t="e">
        <f t="shared" si="4"/>
        <v>#DIV/0!</v>
      </c>
      <c r="P77" t="e">
        <f t="shared" si="4"/>
        <v>#DIV/0!</v>
      </c>
      <c r="Q77" t="e">
        <f t="shared" si="4"/>
        <v>#DIV/0!</v>
      </c>
      <c r="R77" t="e">
        <f t="shared" si="4"/>
        <v>#DIV/0!</v>
      </c>
      <c r="S77" t="e">
        <f t="shared" si="4"/>
        <v>#DIV/0!</v>
      </c>
      <c r="T77" t="e">
        <f t="shared" si="4"/>
        <v>#DIV/0!</v>
      </c>
      <c r="U77" t="e">
        <f t="shared" si="4"/>
        <v>#DIV/0!</v>
      </c>
      <c r="V77" t="e">
        <f t="shared" si="4"/>
        <v>#DIV/0!</v>
      </c>
      <c r="W77" t="e">
        <f t="shared" si="4"/>
        <v>#DIV/0!</v>
      </c>
      <c r="X77" t="e">
        <f t="shared" si="4"/>
        <v>#DIV/0!</v>
      </c>
      <c r="Y77" t="e">
        <f t="shared" si="4"/>
        <v>#DIV/0!</v>
      </c>
      <c r="Z77" t="e">
        <f t="shared" si="4"/>
        <v>#DIV/0!</v>
      </c>
      <c r="AA77" t="e">
        <f t="shared" si="4"/>
        <v>#DIV/0!</v>
      </c>
      <c r="AB77" t="e">
        <f t="shared" si="4"/>
        <v>#DIV/0!</v>
      </c>
      <c r="AC77" t="e">
        <f t="shared" si="4"/>
        <v>#DIV/0!</v>
      </c>
      <c r="AD77" t="e">
        <f t="shared" si="4"/>
        <v>#DIV/0!</v>
      </c>
      <c r="AE77" t="e">
        <f t="shared" si="4"/>
        <v>#DIV/0!</v>
      </c>
      <c r="AF77" t="e">
        <f t="shared" si="4"/>
        <v>#DIV/0!</v>
      </c>
      <c r="AG77" s="82"/>
      <c r="AH77" s="244" t="s">
        <v>435</v>
      </c>
      <c r="AI77" s="244" t="s">
        <v>452</v>
      </c>
      <c r="AJ77" s="82"/>
      <c r="AK77" s="182">
        <f>$C$77</f>
        <v>0</v>
      </c>
      <c r="AL77" s="182">
        <f>$D$77</f>
        <v>0</v>
      </c>
      <c r="AM77" s="182">
        <f>$E$77</f>
        <v>7.4766355140186906</v>
      </c>
      <c r="AN77" s="182" t="e">
        <f>$F$77</f>
        <v>#DIV/0!</v>
      </c>
      <c r="AO77" s="182" t="e">
        <f>$G$77</f>
        <v>#DIV/0!</v>
      </c>
      <c r="AP77" s="182" t="e">
        <f>$H$77</f>
        <v>#DIV/0!</v>
      </c>
      <c r="AQ77" s="182" t="e">
        <f>$I$77</f>
        <v>#DIV/0!</v>
      </c>
      <c r="AR77" s="182" t="e">
        <f>$J$77</f>
        <v>#DIV/0!</v>
      </c>
      <c r="AS77" s="182" t="e">
        <f>$K$77</f>
        <v>#DIV/0!</v>
      </c>
      <c r="AT77" s="182" t="e">
        <f>$L$77</f>
        <v>#DIV/0!</v>
      </c>
      <c r="AU77" s="182" t="e">
        <f>$M$77</f>
        <v>#DIV/0!</v>
      </c>
      <c r="AV77" s="182" t="e">
        <f>$N$77</f>
        <v>#DIV/0!</v>
      </c>
      <c r="AW77" s="182" t="e">
        <f>$O$77</f>
        <v>#DIV/0!</v>
      </c>
      <c r="AX77" s="182" t="e">
        <f>$P$77</f>
        <v>#DIV/0!</v>
      </c>
      <c r="AY77" s="182" t="e">
        <f>$Q$77</f>
        <v>#DIV/0!</v>
      </c>
      <c r="AZ77" s="182" t="e">
        <f>$R$77</f>
        <v>#DIV/0!</v>
      </c>
      <c r="BA77" s="182" t="e">
        <f>$S$77</f>
        <v>#DIV/0!</v>
      </c>
      <c r="BB77" s="182" t="e">
        <f>$T$77</f>
        <v>#DIV/0!</v>
      </c>
      <c r="BC77" s="182" t="e">
        <f>$U$77</f>
        <v>#DIV/0!</v>
      </c>
      <c r="BD77" s="182" t="e">
        <f>$V$77</f>
        <v>#DIV/0!</v>
      </c>
      <c r="BE77" s="182" t="e">
        <f>$W$77</f>
        <v>#DIV/0!</v>
      </c>
      <c r="BF77" s="182" t="e">
        <f>$X$77</f>
        <v>#DIV/0!</v>
      </c>
      <c r="BG77" s="182" t="e">
        <f>$Y$77</f>
        <v>#DIV/0!</v>
      </c>
      <c r="BH77" s="182" t="e">
        <f>$Z$77</f>
        <v>#DIV/0!</v>
      </c>
      <c r="BI77" s="182" t="e">
        <f>$AA$77</f>
        <v>#DIV/0!</v>
      </c>
      <c r="BJ77" s="182" t="e">
        <f>$AB$77</f>
        <v>#DIV/0!</v>
      </c>
      <c r="BK77" s="182" t="e">
        <f>$AC$77</f>
        <v>#DIV/0!</v>
      </c>
      <c r="BL77" s="182" t="e">
        <f>$AD$77</f>
        <v>#DIV/0!</v>
      </c>
      <c r="BM77" s="182" t="e">
        <f>$AE$77</f>
        <v>#DIV/0!</v>
      </c>
      <c r="BN77" s="182" t="e">
        <f>$AF$77</f>
        <v>#DIV/0!</v>
      </c>
    </row>
    <row r="78" spans="1:66">
      <c r="A78" s="70" t="s">
        <v>187</v>
      </c>
      <c r="B78" s="71" t="s">
        <v>188</v>
      </c>
      <c r="C78" s="100"/>
      <c r="E78" s="100">
        <v>8.2474226804123703</v>
      </c>
      <c r="F78" t="e">
        <f t="shared" si="1"/>
        <v>#DIV/0!</v>
      </c>
      <c r="G78" t="e">
        <f t="shared" si="4"/>
        <v>#DIV/0!</v>
      </c>
      <c r="H78" t="e">
        <f t="shared" si="4"/>
        <v>#DIV/0!</v>
      </c>
      <c r="I78" t="e">
        <f t="shared" si="4"/>
        <v>#DIV/0!</v>
      </c>
      <c r="J78" t="e">
        <f t="shared" si="4"/>
        <v>#DIV/0!</v>
      </c>
      <c r="K78" t="e">
        <f t="shared" si="4"/>
        <v>#DIV/0!</v>
      </c>
      <c r="L78" t="e">
        <f t="shared" si="4"/>
        <v>#DIV/0!</v>
      </c>
      <c r="M78" t="e">
        <f t="shared" si="4"/>
        <v>#DIV/0!</v>
      </c>
      <c r="N78" t="e">
        <f t="shared" si="4"/>
        <v>#DIV/0!</v>
      </c>
      <c r="O78" t="e">
        <f t="shared" si="4"/>
        <v>#DIV/0!</v>
      </c>
      <c r="P78" t="e">
        <f t="shared" si="4"/>
        <v>#DIV/0!</v>
      </c>
      <c r="Q78" t="e">
        <f t="shared" si="4"/>
        <v>#DIV/0!</v>
      </c>
      <c r="R78" t="e">
        <f t="shared" si="4"/>
        <v>#DIV/0!</v>
      </c>
      <c r="S78" t="e">
        <f t="shared" si="4"/>
        <v>#DIV/0!</v>
      </c>
      <c r="T78" t="e">
        <f t="shared" si="4"/>
        <v>#DIV/0!</v>
      </c>
      <c r="U78" t="e">
        <f t="shared" si="4"/>
        <v>#DIV/0!</v>
      </c>
      <c r="V78" t="e">
        <f t="shared" si="4"/>
        <v>#DIV/0!</v>
      </c>
      <c r="W78" t="e">
        <f t="shared" si="4"/>
        <v>#DIV/0!</v>
      </c>
      <c r="X78" t="e">
        <f t="shared" si="4"/>
        <v>#DIV/0!</v>
      </c>
      <c r="Y78" t="e">
        <f t="shared" si="4"/>
        <v>#DIV/0!</v>
      </c>
      <c r="Z78" t="e">
        <f t="shared" si="4"/>
        <v>#DIV/0!</v>
      </c>
      <c r="AA78" t="e">
        <f t="shared" si="4"/>
        <v>#DIV/0!</v>
      </c>
      <c r="AB78" t="e">
        <f t="shared" si="4"/>
        <v>#DIV/0!</v>
      </c>
      <c r="AC78" t="e">
        <f t="shared" si="4"/>
        <v>#DIV/0!</v>
      </c>
      <c r="AD78" t="e">
        <f t="shared" si="4"/>
        <v>#DIV/0!</v>
      </c>
      <c r="AE78" t="e">
        <f t="shared" si="4"/>
        <v>#DIV/0!</v>
      </c>
      <c r="AF78" t="e">
        <f t="shared" si="4"/>
        <v>#DIV/0!</v>
      </c>
      <c r="AG78" s="82"/>
      <c r="AH78" s="244" t="s">
        <v>436</v>
      </c>
      <c r="AI78" s="244" t="s">
        <v>453</v>
      </c>
      <c r="AJ78" s="82"/>
      <c r="AK78" s="182">
        <f>$C$78</f>
        <v>0</v>
      </c>
      <c r="AL78" s="182">
        <f>$D$78</f>
        <v>0</v>
      </c>
      <c r="AM78" s="182">
        <f>$E$78</f>
        <v>8.2474226804123703</v>
      </c>
      <c r="AN78" s="182" t="e">
        <f>$F$78</f>
        <v>#DIV/0!</v>
      </c>
      <c r="AO78" s="182" t="e">
        <f>$G$78</f>
        <v>#DIV/0!</v>
      </c>
      <c r="AP78" s="182" t="e">
        <f>$H$78</f>
        <v>#DIV/0!</v>
      </c>
      <c r="AQ78" s="182" t="e">
        <f>$I$78</f>
        <v>#DIV/0!</v>
      </c>
      <c r="AR78" s="182" t="e">
        <f>$J$78</f>
        <v>#DIV/0!</v>
      </c>
      <c r="AS78" s="182" t="e">
        <f>$K$78</f>
        <v>#DIV/0!</v>
      </c>
      <c r="AT78" s="182" t="e">
        <f>$L$78</f>
        <v>#DIV/0!</v>
      </c>
      <c r="AU78" s="182" t="e">
        <f>$M$78</f>
        <v>#DIV/0!</v>
      </c>
      <c r="AV78" s="182" t="e">
        <f>$N$78</f>
        <v>#DIV/0!</v>
      </c>
      <c r="AW78" s="182" t="e">
        <f>$O$78</f>
        <v>#DIV/0!</v>
      </c>
      <c r="AX78" s="182" t="e">
        <f>$P$78</f>
        <v>#DIV/0!</v>
      </c>
      <c r="AY78" s="182" t="e">
        <f>$Q$78</f>
        <v>#DIV/0!</v>
      </c>
      <c r="AZ78" s="182" t="e">
        <f>$R$78</f>
        <v>#DIV/0!</v>
      </c>
      <c r="BA78" s="182" t="e">
        <f>$S$78</f>
        <v>#DIV/0!</v>
      </c>
      <c r="BB78" s="182" t="e">
        <f>$T$78</f>
        <v>#DIV/0!</v>
      </c>
      <c r="BC78" s="182" t="e">
        <f>$U$78</f>
        <v>#DIV/0!</v>
      </c>
      <c r="BD78" s="182" t="e">
        <f>$V$78</f>
        <v>#DIV/0!</v>
      </c>
      <c r="BE78" s="182" t="e">
        <f>$W$78</f>
        <v>#DIV/0!</v>
      </c>
      <c r="BF78" s="182" t="e">
        <f>$X$78</f>
        <v>#DIV/0!</v>
      </c>
      <c r="BG78" s="182" t="e">
        <f>$Y$78</f>
        <v>#DIV/0!</v>
      </c>
      <c r="BH78" s="182" t="e">
        <f>$Z$78</f>
        <v>#DIV/0!</v>
      </c>
      <c r="BI78" s="182" t="e">
        <f>$AA$78</f>
        <v>#DIV/0!</v>
      </c>
      <c r="BJ78" s="182" t="e">
        <f>$AB$78</f>
        <v>#DIV/0!</v>
      </c>
      <c r="BK78" s="182" t="e">
        <f>$AC$78</f>
        <v>#DIV/0!</v>
      </c>
      <c r="BL78" s="182" t="e">
        <f>$AD$78</f>
        <v>#DIV/0!</v>
      </c>
      <c r="BM78" s="182" t="e">
        <f>$AE$78</f>
        <v>#DIV/0!</v>
      </c>
      <c r="BN78" s="182" t="e">
        <f>$AF$78</f>
        <v>#DIV/0!</v>
      </c>
    </row>
    <row r="79" spans="1:66">
      <c r="A79" s="69" t="s">
        <v>145</v>
      </c>
      <c r="B79" t="s">
        <v>153</v>
      </c>
      <c r="C79" s="100">
        <v>12.76595744680851</v>
      </c>
      <c r="D79" s="100">
        <v>8.3333333333333321</v>
      </c>
      <c r="E79" s="100">
        <v>10.416666666666668</v>
      </c>
      <c r="F79" t="e">
        <f t="shared" si="1"/>
        <v>#DIV/0!</v>
      </c>
      <c r="G79" t="e">
        <f t="shared" si="4"/>
        <v>#DIV/0!</v>
      </c>
      <c r="H79" t="e">
        <f t="shared" si="4"/>
        <v>#DIV/0!</v>
      </c>
      <c r="I79" t="e">
        <f t="shared" si="4"/>
        <v>#DIV/0!</v>
      </c>
      <c r="J79" t="e">
        <f t="shared" si="4"/>
        <v>#DIV/0!</v>
      </c>
      <c r="K79" t="e">
        <f t="shared" si="4"/>
        <v>#DIV/0!</v>
      </c>
      <c r="L79" t="e">
        <f t="shared" si="4"/>
        <v>#DIV/0!</v>
      </c>
      <c r="M79" t="e">
        <f t="shared" si="4"/>
        <v>#DIV/0!</v>
      </c>
      <c r="N79" t="e">
        <f t="shared" si="4"/>
        <v>#DIV/0!</v>
      </c>
      <c r="O79" t="e">
        <f t="shared" si="4"/>
        <v>#DIV/0!</v>
      </c>
      <c r="P79" t="e">
        <f t="shared" si="4"/>
        <v>#DIV/0!</v>
      </c>
      <c r="Q79" t="e">
        <f t="shared" si="4"/>
        <v>#DIV/0!</v>
      </c>
      <c r="R79" t="e">
        <f t="shared" si="4"/>
        <v>#DIV/0!</v>
      </c>
      <c r="S79" t="e">
        <f t="shared" si="4"/>
        <v>#DIV/0!</v>
      </c>
      <c r="T79" t="e">
        <f t="shared" si="4"/>
        <v>#DIV/0!</v>
      </c>
      <c r="U79" t="e">
        <f t="shared" si="4"/>
        <v>#DIV/0!</v>
      </c>
      <c r="V79" t="e">
        <f t="shared" si="4"/>
        <v>#DIV/0!</v>
      </c>
      <c r="W79" t="e">
        <f t="shared" si="4"/>
        <v>#DIV/0!</v>
      </c>
      <c r="X79" t="e">
        <f t="shared" si="4"/>
        <v>#DIV/0!</v>
      </c>
      <c r="Y79" t="e">
        <f t="shared" si="4"/>
        <v>#DIV/0!</v>
      </c>
      <c r="Z79" t="e">
        <f t="shared" si="4"/>
        <v>#DIV/0!</v>
      </c>
      <c r="AA79" t="e">
        <f t="shared" si="4"/>
        <v>#DIV/0!</v>
      </c>
      <c r="AB79" t="e">
        <f t="shared" si="4"/>
        <v>#DIV/0!</v>
      </c>
      <c r="AC79" t="e">
        <f t="shared" si="4"/>
        <v>#DIV/0!</v>
      </c>
      <c r="AD79" t="e">
        <f t="shared" si="4"/>
        <v>#DIV/0!</v>
      </c>
      <c r="AE79" t="e">
        <f t="shared" si="4"/>
        <v>#DIV/0!</v>
      </c>
      <c r="AF79" t="e">
        <f t="shared" si="4"/>
        <v>#DIV/0!</v>
      </c>
      <c r="AG79" s="82"/>
      <c r="AH79" s="244" t="s">
        <v>437</v>
      </c>
      <c r="AI79" s="245" t="s">
        <v>454</v>
      </c>
      <c r="AJ79" s="82"/>
      <c r="AK79" s="182">
        <f>$C$79</f>
        <v>12.76595744680851</v>
      </c>
      <c r="AL79" s="182">
        <f>$D$79</f>
        <v>8.3333333333333321</v>
      </c>
      <c r="AM79" s="182">
        <f>$E$79</f>
        <v>10.416666666666668</v>
      </c>
      <c r="AN79" s="182" t="e">
        <f>$F$79</f>
        <v>#DIV/0!</v>
      </c>
      <c r="AO79" s="182" t="e">
        <f>$G$79</f>
        <v>#DIV/0!</v>
      </c>
      <c r="AP79" s="182" t="e">
        <f>$H$79</f>
        <v>#DIV/0!</v>
      </c>
      <c r="AQ79" s="182" t="e">
        <f>$I$79</f>
        <v>#DIV/0!</v>
      </c>
      <c r="AR79" s="182" t="e">
        <f>$J$79</f>
        <v>#DIV/0!</v>
      </c>
      <c r="AS79" s="182" t="e">
        <f>$K$79</f>
        <v>#DIV/0!</v>
      </c>
      <c r="AT79" s="182" t="e">
        <f>$L$79</f>
        <v>#DIV/0!</v>
      </c>
      <c r="AU79" s="182" t="e">
        <f>$M$79</f>
        <v>#DIV/0!</v>
      </c>
      <c r="AV79" s="182" t="e">
        <f>$N$79</f>
        <v>#DIV/0!</v>
      </c>
      <c r="AW79" s="182" t="e">
        <f>$O$79</f>
        <v>#DIV/0!</v>
      </c>
      <c r="AX79" s="182" t="e">
        <f>$P$79</f>
        <v>#DIV/0!</v>
      </c>
      <c r="AY79" s="182" t="e">
        <f>$Q$79</f>
        <v>#DIV/0!</v>
      </c>
      <c r="AZ79" s="182" t="e">
        <f>$R$79</f>
        <v>#DIV/0!</v>
      </c>
      <c r="BA79" s="182" t="e">
        <f>$S$79</f>
        <v>#DIV/0!</v>
      </c>
      <c r="BB79" s="182" t="e">
        <f>$T$79</f>
        <v>#DIV/0!</v>
      </c>
      <c r="BC79" s="182" t="e">
        <f>$U$79</f>
        <v>#DIV/0!</v>
      </c>
      <c r="BD79" s="182" t="e">
        <f>$V$79</f>
        <v>#DIV/0!</v>
      </c>
      <c r="BE79" s="182" t="e">
        <f>$W$79</f>
        <v>#DIV/0!</v>
      </c>
      <c r="BF79" s="182" t="e">
        <f>$X$79</f>
        <v>#DIV/0!</v>
      </c>
      <c r="BG79" s="182" t="e">
        <f>$Y$79</f>
        <v>#DIV/0!</v>
      </c>
      <c r="BH79" s="182" t="e">
        <f>$Z$79</f>
        <v>#DIV/0!</v>
      </c>
      <c r="BI79" s="182" t="e">
        <f>$AA$79</f>
        <v>#DIV/0!</v>
      </c>
      <c r="BJ79" s="182" t="e">
        <f>$AB$79</f>
        <v>#DIV/0!</v>
      </c>
      <c r="BK79" s="182" t="e">
        <f>$AC$79</f>
        <v>#DIV/0!</v>
      </c>
      <c r="BL79" s="182" t="e">
        <f>$AD$79</f>
        <v>#DIV/0!</v>
      </c>
      <c r="BM79" s="182" t="e">
        <f>$AE$79</f>
        <v>#DIV/0!</v>
      </c>
      <c r="BN79" s="182" t="e">
        <f>$AF$79</f>
        <v>#DIV/0!</v>
      </c>
    </row>
    <row r="80" spans="1:66">
      <c r="A80" s="69" t="s">
        <v>174</v>
      </c>
      <c r="B80" s="71" t="s">
        <v>178</v>
      </c>
      <c r="C80" s="100"/>
      <c r="E80" s="100">
        <v>5.9701492537313428</v>
      </c>
      <c r="F80" t="e">
        <f t="shared" si="1"/>
        <v>#DIV/0!</v>
      </c>
      <c r="G80" t="e">
        <f t="shared" si="4"/>
        <v>#DIV/0!</v>
      </c>
      <c r="H80" t="e">
        <f t="shared" si="4"/>
        <v>#DIV/0!</v>
      </c>
      <c r="I80" t="e">
        <f t="shared" si="4"/>
        <v>#DIV/0!</v>
      </c>
      <c r="J80" t="e">
        <f t="shared" si="4"/>
        <v>#DIV/0!</v>
      </c>
      <c r="K80" t="e">
        <f t="shared" si="4"/>
        <v>#DIV/0!</v>
      </c>
      <c r="L80" t="e">
        <f t="shared" si="4"/>
        <v>#DIV/0!</v>
      </c>
      <c r="M80" t="e">
        <f t="shared" si="4"/>
        <v>#DIV/0!</v>
      </c>
      <c r="N80" t="e">
        <f t="shared" si="4"/>
        <v>#DIV/0!</v>
      </c>
      <c r="O80" t="e">
        <f t="shared" si="4"/>
        <v>#DIV/0!</v>
      </c>
      <c r="P80" t="e">
        <f t="shared" si="4"/>
        <v>#DIV/0!</v>
      </c>
      <c r="Q80" t="e">
        <f t="shared" si="4"/>
        <v>#DIV/0!</v>
      </c>
      <c r="R80" t="e">
        <f t="shared" si="4"/>
        <v>#DIV/0!</v>
      </c>
      <c r="S80" t="e">
        <f t="shared" si="4"/>
        <v>#DIV/0!</v>
      </c>
      <c r="T80" t="e">
        <f t="shared" si="4"/>
        <v>#DIV/0!</v>
      </c>
      <c r="U80" t="e">
        <f t="shared" si="4"/>
        <v>#DIV/0!</v>
      </c>
      <c r="V80" t="e">
        <f t="shared" si="4"/>
        <v>#DIV/0!</v>
      </c>
      <c r="W80" t="e">
        <f t="shared" si="4"/>
        <v>#DIV/0!</v>
      </c>
      <c r="X80" t="e">
        <f t="shared" si="4"/>
        <v>#DIV/0!</v>
      </c>
      <c r="Y80" t="e">
        <f t="shared" si="4"/>
        <v>#DIV/0!</v>
      </c>
      <c r="Z80" t="e">
        <f t="shared" si="4"/>
        <v>#DIV/0!</v>
      </c>
      <c r="AA80" t="e">
        <f t="shared" si="4"/>
        <v>#DIV/0!</v>
      </c>
      <c r="AB80" t="e">
        <f t="shared" si="4"/>
        <v>#DIV/0!</v>
      </c>
      <c r="AC80" t="e">
        <f t="shared" si="4"/>
        <v>#DIV/0!</v>
      </c>
      <c r="AD80" t="e">
        <f t="shared" si="4"/>
        <v>#DIV/0!</v>
      </c>
      <c r="AE80" t="e">
        <f t="shared" si="4"/>
        <v>#DIV/0!</v>
      </c>
      <c r="AF80" t="e">
        <f t="shared" si="4"/>
        <v>#DIV/0!</v>
      </c>
      <c r="AG80" s="82"/>
      <c r="AH80" s="244" t="s">
        <v>438</v>
      </c>
      <c r="AI80" s="244" t="s">
        <v>455</v>
      </c>
      <c r="AJ80" s="82"/>
      <c r="AK80" s="182">
        <f>$C$80</f>
        <v>0</v>
      </c>
      <c r="AL80" s="182">
        <f>$D$80</f>
        <v>0</v>
      </c>
      <c r="AM80" s="182">
        <f>$E$80</f>
        <v>5.9701492537313428</v>
      </c>
      <c r="AN80" s="182" t="e">
        <f>$F$80</f>
        <v>#DIV/0!</v>
      </c>
      <c r="AO80" s="182" t="e">
        <f>$G$80</f>
        <v>#DIV/0!</v>
      </c>
      <c r="AP80" s="182" t="e">
        <f>$H$80</f>
        <v>#DIV/0!</v>
      </c>
      <c r="AQ80" s="182" t="e">
        <f>$I$80</f>
        <v>#DIV/0!</v>
      </c>
      <c r="AR80" s="182" t="e">
        <f>$J$80</f>
        <v>#DIV/0!</v>
      </c>
      <c r="AS80" s="182" t="e">
        <f>$K$80</f>
        <v>#DIV/0!</v>
      </c>
      <c r="AT80" s="182" t="e">
        <f>$L$80</f>
        <v>#DIV/0!</v>
      </c>
      <c r="AU80" s="182" t="e">
        <f>$M$80</f>
        <v>#DIV/0!</v>
      </c>
      <c r="AV80" s="182" t="e">
        <f>$N$80</f>
        <v>#DIV/0!</v>
      </c>
      <c r="AW80" s="182" t="e">
        <f>$O$80</f>
        <v>#DIV/0!</v>
      </c>
      <c r="AX80" s="182" t="e">
        <f>$P$80</f>
        <v>#DIV/0!</v>
      </c>
      <c r="AY80" s="182" t="e">
        <f>$Q$80</f>
        <v>#DIV/0!</v>
      </c>
      <c r="AZ80" s="182" t="e">
        <f>$R$80</f>
        <v>#DIV/0!</v>
      </c>
      <c r="BA80" s="182" t="e">
        <f>$S$80</f>
        <v>#DIV/0!</v>
      </c>
      <c r="BB80" s="182" t="e">
        <f>$T$80</f>
        <v>#DIV/0!</v>
      </c>
      <c r="BC80" s="182" t="e">
        <f>$U$80</f>
        <v>#DIV/0!</v>
      </c>
      <c r="BD80" s="182" t="e">
        <f>$V$80</f>
        <v>#DIV/0!</v>
      </c>
      <c r="BE80" s="182" t="e">
        <f>$W$80</f>
        <v>#DIV/0!</v>
      </c>
      <c r="BF80" s="182" t="e">
        <f>$X$80</f>
        <v>#DIV/0!</v>
      </c>
      <c r="BG80" s="182" t="e">
        <f>$Y$80</f>
        <v>#DIV/0!</v>
      </c>
      <c r="BH80" s="182" t="e">
        <f>$Z$80</f>
        <v>#DIV/0!</v>
      </c>
      <c r="BI80" s="182" t="e">
        <f>$AA$80</f>
        <v>#DIV/0!</v>
      </c>
      <c r="BJ80" s="182" t="e">
        <f>$AB$80</f>
        <v>#DIV/0!</v>
      </c>
      <c r="BK80" s="182" t="e">
        <f>$AC$80</f>
        <v>#DIV/0!</v>
      </c>
      <c r="BL80" s="182" t="e">
        <f>$AD$80</f>
        <v>#DIV/0!</v>
      </c>
      <c r="BM80" s="182" t="e">
        <f>$AE$80</f>
        <v>#DIV/0!</v>
      </c>
      <c r="BN80" s="182" t="e">
        <f>$AF$80</f>
        <v>#DIV/0!</v>
      </c>
    </row>
    <row r="81" spans="1:66">
      <c r="A81" s="69" t="s">
        <v>175</v>
      </c>
      <c r="B81" s="71" t="s">
        <v>178</v>
      </c>
      <c r="C81" s="100">
        <v>5.2631578947368416</v>
      </c>
      <c r="D81" s="100">
        <v>5.4545454545454541</v>
      </c>
      <c r="E81" s="100">
        <v>5.2631578947368416</v>
      </c>
      <c r="F81" t="e">
        <f t="shared" si="1"/>
        <v>#DIV/0!</v>
      </c>
      <c r="G81" t="e">
        <f t="shared" si="4"/>
        <v>#DIV/0!</v>
      </c>
      <c r="H81" t="e">
        <f t="shared" si="4"/>
        <v>#DIV/0!</v>
      </c>
      <c r="I81" t="e">
        <f t="shared" si="4"/>
        <v>#DIV/0!</v>
      </c>
      <c r="J81" t="e">
        <f t="shared" si="4"/>
        <v>#DIV/0!</v>
      </c>
      <c r="K81" t="e">
        <f t="shared" si="4"/>
        <v>#DIV/0!</v>
      </c>
      <c r="L81" t="e">
        <f t="shared" si="4"/>
        <v>#DIV/0!</v>
      </c>
      <c r="M81" t="e">
        <f t="shared" si="4"/>
        <v>#DIV/0!</v>
      </c>
      <c r="N81" t="e">
        <f t="shared" si="4"/>
        <v>#DIV/0!</v>
      </c>
      <c r="O81" t="e">
        <f t="shared" si="4"/>
        <v>#DIV/0!</v>
      </c>
      <c r="P81" t="e">
        <f t="shared" si="4"/>
        <v>#DIV/0!</v>
      </c>
      <c r="Q81" t="e">
        <f t="shared" si="4"/>
        <v>#DIV/0!</v>
      </c>
      <c r="R81" t="e">
        <f t="shared" si="4"/>
        <v>#DIV/0!</v>
      </c>
      <c r="S81" t="e">
        <f t="shared" si="4"/>
        <v>#DIV/0!</v>
      </c>
      <c r="T81" t="e">
        <f t="shared" si="4"/>
        <v>#DIV/0!</v>
      </c>
      <c r="U81" t="e">
        <f t="shared" si="4"/>
        <v>#DIV/0!</v>
      </c>
      <c r="V81" t="e">
        <f t="shared" si="4"/>
        <v>#DIV/0!</v>
      </c>
      <c r="W81" t="e">
        <f t="shared" si="4"/>
        <v>#DIV/0!</v>
      </c>
      <c r="X81" t="e">
        <f t="shared" si="4"/>
        <v>#DIV/0!</v>
      </c>
      <c r="Y81" t="e">
        <f t="shared" si="4"/>
        <v>#DIV/0!</v>
      </c>
      <c r="Z81" t="e">
        <f t="shared" si="4"/>
        <v>#DIV/0!</v>
      </c>
      <c r="AA81" t="e">
        <f t="shared" si="4"/>
        <v>#DIV/0!</v>
      </c>
      <c r="AB81" t="e">
        <f t="shared" si="4"/>
        <v>#DIV/0!</v>
      </c>
      <c r="AC81" t="e">
        <f t="shared" si="4"/>
        <v>#DIV/0!</v>
      </c>
      <c r="AD81" t="e">
        <f t="shared" si="4"/>
        <v>#DIV/0!</v>
      </c>
      <c r="AE81" t="e">
        <f t="shared" si="4"/>
        <v>#DIV/0!</v>
      </c>
      <c r="AF81" t="e">
        <f t="shared" si="4"/>
        <v>#DIV/0!</v>
      </c>
      <c r="AG81" s="82"/>
      <c r="AH81" s="244" t="s">
        <v>439</v>
      </c>
      <c r="AI81" s="244" t="s">
        <v>456</v>
      </c>
      <c r="AJ81" s="82"/>
      <c r="AK81" s="182">
        <f>$C$81</f>
        <v>5.2631578947368416</v>
      </c>
      <c r="AL81" s="182">
        <f>$D$81</f>
        <v>5.4545454545454541</v>
      </c>
      <c r="AM81" s="182">
        <f>$E$81</f>
        <v>5.2631578947368416</v>
      </c>
      <c r="AN81" s="182" t="e">
        <f>$F$81</f>
        <v>#DIV/0!</v>
      </c>
      <c r="AO81" s="182" t="e">
        <f>$G$81</f>
        <v>#DIV/0!</v>
      </c>
      <c r="AP81" s="182" t="e">
        <f>$H$81</f>
        <v>#DIV/0!</v>
      </c>
      <c r="AQ81" s="182" t="e">
        <f>$I$81</f>
        <v>#DIV/0!</v>
      </c>
      <c r="AR81" s="182" t="e">
        <f>$J$81</f>
        <v>#DIV/0!</v>
      </c>
      <c r="AS81" s="182" t="e">
        <f>$K$81</f>
        <v>#DIV/0!</v>
      </c>
      <c r="AT81" s="182" t="e">
        <f>$L$81</f>
        <v>#DIV/0!</v>
      </c>
      <c r="AU81" s="182" t="e">
        <f>$M$81</f>
        <v>#DIV/0!</v>
      </c>
      <c r="AV81" s="182" t="e">
        <f>$N$81</f>
        <v>#DIV/0!</v>
      </c>
      <c r="AW81" s="182" t="e">
        <f>$O$81</f>
        <v>#DIV/0!</v>
      </c>
      <c r="AX81" s="182" t="e">
        <f>$P$81</f>
        <v>#DIV/0!</v>
      </c>
      <c r="AY81" s="182" t="e">
        <f>$Q$81</f>
        <v>#DIV/0!</v>
      </c>
      <c r="AZ81" s="182" t="e">
        <f>$R$81</f>
        <v>#DIV/0!</v>
      </c>
      <c r="BA81" s="182" t="e">
        <f>$S$81</f>
        <v>#DIV/0!</v>
      </c>
      <c r="BB81" s="182" t="e">
        <f>$T$81</f>
        <v>#DIV/0!</v>
      </c>
      <c r="BC81" s="182" t="e">
        <f>$U$81</f>
        <v>#DIV/0!</v>
      </c>
      <c r="BD81" s="182" t="e">
        <f>$V$81</f>
        <v>#DIV/0!</v>
      </c>
      <c r="BE81" s="182" t="e">
        <f>$W$81</f>
        <v>#DIV/0!</v>
      </c>
      <c r="BF81" s="182" t="e">
        <f>$X$81</f>
        <v>#DIV/0!</v>
      </c>
      <c r="BG81" s="182" t="e">
        <f>$Y$81</f>
        <v>#DIV/0!</v>
      </c>
      <c r="BH81" s="182" t="e">
        <f>$Z$81</f>
        <v>#DIV/0!</v>
      </c>
      <c r="BI81" s="182" t="e">
        <f>$AA$81</f>
        <v>#DIV/0!</v>
      </c>
      <c r="BJ81" s="182" t="e">
        <f>$AB$81</f>
        <v>#DIV/0!</v>
      </c>
      <c r="BK81" s="182" t="e">
        <f>$AC$81</f>
        <v>#DIV/0!</v>
      </c>
      <c r="BL81" s="182" t="e">
        <f>$AD$81</f>
        <v>#DIV/0!</v>
      </c>
      <c r="BM81" s="182" t="e">
        <f>$AE$81</f>
        <v>#DIV/0!</v>
      </c>
      <c r="BN81" s="182" t="e">
        <f>$AF$81</f>
        <v>#DIV/0!</v>
      </c>
    </row>
    <row r="82" spans="1:66">
      <c r="A82" s="69" t="s">
        <v>161</v>
      </c>
      <c r="B82" s="71" t="s">
        <v>162</v>
      </c>
      <c r="C82" s="100">
        <v>8.6206896551724146</v>
      </c>
      <c r="D82" s="100">
        <v>30.612244897959183</v>
      </c>
      <c r="E82" s="100">
        <v>18.260869565217391</v>
      </c>
      <c r="F82" t="e">
        <f t="shared" si="1"/>
        <v>#DIV/0!</v>
      </c>
      <c r="G82" t="e">
        <f t="shared" si="4"/>
        <v>#DIV/0!</v>
      </c>
      <c r="H82" t="e">
        <f t="shared" si="4"/>
        <v>#DIV/0!</v>
      </c>
      <c r="I82" t="e">
        <f t="shared" si="4"/>
        <v>#DIV/0!</v>
      </c>
      <c r="J82" t="e">
        <f t="shared" si="4"/>
        <v>#DIV/0!</v>
      </c>
      <c r="K82" t="e">
        <f t="shared" si="4"/>
        <v>#DIV/0!</v>
      </c>
      <c r="L82" t="e">
        <f t="shared" si="4"/>
        <v>#DIV/0!</v>
      </c>
      <c r="M82" t="e">
        <f t="shared" si="4"/>
        <v>#DIV/0!</v>
      </c>
      <c r="N82" t="e">
        <f t="shared" si="4"/>
        <v>#DIV/0!</v>
      </c>
      <c r="O82" t="e">
        <f t="shared" si="4"/>
        <v>#DIV/0!</v>
      </c>
      <c r="P82" t="e">
        <f t="shared" si="4"/>
        <v>#DIV/0!</v>
      </c>
      <c r="Q82" t="e">
        <f t="shared" si="4"/>
        <v>#DIV/0!</v>
      </c>
      <c r="R82" t="e">
        <f t="shared" si="4"/>
        <v>#DIV/0!</v>
      </c>
      <c r="S82" t="e">
        <f t="shared" si="4"/>
        <v>#DIV/0!</v>
      </c>
      <c r="T82" t="e">
        <f t="shared" si="4"/>
        <v>#DIV/0!</v>
      </c>
      <c r="U82" t="e">
        <f t="shared" si="4"/>
        <v>#DIV/0!</v>
      </c>
      <c r="V82" t="e">
        <f t="shared" si="4"/>
        <v>#DIV/0!</v>
      </c>
      <c r="W82" t="e">
        <f t="shared" si="4"/>
        <v>#DIV/0!</v>
      </c>
      <c r="X82" t="e">
        <f t="shared" si="4"/>
        <v>#DIV/0!</v>
      </c>
      <c r="Y82" t="e">
        <f t="shared" si="4"/>
        <v>#DIV/0!</v>
      </c>
      <c r="Z82" t="e">
        <f t="shared" si="4"/>
        <v>#DIV/0!</v>
      </c>
      <c r="AA82" t="e">
        <f t="shared" si="4"/>
        <v>#DIV/0!</v>
      </c>
      <c r="AB82" t="e">
        <f t="shared" si="4"/>
        <v>#DIV/0!</v>
      </c>
      <c r="AC82" t="e">
        <f t="shared" si="4"/>
        <v>#DIV/0!</v>
      </c>
      <c r="AD82" t="e">
        <f t="shared" si="4"/>
        <v>#DIV/0!</v>
      </c>
      <c r="AE82" t="e">
        <f t="shared" si="4"/>
        <v>#DIV/0!</v>
      </c>
      <c r="AF82" t="e">
        <f t="shared" si="4"/>
        <v>#DIV/0!</v>
      </c>
      <c r="AG82" s="82"/>
      <c r="AH82" s="244" t="s">
        <v>440</v>
      </c>
      <c r="AI82" s="244" t="s">
        <v>457</v>
      </c>
      <c r="AJ82" s="82"/>
      <c r="AK82" s="182">
        <f>$C$82</f>
        <v>8.6206896551724146</v>
      </c>
      <c r="AL82" s="182">
        <f>$D$82</f>
        <v>30.612244897959183</v>
      </c>
      <c r="AM82" s="182">
        <f>$E$82</f>
        <v>18.260869565217391</v>
      </c>
      <c r="AN82" s="182" t="e">
        <f>$F$82</f>
        <v>#DIV/0!</v>
      </c>
      <c r="AO82" s="182" t="e">
        <f>$G$82</f>
        <v>#DIV/0!</v>
      </c>
      <c r="AP82" s="182" t="e">
        <f>$H$82</f>
        <v>#DIV/0!</v>
      </c>
      <c r="AQ82" s="182" t="e">
        <f>$I$82</f>
        <v>#DIV/0!</v>
      </c>
      <c r="AR82" s="182" t="e">
        <f>$J$82</f>
        <v>#DIV/0!</v>
      </c>
      <c r="AS82" s="182" t="e">
        <f>$K$82</f>
        <v>#DIV/0!</v>
      </c>
      <c r="AT82" s="182" t="e">
        <f>$L$82</f>
        <v>#DIV/0!</v>
      </c>
      <c r="AU82" s="182" t="e">
        <f>$M$82</f>
        <v>#DIV/0!</v>
      </c>
      <c r="AV82" s="182" t="e">
        <f>$N$82</f>
        <v>#DIV/0!</v>
      </c>
      <c r="AW82" s="182" t="e">
        <f>$O$82</f>
        <v>#DIV/0!</v>
      </c>
      <c r="AX82" s="182" t="e">
        <f>$P$82</f>
        <v>#DIV/0!</v>
      </c>
      <c r="AY82" s="182" t="e">
        <f>$Q$82</f>
        <v>#DIV/0!</v>
      </c>
      <c r="AZ82" s="182" t="e">
        <f>$R$82</f>
        <v>#DIV/0!</v>
      </c>
      <c r="BA82" s="182" t="e">
        <f>$S$82</f>
        <v>#DIV/0!</v>
      </c>
      <c r="BB82" s="182" t="e">
        <f>$T$82</f>
        <v>#DIV/0!</v>
      </c>
      <c r="BC82" s="182" t="e">
        <f>$U$82</f>
        <v>#DIV/0!</v>
      </c>
      <c r="BD82" s="182" t="e">
        <f>$V$82</f>
        <v>#DIV/0!</v>
      </c>
      <c r="BE82" s="182" t="e">
        <f>$W$82</f>
        <v>#DIV/0!</v>
      </c>
      <c r="BF82" s="182" t="e">
        <f>$X$82</f>
        <v>#DIV/0!</v>
      </c>
      <c r="BG82" s="182" t="e">
        <f>$Y$82</f>
        <v>#DIV/0!</v>
      </c>
      <c r="BH82" s="182" t="e">
        <f>$Z$82</f>
        <v>#DIV/0!</v>
      </c>
      <c r="BI82" s="182" t="e">
        <f>$AA$82</f>
        <v>#DIV/0!</v>
      </c>
      <c r="BJ82" s="182" t="e">
        <f>$AB$82</f>
        <v>#DIV/0!</v>
      </c>
      <c r="BK82" s="182" t="e">
        <f>$AC$82</f>
        <v>#DIV/0!</v>
      </c>
      <c r="BL82" s="182" t="e">
        <f>$AD$82</f>
        <v>#DIV/0!</v>
      </c>
      <c r="BM82" s="182" t="e">
        <f>$AE$82</f>
        <v>#DIV/0!</v>
      </c>
      <c r="BN82" s="182" t="e">
        <f>$AF$82</f>
        <v>#DIV/0!</v>
      </c>
    </row>
    <row r="83" spans="1:66">
      <c r="A83" s="69" t="s">
        <v>186</v>
      </c>
      <c r="B83" s="71" t="s">
        <v>188</v>
      </c>
      <c r="C83" s="100">
        <v>14.285714285714285</v>
      </c>
      <c r="D83" s="100">
        <v>8.695652173913043</v>
      </c>
      <c r="E83" s="100">
        <v>11.881188118811881</v>
      </c>
      <c r="F83" t="e">
        <f t="shared" si="1"/>
        <v>#DIV/0!</v>
      </c>
      <c r="G83" t="e">
        <f t="shared" si="4"/>
        <v>#DIV/0!</v>
      </c>
      <c r="H83" t="e">
        <f t="shared" si="4"/>
        <v>#DIV/0!</v>
      </c>
      <c r="I83" t="e">
        <f t="shared" si="4"/>
        <v>#DIV/0!</v>
      </c>
      <c r="J83" t="e">
        <f t="shared" si="4"/>
        <v>#DIV/0!</v>
      </c>
      <c r="K83" t="e">
        <f t="shared" si="4"/>
        <v>#DIV/0!</v>
      </c>
      <c r="L83" t="e">
        <f t="shared" si="4"/>
        <v>#DIV/0!</v>
      </c>
      <c r="M83" t="e">
        <f t="shared" si="4"/>
        <v>#DIV/0!</v>
      </c>
      <c r="N83" t="e">
        <f t="shared" si="4"/>
        <v>#DIV/0!</v>
      </c>
      <c r="O83" t="e">
        <f t="shared" si="4"/>
        <v>#DIV/0!</v>
      </c>
      <c r="P83" t="e">
        <f t="shared" si="4"/>
        <v>#DIV/0!</v>
      </c>
      <c r="Q83" t="e">
        <f t="shared" si="4"/>
        <v>#DIV/0!</v>
      </c>
      <c r="R83" t="e">
        <f t="shared" si="4"/>
        <v>#DIV/0!</v>
      </c>
      <c r="S83" t="e">
        <f t="shared" si="4"/>
        <v>#DIV/0!</v>
      </c>
      <c r="T83" t="e">
        <f t="shared" si="4"/>
        <v>#DIV/0!</v>
      </c>
      <c r="U83" t="e">
        <f t="shared" si="4"/>
        <v>#DIV/0!</v>
      </c>
      <c r="V83" t="e">
        <f t="shared" si="4"/>
        <v>#DIV/0!</v>
      </c>
      <c r="W83" t="e">
        <f t="shared" si="4"/>
        <v>#DIV/0!</v>
      </c>
      <c r="X83" t="e">
        <f t="shared" si="4"/>
        <v>#DIV/0!</v>
      </c>
      <c r="Y83" t="e">
        <f t="shared" si="4"/>
        <v>#DIV/0!</v>
      </c>
      <c r="Z83" t="e">
        <f t="shared" si="4"/>
        <v>#DIV/0!</v>
      </c>
      <c r="AA83" t="e">
        <f t="shared" si="4"/>
        <v>#DIV/0!</v>
      </c>
      <c r="AB83" t="e">
        <f t="shared" si="4"/>
        <v>#DIV/0!</v>
      </c>
      <c r="AC83" t="e">
        <f t="shared" si="4"/>
        <v>#DIV/0!</v>
      </c>
      <c r="AD83" t="e">
        <f t="shared" si="4"/>
        <v>#DIV/0!</v>
      </c>
      <c r="AE83" t="e">
        <f t="shared" si="4"/>
        <v>#DIV/0!</v>
      </c>
      <c r="AF83" t="e">
        <f t="shared" si="4"/>
        <v>#DIV/0!</v>
      </c>
      <c r="AG83" s="82"/>
      <c r="AH83" s="244" t="s">
        <v>441</v>
      </c>
      <c r="AI83" s="244" t="s">
        <v>458</v>
      </c>
      <c r="AJ83" s="96"/>
      <c r="AK83" s="182">
        <f>$C$83</f>
        <v>14.285714285714285</v>
      </c>
      <c r="AL83" s="182">
        <f>$D$83</f>
        <v>8.695652173913043</v>
      </c>
      <c r="AM83" s="182">
        <f>$E$83</f>
        <v>11.881188118811881</v>
      </c>
      <c r="AN83" s="182" t="e">
        <f>$F$83</f>
        <v>#DIV/0!</v>
      </c>
      <c r="AO83" s="182" t="e">
        <f>$G$83</f>
        <v>#DIV/0!</v>
      </c>
      <c r="AP83" s="182" t="e">
        <f>$H$83</f>
        <v>#DIV/0!</v>
      </c>
      <c r="AQ83" s="182" t="e">
        <f>$I$83</f>
        <v>#DIV/0!</v>
      </c>
      <c r="AR83" s="182" t="e">
        <f>$J$83</f>
        <v>#DIV/0!</v>
      </c>
      <c r="AS83" s="182" t="e">
        <f>$K$83</f>
        <v>#DIV/0!</v>
      </c>
      <c r="AT83" s="182" t="e">
        <f>$L$83</f>
        <v>#DIV/0!</v>
      </c>
      <c r="AU83" s="182" t="e">
        <f>$M$83</f>
        <v>#DIV/0!</v>
      </c>
      <c r="AV83" s="182" t="e">
        <f>$N$83</f>
        <v>#DIV/0!</v>
      </c>
      <c r="AW83" s="182" t="e">
        <f>$O$83</f>
        <v>#DIV/0!</v>
      </c>
      <c r="AX83" s="182" t="e">
        <f>$P$83</f>
        <v>#DIV/0!</v>
      </c>
      <c r="AY83" s="182" t="e">
        <f>$Q$83</f>
        <v>#DIV/0!</v>
      </c>
      <c r="AZ83" s="182" t="e">
        <f>$R$83</f>
        <v>#DIV/0!</v>
      </c>
      <c r="BA83" s="182" t="e">
        <f>$S$83</f>
        <v>#DIV/0!</v>
      </c>
      <c r="BB83" s="182" t="e">
        <f>$T$83</f>
        <v>#DIV/0!</v>
      </c>
      <c r="BC83" s="182" t="e">
        <f>$U$83</f>
        <v>#DIV/0!</v>
      </c>
      <c r="BD83" s="182" t="e">
        <f>$V$83</f>
        <v>#DIV/0!</v>
      </c>
      <c r="BE83" s="182" t="e">
        <f>$W$83</f>
        <v>#DIV/0!</v>
      </c>
      <c r="BF83" s="182" t="e">
        <f>$X$83</f>
        <v>#DIV/0!</v>
      </c>
      <c r="BG83" s="182" t="e">
        <f>$Y$83</f>
        <v>#DIV/0!</v>
      </c>
      <c r="BH83" s="182" t="e">
        <f>$Z$83</f>
        <v>#DIV/0!</v>
      </c>
      <c r="BI83" s="182" t="e">
        <f>$AA$83</f>
        <v>#DIV/0!</v>
      </c>
      <c r="BJ83" s="182" t="e">
        <f>$AB$83</f>
        <v>#DIV/0!</v>
      </c>
      <c r="BK83" s="182" t="e">
        <f>$AC$83</f>
        <v>#DIV/0!</v>
      </c>
      <c r="BL83" s="182" t="e">
        <f>$AD$83</f>
        <v>#DIV/0!</v>
      </c>
      <c r="BM83" s="182" t="e">
        <f>$AE$83</f>
        <v>#DIV/0!</v>
      </c>
      <c r="BN83" s="182" t="e">
        <f>$AF$83</f>
        <v>#DIV/0!</v>
      </c>
    </row>
    <row r="84" spans="1:66">
      <c r="A84" s="68" t="s">
        <v>191</v>
      </c>
      <c r="B84" t="s">
        <v>153</v>
      </c>
      <c r="C84" s="100">
        <v>7.3800738007380069</v>
      </c>
      <c r="D84" s="100">
        <v>9.1346153846153832</v>
      </c>
      <c r="E84" s="100">
        <v>8.5539714867617107</v>
      </c>
      <c r="F84" t="e">
        <f t="shared" si="1"/>
        <v>#DIV/0!</v>
      </c>
      <c r="G84" t="e">
        <f t="shared" si="4"/>
        <v>#DIV/0!</v>
      </c>
      <c r="H84" t="e">
        <f t="shared" si="4"/>
        <v>#DIV/0!</v>
      </c>
      <c r="I84" t="e">
        <f t="shared" si="4"/>
        <v>#DIV/0!</v>
      </c>
      <c r="J84" t="e">
        <f t="shared" si="4"/>
        <v>#DIV/0!</v>
      </c>
      <c r="K84" t="e">
        <f t="shared" si="4"/>
        <v>#DIV/0!</v>
      </c>
      <c r="L84" t="e">
        <f t="shared" si="4"/>
        <v>#DIV/0!</v>
      </c>
      <c r="M84" t="e">
        <f t="shared" si="4"/>
        <v>#DIV/0!</v>
      </c>
      <c r="N84" t="e">
        <f t="shared" si="4"/>
        <v>#DIV/0!</v>
      </c>
      <c r="O84" t="e">
        <f t="shared" si="4"/>
        <v>#DIV/0!</v>
      </c>
      <c r="P84" t="e">
        <f t="shared" si="4"/>
        <v>#DIV/0!</v>
      </c>
      <c r="Q84" t="e">
        <f t="shared" si="4"/>
        <v>#DIV/0!</v>
      </c>
      <c r="R84" t="e">
        <f t="shared" si="4"/>
        <v>#DIV/0!</v>
      </c>
      <c r="S84" t="e">
        <f t="shared" si="4"/>
        <v>#DIV/0!</v>
      </c>
      <c r="T84" t="e">
        <f t="shared" si="4"/>
        <v>#DIV/0!</v>
      </c>
      <c r="U84" t="e">
        <f t="shared" si="4"/>
        <v>#DIV/0!</v>
      </c>
      <c r="V84" t="e">
        <f t="shared" si="4"/>
        <v>#DIV/0!</v>
      </c>
      <c r="W84" t="e">
        <f t="shared" si="4"/>
        <v>#DIV/0!</v>
      </c>
      <c r="X84" t="e">
        <f t="shared" si="4"/>
        <v>#DIV/0!</v>
      </c>
      <c r="Y84" t="e">
        <f t="shared" si="4"/>
        <v>#DIV/0!</v>
      </c>
      <c r="Z84" t="e">
        <f t="shared" si="4"/>
        <v>#DIV/0!</v>
      </c>
      <c r="AA84" t="e">
        <f t="shared" si="4"/>
        <v>#DIV/0!</v>
      </c>
      <c r="AB84" t="e">
        <f t="shared" si="4"/>
        <v>#DIV/0!</v>
      </c>
      <c r="AC84" t="e">
        <f t="shared" si="4"/>
        <v>#DIV/0!</v>
      </c>
      <c r="AD84" t="e">
        <f t="shared" si="4"/>
        <v>#DIV/0!</v>
      </c>
      <c r="AE84" t="e">
        <f t="shared" si="4"/>
        <v>#DIV/0!</v>
      </c>
      <c r="AF84" t="e">
        <f t="shared" si="4"/>
        <v>#DIV/0!</v>
      </c>
      <c r="AG84" s="82"/>
      <c r="AH84" s="244" t="s">
        <v>442</v>
      </c>
      <c r="AI84" s="244" t="s">
        <v>459</v>
      </c>
      <c r="AJ84" s="96"/>
      <c r="AK84" s="182">
        <f>$C$84</f>
        <v>7.3800738007380069</v>
      </c>
      <c r="AL84" s="182">
        <f>$D$84</f>
        <v>9.1346153846153832</v>
      </c>
      <c r="AM84" s="182">
        <f>$E$84</f>
        <v>8.5539714867617107</v>
      </c>
      <c r="AN84" s="182" t="e">
        <f>$F$84</f>
        <v>#DIV/0!</v>
      </c>
      <c r="AO84" s="182" t="e">
        <f>$G$84</f>
        <v>#DIV/0!</v>
      </c>
      <c r="AP84" s="182" t="e">
        <f>$H$84</f>
        <v>#DIV/0!</v>
      </c>
      <c r="AQ84" s="182" t="e">
        <f>$I$84</f>
        <v>#DIV/0!</v>
      </c>
      <c r="AR84" s="182" t="e">
        <f>$J$84</f>
        <v>#DIV/0!</v>
      </c>
      <c r="AS84" s="182" t="e">
        <f>$K$84</f>
        <v>#DIV/0!</v>
      </c>
      <c r="AT84" s="182" t="e">
        <f>$L$84</f>
        <v>#DIV/0!</v>
      </c>
      <c r="AU84" s="182" t="e">
        <f>$M$84</f>
        <v>#DIV/0!</v>
      </c>
      <c r="AV84" s="182" t="e">
        <f>$N$84</f>
        <v>#DIV/0!</v>
      </c>
      <c r="AW84" s="182" t="e">
        <f>$O$84</f>
        <v>#DIV/0!</v>
      </c>
      <c r="AX84" s="182" t="e">
        <f>$P$84</f>
        <v>#DIV/0!</v>
      </c>
      <c r="AY84" s="182" t="e">
        <f>$Q$84</f>
        <v>#DIV/0!</v>
      </c>
      <c r="AZ84" s="182" t="e">
        <f>$R$84</f>
        <v>#DIV/0!</v>
      </c>
      <c r="BA84" s="182" t="e">
        <f>$S$84</f>
        <v>#DIV/0!</v>
      </c>
      <c r="BB84" s="182" t="e">
        <f>$T$84</f>
        <v>#DIV/0!</v>
      </c>
      <c r="BC84" s="182" t="e">
        <f>$U$84</f>
        <v>#DIV/0!</v>
      </c>
      <c r="BD84" s="182" t="e">
        <f>$V$84</f>
        <v>#DIV/0!</v>
      </c>
      <c r="BE84" s="182" t="e">
        <f>$W$84</f>
        <v>#DIV/0!</v>
      </c>
      <c r="BF84" s="182" t="e">
        <f>$X$84</f>
        <v>#DIV/0!</v>
      </c>
      <c r="BG84" s="182" t="e">
        <f>$Y$84</f>
        <v>#DIV/0!</v>
      </c>
      <c r="BH84" s="182" t="e">
        <f>$Z$84</f>
        <v>#DIV/0!</v>
      </c>
      <c r="BI84" s="182" t="e">
        <f>$AA$84</f>
        <v>#DIV/0!</v>
      </c>
      <c r="BJ84" s="182" t="e">
        <f>$AB$84</f>
        <v>#DIV/0!</v>
      </c>
      <c r="BK84" s="182" t="e">
        <f>$AC$84</f>
        <v>#DIV/0!</v>
      </c>
      <c r="BL84" s="182" t="e">
        <f>$AD$84</f>
        <v>#DIV/0!</v>
      </c>
      <c r="BM84" s="182" t="e">
        <f>$AE$84</f>
        <v>#DIV/0!</v>
      </c>
      <c r="BN84" s="182" t="e">
        <f>$AF$84</f>
        <v>#DIV/0!</v>
      </c>
    </row>
    <row r="85" spans="1:66">
      <c r="A85" s="69" t="s">
        <v>176</v>
      </c>
      <c r="B85" s="71" t="s">
        <v>178</v>
      </c>
      <c r="C85" s="100"/>
      <c r="E85" s="100">
        <v>7.6923076923076925</v>
      </c>
      <c r="F85" t="e">
        <f t="shared" si="1"/>
        <v>#DIV/0!</v>
      </c>
      <c r="G85" t="e">
        <f t="shared" si="4"/>
        <v>#DIV/0!</v>
      </c>
      <c r="H85" t="e">
        <f t="shared" si="4"/>
        <v>#DIV/0!</v>
      </c>
      <c r="I85" t="e">
        <f t="shared" si="4"/>
        <v>#DIV/0!</v>
      </c>
      <c r="J85" t="e">
        <f t="shared" si="4"/>
        <v>#DIV/0!</v>
      </c>
      <c r="K85" t="e">
        <f t="shared" si="4"/>
        <v>#DIV/0!</v>
      </c>
      <c r="L85" t="e">
        <f t="shared" si="4"/>
        <v>#DIV/0!</v>
      </c>
      <c r="M85" t="e">
        <f t="shared" si="4"/>
        <v>#DIV/0!</v>
      </c>
      <c r="N85" t="e">
        <f t="shared" si="4"/>
        <v>#DIV/0!</v>
      </c>
      <c r="O85" t="e">
        <f t="shared" si="4"/>
        <v>#DIV/0!</v>
      </c>
      <c r="P85" t="e">
        <f t="shared" si="4"/>
        <v>#DIV/0!</v>
      </c>
      <c r="Q85" t="e">
        <f t="shared" si="4"/>
        <v>#DIV/0!</v>
      </c>
      <c r="R85" t="e">
        <f t="shared" si="4"/>
        <v>#DIV/0!</v>
      </c>
      <c r="S85" t="e">
        <f t="shared" si="4"/>
        <v>#DIV/0!</v>
      </c>
      <c r="T85" t="e">
        <f t="shared" si="4"/>
        <v>#DIV/0!</v>
      </c>
      <c r="U85" t="e">
        <f t="shared" si="4"/>
        <v>#DIV/0!</v>
      </c>
      <c r="V85" t="e">
        <f t="shared" si="4"/>
        <v>#DIV/0!</v>
      </c>
      <c r="W85" t="e">
        <f t="shared" si="4"/>
        <v>#DIV/0!</v>
      </c>
      <c r="X85" t="e">
        <f t="shared" si="4"/>
        <v>#DIV/0!</v>
      </c>
      <c r="Y85" t="e">
        <f t="shared" si="4"/>
        <v>#DIV/0!</v>
      </c>
      <c r="Z85" t="e">
        <f t="shared" si="4"/>
        <v>#DIV/0!</v>
      </c>
      <c r="AA85" t="e">
        <f t="shared" si="4"/>
        <v>#DIV/0!</v>
      </c>
      <c r="AB85" t="e">
        <f t="shared" si="4"/>
        <v>#DIV/0!</v>
      </c>
      <c r="AC85" t="e">
        <f t="shared" si="4"/>
        <v>#DIV/0!</v>
      </c>
      <c r="AD85" t="e">
        <f t="shared" si="4"/>
        <v>#DIV/0!</v>
      </c>
      <c r="AE85" t="e">
        <f t="shared" si="4"/>
        <v>#DIV/0!</v>
      </c>
      <c r="AF85" t="e">
        <f t="shared" si="4"/>
        <v>#DIV/0!</v>
      </c>
      <c r="AG85" s="82"/>
      <c r="AH85" s="244" t="s">
        <v>443</v>
      </c>
      <c r="AI85" s="244" t="s">
        <v>460</v>
      </c>
      <c r="AJ85" s="96"/>
      <c r="AK85" s="182">
        <f>$C$85</f>
        <v>0</v>
      </c>
      <c r="AL85" s="182">
        <f>$D$85</f>
        <v>0</v>
      </c>
      <c r="AM85" s="182">
        <f>$E$85</f>
        <v>7.6923076923076925</v>
      </c>
      <c r="AN85" s="182" t="e">
        <f>$F$85</f>
        <v>#DIV/0!</v>
      </c>
      <c r="AO85" s="182" t="e">
        <f>$G$85</f>
        <v>#DIV/0!</v>
      </c>
      <c r="AP85" s="182" t="e">
        <f>$H$85</f>
        <v>#DIV/0!</v>
      </c>
      <c r="AQ85" s="182" t="e">
        <f>$I$85</f>
        <v>#DIV/0!</v>
      </c>
      <c r="AR85" s="182" t="e">
        <f>$J$85</f>
        <v>#DIV/0!</v>
      </c>
      <c r="AS85" s="182" t="e">
        <f>$K$85</f>
        <v>#DIV/0!</v>
      </c>
      <c r="AT85" s="182" t="e">
        <f>$L$85</f>
        <v>#DIV/0!</v>
      </c>
      <c r="AU85" s="182" t="e">
        <f>$M$85</f>
        <v>#DIV/0!</v>
      </c>
      <c r="AV85" s="182" t="e">
        <f>$N$85</f>
        <v>#DIV/0!</v>
      </c>
      <c r="AW85" s="182" t="e">
        <f>$O$85</f>
        <v>#DIV/0!</v>
      </c>
      <c r="AX85" s="182" t="e">
        <f>$P$85</f>
        <v>#DIV/0!</v>
      </c>
      <c r="AY85" s="182" t="e">
        <f>$Q$85</f>
        <v>#DIV/0!</v>
      </c>
      <c r="AZ85" s="182" t="e">
        <f>$R$85</f>
        <v>#DIV/0!</v>
      </c>
      <c r="BA85" s="182" t="e">
        <f>$S$85</f>
        <v>#DIV/0!</v>
      </c>
      <c r="BB85" s="182" t="e">
        <f>$T$85</f>
        <v>#DIV/0!</v>
      </c>
      <c r="BC85" s="182" t="e">
        <f>$U$85</f>
        <v>#DIV/0!</v>
      </c>
      <c r="BD85" s="182" t="e">
        <f>$V$85</f>
        <v>#DIV/0!</v>
      </c>
      <c r="BE85" s="182" t="e">
        <f>$W$85</f>
        <v>#DIV/0!</v>
      </c>
      <c r="BF85" s="182" t="e">
        <f>$X$85</f>
        <v>#DIV/0!</v>
      </c>
      <c r="BG85" s="182" t="e">
        <f>$Y$85</f>
        <v>#DIV/0!</v>
      </c>
      <c r="BH85" s="182" t="e">
        <f>$Z$85</f>
        <v>#DIV/0!</v>
      </c>
      <c r="BI85" s="182" t="e">
        <f>$AA$85</f>
        <v>#DIV/0!</v>
      </c>
      <c r="BJ85" s="182" t="e">
        <f>$AB$85</f>
        <v>#DIV/0!</v>
      </c>
      <c r="BK85" s="182" t="e">
        <f>$AC$85</f>
        <v>#DIV/0!</v>
      </c>
      <c r="BL85" s="182" t="e">
        <f>$AD$85</f>
        <v>#DIV/0!</v>
      </c>
      <c r="BM85" s="182" t="e">
        <f>$AE$85</f>
        <v>#DIV/0!</v>
      </c>
      <c r="BN85" s="182" t="e">
        <f>$AF$85</f>
        <v>#DIV/0!</v>
      </c>
    </row>
    <row r="86" spans="1:66">
      <c r="A86" s="69" t="s">
        <v>150</v>
      </c>
      <c r="B86" t="s">
        <v>153</v>
      </c>
      <c r="C86" s="100">
        <v>2.3166023166023164</v>
      </c>
      <c r="D86" s="100">
        <v>4.2857142857142856</v>
      </c>
      <c r="E86" s="100">
        <v>3.3613445378151261</v>
      </c>
      <c r="F86" t="e">
        <f t="shared" si="1"/>
        <v>#DIV/0!</v>
      </c>
      <c r="G86" t="e">
        <f t="shared" si="4"/>
        <v>#DIV/0!</v>
      </c>
      <c r="H86" t="e">
        <f t="shared" si="4"/>
        <v>#DIV/0!</v>
      </c>
      <c r="I86" t="e">
        <f t="shared" si="4"/>
        <v>#DIV/0!</v>
      </c>
      <c r="J86" t="e">
        <f t="shared" si="4"/>
        <v>#DIV/0!</v>
      </c>
      <c r="K86" t="e">
        <f t="shared" si="4"/>
        <v>#DIV/0!</v>
      </c>
      <c r="L86" t="e">
        <f t="shared" si="4"/>
        <v>#DIV/0!</v>
      </c>
      <c r="M86" t="e">
        <f t="shared" si="4"/>
        <v>#DIV/0!</v>
      </c>
      <c r="N86" t="e">
        <f t="shared" si="4"/>
        <v>#DIV/0!</v>
      </c>
      <c r="O86" t="e">
        <f t="shared" si="4"/>
        <v>#DIV/0!</v>
      </c>
      <c r="P86" t="e">
        <f t="shared" si="4"/>
        <v>#DIV/0!</v>
      </c>
      <c r="Q86" t="e">
        <f t="shared" si="4"/>
        <v>#DIV/0!</v>
      </c>
      <c r="R86" t="e">
        <f t="shared" si="4"/>
        <v>#DIV/0!</v>
      </c>
      <c r="S86" t="e">
        <f t="shared" si="4"/>
        <v>#DIV/0!</v>
      </c>
      <c r="T86" t="e">
        <f t="shared" si="4"/>
        <v>#DIV/0!</v>
      </c>
      <c r="U86" t="e">
        <f t="shared" si="4"/>
        <v>#DIV/0!</v>
      </c>
      <c r="V86" t="e">
        <f t="shared" si="4"/>
        <v>#DIV/0!</v>
      </c>
      <c r="W86" t="e">
        <f t="shared" si="4"/>
        <v>#DIV/0!</v>
      </c>
      <c r="X86" t="e">
        <f t="shared" si="4"/>
        <v>#DIV/0!</v>
      </c>
      <c r="Y86" t="e">
        <f t="shared" si="4"/>
        <v>#DIV/0!</v>
      </c>
      <c r="Z86" t="e">
        <f t="shared" si="4"/>
        <v>#DIV/0!</v>
      </c>
      <c r="AA86" t="e">
        <f t="shared" si="4"/>
        <v>#DIV/0!</v>
      </c>
      <c r="AB86" t="e">
        <f t="shared" ref="G86:AF92" si="5">1/0</f>
        <v>#DIV/0!</v>
      </c>
      <c r="AC86" t="e">
        <f t="shared" si="5"/>
        <v>#DIV/0!</v>
      </c>
      <c r="AD86" t="e">
        <f t="shared" si="5"/>
        <v>#DIV/0!</v>
      </c>
      <c r="AE86" t="e">
        <f t="shared" si="5"/>
        <v>#DIV/0!</v>
      </c>
      <c r="AF86" t="e">
        <f t="shared" si="5"/>
        <v>#DIV/0!</v>
      </c>
      <c r="AG86" s="82"/>
      <c r="AH86" s="244" t="s">
        <v>444</v>
      </c>
      <c r="AI86" s="245" t="s">
        <v>461</v>
      </c>
      <c r="AJ86" s="96"/>
      <c r="AK86" s="182">
        <f>$C$86</f>
        <v>2.3166023166023164</v>
      </c>
      <c r="AL86" s="182">
        <f>$D$86</f>
        <v>4.2857142857142856</v>
      </c>
      <c r="AM86" s="182">
        <f>$E$86</f>
        <v>3.3613445378151261</v>
      </c>
      <c r="AN86" s="182" t="e">
        <f>$F$86</f>
        <v>#DIV/0!</v>
      </c>
      <c r="AO86" s="182" t="e">
        <f>$G$86</f>
        <v>#DIV/0!</v>
      </c>
      <c r="AP86" s="182" t="e">
        <f>$H$86</f>
        <v>#DIV/0!</v>
      </c>
      <c r="AQ86" s="182" t="e">
        <f>$I$86</f>
        <v>#DIV/0!</v>
      </c>
      <c r="AR86" s="182" t="e">
        <f>$J$86</f>
        <v>#DIV/0!</v>
      </c>
      <c r="AS86" s="182" t="e">
        <f>$K$86</f>
        <v>#DIV/0!</v>
      </c>
      <c r="AT86" s="182" t="e">
        <f>$L$86</f>
        <v>#DIV/0!</v>
      </c>
      <c r="AU86" s="182" t="e">
        <f>$M$86</f>
        <v>#DIV/0!</v>
      </c>
      <c r="AV86" s="182" t="e">
        <f>$N$86</f>
        <v>#DIV/0!</v>
      </c>
      <c r="AW86" s="182" t="e">
        <f>$O$86</f>
        <v>#DIV/0!</v>
      </c>
      <c r="AX86" s="182" t="e">
        <f>$P$86</f>
        <v>#DIV/0!</v>
      </c>
      <c r="AY86" s="182" t="e">
        <f>$Q$86</f>
        <v>#DIV/0!</v>
      </c>
      <c r="AZ86" s="182" t="e">
        <f>$R$86</f>
        <v>#DIV/0!</v>
      </c>
      <c r="BA86" s="182" t="e">
        <f>$S$86</f>
        <v>#DIV/0!</v>
      </c>
      <c r="BB86" s="182" t="e">
        <f>$T$86</f>
        <v>#DIV/0!</v>
      </c>
      <c r="BC86" s="182" t="e">
        <f>$U$86</f>
        <v>#DIV/0!</v>
      </c>
      <c r="BD86" s="182" t="e">
        <f>$V$86</f>
        <v>#DIV/0!</v>
      </c>
      <c r="BE86" s="182" t="e">
        <f>$W$86</f>
        <v>#DIV/0!</v>
      </c>
      <c r="BF86" s="182" t="e">
        <f>$X$86</f>
        <v>#DIV/0!</v>
      </c>
      <c r="BG86" s="182" t="e">
        <f>$Y$86</f>
        <v>#DIV/0!</v>
      </c>
      <c r="BH86" s="182" t="e">
        <f>$Z$86</f>
        <v>#DIV/0!</v>
      </c>
      <c r="BI86" s="182" t="e">
        <f>$AA$86</f>
        <v>#DIV/0!</v>
      </c>
      <c r="BJ86" s="182" t="e">
        <f>$AB$86</f>
        <v>#DIV/0!</v>
      </c>
      <c r="BK86" s="182" t="e">
        <f>$AC$86</f>
        <v>#DIV/0!</v>
      </c>
      <c r="BL86" s="182" t="e">
        <f>$AD$86</f>
        <v>#DIV/0!</v>
      </c>
      <c r="BM86" s="182" t="e">
        <f>$AE$86</f>
        <v>#DIV/0!</v>
      </c>
      <c r="BN86" s="182" t="e">
        <f>$AF$86</f>
        <v>#DIV/0!</v>
      </c>
    </row>
    <row r="87" spans="1:66">
      <c r="A87" s="69" t="s">
        <v>183</v>
      </c>
      <c r="B87" s="71" t="s">
        <v>188</v>
      </c>
      <c r="C87" s="100">
        <v>8.7719298245614024</v>
      </c>
      <c r="D87" s="100">
        <v>11</v>
      </c>
      <c r="E87" s="100">
        <v>9.6330275229357802</v>
      </c>
      <c r="F87" t="e">
        <f t="shared" si="1"/>
        <v>#DIV/0!</v>
      </c>
      <c r="G87" t="e">
        <f t="shared" si="5"/>
        <v>#DIV/0!</v>
      </c>
      <c r="H87" t="e">
        <f t="shared" si="5"/>
        <v>#DIV/0!</v>
      </c>
      <c r="I87" t="e">
        <f t="shared" si="5"/>
        <v>#DIV/0!</v>
      </c>
      <c r="J87" t="e">
        <f t="shared" si="5"/>
        <v>#DIV/0!</v>
      </c>
      <c r="K87" t="e">
        <f t="shared" si="5"/>
        <v>#DIV/0!</v>
      </c>
      <c r="L87" t="e">
        <f t="shared" si="5"/>
        <v>#DIV/0!</v>
      </c>
      <c r="M87" t="e">
        <f t="shared" si="5"/>
        <v>#DIV/0!</v>
      </c>
      <c r="N87" t="e">
        <f t="shared" si="5"/>
        <v>#DIV/0!</v>
      </c>
      <c r="O87" t="e">
        <f t="shared" si="5"/>
        <v>#DIV/0!</v>
      </c>
      <c r="P87" t="e">
        <f t="shared" si="5"/>
        <v>#DIV/0!</v>
      </c>
      <c r="Q87" t="e">
        <f t="shared" si="5"/>
        <v>#DIV/0!</v>
      </c>
      <c r="R87" t="e">
        <f t="shared" si="5"/>
        <v>#DIV/0!</v>
      </c>
      <c r="S87" t="e">
        <f t="shared" si="5"/>
        <v>#DIV/0!</v>
      </c>
      <c r="T87" t="e">
        <f t="shared" si="5"/>
        <v>#DIV/0!</v>
      </c>
      <c r="U87" t="e">
        <f t="shared" si="5"/>
        <v>#DIV/0!</v>
      </c>
      <c r="V87" t="e">
        <f t="shared" si="5"/>
        <v>#DIV/0!</v>
      </c>
      <c r="W87" t="e">
        <f t="shared" si="5"/>
        <v>#DIV/0!</v>
      </c>
      <c r="X87" t="e">
        <f t="shared" si="5"/>
        <v>#DIV/0!</v>
      </c>
      <c r="Y87" t="e">
        <f t="shared" si="5"/>
        <v>#DIV/0!</v>
      </c>
      <c r="Z87" t="e">
        <f t="shared" si="5"/>
        <v>#DIV/0!</v>
      </c>
      <c r="AA87" t="e">
        <f t="shared" si="5"/>
        <v>#DIV/0!</v>
      </c>
      <c r="AB87" t="e">
        <f t="shared" si="5"/>
        <v>#DIV/0!</v>
      </c>
      <c r="AC87" t="e">
        <f t="shared" si="5"/>
        <v>#DIV/0!</v>
      </c>
      <c r="AD87" t="e">
        <f t="shared" si="5"/>
        <v>#DIV/0!</v>
      </c>
      <c r="AE87" t="e">
        <f t="shared" si="5"/>
        <v>#DIV/0!</v>
      </c>
      <c r="AF87" t="e">
        <f t="shared" si="5"/>
        <v>#DIV/0!</v>
      </c>
      <c r="AG87" s="82"/>
      <c r="AH87" s="244" t="s">
        <v>445</v>
      </c>
      <c r="AI87" s="244" t="s">
        <v>462</v>
      </c>
      <c r="AJ87" s="96"/>
      <c r="AK87" s="182">
        <f>$C$87</f>
        <v>8.7719298245614024</v>
      </c>
      <c r="AL87" s="182">
        <f>$D$87</f>
        <v>11</v>
      </c>
      <c r="AM87" s="182">
        <f>$E$87</f>
        <v>9.6330275229357802</v>
      </c>
      <c r="AN87" s="182" t="e">
        <f>$F$87</f>
        <v>#DIV/0!</v>
      </c>
      <c r="AO87" s="182" t="e">
        <f>$G$87</f>
        <v>#DIV/0!</v>
      </c>
      <c r="AP87" s="182" t="e">
        <f>$H$87</f>
        <v>#DIV/0!</v>
      </c>
      <c r="AQ87" s="182" t="e">
        <f>$I$87</f>
        <v>#DIV/0!</v>
      </c>
      <c r="AR87" s="182" t="e">
        <f>$J$87</f>
        <v>#DIV/0!</v>
      </c>
      <c r="AS87" s="182" t="e">
        <f>$K$87</f>
        <v>#DIV/0!</v>
      </c>
      <c r="AT87" s="182" t="e">
        <f>$L$87</f>
        <v>#DIV/0!</v>
      </c>
      <c r="AU87" s="182" t="e">
        <f>$M$87</f>
        <v>#DIV/0!</v>
      </c>
      <c r="AV87" s="182" t="e">
        <f>$N$87</f>
        <v>#DIV/0!</v>
      </c>
      <c r="AW87" s="182" t="e">
        <f>$O$87</f>
        <v>#DIV/0!</v>
      </c>
      <c r="AX87" s="182" t="e">
        <f>$P$87</f>
        <v>#DIV/0!</v>
      </c>
      <c r="AY87" s="182" t="e">
        <f>$Q$87</f>
        <v>#DIV/0!</v>
      </c>
      <c r="AZ87" s="182" t="e">
        <f>$R$87</f>
        <v>#DIV/0!</v>
      </c>
      <c r="BA87" s="182" t="e">
        <f>$S$87</f>
        <v>#DIV/0!</v>
      </c>
      <c r="BB87" s="182" t="e">
        <f>$T$87</f>
        <v>#DIV/0!</v>
      </c>
      <c r="BC87" s="182" t="e">
        <f>$U$87</f>
        <v>#DIV/0!</v>
      </c>
      <c r="BD87" s="182" t="e">
        <f>$V$87</f>
        <v>#DIV/0!</v>
      </c>
      <c r="BE87" s="182" t="e">
        <f>$W$87</f>
        <v>#DIV/0!</v>
      </c>
      <c r="BF87" s="182" t="e">
        <f>$X$87</f>
        <v>#DIV/0!</v>
      </c>
      <c r="BG87" s="182" t="e">
        <f>$Y$87</f>
        <v>#DIV/0!</v>
      </c>
      <c r="BH87" s="182" t="e">
        <f>$Z$87</f>
        <v>#DIV/0!</v>
      </c>
      <c r="BI87" s="182" t="e">
        <f>$AA$87</f>
        <v>#DIV/0!</v>
      </c>
      <c r="BJ87" s="182" t="e">
        <f>$AB$87</f>
        <v>#DIV/0!</v>
      </c>
      <c r="BK87" s="182" t="e">
        <f>$AC$87</f>
        <v>#DIV/0!</v>
      </c>
      <c r="BL87" s="182" t="e">
        <f>$AD$87</f>
        <v>#DIV/0!</v>
      </c>
      <c r="BM87" s="182" t="e">
        <f>$AE$87</f>
        <v>#DIV/0!</v>
      </c>
      <c r="BN87" s="182" t="e">
        <f>$AF$87</f>
        <v>#DIV/0!</v>
      </c>
    </row>
    <row r="88" spans="1:66">
      <c r="A88" s="69" t="s">
        <v>177</v>
      </c>
      <c r="B88" s="71" t="s">
        <v>178</v>
      </c>
      <c r="C88" s="100">
        <v>9.2307692307692317</v>
      </c>
      <c r="D88" s="100">
        <v>10</v>
      </c>
      <c r="E88" s="100">
        <v>10.256410256410255</v>
      </c>
      <c r="F88" t="e">
        <f t="shared" si="1"/>
        <v>#DIV/0!</v>
      </c>
      <c r="G88" t="e">
        <f t="shared" si="5"/>
        <v>#DIV/0!</v>
      </c>
      <c r="H88" t="e">
        <f t="shared" si="5"/>
        <v>#DIV/0!</v>
      </c>
      <c r="I88" t="e">
        <f t="shared" si="5"/>
        <v>#DIV/0!</v>
      </c>
      <c r="J88" t="e">
        <f t="shared" si="5"/>
        <v>#DIV/0!</v>
      </c>
      <c r="K88" t="e">
        <f t="shared" si="5"/>
        <v>#DIV/0!</v>
      </c>
      <c r="L88" t="e">
        <f t="shared" si="5"/>
        <v>#DIV/0!</v>
      </c>
      <c r="M88" t="e">
        <f t="shared" si="5"/>
        <v>#DIV/0!</v>
      </c>
      <c r="N88" t="e">
        <f t="shared" si="5"/>
        <v>#DIV/0!</v>
      </c>
      <c r="O88" t="e">
        <f t="shared" si="5"/>
        <v>#DIV/0!</v>
      </c>
      <c r="P88" t="e">
        <f t="shared" si="5"/>
        <v>#DIV/0!</v>
      </c>
      <c r="Q88" t="e">
        <f t="shared" si="5"/>
        <v>#DIV/0!</v>
      </c>
      <c r="R88" t="e">
        <f t="shared" si="5"/>
        <v>#DIV/0!</v>
      </c>
      <c r="S88" t="e">
        <f t="shared" si="5"/>
        <v>#DIV/0!</v>
      </c>
      <c r="T88" t="e">
        <f t="shared" si="5"/>
        <v>#DIV/0!</v>
      </c>
      <c r="U88" t="e">
        <f t="shared" si="5"/>
        <v>#DIV/0!</v>
      </c>
      <c r="V88" t="e">
        <f t="shared" si="5"/>
        <v>#DIV/0!</v>
      </c>
      <c r="W88" t="e">
        <f t="shared" si="5"/>
        <v>#DIV/0!</v>
      </c>
      <c r="X88" t="e">
        <f t="shared" si="5"/>
        <v>#DIV/0!</v>
      </c>
      <c r="Y88" t="e">
        <f t="shared" si="5"/>
        <v>#DIV/0!</v>
      </c>
      <c r="Z88" t="e">
        <f t="shared" si="5"/>
        <v>#DIV/0!</v>
      </c>
      <c r="AA88" t="e">
        <f t="shared" si="5"/>
        <v>#DIV/0!</v>
      </c>
      <c r="AB88" t="e">
        <f t="shared" si="5"/>
        <v>#DIV/0!</v>
      </c>
      <c r="AC88" t="e">
        <f t="shared" si="5"/>
        <v>#DIV/0!</v>
      </c>
      <c r="AD88" t="e">
        <f t="shared" si="5"/>
        <v>#DIV/0!</v>
      </c>
      <c r="AE88" t="e">
        <f t="shared" si="5"/>
        <v>#DIV/0!</v>
      </c>
      <c r="AF88" t="e">
        <f t="shared" si="5"/>
        <v>#DIV/0!</v>
      </c>
      <c r="AG88" s="82"/>
      <c r="AH88" s="246" t="s">
        <v>446</v>
      </c>
      <c r="AI88" s="244" t="s">
        <v>463</v>
      </c>
      <c r="AJ88" s="96"/>
      <c r="AK88" s="182">
        <f>$C$88</f>
        <v>9.2307692307692317</v>
      </c>
      <c r="AL88" s="182">
        <f>$D$88</f>
        <v>10</v>
      </c>
      <c r="AM88" s="182">
        <f>$E$88</f>
        <v>10.256410256410255</v>
      </c>
      <c r="AN88" s="182" t="e">
        <f>$F$88</f>
        <v>#DIV/0!</v>
      </c>
      <c r="AO88" s="182" t="e">
        <f>$G$88</f>
        <v>#DIV/0!</v>
      </c>
      <c r="AP88" s="182" t="e">
        <f>$H$88</f>
        <v>#DIV/0!</v>
      </c>
      <c r="AQ88" s="182" t="e">
        <f>$I$88</f>
        <v>#DIV/0!</v>
      </c>
      <c r="AR88" s="182" t="e">
        <f>$J$88</f>
        <v>#DIV/0!</v>
      </c>
      <c r="AS88" s="182" t="e">
        <f>$K$88</f>
        <v>#DIV/0!</v>
      </c>
      <c r="AT88" s="182" t="e">
        <f>$L$88</f>
        <v>#DIV/0!</v>
      </c>
      <c r="AU88" s="182" t="e">
        <f>$M$88</f>
        <v>#DIV/0!</v>
      </c>
      <c r="AV88" s="182" t="e">
        <f>$N$88</f>
        <v>#DIV/0!</v>
      </c>
      <c r="AW88" s="182" t="e">
        <f>$O$88</f>
        <v>#DIV/0!</v>
      </c>
      <c r="AX88" s="182" t="e">
        <f>$P$88</f>
        <v>#DIV/0!</v>
      </c>
      <c r="AY88" s="182" t="e">
        <f>$Q$88</f>
        <v>#DIV/0!</v>
      </c>
      <c r="AZ88" s="182" t="e">
        <f>$R$88</f>
        <v>#DIV/0!</v>
      </c>
      <c r="BA88" s="182" t="e">
        <f>$S$88</f>
        <v>#DIV/0!</v>
      </c>
      <c r="BB88" s="182" t="e">
        <f>$T$88</f>
        <v>#DIV/0!</v>
      </c>
      <c r="BC88" s="182" t="e">
        <f>$U$88</f>
        <v>#DIV/0!</v>
      </c>
      <c r="BD88" s="182" t="e">
        <f>$V$88</f>
        <v>#DIV/0!</v>
      </c>
      <c r="BE88" s="182" t="e">
        <f>$W$88</f>
        <v>#DIV/0!</v>
      </c>
      <c r="BF88" s="182" t="e">
        <f>$X$88</f>
        <v>#DIV/0!</v>
      </c>
      <c r="BG88" s="182" t="e">
        <f>$Y$88</f>
        <v>#DIV/0!</v>
      </c>
      <c r="BH88" s="182" t="e">
        <f>$Z$88</f>
        <v>#DIV/0!</v>
      </c>
      <c r="BI88" s="182" t="e">
        <f>$AA$88</f>
        <v>#DIV/0!</v>
      </c>
      <c r="BJ88" s="182" t="e">
        <f>$AB$88</f>
        <v>#DIV/0!</v>
      </c>
      <c r="BK88" s="182" t="e">
        <f>$AC$88</f>
        <v>#DIV/0!</v>
      </c>
      <c r="BL88" s="182" t="e">
        <f>$AD$88</f>
        <v>#DIV/0!</v>
      </c>
      <c r="BM88" s="182" t="e">
        <f>$AE$88</f>
        <v>#DIV/0!</v>
      </c>
      <c r="BN88" s="182" t="e">
        <f>$AF$88</f>
        <v>#DIV/0!</v>
      </c>
    </row>
    <row r="89" spans="1:66">
      <c r="A89" s="69" t="s">
        <v>180</v>
      </c>
      <c r="B89" s="71" t="s">
        <v>188</v>
      </c>
      <c r="C89" s="100"/>
      <c r="E89" s="100">
        <v>14.000000000000002</v>
      </c>
      <c r="F89" t="e">
        <f t="shared" si="1"/>
        <v>#DIV/0!</v>
      </c>
      <c r="G89" t="e">
        <f t="shared" si="5"/>
        <v>#DIV/0!</v>
      </c>
      <c r="H89" t="e">
        <f t="shared" si="5"/>
        <v>#DIV/0!</v>
      </c>
      <c r="I89" t="e">
        <f t="shared" si="5"/>
        <v>#DIV/0!</v>
      </c>
      <c r="J89" t="e">
        <f t="shared" si="5"/>
        <v>#DIV/0!</v>
      </c>
      <c r="K89" t="e">
        <f t="shared" si="5"/>
        <v>#DIV/0!</v>
      </c>
      <c r="L89" t="e">
        <f t="shared" si="5"/>
        <v>#DIV/0!</v>
      </c>
      <c r="M89" t="e">
        <f t="shared" si="5"/>
        <v>#DIV/0!</v>
      </c>
      <c r="N89" t="e">
        <f t="shared" si="5"/>
        <v>#DIV/0!</v>
      </c>
      <c r="O89" t="e">
        <f t="shared" si="5"/>
        <v>#DIV/0!</v>
      </c>
      <c r="P89" t="e">
        <f t="shared" si="5"/>
        <v>#DIV/0!</v>
      </c>
      <c r="Q89" t="e">
        <f t="shared" si="5"/>
        <v>#DIV/0!</v>
      </c>
      <c r="R89" t="e">
        <f t="shared" si="5"/>
        <v>#DIV/0!</v>
      </c>
      <c r="S89" t="e">
        <f t="shared" si="5"/>
        <v>#DIV/0!</v>
      </c>
      <c r="T89" t="e">
        <f t="shared" si="5"/>
        <v>#DIV/0!</v>
      </c>
      <c r="U89" t="e">
        <f t="shared" si="5"/>
        <v>#DIV/0!</v>
      </c>
      <c r="V89" t="e">
        <f t="shared" si="5"/>
        <v>#DIV/0!</v>
      </c>
      <c r="W89" t="e">
        <f t="shared" si="5"/>
        <v>#DIV/0!</v>
      </c>
      <c r="X89" t="e">
        <f t="shared" si="5"/>
        <v>#DIV/0!</v>
      </c>
      <c r="Y89" t="e">
        <f t="shared" si="5"/>
        <v>#DIV/0!</v>
      </c>
      <c r="Z89" t="e">
        <f t="shared" si="5"/>
        <v>#DIV/0!</v>
      </c>
      <c r="AA89" t="e">
        <f t="shared" si="5"/>
        <v>#DIV/0!</v>
      </c>
      <c r="AB89" t="e">
        <f t="shared" si="5"/>
        <v>#DIV/0!</v>
      </c>
      <c r="AC89" t="e">
        <f t="shared" si="5"/>
        <v>#DIV/0!</v>
      </c>
      <c r="AD89" t="e">
        <f t="shared" si="5"/>
        <v>#DIV/0!</v>
      </c>
      <c r="AE89" t="e">
        <f t="shared" si="5"/>
        <v>#DIV/0!</v>
      </c>
      <c r="AF89" t="e">
        <f t="shared" si="5"/>
        <v>#DIV/0!</v>
      </c>
      <c r="AG89" s="82"/>
      <c r="AH89" s="247" t="s">
        <v>447</v>
      </c>
      <c r="AI89" s="244" t="s">
        <v>464</v>
      </c>
      <c r="AJ89" s="96"/>
      <c r="AK89" s="182">
        <f>$C$89</f>
        <v>0</v>
      </c>
      <c r="AL89" s="182">
        <f>$D$89</f>
        <v>0</v>
      </c>
      <c r="AM89" s="182">
        <f>$E$89</f>
        <v>14.000000000000002</v>
      </c>
      <c r="AN89" s="182" t="e">
        <f>$F$89</f>
        <v>#DIV/0!</v>
      </c>
      <c r="AO89" s="182" t="e">
        <f>$G$89</f>
        <v>#DIV/0!</v>
      </c>
      <c r="AP89" s="182" t="e">
        <f>$H$89</f>
        <v>#DIV/0!</v>
      </c>
      <c r="AQ89" s="182" t="e">
        <f>$I$89</f>
        <v>#DIV/0!</v>
      </c>
      <c r="AR89" s="182" t="e">
        <f>$J$89</f>
        <v>#DIV/0!</v>
      </c>
      <c r="AS89" s="182" t="e">
        <f>$K$89</f>
        <v>#DIV/0!</v>
      </c>
      <c r="AT89" s="182" t="e">
        <f>$L$89</f>
        <v>#DIV/0!</v>
      </c>
      <c r="AU89" s="182" t="e">
        <f>$M$89</f>
        <v>#DIV/0!</v>
      </c>
      <c r="AV89" s="182" t="e">
        <f>$N$89</f>
        <v>#DIV/0!</v>
      </c>
      <c r="AW89" s="182" t="e">
        <f>$O$89</f>
        <v>#DIV/0!</v>
      </c>
      <c r="AX89" s="182" t="e">
        <f>$P$89</f>
        <v>#DIV/0!</v>
      </c>
      <c r="AY89" s="182" t="e">
        <f>$Q$89</f>
        <v>#DIV/0!</v>
      </c>
      <c r="AZ89" s="182" t="e">
        <f>$R$89</f>
        <v>#DIV/0!</v>
      </c>
      <c r="BA89" s="182" t="e">
        <f>$S$89</f>
        <v>#DIV/0!</v>
      </c>
      <c r="BB89" s="182" t="e">
        <f>$T$89</f>
        <v>#DIV/0!</v>
      </c>
      <c r="BC89" s="182" t="e">
        <f>$U$89</f>
        <v>#DIV/0!</v>
      </c>
      <c r="BD89" s="182" t="e">
        <f>$V$89</f>
        <v>#DIV/0!</v>
      </c>
      <c r="BE89" s="182" t="e">
        <f>$W$89</f>
        <v>#DIV/0!</v>
      </c>
      <c r="BF89" s="182" t="e">
        <f>$X$89</f>
        <v>#DIV/0!</v>
      </c>
      <c r="BG89" s="182" t="e">
        <f>$Y$89</f>
        <v>#DIV/0!</v>
      </c>
      <c r="BH89" s="182" t="e">
        <f>$Z$89</f>
        <v>#DIV/0!</v>
      </c>
      <c r="BI89" s="182" t="e">
        <f>$AA$89</f>
        <v>#DIV/0!</v>
      </c>
      <c r="BJ89" s="182" t="e">
        <f>$AB$89</f>
        <v>#DIV/0!</v>
      </c>
      <c r="BK89" s="182" t="e">
        <f>$AC$89</f>
        <v>#DIV/0!</v>
      </c>
      <c r="BL89" s="182" t="e">
        <f>$AD$89</f>
        <v>#DIV/0!</v>
      </c>
      <c r="BM89" s="182" t="e">
        <f>$AE$89</f>
        <v>#DIV/0!</v>
      </c>
      <c r="BN89" s="182" t="e">
        <f>$AF$89</f>
        <v>#DIV/0!</v>
      </c>
    </row>
    <row r="90" spans="1:66">
      <c r="A90" s="69" t="s">
        <v>151</v>
      </c>
      <c r="B90" t="s">
        <v>153</v>
      </c>
      <c r="C90" s="100">
        <v>10.16949152542373</v>
      </c>
      <c r="D90" s="100">
        <v>6.6265060240963862</v>
      </c>
      <c r="E90" s="100">
        <v>8.4057971014492754</v>
      </c>
      <c r="F90" t="e">
        <f t="shared" si="1"/>
        <v>#DIV/0!</v>
      </c>
      <c r="G90" t="e">
        <f t="shared" si="5"/>
        <v>#DIV/0!</v>
      </c>
      <c r="H90" t="e">
        <f t="shared" si="5"/>
        <v>#DIV/0!</v>
      </c>
      <c r="I90" t="e">
        <f t="shared" si="5"/>
        <v>#DIV/0!</v>
      </c>
      <c r="J90" t="e">
        <f t="shared" si="5"/>
        <v>#DIV/0!</v>
      </c>
      <c r="K90" t="e">
        <f t="shared" si="5"/>
        <v>#DIV/0!</v>
      </c>
      <c r="L90" t="e">
        <f t="shared" si="5"/>
        <v>#DIV/0!</v>
      </c>
      <c r="M90" t="e">
        <f t="shared" si="5"/>
        <v>#DIV/0!</v>
      </c>
      <c r="N90" t="e">
        <f t="shared" si="5"/>
        <v>#DIV/0!</v>
      </c>
      <c r="O90" t="e">
        <f t="shared" si="5"/>
        <v>#DIV/0!</v>
      </c>
      <c r="P90" t="e">
        <f t="shared" si="5"/>
        <v>#DIV/0!</v>
      </c>
      <c r="Q90" t="e">
        <f t="shared" si="5"/>
        <v>#DIV/0!</v>
      </c>
      <c r="R90" t="e">
        <f t="shared" si="5"/>
        <v>#DIV/0!</v>
      </c>
      <c r="S90" t="e">
        <f t="shared" si="5"/>
        <v>#DIV/0!</v>
      </c>
      <c r="T90" t="e">
        <f t="shared" si="5"/>
        <v>#DIV/0!</v>
      </c>
      <c r="U90" t="e">
        <f t="shared" si="5"/>
        <v>#DIV/0!</v>
      </c>
      <c r="V90" t="e">
        <f t="shared" si="5"/>
        <v>#DIV/0!</v>
      </c>
      <c r="W90" t="e">
        <f t="shared" si="5"/>
        <v>#DIV/0!</v>
      </c>
      <c r="X90" t="e">
        <f t="shared" si="5"/>
        <v>#DIV/0!</v>
      </c>
      <c r="Y90" t="e">
        <f t="shared" si="5"/>
        <v>#DIV/0!</v>
      </c>
      <c r="Z90" t="e">
        <f t="shared" si="5"/>
        <v>#DIV/0!</v>
      </c>
      <c r="AA90" t="e">
        <f t="shared" si="5"/>
        <v>#DIV/0!</v>
      </c>
      <c r="AB90" t="e">
        <f t="shared" si="5"/>
        <v>#DIV/0!</v>
      </c>
      <c r="AC90" t="e">
        <f t="shared" si="5"/>
        <v>#DIV/0!</v>
      </c>
      <c r="AD90" t="e">
        <f t="shared" si="5"/>
        <v>#DIV/0!</v>
      </c>
      <c r="AE90" t="e">
        <f t="shared" si="5"/>
        <v>#DIV/0!</v>
      </c>
      <c r="AF90" t="e">
        <f t="shared" si="5"/>
        <v>#DIV/0!</v>
      </c>
      <c r="AG90" s="82"/>
      <c r="AH90" s="284"/>
      <c r="AI90" s="244" t="s">
        <v>465</v>
      </c>
      <c r="AJ90" s="96"/>
      <c r="AK90" s="182">
        <f>$C$90</f>
        <v>10.16949152542373</v>
      </c>
      <c r="AL90" s="182">
        <f>$D$90</f>
        <v>6.6265060240963862</v>
      </c>
      <c r="AM90" s="182">
        <f>$E$90</f>
        <v>8.4057971014492754</v>
      </c>
      <c r="AN90" s="182" t="e">
        <f>$F$90</f>
        <v>#DIV/0!</v>
      </c>
      <c r="AO90" s="182" t="e">
        <f>$G$90</f>
        <v>#DIV/0!</v>
      </c>
      <c r="AP90" s="182" t="e">
        <f>$H$90</f>
        <v>#DIV/0!</v>
      </c>
      <c r="AQ90" s="182" t="e">
        <f>$I$90</f>
        <v>#DIV/0!</v>
      </c>
      <c r="AR90" s="182" t="e">
        <f>$J$90</f>
        <v>#DIV/0!</v>
      </c>
      <c r="AS90" s="182" t="e">
        <f>$K$90</f>
        <v>#DIV/0!</v>
      </c>
      <c r="AT90" s="182" t="e">
        <f>$L$90</f>
        <v>#DIV/0!</v>
      </c>
      <c r="AU90" s="182" t="e">
        <f>$M$90</f>
        <v>#DIV/0!</v>
      </c>
      <c r="AV90" s="182" t="e">
        <f>$N$90</f>
        <v>#DIV/0!</v>
      </c>
      <c r="AW90" s="182" t="e">
        <f>$O$90</f>
        <v>#DIV/0!</v>
      </c>
      <c r="AX90" s="182" t="e">
        <f>$P$90</f>
        <v>#DIV/0!</v>
      </c>
      <c r="AY90" s="182" t="e">
        <f>$Q$90</f>
        <v>#DIV/0!</v>
      </c>
      <c r="AZ90" s="182" t="e">
        <f>$R$90</f>
        <v>#DIV/0!</v>
      </c>
      <c r="BA90" s="182" t="e">
        <f>$S$90</f>
        <v>#DIV/0!</v>
      </c>
      <c r="BB90" s="182" t="e">
        <f>$T$90</f>
        <v>#DIV/0!</v>
      </c>
      <c r="BC90" s="182" t="e">
        <f>$U$90</f>
        <v>#DIV/0!</v>
      </c>
      <c r="BD90" s="182" t="e">
        <f>$V$90</f>
        <v>#DIV/0!</v>
      </c>
      <c r="BE90" s="182" t="e">
        <f>$W$90</f>
        <v>#DIV/0!</v>
      </c>
      <c r="BF90" s="182" t="e">
        <f>$X$90</f>
        <v>#DIV/0!</v>
      </c>
      <c r="BG90" s="182" t="e">
        <f>$Y$90</f>
        <v>#DIV/0!</v>
      </c>
      <c r="BH90" s="182" t="e">
        <f>$Z$90</f>
        <v>#DIV/0!</v>
      </c>
      <c r="BI90" s="182" t="e">
        <f>$AA$90</f>
        <v>#DIV/0!</v>
      </c>
      <c r="BJ90" s="182" t="e">
        <f>$AB$90</f>
        <v>#DIV/0!</v>
      </c>
      <c r="BK90" s="182" t="e">
        <f>$AC$90</f>
        <v>#DIV/0!</v>
      </c>
      <c r="BL90" s="182" t="e">
        <f>$AD$90</f>
        <v>#DIV/0!</v>
      </c>
      <c r="BM90" s="182" t="e">
        <f>$AE$90</f>
        <v>#DIV/0!</v>
      </c>
      <c r="BN90" s="182" t="e">
        <f>$AF$90</f>
        <v>#DIV/0!</v>
      </c>
    </row>
    <row r="91" spans="1:66">
      <c r="A91" s="69" t="s">
        <v>144</v>
      </c>
      <c r="B91" t="s">
        <v>153</v>
      </c>
      <c r="C91" s="100">
        <v>0</v>
      </c>
      <c r="D91" s="100">
        <v>12</v>
      </c>
      <c r="E91" s="100">
        <v>5.0847457627118651</v>
      </c>
      <c r="F91" t="e">
        <f t="shared" si="1"/>
        <v>#DIV/0!</v>
      </c>
      <c r="G91" t="e">
        <f t="shared" si="5"/>
        <v>#DIV/0!</v>
      </c>
      <c r="H91" t="e">
        <f t="shared" si="5"/>
        <v>#DIV/0!</v>
      </c>
      <c r="I91" t="e">
        <f t="shared" si="5"/>
        <v>#DIV/0!</v>
      </c>
      <c r="J91" t="e">
        <f t="shared" si="5"/>
        <v>#DIV/0!</v>
      </c>
      <c r="K91" t="e">
        <f t="shared" si="5"/>
        <v>#DIV/0!</v>
      </c>
      <c r="L91" t="e">
        <f t="shared" si="5"/>
        <v>#DIV/0!</v>
      </c>
      <c r="M91" t="e">
        <f t="shared" si="5"/>
        <v>#DIV/0!</v>
      </c>
      <c r="N91" t="e">
        <f t="shared" si="5"/>
        <v>#DIV/0!</v>
      </c>
      <c r="O91" t="e">
        <f t="shared" si="5"/>
        <v>#DIV/0!</v>
      </c>
      <c r="P91" t="e">
        <f t="shared" si="5"/>
        <v>#DIV/0!</v>
      </c>
      <c r="Q91" t="e">
        <f t="shared" si="5"/>
        <v>#DIV/0!</v>
      </c>
      <c r="R91" t="e">
        <f t="shared" si="5"/>
        <v>#DIV/0!</v>
      </c>
      <c r="S91" t="e">
        <f t="shared" si="5"/>
        <v>#DIV/0!</v>
      </c>
      <c r="T91" t="e">
        <f t="shared" si="5"/>
        <v>#DIV/0!</v>
      </c>
      <c r="U91" t="e">
        <f t="shared" si="5"/>
        <v>#DIV/0!</v>
      </c>
      <c r="V91" t="e">
        <f t="shared" si="5"/>
        <v>#DIV/0!</v>
      </c>
      <c r="W91" t="e">
        <f t="shared" si="5"/>
        <v>#DIV/0!</v>
      </c>
      <c r="X91" t="e">
        <f t="shared" si="5"/>
        <v>#DIV/0!</v>
      </c>
      <c r="Y91" t="e">
        <f t="shared" si="5"/>
        <v>#DIV/0!</v>
      </c>
      <c r="Z91" t="e">
        <f t="shared" si="5"/>
        <v>#DIV/0!</v>
      </c>
      <c r="AA91" t="e">
        <f t="shared" si="5"/>
        <v>#DIV/0!</v>
      </c>
      <c r="AB91" t="e">
        <f t="shared" si="5"/>
        <v>#DIV/0!</v>
      </c>
      <c r="AC91" t="e">
        <f t="shared" si="5"/>
        <v>#DIV/0!</v>
      </c>
      <c r="AD91" t="e">
        <f t="shared" si="5"/>
        <v>#DIV/0!</v>
      </c>
      <c r="AE91" t="e">
        <f t="shared" si="5"/>
        <v>#DIV/0!</v>
      </c>
      <c r="AF91" t="e">
        <f t="shared" si="5"/>
        <v>#DIV/0!</v>
      </c>
      <c r="AG91" s="82"/>
      <c r="AH91" s="257"/>
      <c r="AI91" s="258" t="s">
        <v>466</v>
      </c>
      <c r="AJ91" s="96"/>
      <c r="AK91" s="182">
        <f>$C$91</f>
        <v>0</v>
      </c>
      <c r="AL91" s="182">
        <f>$D$91</f>
        <v>12</v>
      </c>
      <c r="AM91" s="182">
        <f>$E$91</f>
        <v>5.0847457627118651</v>
      </c>
      <c r="AN91" s="182" t="e">
        <f>$F$91</f>
        <v>#DIV/0!</v>
      </c>
      <c r="AO91" s="182" t="e">
        <f>$G$91</f>
        <v>#DIV/0!</v>
      </c>
      <c r="AP91" s="182" t="e">
        <f>$H$91</f>
        <v>#DIV/0!</v>
      </c>
      <c r="AQ91" s="182" t="e">
        <f>$I$91</f>
        <v>#DIV/0!</v>
      </c>
      <c r="AR91" s="182" t="e">
        <f>$J$91</f>
        <v>#DIV/0!</v>
      </c>
      <c r="AS91" s="182" t="e">
        <f>$K$91</f>
        <v>#DIV/0!</v>
      </c>
      <c r="AT91" s="182" t="e">
        <f>$L$91</f>
        <v>#DIV/0!</v>
      </c>
      <c r="AU91" s="182" t="e">
        <f>$M$91</f>
        <v>#DIV/0!</v>
      </c>
      <c r="AV91" s="182" t="e">
        <f>$N$91</f>
        <v>#DIV/0!</v>
      </c>
      <c r="AW91" s="182" t="e">
        <f>$O$91</f>
        <v>#DIV/0!</v>
      </c>
      <c r="AX91" s="182" t="e">
        <f>$P$91</f>
        <v>#DIV/0!</v>
      </c>
      <c r="AY91" s="182" t="e">
        <f>$Q$91</f>
        <v>#DIV/0!</v>
      </c>
      <c r="AZ91" s="182" t="e">
        <f>$R$91</f>
        <v>#DIV/0!</v>
      </c>
      <c r="BA91" s="182" t="e">
        <f>$S$91</f>
        <v>#DIV/0!</v>
      </c>
      <c r="BB91" s="182" t="e">
        <f>$T$91</f>
        <v>#DIV/0!</v>
      </c>
      <c r="BC91" s="182" t="e">
        <f>$U$91</f>
        <v>#DIV/0!</v>
      </c>
      <c r="BD91" s="182" t="e">
        <f>$V$91</f>
        <v>#DIV/0!</v>
      </c>
      <c r="BE91" s="182" t="e">
        <f>$W$91</f>
        <v>#DIV/0!</v>
      </c>
      <c r="BF91" s="182" t="e">
        <f>$X$91</f>
        <v>#DIV/0!</v>
      </c>
      <c r="BG91" s="182" t="e">
        <f>$Y$91</f>
        <v>#DIV/0!</v>
      </c>
      <c r="BH91" s="182" t="e">
        <f>$Z$91</f>
        <v>#DIV/0!</v>
      </c>
      <c r="BI91" s="182" t="e">
        <f>$AA$91</f>
        <v>#DIV/0!</v>
      </c>
      <c r="BJ91" s="182" t="e">
        <f>$AB$91</f>
        <v>#DIV/0!</v>
      </c>
      <c r="BK91" s="182" t="e">
        <f>$AC$91</f>
        <v>#DIV/0!</v>
      </c>
      <c r="BL91" s="182" t="e">
        <f>$AD$91</f>
        <v>#DIV/0!</v>
      </c>
      <c r="BM91" s="182" t="e">
        <f>$AE$91</f>
        <v>#DIV/0!</v>
      </c>
      <c r="BN91" s="182" t="e">
        <f>$AF$91</f>
        <v>#DIV/0!</v>
      </c>
    </row>
    <row r="92" spans="1:66">
      <c r="A92" s="68" t="s">
        <v>192</v>
      </c>
      <c r="B92" s="71" t="s">
        <v>158</v>
      </c>
      <c r="C92" s="100">
        <v>13.333333333333334</v>
      </c>
      <c r="D92" s="100">
        <v>23.404255319148938</v>
      </c>
      <c r="E92" s="100">
        <v>19.587628865979383</v>
      </c>
      <c r="F92" t="e">
        <f t="shared" si="1"/>
        <v>#DIV/0!</v>
      </c>
      <c r="G92" t="e">
        <f t="shared" si="5"/>
        <v>#DIV/0!</v>
      </c>
      <c r="H92" t="e">
        <f t="shared" si="5"/>
        <v>#DIV/0!</v>
      </c>
      <c r="I92" t="e">
        <f t="shared" si="5"/>
        <v>#DIV/0!</v>
      </c>
      <c r="J92" t="e">
        <f t="shared" si="5"/>
        <v>#DIV/0!</v>
      </c>
      <c r="K92" t="e">
        <f t="shared" si="5"/>
        <v>#DIV/0!</v>
      </c>
      <c r="L92" t="e">
        <f t="shared" si="5"/>
        <v>#DIV/0!</v>
      </c>
      <c r="M92" t="e">
        <f t="shared" si="5"/>
        <v>#DIV/0!</v>
      </c>
      <c r="N92" t="e">
        <f t="shared" si="5"/>
        <v>#DIV/0!</v>
      </c>
      <c r="O92" t="e">
        <f t="shared" si="5"/>
        <v>#DIV/0!</v>
      </c>
      <c r="P92" t="e">
        <f t="shared" si="5"/>
        <v>#DIV/0!</v>
      </c>
      <c r="Q92" t="e">
        <f t="shared" si="5"/>
        <v>#DIV/0!</v>
      </c>
      <c r="R92" t="e">
        <f t="shared" si="5"/>
        <v>#DIV/0!</v>
      </c>
      <c r="S92" t="e">
        <f t="shared" si="5"/>
        <v>#DIV/0!</v>
      </c>
      <c r="T92" t="e">
        <f t="shared" si="5"/>
        <v>#DIV/0!</v>
      </c>
      <c r="U92" t="e">
        <f t="shared" si="5"/>
        <v>#DIV/0!</v>
      </c>
      <c r="V92" t="e">
        <f t="shared" si="5"/>
        <v>#DIV/0!</v>
      </c>
      <c r="W92" t="e">
        <f t="shared" si="5"/>
        <v>#DIV/0!</v>
      </c>
      <c r="X92" t="e">
        <f t="shared" si="5"/>
        <v>#DIV/0!</v>
      </c>
      <c r="Y92" t="e">
        <f t="shared" si="5"/>
        <v>#DIV/0!</v>
      </c>
      <c r="Z92" t="e">
        <f t="shared" si="5"/>
        <v>#DIV/0!</v>
      </c>
      <c r="AA92" t="e">
        <f t="shared" si="5"/>
        <v>#DIV/0!</v>
      </c>
      <c r="AB92" t="e">
        <f t="shared" si="5"/>
        <v>#DIV/0!</v>
      </c>
      <c r="AC92" t="e">
        <f t="shared" si="5"/>
        <v>#DIV/0!</v>
      </c>
      <c r="AD92" t="e">
        <f t="shared" si="5"/>
        <v>#DIV/0!</v>
      </c>
      <c r="AE92" t="e">
        <f t="shared" si="5"/>
        <v>#DIV/0!</v>
      </c>
      <c r="AF92" t="e">
        <f t="shared" si="5"/>
        <v>#DIV/0!</v>
      </c>
      <c r="AG92" s="82"/>
      <c r="AH92" s="256"/>
      <c r="AI92" s="254"/>
      <c r="AJ92" s="96"/>
      <c r="AK92" s="182">
        <f>$C$92</f>
        <v>13.333333333333334</v>
      </c>
      <c r="AL92" s="182">
        <f>$D$92</f>
        <v>23.404255319148938</v>
      </c>
      <c r="AM92" s="182">
        <f>$E$92</f>
        <v>19.587628865979383</v>
      </c>
      <c r="AN92" s="182" t="e">
        <f>$F$92</f>
        <v>#DIV/0!</v>
      </c>
      <c r="AO92" s="182" t="e">
        <f>$G$92</f>
        <v>#DIV/0!</v>
      </c>
      <c r="AP92" s="182" t="e">
        <f>$H$92</f>
        <v>#DIV/0!</v>
      </c>
      <c r="AQ92" s="182" t="e">
        <f>$I$92</f>
        <v>#DIV/0!</v>
      </c>
      <c r="AR92" s="182" t="e">
        <f>$J$92</f>
        <v>#DIV/0!</v>
      </c>
      <c r="AS92" s="182" t="e">
        <f>$K$92</f>
        <v>#DIV/0!</v>
      </c>
      <c r="AT92" s="182" t="e">
        <f>$L$92</f>
        <v>#DIV/0!</v>
      </c>
      <c r="AU92" s="182" t="e">
        <f>$M$92</f>
        <v>#DIV/0!</v>
      </c>
      <c r="AV92" s="182" t="e">
        <f>$N$92</f>
        <v>#DIV/0!</v>
      </c>
      <c r="AW92" s="182" t="e">
        <f>$O$92</f>
        <v>#DIV/0!</v>
      </c>
      <c r="AX92" s="182" t="e">
        <f>$P$92</f>
        <v>#DIV/0!</v>
      </c>
      <c r="AY92" s="182" t="e">
        <f>$Q$92</f>
        <v>#DIV/0!</v>
      </c>
      <c r="AZ92" s="182" t="e">
        <f>$R$92</f>
        <v>#DIV/0!</v>
      </c>
      <c r="BA92" s="182" t="e">
        <f>$S$92</f>
        <v>#DIV/0!</v>
      </c>
      <c r="BB92" s="182" t="e">
        <f>$T$92</f>
        <v>#DIV/0!</v>
      </c>
      <c r="BC92" s="182" t="e">
        <f>$U$92</f>
        <v>#DIV/0!</v>
      </c>
      <c r="BD92" s="182" t="e">
        <f>$V$92</f>
        <v>#DIV/0!</v>
      </c>
      <c r="BE92" s="182" t="e">
        <f>$W$92</f>
        <v>#DIV/0!</v>
      </c>
      <c r="BF92" s="182" t="e">
        <f>$X$92</f>
        <v>#DIV/0!</v>
      </c>
      <c r="BG92" s="182" t="e">
        <f>$Y$92</f>
        <v>#DIV/0!</v>
      </c>
      <c r="BH92" s="182" t="e">
        <f>$Z$92</f>
        <v>#DIV/0!</v>
      </c>
      <c r="BI92" s="182" t="e">
        <f>$AA$92</f>
        <v>#DIV/0!</v>
      </c>
      <c r="BJ92" s="182" t="e">
        <f>$AB$92</f>
        <v>#DIV/0!</v>
      </c>
      <c r="BK92" s="182" t="e">
        <f>$AC$92</f>
        <v>#DIV/0!</v>
      </c>
      <c r="BL92" s="182" t="e">
        <f>$AD$92</f>
        <v>#DIV/0!</v>
      </c>
      <c r="BM92" s="182" t="e">
        <f>$AE$92</f>
        <v>#DIV/0!</v>
      </c>
      <c r="BN92" s="182" t="e">
        <f>$AF$92</f>
        <v>#DIV/0!</v>
      </c>
    </row>
    <row r="93" spans="1:66">
      <c r="A93" s="68"/>
      <c r="B93" s="71"/>
      <c r="C93" s="100"/>
      <c r="E93" s="100"/>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242"/>
      <c r="AI93" s="254"/>
      <c r="AJ93" s="96"/>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row>
    <row r="94" spans="1:66">
      <c r="A94" s="69" t="s">
        <v>268</v>
      </c>
      <c r="C94" s="100">
        <v>8.1414473684210531</v>
      </c>
      <c r="D94" s="100">
        <v>9.1269841269841265</v>
      </c>
      <c r="E94" s="100">
        <v>8.7014134275618371</v>
      </c>
      <c r="F94" t="e">
        <f t="shared" si="1"/>
        <v>#DIV/0!</v>
      </c>
      <c r="G94" t="e">
        <f t="shared" si="1"/>
        <v>#DIV/0!</v>
      </c>
      <c r="H94" t="e">
        <f t="shared" si="1"/>
        <v>#DIV/0!</v>
      </c>
      <c r="I94" t="e">
        <f t="shared" si="1"/>
        <v>#DIV/0!</v>
      </c>
      <c r="J94" t="e">
        <f t="shared" si="1"/>
        <v>#DIV/0!</v>
      </c>
      <c r="K94" t="e">
        <f t="shared" si="1"/>
        <v>#DIV/0!</v>
      </c>
      <c r="L94" t="e">
        <f t="shared" si="1"/>
        <v>#DIV/0!</v>
      </c>
      <c r="M94" t="e">
        <f t="shared" si="1"/>
        <v>#DIV/0!</v>
      </c>
      <c r="N94" t="e">
        <f t="shared" si="1"/>
        <v>#DIV/0!</v>
      </c>
      <c r="O94" t="e">
        <f t="shared" si="1"/>
        <v>#DIV/0!</v>
      </c>
      <c r="P94" t="e">
        <f t="shared" si="1"/>
        <v>#DIV/0!</v>
      </c>
      <c r="Q94" t="e">
        <f t="shared" si="1"/>
        <v>#DIV/0!</v>
      </c>
      <c r="R94" t="e">
        <f t="shared" si="1"/>
        <v>#DIV/0!</v>
      </c>
      <c r="S94" t="e">
        <f t="shared" si="1"/>
        <v>#DIV/0!</v>
      </c>
      <c r="T94" t="e">
        <f t="shared" si="1"/>
        <v>#DIV/0!</v>
      </c>
      <c r="U94" t="e">
        <f t="shared" si="1"/>
        <v>#DIV/0!</v>
      </c>
      <c r="V94" t="e">
        <f t="shared" ref="G94:AF98" si="6">1/0</f>
        <v>#DIV/0!</v>
      </c>
      <c r="W94" t="e">
        <f t="shared" si="6"/>
        <v>#DIV/0!</v>
      </c>
      <c r="X94" t="e">
        <f t="shared" si="6"/>
        <v>#DIV/0!</v>
      </c>
      <c r="Y94" t="e">
        <f t="shared" si="6"/>
        <v>#DIV/0!</v>
      </c>
      <c r="Z94" t="e">
        <f t="shared" si="6"/>
        <v>#DIV/0!</v>
      </c>
      <c r="AA94" t="e">
        <f t="shared" si="6"/>
        <v>#DIV/0!</v>
      </c>
      <c r="AB94" t="e">
        <f t="shared" si="6"/>
        <v>#DIV/0!</v>
      </c>
      <c r="AC94" t="e">
        <f t="shared" si="6"/>
        <v>#DIV/0!</v>
      </c>
      <c r="AD94" t="e">
        <f t="shared" si="6"/>
        <v>#DIV/0!</v>
      </c>
      <c r="AE94" t="e">
        <f t="shared" si="6"/>
        <v>#DIV/0!</v>
      </c>
      <c r="AF94" t="e">
        <f t="shared" si="6"/>
        <v>#DIV/0!</v>
      </c>
      <c r="AG94" s="82"/>
      <c r="AH94" s="82"/>
      <c r="AI94" s="82"/>
      <c r="AJ94" s="82"/>
      <c r="AK94" s="182">
        <f>$C$94</f>
        <v>8.1414473684210531</v>
      </c>
      <c r="AL94" s="182">
        <f>$D$94</f>
        <v>9.1269841269841265</v>
      </c>
      <c r="AM94" s="182">
        <f>$E$94</f>
        <v>8.7014134275618371</v>
      </c>
      <c r="AN94" s="182" t="e">
        <f>$F$94</f>
        <v>#DIV/0!</v>
      </c>
      <c r="AO94" s="182" t="e">
        <f>$G$94</f>
        <v>#DIV/0!</v>
      </c>
      <c r="AP94" s="182" t="e">
        <f>$H$94</f>
        <v>#DIV/0!</v>
      </c>
      <c r="AQ94" s="182" t="e">
        <f>$I$94</f>
        <v>#DIV/0!</v>
      </c>
      <c r="AR94" s="182" t="e">
        <f>$J$94</f>
        <v>#DIV/0!</v>
      </c>
      <c r="AS94" s="182" t="e">
        <f>$K$94</f>
        <v>#DIV/0!</v>
      </c>
      <c r="AT94" s="182" t="e">
        <f>$L$94</f>
        <v>#DIV/0!</v>
      </c>
      <c r="AU94" s="182" t="e">
        <f>$M$94</f>
        <v>#DIV/0!</v>
      </c>
      <c r="AV94" s="182" t="e">
        <f>$N$94</f>
        <v>#DIV/0!</v>
      </c>
      <c r="AW94" s="182" t="e">
        <f>$O$94</f>
        <v>#DIV/0!</v>
      </c>
      <c r="AX94" s="182" t="e">
        <f>$P$94</f>
        <v>#DIV/0!</v>
      </c>
      <c r="AY94" s="182" t="e">
        <f>$Q$94</f>
        <v>#DIV/0!</v>
      </c>
      <c r="AZ94" s="182" t="e">
        <f>$R$94</f>
        <v>#DIV/0!</v>
      </c>
      <c r="BA94" s="182" t="e">
        <f>$S$94</f>
        <v>#DIV/0!</v>
      </c>
      <c r="BB94" s="182" t="e">
        <f>$T$94</f>
        <v>#DIV/0!</v>
      </c>
      <c r="BC94" s="182" t="e">
        <f>$U$94</f>
        <v>#DIV/0!</v>
      </c>
      <c r="BD94" s="182" t="e">
        <f>$V$94</f>
        <v>#DIV/0!</v>
      </c>
      <c r="BE94" s="182" t="e">
        <f>$W$94</f>
        <v>#DIV/0!</v>
      </c>
      <c r="BF94" s="182" t="e">
        <f>$X$94</f>
        <v>#DIV/0!</v>
      </c>
      <c r="BG94" s="182" t="e">
        <f>$Y$94</f>
        <v>#DIV/0!</v>
      </c>
      <c r="BH94" s="182" t="e">
        <f>$Z$94</f>
        <v>#DIV/0!</v>
      </c>
      <c r="BI94" s="182" t="e">
        <f>$AA$94</f>
        <v>#DIV/0!</v>
      </c>
      <c r="BJ94" s="182" t="e">
        <f>$AB$94</f>
        <v>#DIV/0!</v>
      </c>
      <c r="BK94" s="182" t="e">
        <f>$AC$94</f>
        <v>#DIV/0!</v>
      </c>
      <c r="BL94" s="182" t="e">
        <f>$AD$94</f>
        <v>#DIV/0!</v>
      </c>
      <c r="BM94" s="182" t="e">
        <f>$AE$94</f>
        <v>#DIV/0!</v>
      </c>
      <c r="BN94" s="182" t="e">
        <f>$AF$94</f>
        <v>#DIV/0!</v>
      </c>
    </row>
    <row r="95" spans="1:66">
      <c r="A95" s="69" t="s">
        <v>269</v>
      </c>
      <c r="C95" s="100">
        <v>7.0829450139794972</v>
      </c>
      <c r="D95" s="100">
        <v>9.8184263618022865</v>
      </c>
      <c r="E95" s="167">
        <v>8.5250551528521896</v>
      </c>
      <c r="F95" t="e">
        <f t="shared" si="1"/>
        <v>#DIV/0!</v>
      </c>
      <c r="G95" t="e">
        <f t="shared" si="6"/>
        <v>#DIV/0!</v>
      </c>
      <c r="H95" t="e">
        <f t="shared" si="6"/>
        <v>#DIV/0!</v>
      </c>
      <c r="I95" t="e">
        <f t="shared" si="6"/>
        <v>#DIV/0!</v>
      </c>
      <c r="J95" t="e">
        <f t="shared" si="6"/>
        <v>#DIV/0!</v>
      </c>
      <c r="K95" t="e">
        <f t="shared" si="6"/>
        <v>#DIV/0!</v>
      </c>
      <c r="L95" t="e">
        <f t="shared" si="6"/>
        <v>#DIV/0!</v>
      </c>
      <c r="M95" t="e">
        <f t="shared" si="6"/>
        <v>#DIV/0!</v>
      </c>
      <c r="N95" t="e">
        <f t="shared" si="6"/>
        <v>#DIV/0!</v>
      </c>
      <c r="O95" t="e">
        <f t="shared" si="6"/>
        <v>#DIV/0!</v>
      </c>
      <c r="P95" t="e">
        <f t="shared" si="6"/>
        <v>#DIV/0!</v>
      </c>
      <c r="Q95" t="e">
        <f t="shared" si="6"/>
        <v>#DIV/0!</v>
      </c>
      <c r="R95" t="e">
        <f t="shared" si="6"/>
        <v>#DIV/0!</v>
      </c>
      <c r="S95" t="e">
        <f t="shared" si="6"/>
        <v>#DIV/0!</v>
      </c>
      <c r="T95" t="e">
        <f t="shared" si="6"/>
        <v>#DIV/0!</v>
      </c>
      <c r="U95" t="e">
        <f t="shared" si="6"/>
        <v>#DIV/0!</v>
      </c>
      <c r="V95" t="e">
        <f t="shared" si="6"/>
        <v>#DIV/0!</v>
      </c>
      <c r="W95" t="e">
        <f t="shared" si="6"/>
        <v>#DIV/0!</v>
      </c>
      <c r="X95" t="e">
        <f t="shared" si="6"/>
        <v>#DIV/0!</v>
      </c>
      <c r="Y95" t="e">
        <f t="shared" si="6"/>
        <v>#DIV/0!</v>
      </c>
      <c r="Z95" t="e">
        <f t="shared" si="6"/>
        <v>#DIV/0!</v>
      </c>
      <c r="AA95" t="e">
        <f t="shared" si="6"/>
        <v>#DIV/0!</v>
      </c>
      <c r="AB95" t="e">
        <f t="shared" si="6"/>
        <v>#DIV/0!</v>
      </c>
      <c r="AC95" t="e">
        <f t="shared" si="6"/>
        <v>#DIV/0!</v>
      </c>
      <c r="AD95" t="e">
        <f t="shared" si="6"/>
        <v>#DIV/0!</v>
      </c>
      <c r="AE95" t="e">
        <f t="shared" si="6"/>
        <v>#DIV/0!</v>
      </c>
      <c r="AF95" t="e">
        <f t="shared" si="6"/>
        <v>#DIV/0!</v>
      </c>
      <c r="AG95" s="82"/>
      <c r="AH95" s="82"/>
      <c r="AI95" s="82"/>
      <c r="AJ95" s="82"/>
      <c r="AK95" s="182">
        <f>$C$95</f>
        <v>7.0829450139794972</v>
      </c>
      <c r="AL95" s="182">
        <f>$D$95</f>
        <v>9.8184263618022865</v>
      </c>
      <c r="AM95" s="182">
        <f>$E$95</f>
        <v>8.5250551528521896</v>
      </c>
      <c r="AN95" s="182" t="e">
        <f>$F$95</f>
        <v>#DIV/0!</v>
      </c>
      <c r="AO95" s="182" t="e">
        <f>$G$95</f>
        <v>#DIV/0!</v>
      </c>
      <c r="AP95" s="182" t="e">
        <f>$H$95</f>
        <v>#DIV/0!</v>
      </c>
      <c r="AQ95" s="182" t="e">
        <f>$I$95</f>
        <v>#DIV/0!</v>
      </c>
      <c r="AR95" s="182" t="e">
        <f>$J$95</f>
        <v>#DIV/0!</v>
      </c>
      <c r="AS95" s="182" t="e">
        <f>$K$95</f>
        <v>#DIV/0!</v>
      </c>
      <c r="AT95" s="182" t="e">
        <f>$L$95</f>
        <v>#DIV/0!</v>
      </c>
      <c r="AU95" s="182" t="e">
        <f>$M$95</f>
        <v>#DIV/0!</v>
      </c>
      <c r="AV95" s="182" t="e">
        <f>$N$95</f>
        <v>#DIV/0!</v>
      </c>
      <c r="AW95" s="182" t="e">
        <f>$O$95</f>
        <v>#DIV/0!</v>
      </c>
      <c r="AX95" s="182" t="e">
        <f>$P$95</f>
        <v>#DIV/0!</v>
      </c>
      <c r="AY95" s="182" t="e">
        <f>$Q$95</f>
        <v>#DIV/0!</v>
      </c>
      <c r="AZ95" s="182" t="e">
        <f>$R$95</f>
        <v>#DIV/0!</v>
      </c>
      <c r="BA95" s="182" t="e">
        <f>$S$95</f>
        <v>#DIV/0!</v>
      </c>
      <c r="BB95" s="182" t="e">
        <f>$T$95</f>
        <v>#DIV/0!</v>
      </c>
      <c r="BC95" s="182" t="e">
        <f>$U$95</f>
        <v>#DIV/0!</v>
      </c>
      <c r="BD95" s="182" t="e">
        <f>$V$95</f>
        <v>#DIV/0!</v>
      </c>
      <c r="BE95" s="182" t="e">
        <f>$W$95</f>
        <v>#DIV/0!</v>
      </c>
      <c r="BF95" s="182" t="e">
        <f>$X$95</f>
        <v>#DIV/0!</v>
      </c>
      <c r="BG95" s="182" t="e">
        <f>$Y$95</f>
        <v>#DIV/0!</v>
      </c>
      <c r="BH95" s="182" t="e">
        <f>$Z$95</f>
        <v>#DIV/0!</v>
      </c>
      <c r="BI95" s="182" t="e">
        <f>$AA$95</f>
        <v>#DIV/0!</v>
      </c>
      <c r="BJ95" s="182" t="e">
        <f>$AB$95</f>
        <v>#DIV/0!</v>
      </c>
      <c r="BK95" s="182" t="e">
        <f>$AC$95</f>
        <v>#DIV/0!</v>
      </c>
      <c r="BL95" s="182" t="e">
        <f>$AD$95</f>
        <v>#DIV/0!</v>
      </c>
      <c r="BM95" s="182" t="e">
        <f>$AE$95</f>
        <v>#DIV/0!</v>
      </c>
      <c r="BN95" s="182" t="e">
        <f>$AF$95</f>
        <v>#DIV/0!</v>
      </c>
    </row>
    <row r="96" spans="1:66">
      <c r="A96" s="69" t="s">
        <v>270</v>
      </c>
      <c r="C96" s="100">
        <v>8.7557603686635943</v>
      </c>
      <c r="D96" s="100">
        <v>8.7976539589442826</v>
      </c>
      <c r="E96" s="167">
        <v>8.8826554464703147</v>
      </c>
      <c r="F96" t="e">
        <f t="shared" si="1"/>
        <v>#DIV/0!</v>
      </c>
      <c r="G96" t="e">
        <f t="shared" si="6"/>
        <v>#DIV/0!</v>
      </c>
      <c r="H96" t="e">
        <f t="shared" si="6"/>
        <v>#DIV/0!</v>
      </c>
      <c r="I96" t="e">
        <f t="shared" si="6"/>
        <v>#DIV/0!</v>
      </c>
      <c r="J96" t="e">
        <f t="shared" si="6"/>
        <v>#DIV/0!</v>
      </c>
      <c r="K96" t="e">
        <f t="shared" si="6"/>
        <v>#DIV/0!</v>
      </c>
      <c r="L96" t="e">
        <f t="shared" si="6"/>
        <v>#DIV/0!</v>
      </c>
      <c r="M96" t="e">
        <f t="shared" si="6"/>
        <v>#DIV/0!</v>
      </c>
      <c r="N96" t="e">
        <f t="shared" si="6"/>
        <v>#DIV/0!</v>
      </c>
      <c r="O96" t="e">
        <f t="shared" si="6"/>
        <v>#DIV/0!</v>
      </c>
      <c r="P96" t="e">
        <f t="shared" si="6"/>
        <v>#DIV/0!</v>
      </c>
      <c r="Q96" t="e">
        <f t="shared" si="6"/>
        <v>#DIV/0!</v>
      </c>
      <c r="R96" t="e">
        <f t="shared" si="6"/>
        <v>#DIV/0!</v>
      </c>
      <c r="S96" t="e">
        <f t="shared" si="6"/>
        <v>#DIV/0!</v>
      </c>
      <c r="T96" t="e">
        <f t="shared" si="6"/>
        <v>#DIV/0!</v>
      </c>
      <c r="U96" t="e">
        <f t="shared" si="6"/>
        <v>#DIV/0!</v>
      </c>
      <c r="V96" t="e">
        <f t="shared" si="6"/>
        <v>#DIV/0!</v>
      </c>
      <c r="W96" t="e">
        <f t="shared" si="6"/>
        <v>#DIV/0!</v>
      </c>
      <c r="X96" t="e">
        <f t="shared" si="6"/>
        <v>#DIV/0!</v>
      </c>
      <c r="Y96" t="e">
        <f t="shared" si="6"/>
        <v>#DIV/0!</v>
      </c>
      <c r="Z96" t="e">
        <f t="shared" si="6"/>
        <v>#DIV/0!</v>
      </c>
      <c r="AA96" t="e">
        <f t="shared" si="6"/>
        <v>#DIV/0!</v>
      </c>
      <c r="AB96" t="e">
        <f t="shared" si="6"/>
        <v>#DIV/0!</v>
      </c>
      <c r="AC96" t="e">
        <f t="shared" si="6"/>
        <v>#DIV/0!</v>
      </c>
      <c r="AD96" t="e">
        <f t="shared" si="6"/>
        <v>#DIV/0!</v>
      </c>
      <c r="AE96" t="e">
        <f t="shared" si="6"/>
        <v>#DIV/0!</v>
      </c>
      <c r="AF96" t="e">
        <f t="shared" si="6"/>
        <v>#DIV/0!</v>
      </c>
      <c r="AG96" s="82"/>
      <c r="AH96" s="82"/>
      <c r="AI96" s="82"/>
      <c r="AJ96" s="82"/>
      <c r="AK96" s="182">
        <f>$C$96</f>
        <v>8.7557603686635943</v>
      </c>
      <c r="AL96" s="182">
        <f>$D$96</f>
        <v>8.7976539589442826</v>
      </c>
      <c r="AM96" s="182">
        <f>$E$96</f>
        <v>8.8826554464703147</v>
      </c>
      <c r="AN96" s="182" t="e">
        <f>$F$96</f>
        <v>#DIV/0!</v>
      </c>
      <c r="AO96" s="182" t="e">
        <f>$G$96</f>
        <v>#DIV/0!</v>
      </c>
      <c r="AP96" s="182" t="e">
        <f>$H$96</f>
        <v>#DIV/0!</v>
      </c>
      <c r="AQ96" s="182" t="e">
        <f>$I$96</f>
        <v>#DIV/0!</v>
      </c>
      <c r="AR96" s="182" t="e">
        <f>$J$96</f>
        <v>#DIV/0!</v>
      </c>
      <c r="AS96" s="182" t="e">
        <f>$K$96</f>
        <v>#DIV/0!</v>
      </c>
      <c r="AT96" s="182" t="e">
        <f>$L$96</f>
        <v>#DIV/0!</v>
      </c>
      <c r="AU96" s="182" t="e">
        <f>$M$96</f>
        <v>#DIV/0!</v>
      </c>
      <c r="AV96" s="182" t="e">
        <f>$N$96</f>
        <v>#DIV/0!</v>
      </c>
      <c r="AW96" s="182" t="e">
        <f>$O$96</f>
        <v>#DIV/0!</v>
      </c>
      <c r="AX96" s="182" t="e">
        <f>$P$96</f>
        <v>#DIV/0!</v>
      </c>
      <c r="AY96" s="182" t="e">
        <f>$Q$96</f>
        <v>#DIV/0!</v>
      </c>
      <c r="AZ96" s="182" t="e">
        <f>$R$96</f>
        <v>#DIV/0!</v>
      </c>
      <c r="BA96" s="182" t="e">
        <f>$S$96</f>
        <v>#DIV/0!</v>
      </c>
      <c r="BB96" s="182" t="e">
        <f>$T$96</f>
        <v>#DIV/0!</v>
      </c>
      <c r="BC96" s="182" t="e">
        <f>$U$96</f>
        <v>#DIV/0!</v>
      </c>
      <c r="BD96" s="182" t="e">
        <f>$V$96</f>
        <v>#DIV/0!</v>
      </c>
      <c r="BE96" s="182" t="e">
        <f>$W$96</f>
        <v>#DIV/0!</v>
      </c>
      <c r="BF96" s="182" t="e">
        <f>$X$96</f>
        <v>#DIV/0!</v>
      </c>
      <c r="BG96" s="182" t="e">
        <f>$Y$96</f>
        <v>#DIV/0!</v>
      </c>
      <c r="BH96" s="182" t="e">
        <f>$Z$96</f>
        <v>#DIV/0!</v>
      </c>
      <c r="BI96" s="182" t="e">
        <f>$AA$96</f>
        <v>#DIV/0!</v>
      </c>
      <c r="BJ96" s="182" t="e">
        <f>$AB$96</f>
        <v>#DIV/0!</v>
      </c>
      <c r="BK96" s="182" t="e">
        <f>$AC$96</f>
        <v>#DIV/0!</v>
      </c>
      <c r="BL96" s="182" t="e">
        <f>$AD$96</f>
        <v>#DIV/0!</v>
      </c>
      <c r="BM96" s="182" t="e">
        <f>$AE$96</f>
        <v>#DIV/0!</v>
      </c>
      <c r="BN96" s="182" t="e">
        <f>$AF$96</f>
        <v>#DIV/0!</v>
      </c>
    </row>
    <row r="97" spans="1:66">
      <c r="A97" s="69" t="s">
        <v>271</v>
      </c>
      <c r="C97" s="100">
        <v>9.5346197502837686</v>
      </c>
      <c r="D97" s="100">
        <v>8.215962441314554</v>
      </c>
      <c r="E97" s="167">
        <v>8.9887640449438209</v>
      </c>
      <c r="F97" t="e">
        <f t="shared" si="1"/>
        <v>#DIV/0!</v>
      </c>
      <c r="G97" t="e">
        <f t="shared" si="6"/>
        <v>#DIV/0!</v>
      </c>
      <c r="H97" t="e">
        <f t="shared" si="6"/>
        <v>#DIV/0!</v>
      </c>
      <c r="I97" t="e">
        <f t="shared" si="6"/>
        <v>#DIV/0!</v>
      </c>
      <c r="J97" t="e">
        <f t="shared" si="6"/>
        <v>#DIV/0!</v>
      </c>
      <c r="K97" t="e">
        <f t="shared" si="6"/>
        <v>#DIV/0!</v>
      </c>
      <c r="L97" t="e">
        <f t="shared" si="6"/>
        <v>#DIV/0!</v>
      </c>
      <c r="M97" t="e">
        <f t="shared" si="6"/>
        <v>#DIV/0!</v>
      </c>
      <c r="N97" t="e">
        <f t="shared" si="6"/>
        <v>#DIV/0!</v>
      </c>
      <c r="O97" t="e">
        <f t="shared" si="6"/>
        <v>#DIV/0!</v>
      </c>
      <c r="P97" t="e">
        <f t="shared" si="6"/>
        <v>#DIV/0!</v>
      </c>
      <c r="Q97" t="e">
        <f t="shared" si="6"/>
        <v>#DIV/0!</v>
      </c>
      <c r="R97" t="e">
        <f t="shared" si="6"/>
        <v>#DIV/0!</v>
      </c>
      <c r="S97" t="e">
        <f t="shared" si="6"/>
        <v>#DIV/0!</v>
      </c>
      <c r="T97" t="e">
        <f t="shared" si="6"/>
        <v>#DIV/0!</v>
      </c>
      <c r="U97" t="e">
        <f t="shared" si="6"/>
        <v>#DIV/0!</v>
      </c>
      <c r="V97" t="e">
        <f t="shared" si="6"/>
        <v>#DIV/0!</v>
      </c>
      <c r="W97" t="e">
        <f t="shared" si="6"/>
        <v>#DIV/0!</v>
      </c>
      <c r="X97" t="e">
        <f t="shared" si="6"/>
        <v>#DIV/0!</v>
      </c>
      <c r="Y97" t="e">
        <f t="shared" si="6"/>
        <v>#DIV/0!</v>
      </c>
      <c r="Z97" t="e">
        <f t="shared" si="6"/>
        <v>#DIV/0!</v>
      </c>
      <c r="AA97" t="e">
        <f t="shared" si="6"/>
        <v>#DIV/0!</v>
      </c>
      <c r="AB97" t="e">
        <f t="shared" si="6"/>
        <v>#DIV/0!</v>
      </c>
      <c r="AC97" t="e">
        <f t="shared" si="6"/>
        <v>#DIV/0!</v>
      </c>
      <c r="AD97" t="e">
        <f t="shared" si="6"/>
        <v>#DIV/0!</v>
      </c>
      <c r="AE97" t="e">
        <f t="shared" si="6"/>
        <v>#DIV/0!</v>
      </c>
      <c r="AF97" t="e">
        <f t="shared" si="6"/>
        <v>#DIV/0!</v>
      </c>
      <c r="AG97" s="82"/>
      <c r="AH97" s="82"/>
      <c r="AI97" s="82"/>
      <c r="AJ97" s="82"/>
      <c r="AK97" s="182">
        <f>$C$97</f>
        <v>9.5346197502837686</v>
      </c>
      <c r="AL97" s="182">
        <f>$D$97</f>
        <v>8.215962441314554</v>
      </c>
      <c r="AM97" s="182">
        <f>$E$97</f>
        <v>8.9887640449438209</v>
      </c>
      <c r="AN97" s="182" t="e">
        <f>$F$97</f>
        <v>#DIV/0!</v>
      </c>
      <c r="AO97" s="182" t="e">
        <f>$G$97</f>
        <v>#DIV/0!</v>
      </c>
      <c r="AP97" s="182" t="e">
        <f>$H$97</f>
        <v>#DIV/0!</v>
      </c>
      <c r="AQ97" s="182" t="e">
        <f>$I$97</f>
        <v>#DIV/0!</v>
      </c>
      <c r="AR97" s="182" t="e">
        <f>$J$97</f>
        <v>#DIV/0!</v>
      </c>
      <c r="AS97" s="182" t="e">
        <f>$K$97</f>
        <v>#DIV/0!</v>
      </c>
      <c r="AT97" s="182" t="e">
        <f>$L$97</f>
        <v>#DIV/0!</v>
      </c>
      <c r="AU97" s="182" t="e">
        <f>$M$97</f>
        <v>#DIV/0!</v>
      </c>
      <c r="AV97" s="182" t="e">
        <f>$N$97</f>
        <v>#DIV/0!</v>
      </c>
      <c r="AW97" s="182" t="e">
        <f>$O$97</f>
        <v>#DIV/0!</v>
      </c>
      <c r="AX97" s="182" t="e">
        <f>$P$97</f>
        <v>#DIV/0!</v>
      </c>
      <c r="AY97" s="182" t="e">
        <f>$Q$97</f>
        <v>#DIV/0!</v>
      </c>
      <c r="AZ97" s="182" t="e">
        <f>$R$97</f>
        <v>#DIV/0!</v>
      </c>
      <c r="BA97" s="182" t="e">
        <f>$S$97</f>
        <v>#DIV/0!</v>
      </c>
      <c r="BB97" s="182" t="e">
        <f>$T$97</f>
        <v>#DIV/0!</v>
      </c>
      <c r="BC97" s="182" t="e">
        <f>$U$97</f>
        <v>#DIV/0!</v>
      </c>
      <c r="BD97" s="182" t="e">
        <f>$V$97</f>
        <v>#DIV/0!</v>
      </c>
      <c r="BE97" s="182" t="e">
        <f>$W$97</f>
        <v>#DIV/0!</v>
      </c>
      <c r="BF97" s="182" t="e">
        <f>$X$97</f>
        <v>#DIV/0!</v>
      </c>
      <c r="BG97" s="182" t="e">
        <f>$Y$97</f>
        <v>#DIV/0!</v>
      </c>
      <c r="BH97" s="182" t="e">
        <f>$Z$97</f>
        <v>#DIV/0!</v>
      </c>
      <c r="BI97" s="182" t="e">
        <f>$AA$97</f>
        <v>#DIV/0!</v>
      </c>
      <c r="BJ97" s="182" t="e">
        <f>$AB$97</f>
        <v>#DIV/0!</v>
      </c>
      <c r="BK97" s="182" t="e">
        <f>$AC$97</f>
        <v>#DIV/0!</v>
      </c>
      <c r="BL97" s="182" t="e">
        <f>$AD$97</f>
        <v>#DIV/0!</v>
      </c>
      <c r="BM97" s="182" t="e">
        <f>$AE$97</f>
        <v>#DIV/0!</v>
      </c>
      <c r="BN97" s="182" t="e">
        <f>$AF$97</f>
        <v>#DIV/0!</v>
      </c>
    </row>
    <row r="98" spans="1:66">
      <c r="A98" s="69" t="s">
        <v>209</v>
      </c>
      <c r="C98" s="100">
        <v>7.9595015576323993</v>
      </c>
      <c r="D98" s="100">
        <v>9.2532743663888422</v>
      </c>
      <c r="E98" s="167">
        <v>8.694614589133721</v>
      </c>
      <c r="F98" t="e">
        <f t="shared" si="1"/>
        <v>#DIV/0!</v>
      </c>
      <c r="G98" t="e">
        <f t="shared" si="6"/>
        <v>#DIV/0!</v>
      </c>
      <c r="H98" t="e">
        <f t="shared" si="6"/>
        <v>#DIV/0!</v>
      </c>
      <c r="I98" t="e">
        <f t="shared" si="6"/>
        <v>#DIV/0!</v>
      </c>
      <c r="J98" t="e">
        <f t="shared" si="6"/>
        <v>#DIV/0!</v>
      </c>
      <c r="K98" t="e">
        <f t="shared" si="6"/>
        <v>#DIV/0!</v>
      </c>
      <c r="L98" t="e">
        <f t="shared" si="6"/>
        <v>#DIV/0!</v>
      </c>
      <c r="M98" t="e">
        <f t="shared" si="6"/>
        <v>#DIV/0!</v>
      </c>
      <c r="N98" t="e">
        <f t="shared" si="6"/>
        <v>#DIV/0!</v>
      </c>
      <c r="O98" t="e">
        <f t="shared" si="6"/>
        <v>#DIV/0!</v>
      </c>
      <c r="P98" t="e">
        <f t="shared" si="6"/>
        <v>#DIV/0!</v>
      </c>
      <c r="Q98" t="e">
        <f t="shared" si="6"/>
        <v>#DIV/0!</v>
      </c>
      <c r="R98" t="e">
        <f t="shared" si="6"/>
        <v>#DIV/0!</v>
      </c>
      <c r="S98" t="e">
        <f t="shared" si="6"/>
        <v>#DIV/0!</v>
      </c>
      <c r="T98" t="e">
        <f t="shared" si="6"/>
        <v>#DIV/0!</v>
      </c>
      <c r="U98" t="e">
        <f t="shared" si="6"/>
        <v>#DIV/0!</v>
      </c>
      <c r="V98" t="e">
        <f t="shared" si="6"/>
        <v>#DIV/0!</v>
      </c>
      <c r="W98" t="e">
        <f t="shared" si="6"/>
        <v>#DIV/0!</v>
      </c>
      <c r="X98" t="e">
        <f t="shared" si="6"/>
        <v>#DIV/0!</v>
      </c>
      <c r="Y98" t="e">
        <f t="shared" si="6"/>
        <v>#DIV/0!</v>
      </c>
      <c r="Z98" t="e">
        <f t="shared" si="6"/>
        <v>#DIV/0!</v>
      </c>
      <c r="AA98" t="e">
        <f t="shared" si="6"/>
        <v>#DIV/0!</v>
      </c>
      <c r="AB98" t="e">
        <f t="shared" si="6"/>
        <v>#DIV/0!</v>
      </c>
      <c r="AC98" t="e">
        <f t="shared" si="6"/>
        <v>#DIV/0!</v>
      </c>
      <c r="AD98" t="e">
        <f t="shared" si="6"/>
        <v>#DIV/0!</v>
      </c>
      <c r="AE98" t="e">
        <f t="shared" si="6"/>
        <v>#DIV/0!</v>
      </c>
      <c r="AF98" t="e">
        <f t="shared" si="6"/>
        <v>#DIV/0!</v>
      </c>
      <c r="AG98" s="82"/>
      <c r="AH98" s="82"/>
      <c r="AI98" s="82"/>
      <c r="AJ98" s="82"/>
      <c r="AK98" s="182">
        <f>$C$98</f>
        <v>7.9595015576323993</v>
      </c>
      <c r="AL98" s="182">
        <f>$D$98</f>
        <v>9.2532743663888422</v>
      </c>
      <c r="AM98" s="182">
        <f>$E$98</f>
        <v>8.694614589133721</v>
      </c>
      <c r="AN98" s="182" t="e">
        <f>$F$98</f>
        <v>#DIV/0!</v>
      </c>
      <c r="AO98" s="182" t="e">
        <f>$G$98</f>
        <v>#DIV/0!</v>
      </c>
      <c r="AP98" s="182" t="e">
        <f>$H$98</f>
        <v>#DIV/0!</v>
      </c>
      <c r="AQ98" s="182" t="e">
        <f>$I$98</f>
        <v>#DIV/0!</v>
      </c>
      <c r="AR98" s="182" t="e">
        <f>$J$98</f>
        <v>#DIV/0!</v>
      </c>
      <c r="AS98" s="182" t="e">
        <f>$K$98</f>
        <v>#DIV/0!</v>
      </c>
      <c r="AT98" s="182" t="e">
        <f>$L$98</f>
        <v>#DIV/0!</v>
      </c>
      <c r="AU98" s="182" t="e">
        <f>$M$98</f>
        <v>#DIV/0!</v>
      </c>
      <c r="AV98" s="182" t="e">
        <f>$N$98</f>
        <v>#DIV/0!</v>
      </c>
      <c r="AW98" s="182" t="e">
        <f>$O$98</f>
        <v>#DIV/0!</v>
      </c>
      <c r="AX98" s="182" t="e">
        <f>$P$98</f>
        <v>#DIV/0!</v>
      </c>
      <c r="AY98" s="182" t="e">
        <f>$Q$98</f>
        <v>#DIV/0!</v>
      </c>
      <c r="AZ98" s="182" t="e">
        <f>$R$98</f>
        <v>#DIV/0!</v>
      </c>
      <c r="BA98" s="182" t="e">
        <f>$S$98</f>
        <v>#DIV/0!</v>
      </c>
      <c r="BB98" s="182" t="e">
        <f>$T$98</f>
        <v>#DIV/0!</v>
      </c>
      <c r="BC98" s="182" t="e">
        <f>$U$98</f>
        <v>#DIV/0!</v>
      </c>
      <c r="BD98" s="182" t="e">
        <f>$V$98</f>
        <v>#DIV/0!</v>
      </c>
      <c r="BE98" s="182" t="e">
        <f>$W$98</f>
        <v>#DIV/0!</v>
      </c>
      <c r="BF98" s="182" t="e">
        <f>$X$98</f>
        <v>#DIV/0!</v>
      </c>
      <c r="BG98" s="182" t="e">
        <f>$Y$98</f>
        <v>#DIV/0!</v>
      </c>
      <c r="BH98" s="182" t="e">
        <f>$Z$98</f>
        <v>#DIV/0!</v>
      </c>
      <c r="BI98" s="182" t="e">
        <f>$AA$98</f>
        <v>#DIV/0!</v>
      </c>
      <c r="BJ98" s="182" t="e">
        <f>$AB$98</f>
        <v>#DIV/0!</v>
      </c>
      <c r="BK98" s="182" t="e">
        <f>$AC$98</f>
        <v>#DIV/0!</v>
      </c>
      <c r="BL98" s="182" t="e">
        <f>$AD$98</f>
        <v>#DIV/0!</v>
      </c>
      <c r="BM98" s="182" t="e">
        <f>$AE$98</f>
        <v>#DIV/0!</v>
      </c>
      <c r="BN98" s="182" t="e">
        <f>$AF$98</f>
        <v>#DIV/0!</v>
      </c>
    </row>
    <row r="99" spans="1:66">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
      <c r="AJ99" s="8"/>
    </row>
    <row r="100" spans="1:66">
      <c r="C100" s="8"/>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J100" s="8"/>
    </row>
    <row r="101" spans="1:66">
      <c r="C101" s="8"/>
      <c r="D101" s="8"/>
      <c r="E101" s="8"/>
      <c r="F101" s="8"/>
      <c r="G101" s="82"/>
      <c r="H101" s="8"/>
      <c r="I101" s="8"/>
      <c r="J101" s="8"/>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J101" s="8"/>
    </row>
    <row r="102" spans="1:66">
      <c r="A102" s="116" t="s">
        <v>266</v>
      </c>
      <c r="B102" s="114" t="s">
        <v>267</v>
      </c>
      <c r="C102" s="168"/>
      <c r="D102" s="8"/>
      <c r="E102" s="8"/>
      <c r="F102" s="8"/>
      <c r="G102" s="82"/>
      <c r="H102" s="8"/>
      <c r="I102" s="8"/>
      <c r="J102" s="8"/>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J102" s="8"/>
    </row>
    <row r="103" spans="1:66">
      <c r="C103" s="8"/>
      <c r="D103" s="8"/>
      <c r="E103" s="8"/>
      <c r="F103" s="8"/>
      <c r="G103" s="82"/>
      <c r="H103" s="8"/>
      <c r="I103" s="8"/>
      <c r="J103" s="8"/>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row>
    <row r="104" spans="1:66">
      <c r="C104" s="8"/>
      <c r="D104" s="8"/>
      <c r="E104" s="8"/>
      <c r="F104" s="8"/>
      <c r="G104" s="82"/>
      <c r="H104" s="8"/>
      <c r="I104" s="8"/>
      <c r="J104" s="8"/>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row>
    <row r="105" spans="1:66">
      <c r="C105" s="8"/>
      <c r="D105" s="8"/>
      <c r="E105" s="8"/>
      <c r="F105" s="8"/>
      <c r="G105" s="82"/>
      <c r="H105" s="8"/>
      <c r="I105" s="8"/>
      <c r="J105" s="8"/>
      <c r="K105" s="82"/>
      <c r="L105" s="82"/>
      <c r="M105" s="82"/>
      <c r="N105" s="82"/>
      <c r="O105" s="82"/>
      <c r="P105" s="82"/>
      <c r="Q105" s="82"/>
      <c r="R105" s="82"/>
      <c r="S105" s="82"/>
      <c r="T105" s="82"/>
      <c r="U105" s="82"/>
      <c r="V105" s="82"/>
      <c r="W105" s="82"/>
      <c r="X105" s="82"/>
      <c r="Y105" s="82"/>
      <c r="Z105" s="82"/>
      <c r="AA105" s="82"/>
      <c r="AB105" s="82"/>
      <c r="AC105" s="82"/>
      <c r="AD105" s="8"/>
      <c r="AE105" s="8"/>
      <c r="AF105" s="8"/>
      <c r="AG105" s="8"/>
    </row>
    <row r="106" spans="1:66">
      <c r="C106" s="8"/>
      <c r="D106" s="8"/>
      <c r="E106" s="8"/>
      <c r="F106" s="8"/>
      <c r="G106" s="82"/>
      <c r="H106" s="8"/>
      <c r="I106" s="8"/>
      <c r="J106" s="8"/>
      <c r="K106" s="8"/>
      <c r="L106" s="8"/>
      <c r="M106" s="8"/>
      <c r="N106" s="8"/>
      <c r="O106" s="8"/>
      <c r="P106" s="8"/>
      <c r="Q106" s="8"/>
      <c r="R106" s="8"/>
      <c r="S106" s="82"/>
      <c r="T106" s="82"/>
      <c r="U106" s="82"/>
      <c r="V106" s="82"/>
      <c r="W106" s="82"/>
      <c r="X106" s="82"/>
      <c r="Y106" s="82"/>
      <c r="Z106" s="82"/>
      <c r="AA106" s="82"/>
      <c r="AB106" s="82"/>
      <c r="AC106" s="82"/>
      <c r="AD106" s="8"/>
      <c r="AE106" s="8"/>
      <c r="AF106" s="8"/>
      <c r="AG106" s="8"/>
    </row>
    <row r="107" spans="1:66">
      <c r="C107" s="8"/>
      <c r="D107" s="8"/>
      <c r="E107" s="8"/>
      <c r="F107" s="8"/>
      <c r="G107" s="8"/>
      <c r="H107" s="8"/>
      <c r="I107" s="8"/>
      <c r="J107" s="8"/>
      <c r="K107" s="8"/>
      <c r="L107" s="8"/>
      <c r="M107" s="8"/>
      <c r="N107" s="8"/>
      <c r="O107" s="8"/>
      <c r="P107" s="8"/>
      <c r="Q107" s="8"/>
      <c r="R107" s="8"/>
      <c r="S107" s="82"/>
      <c r="T107" s="82"/>
      <c r="U107" s="82"/>
      <c r="V107" s="82"/>
      <c r="W107" s="82"/>
      <c r="X107" s="82"/>
      <c r="Y107" s="82"/>
      <c r="Z107" s="82"/>
      <c r="AA107" s="82"/>
      <c r="AB107" s="82"/>
      <c r="AC107" s="82"/>
      <c r="AD107" s="8"/>
      <c r="AE107" s="8"/>
      <c r="AF107" s="8"/>
      <c r="AG107" s="8"/>
    </row>
    <row r="108" spans="1:66">
      <c r="C108" s="8"/>
      <c r="D108" s="8"/>
      <c r="E108" s="8"/>
      <c r="F108" s="8"/>
      <c r="G108" s="8"/>
      <c r="H108" s="8"/>
      <c r="I108" s="8"/>
      <c r="J108" s="8"/>
      <c r="K108" s="8"/>
      <c r="L108" s="8"/>
      <c r="M108" s="8"/>
      <c r="N108" s="8"/>
      <c r="O108" s="8"/>
      <c r="P108" s="8"/>
      <c r="Q108" s="8"/>
      <c r="R108" s="8"/>
      <c r="S108" s="82"/>
      <c r="T108" s="82"/>
      <c r="U108" s="82"/>
      <c r="V108" s="82"/>
      <c r="W108" s="82"/>
      <c r="X108" s="82"/>
      <c r="Y108" s="82"/>
      <c r="Z108" s="82"/>
      <c r="AA108" s="82"/>
      <c r="AB108" s="82"/>
      <c r="AC108" s="82"/>
      <c r="AD108" s="8"/>
      <c r="AE108" s="8"/>
      <c r="AF108" s="8"/>
      <c r="AG108" s="8"/>
    </row>
    <row r="109" spans="1:66">
      <c r="C109" s="8"/>
      <c r="D109" s="8"/>
      <c r="E109" s="8"/>
      <c r="F109" s="8"/>
      <c r="G109" s="8"/>
      <c r="H109" s="8"/>
      <c r="I109" s="8"/>
      <c r="J109" s="8"/>
      <c r="K109" s="8"/>
      <c r="L109" s="8"/>
      <c r="M109" s="8"/>
      <c r="N109" s="8"/>
      <c r="O109" s="8"/>
      <c r="P109" s="8"/>
      <c r="Q109" s="8"/>
      <c r="R109" s="8"/>
      <c r="S109" s="82"/>
      <c r="T109" s="82"/>
      <c r="U109" s="82"/>
      <c r="V109" s="82"/>
      <c r="W109" s="82"/>
      <c r="X109" s="82"/>
      <c r="Y109" s="82"/>
      <c r="Z109" s="82"/>
      <c r="AA109" s="82"/>
      <c r="AB109" s="82"/>
      <c r="AC109" s="82"/>
      <c r="AD109" s="8"/>
      <c r="AE109" s="8"/>
      <c r="AF109" s="8"/>
      <c r="AG109" s="8"/>
    </row>
    <row r="110" spans="1:66">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66">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row>
    <row r="112" spans="1:66">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row>
    <row r="113" spans="9:33">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row>
    <row r="114" spans="9:33">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row>
    <row r="115" spans="9:33">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row>
    <row r="116" spans="9:33">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row>
    <row r="117" spans="9:33">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row>
    <row r="118" spans="9:33">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row>
    <row r="119" spans="9:33">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row>
    <row r="120" spans="9:33">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row>
    <row r="121" spans="9:33">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row>
    <row r="122" spans="9:33">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row>
    <row r="123" spans="9:33">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row>
    <row r="124" spans="9:33">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row>
    <row r="125" spans="9:33">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row>
    <row r="126" spans="9:33">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row>
    <row r="127" spans="9:33">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row>
    <row r="128" spans="9:33">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row>
    <row r="129" spans="9:33">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row>
    <row r="130" spans="9:33">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row>
    <row r="131" spans="9:33">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row>
    <row r="132" spans="9:33">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row>
    <row r="133" spans="9:33">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row>
    <row r="134" spans="9:33">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row>
    <row r="135" spans="9:33">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row>
    <row r="136" spans="9:33">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row>
    <row r="137" spans="9:33">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row>
    <row r="138" spans="9:33">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row>
    <row r="139" spans="9:33">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row>
    <row r="140" spans="9:33">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row>
    <row r="141" spans="9:33">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row>
    <row r="142" spans="9:33">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row>
  </sheetData>
  <mergeCells count="33">
    <mergeCell ref="C45:E45"/>
    <mergeCell ref="F45:H45"/>
    <mergeCell ref="I45:K45"/>
    <mergeCell ref="L45:N45"/>
    <mergeCell ref="AD45:AF45"/>
    <mergeCell ref="BI46:BK46"/>
    <mergeCell ref="BL46:BN46"/>
    <mergeCell ref="A3:H3"/>
    <mergeCell ref="B5:L5"/>
    <mergeCell ref="B6:L6"/>
    <mergeCell ref="B7:L7"/>
    <mergeCell ref="B8:L8"/>
    <mergeCell ref="B9:L9"/>
    <mergeCell ref="AK45:BN45"/>
    <mergeCell ref="A45:B45"/>
    <mergeCell ref="AH45:AI45"/>
    <mergeCell ref="AH46:AI46"/>
    <mergeCell ref="O45:Q45"/>
    <mergeCell ref="R45:T45"/>
    <mergeCell ref="U45:W45"/>
    <mergeCell ref="X45:Z45"/>
    <mergeCell ref="K2:M2"/>
    <mergeCell ref="AH70:AI70"/>
    <mergeCell ref="AH71:AI71"/>
    <mergeCell ref="BC46:BE46"/>
    <mergeCell ref="BF46:BH46"/>
    <mergeCell ref="AA45:AC45"/>
    <mergeCell ref="AK46:AM46"/>
    <mergeCell ref="AN46:AP46"/>
    <mergeCell ref="AQ46:AS46"/>
    <mergeCell ref="AT46:AV46"/>
    <mergeCell ref="AW46:AY46"/>
    <mergeCell ref="AZ46:BB46"/>
  </mergeCells>
  <conditionalFormatting sqref="D42:I43">
    <cfRule type="expression" dxfId="46" priority="5">
      <formula>ISERROR(D42)</formula>
    </cfRule>
  </conditionalFormatting>
  <conditionalFormatting sqref="C12:BA27">
    <cfRule type="expression" dxfId="45" priority="4">
      <formula>ISERROR(C12)</formula>
    </cfRule>
  </conditionalFormatting>
  <conditionalFormatting sqref="C28:BA41">
    <cfRule type="expression" dxfId="44" priority="3">
      <formula>ISERROR(C28)</formula>
    </cfRule>
  </conditionalFormatting>
  <conditionalFormatting sqref="C47:AF98">
    <cfRule type="expression" dxfId="43" priority="2">
      <formula>ISERROR(C47)</formula>
    </cfRule>
  </conditionalFormatting>
  <conditionalFormatting sqref="AK47:BN98">
    <cfRule type="expression" dxfId="42" priority="1">
      <formula>ISERROR(AK47)</formula>
    </cfRule>
  </conditionalFormatting>
  <hyperlinks>
    <hyperlink ref="K2" location="'Information och Innehåll'!A1" display="Tillbaka till Information och Innehåll"/>
    <hyperlink ref="AH48" location="V1.1.1!A1" display="V1.1.1"/>
    <hyperlink ref="AH49" location="V1.1.2!A1" display="V1.1.2"/>
    <hyperlink ref="AH50" location="V1.1.3!A1" display="V1.1.3"/>
    <hyperlink ref="AH51" location="V2.1.1!A1" display="V2.1.1"/>
    <hyperlink ref="AH52" location="V2.1.2!A1" display="V2.1.2"/>
    <hyperlink ref="AH54" location="V3.1.2!A1" display="V3.1.2"/>
    <hyperlink ref="AH53" location="V3.1.1!A1" display="V3.1.1"/>
    <hyperlink ref="AH55" location="V3.1.3!A1" display="V3.1.3"/>
    <hyperlink ref="AH57" location="V4.1.1!A1" display="V4.1.1"/>
    <hyperlink ref="AH58" location="V4.2.1!A1" display="V4.2.1"/>
    <hyperlink ref="AH59" location="V4.2.2!A1" display="V4.2.2"/>
    <hyperlink ref="AH60" location="V4.2.3!A1" display="V4.2.3"/>
    <hyperlink ref="AH61" location="V4.2.4!A1" display="V4.2.4"/>
    <hyperlink ref="AH62" location="V5.1.1!A1" display="V5.1.1"/>
    <hyperlink ref="AH63" location="V5.1.2!A1" display="V5.1.2"/>
    <hyperlink ref="AI48" location="B1.1.1!A1" display="B1.1.1"/>
    <hyperlink ref="AI49" location="B1.1.2!A1" display="B1.1.2"/>
    <hyperlink ref="AI50" location="B1.2.1!A1" display="B1.2.1"/>
    <hyperlink ref="AI51" location="B1.2.2!A1" display="B1.2.2"/>
    <hyperlink ref="AI52" location="B1.2.3!A1" display="B1.2.3"/>
    <hyperlink ref="AI53" location="V2.1.1!A1" display="B2.1.1"/>
    <hyperlink ref="AI55" location="B2.2.1!A1" display="B2.2.1"/>
    <hyperlink ref="AI56" location="B2.2.2!A1" display="B2.2.2"/>
    <hyperlink ref="AI57" location="B2.2.3!A1" display="B2.2.3"/>
    <hyperlink ref="AI58" location="B2.2.4!A1" display="B2.2.4"/>
    <hyperlink ref="AI59" location="B3.1.1!A1" display="B3.1.1"/>
    <hyperlink ref="AI60" location="B3.1.2!A1" display="B3.1.2"/>
    <hyperlink ref="AI63" location="B4.1.1!A1" display="B4.1.1"/>
    <hyperlink ref="AI64" location="B5.1.1!A1" display="B5.1.1"/>
    <hyperlink ref="AI65" location="B5.1.2!A1" display="B5.1.2"/>
    <hyperlink ref="AI66" location="B5.1.3!A1" display="B5.1.3"/>
    <hyperlink ref="AI61" location="B3.1.3!A1" display="B3.1.3"/>
    <hyperlink ref="AI54" location="B2.1.2!A1" display="B2.1.2"/>
    <hyperlink ref="AH64" location="V5.1.3!A1" display="V5.1.3"/>
    <hyperlink ref="AI62" location="B3.2.1!A1" display="B3.2.1"/>
    <hyperlink ref="AH56" location="B3.2.1!A1" display="V3.2.1"/>
    <hyperlink ref="AH73" location="'V1.1.1 DATA'!A1" display="V1.1.1"/>
    <hyperlink ref="AH74" location="'V1.1.2 DATA'!A1" display="V1.1.2"/>
    <hyperlink ref="AH75" location="'V1.1.3 Data'!A1" display="V1.1.3"/>
    <hyperlink ref="AH76" location="'V2.1.1 DATA'!A1" display="V2.1.1"/>
    <hyperlink ref="AH77" location="'V2.1.2 DATA'!A1" display="V2.1.2"/>
    <hyperlink ref="AH79" location="'V3.1.2 DATA'!A1" display="V3.1.2"/>
    <hyperlink ref="AH78" location="'V3.1.1 DATA'!A1" display="V3.1.1"/>
    <hyperlink ref="AH80" location="'V3.1.3 DATA'!A1" display="V3.1.3"/>
    <hyperlink ref="AH81" location="'V3.2.1 DATA'!A1" display="V3.2.1"/>
    <hyperlink ref="AH82" location="'V4.1.1 DATA'!A1" display="V4.1.1"/>
    <hyperlink ref="AH83" location="'V4.2.1 DATA'!A1" display="V4.2.1"/>
    <hyperlink ref="AH85" location="'V4.2.3 DATA'!A1" display="V4.2.3"/>
    <hyperlink ref="AH86" location="'V4.2.4 DATA'!A1" display="V4.2.4"/>
    <hyperlink ref="AH87" location="'V5.1.1 DATA'!A1" display="V5.1.1"/>
    <hyperlink ref="AH88" location="'V5.1.2 DATA'!A1" display="V5.1.2"/>
    <hyperlink ref="AI73" location="'B1.1.1 DATA'!A1" display="B1.1.1"/>
    <hyperlink ref="AI74" location="'B1.2.1 DATA'!A1" display="B1.1.2"/>
    <hyperlink ref="AI75" location="'B1.2.1 DATA'!A1" display="B1.2.1"/>
    <hyperlink ref="AI76" location="'B1.2.2 DATA'!A1" display="B1.2.2"/>
    <hyperlink ref="AI77" location="'B1.2.3 DATA'!A1" display="B1.2.3"/>
    <hyperlink ref="AI78" location="'B2.1.1 DATA'!A1" display="B2.1.1"/>
    <hyperlink ref="AI80" location="'B2.2.1 DATA'!A1" display="B2.2.1"/>
    <hyperlink ref="AI81" location="'B2.2.2 DATA'!A1" display="B2.2.2"/>
    <hyperlink ref="AI82" location="'B2.2.3 DATA'!A1" display="B2.2.3"/>
    <hyperlink ref="AI83" location="'B2.2.4 DATA'!A1" display="B2.2.4"/>
    <hyperlink ref="AI84" location="'B3.1.1 DATA'!A1" display="B3.1.1"/>
    <hyperlink ref="AI85" location="'B3.1.2 DATA'!A1" display="B3.1.2"/>
    <hyperlink ref="AI87" location="'B3.2.1 DATA'!A1" display="B3.2.1"/>
    <hyperlink ref="AI88" location="'B4.1.1 DATA'!A1" display="B4.1.1"/>
    <hyperlink ref="AI89" location="'B5.1.1 DATA'!A1" display="B5.1.1"/>
    <hyperlink ref="AI90" location="'B5.1.2 DATA'!A1" display="B5.1.2"/>
    <hyperlink ref="AI91" location="'B5.1.3 DATA'!A1" display="B5.1.3"/>
    <hyperlink ref="AI79" location="'B2.1.2 DATA'!A1" display="B2.1.2"/>
    <hyperlink ref="AH89" location="'V5.1.3 DATA'!A1" display="V5.1.3"/>
    <hyperlink ref="AI86" location="'B3.1.3 DATA'!A1" display="B3.1.3"/>
    <hyperlink ref="AH84" location="'V4.2.2 DATA'!A1" display="V4.2.2"/>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18366"/>
  </sheetPr>
  <dimension ref="A2:AA56"/>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1" ht="21">
      <c r="P2" s="10"/>
      <c r="Q2" s="11"/>
      <c r="R2" s="11"/>
    </row>
    <row r="3" spans="1:21" ht="23.25">
      <c r="B3" s="338" t="s">
        <v>404</v>
      </c>
      <c r="C3" s="338"/>
      <c r="D3" s="338"/>
      <c r="E3" s="338"/>
      <c r="F3" s="338"/>
      <c r="G3" s="338"/>
      <c r="H3" s="338"/>
      <c r="I3" s="338"/>
      <c r="J3" s="338"/>
      <c r="K3" s="338"/>
      <c r="L3" s="338"/>
      <c r="M3" s="338"/>
      <c r="N3" s="338"/>
      <c r="O3" s="338"/>
      <c r="P3" s="338"/>
      <c r="Q3" s="338"/>
      <c r="R3" s="338"/>
      <c r="S3" s="338"/>
      <c r="T3" s="338"/>
    </row>
    <row r="4" spans="1:21" ht="30.75">
      <c r="B4" s="366" t="s">
        <v>496</v>
      </c>
      <c r="C4" s="366"/>
      <c r="D4" s="366"/>
      <c r="E4" s="366"/>
      <c r="F4" s="366"/>
      <c r="G4" s="366"/>
      <c r="H4" s="366"/>
      <c r="I4" s="366"/>
      <c r="J4" s="366"/>
      <c r="K4" s="366"/>
      <c r="L4" s="366"/>
      <c r="M4" s="366"/>
      <c r="N4" s="366"/>
      <c r="O4" s="366"/>
      <c r="P4" s="366"/>
      <c r="Q4" s="366"/>
      <c r="R4" s="366"/>
      <c r="S4" s="366"/>
      <c r="T4" s="366"/>
    </row>
    <row r="5" spans="1:21" ht="18">
      <c r="B5" s="340" t="s">
        <v>313</v>
      </c>
      <c r="C5" s="340"/>
      <c r="D5" s="340"/>
      <c r="E5" s="340"/>
      <c r="F5" s="340"/>
      <c r="G5" s="340"/>
      <c r="H5" s="340"/>
      <c r="I5" s="340"/>
      <c r="J5" s="340"/>
      <c r="K5" s="340"/>
      <c r="L5" s="340"/>
      <c r="M5" s="340"/>
      <c r="N5" s="340"/>
      <c r="O5" s="340"/>
      <c r="P5" s="340"/>
      <c r="Q5" s="340"/>
      <c r="R5" s="340"/>
      <c r="S5" s="340"/>
      <c r="T5" s="340"/>
    </row>
    <row r="6" spans="1:21">
      <c r="P6" s="11"/>
      <c r="Q6" s="11"/>
      <c r="R6" s="11"/>
    </row>
    <row r="7" spans="1:21" ht="15.75">
      <c r="B7" s="26" t="s">
        <v>35</v>
      </c>
      <c r="E7" s="27">
        <v>42977</v>
      </c>
      <c r="I7" s="114"/>
      <c r="P7" s="11"/>
      <c r="Q7" s="11"/>
      <c r="R7" s="342" t="s">
        <v>44</v>
      </c>
      <c r="S7" s="342"/>
      <c r="T7" s="342"/>
    </row>
    <row r="8" spans="1:21">
      <c r="P8" s="11"/>
      <c r="Q8" s="11"/>
      <c r="R8" s="11"/>
    </row>
    <row r="9" spans="1:21" ht="23.65" thickBot="1">
      <c r="B9" s="341" t="s">
        <v>7</v>
      </c>
      <c r="C9" s="341"/>
      <c r="D9" s="341"/>
      <c r="E9" s="341"/>
      <c r="F9" s="341"/>
      <c r="G9" s="341"/>
      <c r="H9" s="341"/>
      <c r="I9" s="341"/>
      <c r="J9" s="341"/>
      <c r="K9" s="341"/>
      <c r="L9" s="341"/>
      <c r="N9" s="331" t="s">
        <v>38</v>
      </c>
      <c r="O9" s="331"/>
      <c r="P9" s="331"/>
      <c r="Q9" s="331"/>
      <c r="R9" s="331"/>
      <c r="S9" s="331"/>
      <c r="T9" s="331"/>
    </row>
    <row r="10" spans="1:21" ht="23.25">
      <c r="B10" s="33"/>
      <c r="C10" s="33"/>
      <c r="D10" s="33"/>
      <c r="E10" s="33"/>
      <c r="F10" s="33"/>
      <c r="G10" s="33"/>
      <c r="H10" s="33"/>
      <c r="I10" s="33"/>
      <c r="J10" s="33"/>
      <c r="K10" s="33"/>
      <c r="L10" s="33"/>
      <c r="N10" s="31"/>
      <c r="O10" s="31"/>
      <c r="P10" s="31"/>
      <c r="Q10" s="31"/>
      <c r="R10" s="31"/>
      <c r="S10" s="31"/>
      <c r="T10" s="31"/>
    </row>
    <row r="11" spans="1:21">
      <c r="B11" s="336" t="s">
        <v>40</v>
      </c>
      <c r="C11" s="336"/>
      <c r="D11" s="336"/>
      <c r="E11" s="336"/>
      <c r="F11" s="336"/>
      <c r="G11" s="336"/>
      <c r="H11" s="336"/>
      <c r="I11" s="336"/>
      <c r="J11" s="336"/>
      <c r="K11" s="336"/>
      <c r="L11" s="336"/>
      <c r="N11" s="87" t="s">
        <v>211</v>
      </c>
      <c r="O11" s="87" t="s">
        <v>286</v>
      </c>
      <c r="P11" s="86"/>
      <c r="Q11" s="86"/>
      <c r="T11" s="86"/>
    </row>
    <row r="12" spans="1:21">
      <c r="B12" s="1"/>
      <c r="C12" s="337" t="s">
        <v>598</v>
      </c>
      <c r="D12" s="337"/>
      <c r="E12" s="337"/>
      <c r="F12" s="337"/>
      <c r="G12" s="337"/>
      <c r="H12" s="337"/>
      <c r="I12" s="337"/>
      <c r="J12" s="337"/>
      <c r="K12" s="337"/>
      <c r="L12" s="337"/>
      <c r="N12" s="87" t="s">
        <v>287</v>
      </c>
      <c r="O12" s="86" t="s">
        <v>42</v>
      </c>
      <c r="P12" s="86" t="s">
        <v>6</v>
      </c>
      <c r="Q12" s="86" t="s">
        <v>5</v>
      </c>
      <c r="T12" s="86"/>
    </row>
    <row r="13" spans="1:21">
      <c r="B13" s="32"/>
      <c r="C13" s="332" t="s">
        <v>599</v>
      </c>
      <c r="D13" s="332"/>
      <c r="E13" s="332"/>
      <c r="F13" s="332"/>
      <c r="G13" s="332"/>
      <c r="H13" s="332"/>
      <c r="I13" s="332"/>
      <c r="J13" s="332"/>
      <c r="K13" s="332"/>
      <c r="L13" s="332"/>
      <c r="N13" s="88">
        <v>2016</v>
      </c>
      <c r="O13" s="86">
        <v>0.27945408968526597</v>
      </c>
      <c r="P13" s="86">
        <v>0.24903772132409546</v>
      </c>
      <c r="Q13" s="86">
        <v>0.30716279069767444</v>
      </c>
      <c r="T13" s="86"/>
    </row>
    <row r="14" spans="1:21">
      <c r="B14" s="32"/>
      <c r="C14" s="333" t="s">
        <v>292</v>
      </c>
      <c r="D14" s="333"/>
      <c r="E14" s="333"/>
      <c r="F14" s="333"/>
      <c r="G14" s="333"/>
      <c r="H14" s="333"/>
      <c r="I14" s="333"/>
      <c r="J14" s="333"/>
      <c r="K14" s="333"/>
      <c r="L14" s="333"/>
      <c r="N14" s="88">
        <v>2017</v>
      </c>
      <c r="O14" s="86"/>
      <c r="P14" s="86"/>
      <c r="Q14" s="86"/>
      <c r="T14" s="86"/>
      <c r="U14" s="2"/>
    </row>
    <row r="15" spans="1:21">
      <c r="B15" s="32"/>
      <c r="C15" s="333" t="s">
        <v>602</v>
      </c>
      <c r="D15" s="333"/>
      <c r="E15" s="333"/>
      <c r="F15" s="333"/>
      <c r="G15" s="333"/>
      <c r="H15" s="333"/>
      <c r="I15" s="333"/>
      <c r="J15" s="333"/>
      <c r="K15" s="333"/>
      <c r="L15" s="333"/>
      <c r="N15" s="88">
        <v>2018</v>
      </c>
      <c r="O15" s="86"/>
      <c r="P15" s="86"/>
      <c r="Q15" s="86"/>
      <c r="T15" s="86"/>
      <c r="U15" s="2"/>
    </row>
    <row r="16" spans="1:21">
      <c r="A16" s="3"/>
      <c r="B16" s="32"/>
      <c r="C16" s="47"/>
      <c r="D16" s="47"/>
      <c r="E16" s="47"/>
      <c r="F16" s="47"/>
      <c r="G16" s="47"/>
      <c r="H16" s="47"/>
      <c r="I16" s="47"/>
      <c r="J16" s="47"/>
      <c r="K16" s="47"/>
      <c r="L16" s="32"/>
      <c r="N16" s="88">
        <v>2019</v>
      </c>
      <c r="O16" s="86"/>
      <c r="P16" s="86"/>
      <c r="Q16" s="86"/>
      <c r="T16" s="86"/>
      <c r="U16" s="2"/>
    </row>
    <row r="17" spans="1:26" ht="14.45" customHeight="1">
      <c r="A17" s="3"/>
      <c r="B17" s="336" t="s">
        <v>41</v>
      </c>
      <c r="C17" s="336"/>
      <c r="D17" s="336"/>
      <c r="E17" s="336"/>
      <c r="F17" s="336"/>
      <c r="G17" s="336"/>
      <c r="H17" s="336"/>
      <c r="I17" s="336"/>
      <c r="J17" s="336"/>
      <c r="K17" s="336"/>
      <c r="L17" s="336"/>
      <c r="N17" s="88">
        <v>2020</v>
      </c>
      <c r="O17" s="86"/>
      <c r="P17" s="86"/>
      <c r="Q17" s="86"/>
      <c r="T17" s="86"/>
      <c r="U17" s="2"/>
    </row>
    <row r="18" spans="1:26" ht="14.45" customHeight="1">
      <c r="A18" s="3"/>
      <c r="B18" s="119"/>
      <c r="C18" s="333" t="s">
        <v>295</v>
      </c>
      <c r="D18" s="333"/>
      <c r="E18" s="333"/>
      <c r="F18" s="333"/>
      <c r="G18" s="333"/>
      <c r="H18" s="333"/>
      <c r="I18" s="333"/>
      <c r="J18" s="333"/>
      <c r="K18" s="333"/>
      <c r="L18" s="333"/>
      <c r="N18" s="88">
        <v>2021</v>
      </c>
      <c r="O18" s="86"/>
      <c r="P18" s="86"/>
      <c r="Q18" s="86"/>
      <c r="T18" s="86"/>
      <c r="U18" s="2"/>
    </row>
    <row r="19" spans="1:26" ht="14.45" customHeight="1">
      <c r="A19" s="3"/>
      <c r="B19" s="117"/>
      <c r="C19" s="333" t="s">
        <v>359</v>
      </c>
      <c r="D19" s="333"/>
      <c r="E19" s="333"/>
      <c r="F19" s="333"/>
      <c r="G19" s="333"/>
      <c r="H19" s="333"/>
      <c r="I19" s="333"/>
      <c r="J19" s="333"/>
      <c r="K19" s="333"/>
      <c r="L19" s="333"/>
      <c r="N19" s="88">
        <v>2022</v>
      </c>
      <c r="O19" s="86"/>
      <c r="P19" s="86"/>
      <c r="Q19" s="86"/>
      <c r="T19" s="86"/>
      <c r="U19" s="2"/>
    </row>
    <row r="20" spans="1:26" ht="14.45" customHeight="1">
      <c r="A20" s="3"/>
      <c r="B20" s="117"/>
      <c r="C20" s="333" t="s">
        <v>369</v>
      </c>
      <c r="D20" s="333"/>
      <c r="E20" s="333"/>
      <c r="F20" s="333"/>
      <c r="G20" s="333"/>
      <c r="H20" s="333"/>
      <c r="I20" s="333"/>
      <c r="J20" s="333"/>
      <c r="K20" s="333"/>
      <c r="L20" s="333"/>
      <c r="N20" s="88">
        <v>2023</v>
      </c>
      <c r="O20" s="86"/>
      <c r="P20" s="86"/>
      <c r="Q20" s="86"/>
      <c r="T20" s="86"/>
      <c r="U20" s="2"/>
    </row>
    <row r="21" spans="1:26" ht="14.45" customHeight="1">
      <c r="A21" s="3"/>
      <c r="B21" s="117"/>
      <c r="C21" s="58" t="str">
        <f>"--&gt;"</f>
        <v>--&gt;</v>
      </c>
      <c r="D21" s="334" t="s">
        <v>285</v>
      </c>
      <c r="E21" s="334"/>
      <c r="F21" s="334"/>
      <c r="G21" s="334"/>
      <c r="H21" s="334"/>
      <c r="I21" s="334"/>
      <c r="J21" s="334"/>
      <c r="K21" s="334"/>
      <c r="L21" s="334"/>
      <c r="N21" s="88">
        <v>2024</v>
      </c>
      <c r="O21" s="86"/>
      <c r="P21" s="86"/>
      <c r="Q21" s="86"/>
      <c r="T21" s="86"/>
      <c r="U21" s="2"/>
    </row>
    <row r="22" spans="1:26">
      <c r="A22" s="3"/>
      <c r="B22" s="117"/>
      <c r="C22" s="117"/>
      <c r="D22" s="334"/>
      <c r="E22" s="334"/>
      <c r="F22" s="334"/>
      <c r="G22" s="334"/>
      <c r="H22" s="334"/>
      <c r="I22" s="334"/>
      <c r="J22" s="334"/>
      <c r="K22" s="334"/>
      <c r="L22" s="334"/>
      <c r="N22" s="88">
        <v>2025</v>
      </c>
      <c r="O22" s="86"/>
      <c r="P22" s="86"/>
      <c r="Q22" s="86"/>
      <c r="R22" s="86"/>
      <c r="S22" s="86"/>
      <c r="T22" s="86"/>
      <c r="U22" s="2"/>
    </row>
    <row r="23" spans="1:26" ht="14.45" customHeight="1">
      <c r="A23" s="3"/>
      <c r="B23" s="117"/>
      <c r="C23" s="333" t="s">
        <v>356</v>
      </c>
      <c r="D23" s="333"/>
      <c r="E23" s="333"/>
      <c r="F23" s="333"/>
      <c r="G23" s="333"/>
      <c r="H23" s="333"/>
      <c r="I23" s="333"/>
      <c r="J23" s="333"/>
      <c r="K23" s="333"/>
      <c r="L23" s="333"/>
      <c r="Q23" s="86"/>
      <c r="R23" s="86"/>
      <c r="S23" s="86"/>
      <c r="T23" s="86"/>
      <c r="U23" s="2"/>
    </row>
    <row r="24" spans="1:26">
      <c r="A24" s="3"/>
      <c r="B24" s="117"/>
      <c r="C24" s="333"/>
      <c r="D24" s="333"/>
      <c r="E24" s="333"/>
      <c r="F24" s="333"/>
      <c r="G24" s="333"/>
      <c r="H24" s="333"/>
      <c r="I24" s="333"/>
      <c r="J24" s="333"/>
      <c r="K24" s="333"/>
      <c r="L24" s="333"/>
      <c r="Q24" s="2"/>
      <c r="R24" s="2"/>
      <c r="S24" s="2"/>
      <c r="T24" s="2"/>
      <c r="U24" s="2"/>
    </row>
    <row r="25" spans="1:26">
      <c r="A25" s="3"/>
      <c r="B25" s="117"/>
      <c r="C25" s="333"/>
      <c r="D25" s="333"/>
      <c r="E25" s="333"/>
      <c r="F25" s="333"/>
      <c r="G25" s="333"/>
      <c r="H25" s="333"/>
      <c r="I25" s="333"/>
      <c r="J25" s="333"/>
      <c r="K25" s="333"/>
      <c r="L25" s="333"/>
      <c r="S25" s="11"/>
      <c r="T25" s="11"/>
    </row>
    <row r="26" spans="1:26" ht="14.45" customHeight="1">
      <c r="A26" s="3"/>
      <c r="B26" s="117"/>
      <c r="C26" s="335" t="s">
        <v>298</v>
      </c>
      <c r="D26" s="335"/>
      <c r="E26" s="335"/>
      <c r="F26" s="335"/>
      <c r="G26" s="335"/>
      <c r="H26" s="335"/>
      <c r="I26" s="335"/>
      <c r="J26" s="335"/>
      <c r="K26" s="335"/>
      <c r="L26" s="335"/>
      <c r="S26" s="11"/>
      <c r="T26" s="11"/>
    </row>
    <row r="27" spans="1:26">
      <c r="B27" s="118"/>
      <c r="C27" s="335"/>
      <c r="D27" s="335"/>
      <c r="E27" s="335"/>
      <c r="F27" s="335"/>
      <c r="G27" s="335"/>
      <c r="H27" s="335"/>
      <c r="I27" s="335"/>
      <c r="J27" s="335"/>
      <c r="K27" s="335"/>
      <c r="L27" s="335"/>
      <c r="Q27" s="2"/>
      <c r="S27" s="11"/>
      <c r="T27" s="11"/>
    </row>
    <row r="28" spans="1:26">
      <c r="B28" s="118"/>
      <c r="C28" s="335"/>
      <c r="D28" s="335"/>
      <c r="E28" s="335"/>
      <c r="F28" s="335"/>
      <c r="G28" s="335"/>
      <c r="H28" s="335"/>
      <c r="I28" s="335"/>
      <c r="J28" s="335"/>
      <c r="K28" s="335"/>
      <c r="L28" s="335"/>
      <c r="Q28" s="2"/>
      <c r="S28" s="11"/>
      <c r="T28" s="11"/>
    </row>
    <row r="29" spans="1:26">
      <c r="B29" s="83"/>
      <c r="C29" s="351"/>
      <c r="D29" s="351"/>
      <c r="E29" s="351"/>
      <c r="F29" s="351"/>
      <c r="G29" s="351"/>
      <c r="H29" s="351"/>
      <c r="I29" s="351"/>
      <c r="J29" s="351"/>
      <c r="K29" s="351"/>
      <c r="L29" s="351"/>
      <c r="S29" s="11"/>
      <c r="T29" s="11"/>
    </row>
    <row r="30" spans="1:26">
      <c r="B30" s="122"/>
      <c r="C30" s="351"/>
      <c r="D30" s="351"/>
      <c r="E30" s="351"/>
      <c r="F30" s="351"/>
      <c r="G30" s="351"/>
      <c r="H30" s="351"/>
      <c r="I30" s="351"/>
      <c r="J30" s="351"/>
      <c r="K30" s="351"/>
      <c r="L30" s="351"/>
      <c r="M30" s="9"/>
      <c r="N30" s="31"/>
      <c r="O30" s="34"/>
      <c r="P30" s="35"/>
      <c r="Q30" s="35"/>
      <c r="R30" s="35"/>
      <c r="S30" s="35"/>
      <c r="T30" s="31"/>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7">
      <c r="B34" s="1"/>
      <c r="C34" s="1"/>
      <c r="D34" s="1"/>
      <c r="E34" s="1"/>
      <c r="F34" s="1"/>
      <c r="G34" s="1"/>
      <c r="H34" s="1"/>
      <c r="I34" s="1"/>
      <c r="J34" s="1"/>
      <c r="K34" s="1"/>
      <c r="L34" s="1"/>
      <c r="M34" s="1"/>
      <c r="N34" s="1"/>
      <c r="O34" s="1"/>
      <c r="P34" s="1"/>
      <c r="Q34" s="1"/>
      <c r="R34" s="1"/>
      <c r="S34" s="1"/>
      <c r="T34" s="1"/>
      <c r="V34" s="56" t="s">
        <v>61</v>
      </c>
      <c r="W34" s="56" t="s">
        <v>62</v>
      </c>
      <c r="X34" s="11"/>
      <c r="Y34" s="56" t="s">
        <v>61</v>
      </c>
      <c r="Z34" s="56" t="s">
        <v>62</v>
      </c>
    </row>
    <row r="35" spans="1:27">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7">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7">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7">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7">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7">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7">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7">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7">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7">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7">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7">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row>
    <row r="47" spans="1:27">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row>
    <row r="48" spans="1:27">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c r="AA48" s="9"/>
    </row>
    <row r="49" spans="2:27">
      <c r="B49" s="1"/>
      <c r="C49" s="1"/>
      <c r="D49" s="1"/>
      <c r="E49" s="1"/>
      <c r="F49" s="1"/>
      <c r="G49" s="1"/>
      <c r="H49" s="1"/>
      <c r="I49" s="1"/>
      <c r="J49" s="1"/>
      <c r="K49" s="1"/>
      <c r="L49" s="1"/>
      <c r="M49" s="1"/>
      <c r="N49" s="1"/>
      <c r="O49" s="1"/>
      <c r="P49" s="1"/>
      <c r="Q49" s="1"/>
      <c r="R49" s="1"/>
      <c r="S49" s="1"/>
      <c r="T49" s="1"/>
      <c r="V49" s="244" t="s">
        <v>445</v>
      </c>
      <c r="W49" s="244" t="s">
        <v>462</v>
      </c>
      <c r="X49" s="9"/>
      <c r="Y49" s="244" t="s">
        <v>445</v>
      </c>
      <c r="Z49" s="244" t="s">
        <v>462</v>
      </c>
      <c r="AA49" s="9"/>
    </row>
    <row r="50" spans="2:27">
      <c r="B50" s="1"/>
      <c r="C50" s="1"/>
      <c r="D50" s="1"/>
      <c r="E50" s="1"/>
      <c r="F50" s="1"/>
      <c r="G50" s="1"/>
      <c r="H50" s="1"/>
      <c r="I50" s="1"/>
      <c r="J50" s="1"/>
      <c r="K50" s="1"/>
      <c r="L50" s="1"/>
      <c r="M50" s="1"/>
      <c r="N50" s="1"/>
      <c r="O50" s="1"/>
      <c r="P50" s="1"/>
      <c r="Q50" s="1"/>
      <c r="R50" s="1"/>
      <c r="S50" s="1"/>
      <c r="T50" s="1"/>
      <c r="V50" s="246" t="s">
        <v>446</v>
      </c>
      <c r="W50" s="244" t="s">
        <v>463</v>
      </c>
      <c r="X50" s="9"/>
      <c r="Y50" s="246" t="s">
        <v>446</v>
      </c>
      <c r="Z50" s="244" t="s">
        <v>463</v>
      </c>
      <c r="AA50" s="9"/>
    </row>
    <row r="51" spans="2:27">
      <c r="B51" s="1"/>
      <c r="C51" s="1"/>
      <c r="D51" s="1"/>
      <c r="E51" s="1"/>
      <c r="F51" s="1"/>
      <c r="G51" s="1"/>
      <c r="H51" s="1"/>
      <c r="I51" s="1"/>
      <c r="J51" s="1"/>
      <c r="K51" s="1"/>
      <c r="L51" s="1"/>
      <c r="M51" s="1"/>
      <c r="N51" s="1"/>
      <c r="O51" s="1"/>
      <c r="P51" s="1"/>
      <c r="Q51" s="1"/>
      <c r="R51" s="1"/>
      <c r="S51" s="1"/>
      <c r="T51" s="1"/>
      <c r="V51" s="247" t="s">
        <v>447</v>
      </c>
      <c r="W51" s="244" t="s">
        <v>464</v>
      </c>
      <c r="X51" s="9"/>
      <c r="Y51" s="247" t="s">
        <v>447</v>
      </c>
      <c r="Z51" s="244" t="s">
        <v>464</v>
      </c>
      <c r="AA51" s="9"/>
    </row>
    <row r="52" spans="2:27">
      <c r="B52" s="1"/>
      <c r="C52" s="1"/>
      <c r="D52" s="1"/>
      <c r="E52" s="1"/>
      <c r="F52" s="1"/>
      <c r="G52" s="1"/>
      <c r="H52" s="1"/>
      <c r="I52" s="1"/>
      <c r="J52" s="1"/>
      <c r="K52" s="1"/>
      <c r="L52" s="1"/>
      <c r="M52" s="1"/>
      <c r="N52" s="1"/>
      <c r="O52" s="1"/>
      <c r="P52" s="1"/>
      <c r="Q52" s="1"/>
      <c r="R52" s="1"/>
      <c r="S52" s="1"/>
      <c r="T52" s="1"/>
      <c r="V52" s="295"/>
      <c r="W52" s="244" t="s">
        <v>465</v>
      </c>
      <c r="X52" s="9"/>
      <c r="Y52" s="284"/>
      <c r="Z52" s="244" t="s">
        <v>465</v>
      </c>
      <c r="AA52" s="9"/>
    </row>
    <row r="53" spans="2:27">
      <c r="B53" s="1"/>
      <c r="C53" s="1"/>
      <c r="D53" s="1"/>
      <c r="E53" s="1"/>
      <c r="F53" s="1"/>
      <c r="G53" s="1"/>
      <c r="H53" s="1"/>
      <c r="I53" s="1"/>
      <c r="J53" s="1"/>
      <c r="K53" s="1"/>
      <c r="L53" s="1"/>
      <c r="M53" s="1"/>
      <c r="N53" s="1"/>
      <c r="O53" s="1"/>
      <c r="P53" s="1"/>
      <c r="Q53" s="1"/>
      <c r="R53" s="1"/>
      <c r="S53" s="1"/>
      <c r="T53" s="1"/>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row r="56" spans="2:27">
      <c r="V56" s="9"/>
      <c r="W56" s="9"/>
      <c r="X56" s="9"/>
      <c r="Y56" s="9"/>
      <c r="Z56" s="9"/>
      <c r="AA56" s="9"/>
    </row>
  </sheetData>
  <mergeCells count="24">
    <mergeCell ref="B11:L11"/>
    <mergeCell ref="C12:L12"/>
    <mergeCell ref="C13:L13"/>
    <mergeCell ref="C14:L14"/>
    <mergeCell ref="B3:T3"/>
    <mergeCell ref="B4:T4"/>
    <mergeCell ref="B5:T5"/>
    <mergeCell ref="R7:T7"/>
    <mergeCell ref="B9:L9"/>
    <mergeCell ref="N9:T9"/>
    <mergeCell ref="Y32:Z32"/>
    <mergeCell ref="Y33:Z33"/>
    <mergeCell ref="V33:W33"/>
    <mergeCell ref="C15:L15"/>
    <mergeCell ref="B17:L17"/>
    <mergeCell ref="C18:L18"/>
    <mergeCell ref="C19:L19"/>
    <mergeCell ref="C20:L20"/>
    <mergeCell ref="D21:L22"/>
    <mergeCell ref="C23:L25"/>
    <mergeCell ref="C26:L28"/>
    <mergeCell ref="C29:L30"/>
    <mergeCell ref="B32:T32"/>
    <mergeCell ref="V32:W32"/>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B49073"/>
  </sheetPr>
  <dimension ref="A1:CJ489"/>
  <sheetViews>
    <sheetView showGridLines="0" showRowColHeaders="0" zoomScale="70" zoomScaleNormal="70" workbookViewId="0"/>
  </sheetViews>
  <sheetFormatPr defaultRowHeight="14.25"/>
  <cols>
    <col min="1" max="1" width="15.796875" customWidth="1"/>
    <col min="2" max="2" width="26.796875" customWidth="1"/>
    <col min="3" max="32" width="15.796875" customWidth="1"/>
    <col min="33" max="66" width="12.796875" customWidth="1"/>
  </cols>
  <sheetData>
    <row r="1" spans="1:88" ht="15.75">
      <c r="A1" s="16" t="s">
        <v>273</v>
      </c>
      <c r="B1" s="84"/>
      <c r="C1" s="84"/>
      <c r="D1" s="84"/>
      <c r="E1" s="84"/>
      <c r="F1" s="84"/>
      <c r="G1" s="84"/>
      <c r="H1" s="84"/>
      <c r="J1" s="231" t="s">
        <v>382</v>
      </c>
      <c r="K1" s="227"/>
      <c r="L1" s="227"/>
      <c r="M1" s="227"/>
      <c r="N1" s="227"/>
      <c r="O1" s="227"/>
    </row>
    <row r="2" spans="1:88" ht="15.75">
      <c r="A2" s="26" t="s">
        <v>34</v>
      </c>
      <c r="D2" s="27">
        <v>42977</v>
      </c>
      <c r="K2" s="342" t="s">
        <v>44</v>
      </c>
      <c r="L2" s="342"/>
      <c r="M2" s="342"/>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8"/>
    </row>
    <row r="3" spans="1:88" ht="23.25">
      <c r="A3" s="354" t="s">
        <v>7</v>
      </c>
      <c r="B3" s="354"/>
      <c r="C3" s="354"/>
      <c r="D3" s="354"/>
      <c r="E3" s="354"/>
      <c r="F3" s="354"/>
      <c r="G3" s="354"/>
      <c r="H3" s="354"/>
      <c r="I3" s="198"/>
      <c r="J3" s="198"/>
      <c r="K3" s="198"/>
      <c r="L3" s="198"/>
      <c r="M3" s="198"/>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8"/>
    </row>
    <row r="4" spans="1:88">
      <c r="A4" s="119"/>
      <c r="B4" s="119"/>
      <c r="C4" s="119"/>
      <c r="D4" s="119"/>
      <c r="E4" s="119"/>
      <c r="F4" s="119"/>
      <c r="G4" s="119"/>
      <c r="H4" s="119"/>
      <c r="I4" s="119"/>
      <c r="J4" s="119"/>
      <c r="K4" s="119"/>
      <c r="L4" s="119"/>
      <c r="M4" s="119"/>
      <c r="AX4" s="173"/>
      <c r="AY4" s="173"/>
      <c r="AZ4" s="173"/>
      <c r="BA4" s="173"/>
      <c r="BB4" s="173"/>
      <c r="BC4" s="173"/>
      <c r="BD4" s="173"/>
      <c r="BE4" s="173"/>
      <c r="BF4" s="173"/>
      <c r="BG4" s="173"/>
      <c r="BH4" s="173"/>
      <c r="BI4" s="173"/>
      <c r="BJ4" s="173"/>
      <c r="BK4" s="173"/>
      <c r="BL4" s="173"/>
      <c r="BM4" s="173"/>
      <c r="BN4" s="173"/>
      <c r="BO4" s="173"/>
      <c r="BP4" s="173"/>
      <c r="BQ4" s="173"/>
      <c r="BR4" s="173"/>
      <c r="BS4" s="173"/>
      <c r="BT4" s="173"/>
      <c r="BU4" s="173"/>
      <c r="BV4" s="173"/>
      <c r="BW4" s="173"/>
      <c r="BX4" s="173"/>
      <c r="BY4" s="173"/>
      <c r="BZ4" s="173"/>
      <c r="CA4" s="173"/>
      <c r="CB4" s="173"/>
      <c r="CC4" s="173"/>
      <c r="CD4" s="173"/>
      <c r="CE4" s="173"/>
      <c r="CF4" s="173"/>
      <c r="CG4" s="173"/>
      <c r="CH4" s="173"/>
      <c r="CI4" s="173"/>
      <c r="CJ4" s="8"/>
    </row>
    <row r="5" spans="1:88">
      <c r="A5" s="119"/>
      <c r="B5" s="352" t="s">
        <v>374</v>
      </c>
      <c r="C5" s="352"/>
      <c r="D5" s="352"/>
      <c r="E5" s="352"/>
      <c r="F5" s="352"/>
      <c r="G5" s="352"/>
      <c r="H5" s="352"/>
      <c r="I5" s="352"/>
      <c r="J5" s="352"/>
      <c r="K5" s="352"/>
      <c r="L5" s="352"/>
      <c r="M5" s="119"/>
      <c r="AX5" s="173"/>
      <c r="AY5" s="173"/>
      <c r="AZ5" s="173"/>
      <c r="BA5" s="173"/>
      <c r="BB5" s="173"/>
      <c r="BC5" s="173"/>
      <c r="BD5" s="173"/>
      <c r="BE5" s="173"/>
      <c r="BF5" s="173"/>
      <c r="BG5" s="173"/>
      <c r="BH5" s="173"/>
      <c r="BI5" s="173"/>
      <c r="BJ5" s="173"/>
      <c r="BK5" s="173"/>
      <c r="BL5" s="173"/>
      <c r="BM5" s="173"/>
      <c r="BN5" s="173"/>
      <c r="BO5" s="173"/>
      <c r="BP5" s="173"/>
      <c r="BQ5" s="173"/>
      <c r="BR5" s="173"/>
      <c r="BS5" s="173"/>
      <c r="BT5" s="173"/>
      <c r="BU5" s="173"/>
      <c r="BV5" s="173"/>
      <c r="BW5" s="173"/>
      <c r="BX5" s="173"/>
      <c r="BY5" s="173"/>
      <c r="BZ5" s="173"/>
      <c r="CA5" s="173"/>
      <c r="CB5" s="173"/>
      <c r="CC5" s="173"/>
      <c r="CD5" s="173"/>
      <c r="CE5" s="173"/>
      <c r="CF5" s="173"/>
      <c r="CG5" s="173"/>
      <c r="CH5" s="173"/>
      <c r="CI5" s="173"/>
      <c r="CJ5" s="8"/>
    </row>
    <row r="6" spans="1:88">
      <c r="A6" s="119"/>
      <c r="B6" s="352" t="s">
        <v>360</v>
      </c>
      <c r="C6" s="352"/>
      <c r="D6" s="352"/>
      <c r="E6" s="352"/>
      <c r="F6" s="352"/>
      <c r="G6" s="352"/>
      <c r="H6" s="352"/>
      <c r="I6" s="352"/>
      <c r="J6" s="352"/>
      <c r="K6" s="352"/>
      <c r="L6" s="352"/>
      <c r="M6" s="119"/>
      <c r="AX6" s="173"/>
      <c r="AY6" s="173"/>
      <c r="AZ6" s="173"/>
      <c r="BA6" s="173"/>
      <c r="BB6" s="173"/>
      <c r="BC6" s="173"/>
      <c r="BD6" s="173"/>
      <c r="BE6" s="173"/>
      <c r="BF6" s="173"/>
      <c r="BG6" s="173"/>
      <c r="BH6" s="173"/>
      <c r="BI6" s="173"/>
      <c r="BJ6" s="173"/>
      <c r="BK6" s="173"/>
      <c r="BL6" s="173"/>
      <c r="BM6" s="173"/>
      <c r="BN6" s="173"/>
      <c r="BO6" s="173"/>
      <c r="BP6" s="173"/>
      <c r="BQ6" s="173"/>
      <c r="BR6" s="173"/>
      <c r="BS6" s="173"/>
      <c r="BT6" s="173"/>
      <c r="BU6" s="173"/>
      <c r="BV6" s="173"/>
      <c r="BW6" s="173"/>
      <c r="BX6" s="173"/>
      <c r="BY6" s="173"/>
      <c r="BZ6" s="173"/>
      <c r="CA6" s="173"/>
      <c r="CB6" s="173"/>
      <c r="CC6" s="173"/>
      <c r="CD6" s="173"/>
      <c r="CE6" s="173"/>
      <c r="CF6" s="173"/>
      <c r="CG6" s="173"/>
      <c r="CH6" s="173"/>
      <c r="CI6" s="173"/>
      <c r="CJ6" s="8"/>
    </row>
    <row r="7" spans="1:88">
      <c r="A7" s="119"/>
      <c r="B7" s="353" t="s">
        <v>600</v>
      </c>
      <c r="C7" s="353"/>
      <c r="D7" s="353"/>
      <c r="E7" s="353"/>
      <c r="F7" s="353"/>
      <c r="G7" s="353"/>
      <c r="H7" s="353"/>
      <c r="I7" s="353"/>
      <c r="J7" s="353"/>
      <c r="K7" s="353"/>
      <c r="L7" s="353"/>
      <c r="M7" s="119"/>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A7" s="173"/>
      <c r="CB7" s="173"/>
      <c r="CC7" s="173"/>
      <c r="CD7" s="173"/>
      <c r="CE7" s="173"/>
      <c r="CF7" s="173"/>
      <c r="CG7" s="173"/>
      <c r="CH7" s="173"/>
      <c r="CI7" s="173"/>
      <c r="CJ7" s="8"/>
    </row>
    <row r="8" spans="1:88">
      <c r="A8" s="119"/>
      <c r="B8" s="353" t="s">
        <v>601</v>
      </c>
      <c r="C8" s="353"/>
      <c r="D8" s="353"/>
      <c r="E8" s="353"/>
      <c r="F8" s="353"/>
      <c r="G8" s="353"/>
      <c r="H8" s="353"/>
      <c r="I8" s="353"/>
      <c r="J8" s="353"/>
      <c r="K8" s="353"/>
      <c r="L8" s="353"/>
      <c r="M8" s="119"/>
      <c r="AX8" s="173"/>
      <c r="AY8" s="173"/>
      <c r="AZ8" s="173"/>
      <c r="BA8" s="173"/>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c r="CG8" s="173"/>
      <c r="CH8" s="173"/>
      <c r="CI8" s="173"/>
      <c r="CJ8" s="8"/>
    </row>
    <row r="9" spans="1:88">
      <c r="A9" s="119"/>
      <c r="B9" s="353"/>
      <c r="C9" s="353"/>
      <c r="D9" s="353"/>
      <c r="E9" s="353"/>
      <c r="F9" s="353"/>
      <c r="G9" s="353"/>
      <c r="H9" s="353"/>
      <c r="I9" s="353"/>
      <c r="J9" s="353"/>
      <c r="K9" s="353"/>
      <c r="L9" s="353"/>
      <c r="M9" s="119"/>
      <c r="AX9" s="173"/>
      <c r="AY9" s="173"/>
      <c r="AZ9" s="173"/>
      <c r="BA9" s="173"/>
      <c r="BB9" s="173"/>
      <c r="BC9" s="173"/>
      <c r="BD9" s="173"/>
      <c r="BE9" s="173"/>
      <c r="BF9" s="173"/>
      <c r="BG9" s="173"/>
      <c r="BH9" s="173"/>
      <c r="BI9" s="173"/>
      <c r="BJ9" s="173"/>
      <c r="BK9" s="173"/>
      <c r="BL9" s="173"/>
      <c r="BM9" s="173"/>
      <c r="BN9" s="173"/>
      <c r="BO9" s="173"/>
      <c r="BP9" s="173"/>
      <c r="BQ9" s="173"/>
      <c r="BR9" s="173"/>
      <c r="BS9" s="173"/>
      <c r="BT9" s="173"/>
      <c r="BU9" s="173"/>
      <c r="BV9" s="173"/>
      <c r="BW9" s="173"/>
      <c r="BX9" s="173"/>
      <c r="BY9" s="173"/>
      <c r="BZ9" s="173"/>
      <c r="CA9" s="173"/>
      <c r="CB9" s="173"/>
      <c r="CC9" s="173"/>
      <c r="CD9" s="173"/>
      <c r="CE9" s="173"/>
      <c r="CF9" s="173"/>
      <c r="CG9" s="173"/>
      <c r="CH9" s="173"/>
      <c r="CI9" s="173"/>
      <c r="CJ9" s="8"/>
    </row>
    <row r="10" spans="1:88" ht="15.75">
      <c r="A10" s="26"/>
      <c r="D10" s="27"/>
      <c r="AX10" s="173"/>
      <c r="AY10" s="173"/>
      <c r="AZ10" s="173"/>
      <c r="BA10" s="173"/>
      <c r="BB10" s="173"/>
      <c r="BC10" s="173"/>
      <c r="BD10" s="173"/>
      <c r="BE10" s="173"/>
      <c r="BF10" s="173"/>
      <c r="BG10" s="173"/>
      <c r="BH10" s="173"/>
      <c r="BI10" s="173"/>
      <c r="BJ10" s="173"/>
      <c r="BK10" s="173"/>
      <c r="BL10" s="173"/>
      <c r="BM10" s="173"/>
      <c r="BN10" s="173"/>
      <c r="BO10" s="173"/>
      <c r="BP10" s="173"/>
      <c r="BQ10" s="173"/>
      <c r="BR10" s="173"/>
      <c r="BS10" s="173"/>
      <c r="BT10" s="173"/>
      <c r="BU10" s="173"/>
      <c r="BV10" s="173"/>
      <c r="BW10" s="173"/>
      <c r="BX10" s="173"/>
      <c r="BY10" s="173"/>
      <c r="BZ10" s="173"/>
      <c r="CA10" s="173"/>
      <c r="CB10" s="173"/>
      <c r="CC10" s="173"/>
      <c r="CD10" s="173"/>
      <c r="CE10" s="173"/>
      <c r="CF10" s="173"/>
      <c r="CG10" s="173"/>
      <c r="CH10" s="173"/>
      <c r="CI10" s="173"/>
      <c r="CJ10" s="8"/>
    </row>
    <row r="11" spans="1:88" s="9" customFormat="1">
      <c r="A11" s="133" t="s">
        <v>2</v>
      </c>
      <c r="B11" s="133" t="s">
        <v>3</v>
      </c>
      <c r="C11" s="133" t="s">
        <v>159</v>
      </c>
      <c r="D11" s="133" t="s">
        <v>194</v>
      </c>
      <c r="E11" s="133" t="s">
        <v>189</v>
      </c>
      <c r="F11" s="133" t="s">
        <v>184</v>
      </c>
      <c r="G11" s="133" t="s">
        <v>182</v>
      </c>
      <c r="H11" s="133" t="s">
        <v>164</v>
      </c>
      <c r="I11" s="133" t="s">
        <v>154</v>
      </c>
      <c r="J11" s="133" t="s">
        <v>167</v>
      </c>
      <c r="K11" s="133" t="s">
        <v>168</v>
      </c>
      <c r="L11" s="133" t="s">
        <v>169</v>
      </c>
      <c r="M11" s="133" t="s">
        <v>160</v>
      </c>
      <c r="N11" s="133" t="s">
        <v>179</v>
      </c>
      <c r="O11" s="133" t="s">
        <v>170</v>
      </c>
      <c r="P11" s="133" t="s">
        <v>152</v>
      </c>
      <c r="Q11" s="133" t="s">
        <v>146</v>
      </c>
      <c r="R11" s="133" t="s">
        <v>171</v>
      </c>
      <c r="S11" s="133" t="s">
        <v>185</v>
      </c>
      <c r="T11" s="133" t="s">
        <v>142</v>
      </c>
      <c r="U11" s="133" t="s">
        <v>148</v>
      </c>
      <c r="V11" s="133" t="s">
        <v>156</v>
      </c>
      <c r="W11" s="133" t="s">
        <v>149</v>
      </c>
      <c r="X11" s="133" t="s">
        <v>157</v>
      </c>
      <c r="Y11" s="133" t="s">
        <v>172</v>
      </c>
      <c r="Z11" s="133" t="s">
        <v>173</v>
      </c>
      <c r="AA11" s="133" t="s">
        <v>147</v>
      </c>
      <c r="AB11" s="133" t="s">
        <v>193</v>
      </c>
      <c r="AC11" s="133" t="s">
        <v>190</v>
      </c>
      <c r="AD11" s="133" t="s">
        <v>187</v>
      </c>
      <c r="AE11" s="133" t="s">
        <v>145</v>
      </c>
      <c r="AF11" s="133" t="s">
        <v>174</v>
      </c>
      <c r="AG11" s="133" t="s">
        <v>175</v>
      </c>
      <c r="AH11" s="133" t="s">
        <v>161</v>
      </c>
      <c r="AI11" s="133" t="s">
        <v>186</v>
      </c>
      <c r="AJ11" s="133" t="s">
        <v>191</v>
      </c>
      <c r="AK11" s="133" t="s">
        <v>176</v>
      </c>
      <c r="AL11" s="133" t="s">
        <v>150</v>
      </c>
      <c r="AM11" s="133" t="s">
        <v>183</v>
      </c>
      <c r="AN11" s="133" t="s">
        <v>177</v>
      </c>
      <c r="AO11" s="133" t="s">
        <v>180</v>
      </c>
      <c r="AP11" s="133" t="s">
        <v>151</v>
      </c>
      <c r="AQ11" s="133" t="s">
        <v>144</v>
      </c>
      <c r="AR11" s="133" t="s">
        <v>192</v>
      </c>
      <c r="AS11" s="133" t="s">
        <v>268</v>
      </c>
      <c r="AT11" s="133" t="s">
        <v>269</v>
      </c>
      <c r="AU11" s="133" t="s">
        <v>270</v>
      </c>
      <c r="AV11" s="133" t="s">
        <v>271</v>
      </c>
      <c r="AW11" s="133" t="s">
        <v>209</v>
      </c>
      <c r="AX11" s="173"/>
      <c r="AY11" s="173"/>
      <c r="AZ11" s="173"/>
      <c r="BA11" s="173"/>
      <c r="BB11" s="173"/>
      <c r="BC11" s="173"/>
      <c r="BD11" s="173"/>
      <c r="BE11" s="173"/>
      <c r="BF11" s="173"/>
      <c r="BG11" s="173"/>
      <c r="BH11" s="173"/>
      <c r="BI11" s="173"/>
      <c r="BJ11" s="173"/>
      <c r="BK11" s="173"/>
      <c r="BL11" s="173"/>
      <c r="BM11" s="173"/>
      <c r="BN11" s="173"/>
      <c r="BO11" s="173"/>
      <c r="BP11" s="173"/>
      <c r="BQ11" s="173"/>
      <c r="BR11" s="173"/>
      <c r="BS11" s="173"/>
      <c r="BT11" s="173"/>
      <c r="BU11" s="173"/>
      <c r="BV11" s="173"/>
      <c r="BW11" s="173"/>
      <c r="BX11" s="173"/>
      <c r="BY11" s="173"/>
      <c r="BZ11" s="173"/>
      <c r="CA11" s="173"/>
      <c r="CB11" s="173"/>
      <c r="CC11" s="173"/>
      <c r="CD11" s="173"/>
      <c r="CE11" s="173"/>
      <c r="CF11" s="173"/>
      <c r="CG11" s="173"/>
      <c r="CH11" s="173"/>
      <c r="CI11" s="173"/>
    </row>
    <row r="12" spans="1:88">
      <c r="A12" s="2">
        <v>2016</v>
      </c>
      <c r="B12" t="s">
        <v>5</v>
      </c>
      <c r="C12" s="199">
        <f>0.01*$C$47</f>
        <v>0.25555555555555554</v>
      </c>
      <c r="D12" s="199">
        <f>0.01*$C$48</f>
        <v>0.22627737226277372</v>
      </c>
      <c r="E12" s="199">
        <f>0.01*$C$49</f>
        <v>0</v>
      </c>
      <c r="F12" s="199">
        <f>0.01*$C$50</f>
        <v>0</v>
      </c>
      <c r="G12" s="199">
        <f>0.01*$C$51</f>
        <v>0</v>
      </c>
      <c r="H12" s="199">
        <f>0.01*$C$52</f>
        <v>0.40963855421686746</v>
      </c>
      <c r="I12" s="199">
        <f>0.01*$C$53</f>
        <v>0.30892742453436095</v>
      </c>
      <c r="J12" s="199">
        <f>0.01*$C$54</f>
        <v>0</v>
      </c>
      <c r="K12" s="199">
        <f>0.01*$C$55</f>
        <v>0</v>
      </c>
      <c r="L12" s="199">
        <f>0.01*$C$56</f>
        <v>0</v>
      </c>
      <c r="M12" s="199">
        <f>0.01*$C$57</f>
        <v>0.20661157024793389</v>
      </c>
      <c r="N12" s="199">
        <f>0.01*$C$58</f>
        <v>0.3611111111111111</v>
      </c>
      <c r="O12" s="199">
        <f>0.01*$C$59</f>
        <v>0.32653061224489799</v>
      </c>
      <c r="P12" s="199">
        <f>0.01*$C$60</f>
        <v>0</v>
      </c>
      <c r="Q12" s="199">
        <f>0.01*$C$61</f>
        <v>0.4</v>
      </c>
      <c r="R12" s="199">
        <f>0.01*$C$62</f>
        <v>0.1981981981981982</v>
      </c>
      <c r="S12" s="199">
        <f>0.01*$C$63</f>
        <v>0.24615384615384617</v>
      </c>
      <c r="T12" s="199">
        <f>0.01*$C$64</f>
        <v>0</v>
      </c>
      <c r="U12" s="199">
        <f>0.01*$C$65</f>
        <v>0</v>
      </c>
      <c r="V12" s="199">
        <f>0.01*$C$66</f>
        <v>0.23622047244094491</v>
      </c>
      <c r="W12" s="199">
        <f>0.01*$C$67</f>
        <v>0</v>
      </c>
      <c r="X12" s="199">
        <f>0.01*$C$68</f>
        <v>0.27184466019417475</v>
      </c>
      <c r="Y12" s="199">
        <f>0.01*$C$69</f>
        <v>0.27536231884057971</v>
      </c>
      <c r="Z12" s="199">
        <f>0.01*$C$70</f>
        <v>0.34070796460176989</v>
      </c>
      <c r="AA12" s="199">
        <f>0.01*$C$71</f>
        <v>0</v>
      </c>
      <c r="AB12" s="199">
        <f>0.01*$C$72</f>
        <v>0.43243243243243246</v>
      </c>
      <c r="AC12" s="199">
        <f>0.01*$C$73</f>
        <v>0</v>
      </c>
      <c r="AD12" s="199">
        <f>0.01*$C$74</f>
        <v>0</v>
      </c>
      <c r="AE12" s="199">
        <f>0.01*$C$75</f>
        <v>0</v>
      </c>
      <c r="AF12" s="199">
        <f>0.01*$C$76</f>
        <v>0.34</v>
      </c>
      <c r="AG12" s="199">
        <f>0.01*$C$77</f>
        <v>0</v>
      </c>
      <c r="AH12" s="199">
        <f>0.01*$C$78</f>
        <v>0.44444444444444442</v>
      </c>
      <c r="AI12" s="199">
        <f>0.01*$C$79</f>
        <v>0</v>
      </c>
      <c r="AJ12" s="199">
        <f>0.01*$C$80</f>
        <v>0.35807860262008734</v>
      </c>
      <c r="AK12" s="199">
        <f>0.01*$C$81</f>
        <v>0</v>
      </c>
      <c r="AL12" s="199">
        <f>0.01*$C$82</f>
        <v>0.28282828282828282</v>
      </c>
      <c r="AM12" s="199">
        <f>0.01*$C$83</f>
        <v>0</v>
      </c>
      <c r="AN12" s="199">
        <f>0.01*$C$84</f>
        <v>0.44444444444444442</v>
      </c>
      <c r="AO12" s="199">
        <f>0.01*$C$85</f>
        <v>0</v>
      </c>
      <c r="AP12" s="199">
        <f>0.01*$C$86</f>
        <v>0.21333333333333337</v>
      </c>
      <c r="AQ12" s="199">
        <f>0.01*$C$87</f>
        <v>0</v>
      </c>
      <c r="AR12" s="199">
        <f>0.01*$C$88</f>
        <v>0</v>
      </c>
      <c r="AS12" s="199">
        <f>0.01*$C$90</f>
        <v>0.31137088204038255</v>
      </c>
      <c r="AT12" s="199">
        <f>0.01*$C$91</f>
        <v>0.30328820116054156</v>
      </c>
      <c r="AU12" s="199">
        <f>0.01*$C$92</f>
        <v>0.33333333333333331</v>
      </c>
      <c r="AV12" s="199">
        <f>0.01*$C$93</f>
        <v>0.27851458885941643</v>
      </c>
      <c r="AW12" s="199">
        <f>0.01*$C$94</f>
        <v>0.30716279069767444</v>
      </c>
      <c r="AX12" s="173"/>
      <c r="AY12" s="173"/>
      <c r="AZ12" s="173"/>
      <c r="BA12" s="173"/>
      <c r="BB12" s="173"/>
      <c r="BC12" s="173"/>
      <c r="BD12" s="173"/>
      <c r="BE12" s="173"/>
      <c r="BF12" s="173"/>
      <c r="BG12" s="173"/>
      <c r="BH12" s="173"/>
      <c r="BI12" s="173"/>
      <c r="BJ12" s="173"/>
      <c r="BK12" s="173"/>
      <c r="BL12" s="173"/>
      <c r="BM12" s="173"/>
      <c r="BN12" s="173"/>
      <c r="BO12" s="173"/>
      <c r="BP12" s="173"/>
      <c r="BQ12" s="173"/>
      <c r="BR12" s="173"/>
      <c r="BS12" s="173"/>
      <c r="BT12" s="173"/>
      <c r="BU12" s="173"/>
      <c r="BV12" s="173"/>
      <c r="BW12" s="173"/>
      <c r="BX12" s="173"/>
      <c r="BY12" s="173"/>
      <c r="BZ12" s="173"/>
      <c r="CA12" s="173"/>
      <c r="CB12" s="173"/>
      <c r="CC12" s="173"/>
      <c r="CD12" s="173"/>
      <c r="CE12" s="173"/>
      <c r="CF12" s="173"/>
      <c r="CG12" s="173"/>
      <c r="CH12" s="173"/>
      <c r="CI12" s="173"/>
      <c r="CJ12" s="8"/>
    </row>
    <row r="13" spans="1:88">
      <c r="A13">
        <v>2016</v>
      </c>
      <c r="B13" t="s">
        <v>6</v>
      </c>
      <c r="C13" s="199">
        <f>0.01*$D$47</f>
        <v>0.22093023255813954</v>
      </c>
      <c r="D13" s="199">
        <f>0.01*$D$48</f>
        <v>0.24060150375939848</v>
      </c>
      <c r="E13" s="199">
        <f>0.01*$D$49</f>
        <v>0</v>
      </c>
      <c r="F13" s="199">
        <f>0.01*$D$50</f>
        <v>0</v>
      </c>
      <c r="G13" s="199">
        <f>0.01*$D$51</f>
        <v>0</v>
      </c>
      <c r="H13" s="199">
        <f>0.01*$D$52</f>
        <v>0.33663366336633666</v>
      </c>
      <c r="I13" s="199">
        <f>0.01*$D$53</f>
        <v>0.22847682119205298</v>
      </c>
      <c r="J13" s="199">
        <f>0.01*$D$54</f>
        <v>0</v>
      </c>
      <c r="K13" s="199">
        <f>0.01*$D$55</f>
        <v>0</v>
      </c>
      <c r="L13" s="199">
        <f>0.01*$D$56</f>
        <v>0</v>
      </c>
      <c r="M13" s="199">
        <f>0.01*$D$57</f>
        <v>0.2781954887218045</v>
      </c>
      <c r="N13" s="199">
        <f>0.01*$D$58</f>
        <v>0.34693877551020408</v>
      </c>
      <c r="O13" s="199">
        <f>0.01*$D$59</f>
        <v>0.27329192546583853</v>
      </c>
      <c r="P13" s="199">
        <f>0.01*$D$60</f>
        <v>0</v>
      </c>
      <c r="Q13" s="199">
        <f>0.01*$D$61</f>
        <v>0.27659574468085107</v>
      </c>
      <c r="R13" s="199">
        <f>0.01*$D$62</f>
        <v>0.31506849315068491</v>
      </c>
      <c r="S13" s="199">
        <f>0.01*$D$63</f>
        <v>0.22137404580152673</v>
      </c>
      <c r="T13" s="199">
        <f>0.01*$D$64</f>
        <v>0</v>
      </c>
      <c r="U13" s="199">
        <f>0.01*$D$65</f>
        <v>0</v>
      </c>
      <c r="V13" s="199">
        <f>0.01*$D$66</f>
        <v>0.22627737226277372</v>
      </c>
      <c r="W13" s="199">
        <f>0.01*$D$67</f>
        <v>0</v>
      </c>
      <c r="X13" s="199">
        <f>0.01*$D$68</f>
        <v>0.3</v>
      </c>
      <c r="Y13" s="199">
        <f>0.01*$D$69</f>
        <v>0.15068493150684931</v>
      </c>
      <c r="Z13" s="199">
        <f>0.01*$D$70</f>
        <v>0.22959183673469391</v>
      </c>
      <c r="AA13" s="199">
        <f>0.01*$D$71</f>
        <v>0</v>
      </c>
      <c r="AB13" s="199">
        <f>0.01*$D$72</f>
        <v>0.29126213592233008</v>
      </c>
      <c r="AC13" s="199">
        <f>0.01*$D$73</f>
        <v>0</v>
      </c>
      <c r="AD13" s="199">
        <f>0.01*$D$74</f>
        <v>0</v>
      </c>
      <c r="AE13" s="199">
        <f>0.01*$D$75</f>
        <v>0</v>
      </c>
      <c r="AF13" s="199">
        <f>0.01*$D$76</f>
        <v>0.21568627450980393</v>
      </c>
      <c r="AG13" s="199">
        <f>0.01*$D$77</f>
        <v>0</v>
      </c>
      <c r="AH13" s="199">
        <f>0.01*$D$78</f>
        <v>0.31111111111111112</v>
      </c>
      <c r="AI13" s="199">
        <f>0.01*$D$79</f>
        <v>0</v>
      </c>
      <c r="AJ13" s="199">
        <f>0.01*$D$80</f>
        <v>0.23076923076923078</v>
      </c>
      <c r="AK13" s="199">
        <f>0.01*$D$81</f>
        <v>0</v>
      </c>
      <c r="AL13" s="199">
        <f>0.01*$D$82</f>
        <v>0.21890547263681595</v>
      </c>
      <c r="AM13" s="199">
        <f>0.01*$D$83</f>
        <v>0</v>
      </c>
      <c r="AN13" s="199">
        <f>0.01*$D$84</f>
        <v>0.35714285714285715</v>
      </c>
      <c r="AO13" s="199">
        <f>0.01*$D$85</f>
        <v>0</v>
      </c>
      <c r="AP13" s="199">
        <f>0.01*$D$86</f>
        <v>0.23008849557522124</v>
      </c>
      <c r="AQ13" s="199">
        <f>0.01*$D$87</f>
        <v>0</v>
      </c>
      <c r="AR13" s="199">
        <f>0.01*$D$88</f>
        <v>0</v>
      </c>
      <c r="AS13" s="199">
        <f>0.01*$D$90</f>
        <v>0.24550898203592814</v>
      </c>
      <c r="AT13" s="199">
        <f>0.01*$D$91</f>
        <v>0.24732461355529134</v>
      </c>
      <c r="AU13" s="199">
        <f>0.01*$D$92</f>
        <v>0.27087794432548179</v>
      </c>
      <c r="AV13" s="199">
        <f>0.01*$D$93</f>
        <v>0.21813403416557162</v>
      </c>
      <c r="AW13" s="199">
        <f>0.01*$D$94</f>
        <v>0.24903772132409546</v>
      </c>
      <c r="AX13" s="173"/>
      <c r="AY13" s="173"/>
      <c r="AZ13" s="173"/>
      <c r="BA13" s="173"/>
      <c r="BB13" s="173"/>
      <c r="BC13" s="173"/>
      <c r="BD13" s="173"/>
      <c r="BE13" s="173"/>
      <c r="BF13" s="173"/>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row>
    <row r="14" spans="1:88">
      <c r="A14" s="2">
        <v>2016</v>
      </c>
      <c r="B14" t="s">
        <v>42</v>
      </c>
      <c r="C14" s="199">
        <f>0.01*$E$47</f>
        <v>0.25136612021857924</v>
      </c>
      <c r="D14" s="199">
        <f>0.01*$E$48</f>
        <v>0.23465703971119134</v>
      </c>
      <c r="E14" s="199">
        <f>0.01*$E$49</f>
        <v>0.38181818181818189</v>
      </c>
      <c r="F14" s="199">
        <f>0.01*$E$50</f>
        <v>0.1875</v>
      </c>
      <c r="G14" s="199">
        <f>0.01*$E$51</f>
        <v>0.25714285714285712</v>
      </c>
      <c r="H14" s="199">
        <f>0.01*$E$52</f>
        <v>0.36756756756756759</v>
      </c>
      <c r="I14" s="199">
        <f>0.01*$E$53</f>
        <v>0.27058072750478623</v>
      </c>
      <c r="J14" s="199">
        <f>0.01*$E$54</f>
        <v>0.2808988764044944</v>
      </c>
      <c r="K14" s="199">
        <f>0.01*$E$55</f>
        <v>0.203125</v>
      </c>
      <c r="L14" s="199">
        <f>0.01*$E$56</f>
        <v>0.34426229508196721</v>
      </c>
      <c r="M14" s="199">
        <f>0.01*$E$57</f>
        <v>0.2421875</v>
      </c>
      <c r="N14" s="199">
        <f>0.01*$E$58</f>
        <v>0.3575757575757576</v>
      </c>
      <c r="O14" s="199">
        <f>0.01*$E$59</f>
        <v>0.30670926517571884</v>
      </c>
      <c r="P14" s="199">
        <f>0.01*$E$60</f>
        <v>0.24590163934426229</v>
      </c>
      <c r="Q14" s="199">
        <f>0.01*$E$61</f>
        <v>0.3482142857142857</v>
      </c>
      <c r="R14" s="199">
        <f>0.01*$E$62</f>
        <v>0.2433862433862434</v>
      </c>
      <c r="S14" s="199">
        <f>0.01*$E$63</f>
        <v>0.23684210526315788</v>
      </c>
      <c r="T14" s="199">
        <f>0.01*$E$64</f>
        <v>0.2982456140350877</v>
      </c>
      <c r="U14" s="199">
        <f>0.01*$E$65</f>
        <v>0.21739130434782611</v>
      </c>
      <c r="V14" s="199">
        <f>0.01*$E$66</f>
        <v>0.23134328358208955</v>
      </c>
      <c r="W14" s="199">
        <f>0.01*$E$67</f>
        <v>0.30107526881720431</v>
      </c>
      <c r="X14" s="199">
        <f>0.01*$E$68</f>
        <v>0.291866028708134</v>
      </c>
      <c r="Y14" s="199">
        <f>0.01*$E$69</f>
        <v>0.20833333333333337</v>
      </c>
      <c r="Z14" s="199">
        <f>0.01*$E$70</f>
        <v>0.2857142857142857</v>
      </c>
      <c r="AA14" s="199">
        <f>0.01*$E$71</f>
        <v>0.37931034482758619</v>
      </c>
      <c r="AB14" s="199">
        <f>0.01*$E$72</f>
        <v>0.36744186046511629</v>
      </c>
      <c r="AC14" s="199">
        <f>0.01*$E$73</f>
        <v>0.3</v>
      </c>
      <c r="AD14" s="199">
        <f>0.01*$E$74</f>
        <v>0.26760563380281688</v>
      </c>
      <c r="AE14" s="199">
        <f>0.01*$E$75</f>
        <v>0.22413793103448279</v>
      </c>
      <c r="AF14" s="199">
        <f>0.01*$E$76</f>
        <v>0.27722772277227725</v>
      </c>
      <c r="AG14" s="199">
        <f>0.01*$E$77</f>
        <v>0.35526315789473684</v>
      </c>
      <c r="AH14" s="199">
        <f>0.01*$E$78</f>
        <v>0.37362637362637363</v>
      </c>
      <c r="AI14" s="199">
        <f>0.01*$E$79</f>
        <v>0.27659574468085107</v>
      </c>
      <c r="AJ14" s="199">
        <f>0.01*$E$80</f>
        <v>0.29761904761904762</v>
      </c>
      <c r="AK14" s="199">
        <f>0.01*$E$81</f>
        <v>0.5</v>
      </c>
      <c r="AL14" s="199">
        <f>0.01*$E$82</f>
        <v>0.25061425061425063</v>
      </c>
      <c r="AM14" s="199">
        <f>0.01*$E$83</f>
        <v>0.24183006535947713</v>
      </c>
      <c r="AN14" s="199">
        <f>0.01*$E$84</f>
        <v>0.40310077519379844</v>
      </c>
      <c r="AO14" s="199">
        <f>0.01*$E$85</f>
        <v>0.20408163265306123</v>
      </c>
      <c r="AP14" s="199">
        <f>0.01*$E$86</f>
        <v>0.21886792452830189</v>
      </c>
      <c r="AQ14" s="199">
        <f>0.01*$E$87</f>
        <v>0.27272727272727271</v>
      </c>
      <c r="AR14" s="199">
        <f>0.01*$E$88</f>
        <v>0.30337078651685395</v>
      </c>
      <c r="AS14" s="199">
        <f>0.01*$E$90</f>
        <v>0.27980132450331124</v>
      </c>
      <c r="AT14" s="199">
        <f>0.01*$E$91</f>
        <v>0.27719163629388066</v>
      </c>
      <c r="AU14" s="199">
        <f>0.01*$E$92</f>
        <v>0.30324909747292417</v>
      </c>
      <c r="AV14" s="199">
        <f>0.01*$E$93</f>
        <v>0.24853990914990268</v>
      </c>
      <c r="AW14" s="199">
        <f>0.01*$E$94</f>
        <v>0.27945408968526597</v>
      </c>
      <c r="AX14" s="173"/>
      <c r="AY14" s="173"/>
      <c r="AZ14" s="173"/>
      <c r="BA14" s="173"/>
      <c r="BB14" s="173"/>
      <c r="BC14" s="173"/>
      <c r="BD14" s="173"/>
      <c r="BE14" s="173"/>
      <c r="BF14" s="173"/>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row>
    <row r="15" spans="1:88">
      <c r="A15">
        <v>2017</v>
      </c>
      <c r="B15" t="s">
        <v>5</v>
      </c>
      <c r="C15" s="199" t="e">
        <f>0.01*$F$47</f>
        <v>#DIV/0!</v>
      </c>
      <c r="D15" s="199" t="e">
        <f>0.01*$F$48</f>
        <v>#DIV/0!</v>
      </c>
      <c r="E15" s="199" t="e">
        <f>0.01*$F$49</f>
        <v>#DIV/0!</v>
      </c>
      <c r="F15" s="199" t="e">
        <f>0.01*$F$50</f>
        <v>#DIV/0!</v>
      </c>
      <c r="G15" s="199" t="e">
        <f>0.01*$F$51</f>
        <v>#DIV/0!</v>
      </c>
      <c r="H15" s="199" t="e">
        <f>0.01*$F$52</f>
        <v>#DIV/0!</v>
      </c>
      <c r="I15" s="199" t="e">
        <f>0.01*$F$53</f>
        <v>#DIV/0!</v>
      </c>
      <c r="J15" s="199" t="e">
        <f>0.01*$F$54</f>
        <v>#DIV/0!</v>
      </c>
      <c r="K15" s="199" t="e">
        <f>0.01*$F$55</f>
        <v>#DIV/0!</v>
      </c>
      <c r="L15" s="199" t="e">
        <f>0.01*$F$56</f>
        <v>#DIV/0!</v>
      </c>
      <c r="M15" s="199" t="e">
        <f>0.01*$F$57</f>
        <v>#DIV/0!</v>
      </c>
      <c r="N15" s="199" t="e">
        <f>0.01*$F$58</f>
        <v>#DIV/0!</v>
      </c>
      <c r="O15" s="199" t="e">
        <f>0.01*$F$59</f>
        <v>#DIV/0!</v>
      </c>
      <c r="P15" s="199" t="e">
        <f>0.01*$F$60</f>
        <v>#DIV/0!</v>
      </c>
      <c r="Q15" s="199" t="e">
        <f>0.01*$F$61</f>
        <v>#DIV/0!</v>
      </c>
      <c r="R15" s="199" t="e">
        <f>0.01*$F$62</f>
        <v>#DIV/0!</v>
      </c>
      <c r="S15" s="199" t="e">
        <f>0.01*$F$63</f>
        <v>#DIV/0!</v>
      </c>
      <c r="T15" s="199" t="e">
        <f>0.01*$F$64</f>
        <v>#DIV/0!</v>
      </c>
      <c r="U15" s="199" t="e">
        <f>0.01*$F$65</f>
        <v>#DIV/0!</v>
      </c>
      <c r="V15" s="199" t="e">
        <f>0.01*$F$66</f>
        <v>#DIV/0!</v>
      </c>
      <c r="W15" s="199" t="e">
        <f>0.01*$F$67</f>
        <v>#DIV/0!</v>
      </c>
      <c r="X15" s="199" t="e">
        <f>0.01*$F$68</f>
        <v>#DIV/0!</v>
      </c>
      <c r="Y15" s="199" t="e">
        <f>0.01*$F$69</f>
        <v>#DIV/0!</v>
      </c>
      <c r="Z15" s="199" t="e">
        <f>0.01*$F$70</f>
        <v>#DIV/0!</v>
      </c>
      <c r="AA15" s="199" t="e">
        <f>0.01*$F$71</f>
        <v>#DIV/0!</v>
      </c>
      <c r="AB15" s="199" t="e">
        <f>0.01*$F$72</f>
        <v>#DIV/0!</v>
      </c>
      <c r="AC15" s="199" t="e">
        <f>0.01*$F$73</f>
        <v>#DIV/0!</v>
      </c>
      <c r="AD15" s="199" t="e">
        <f>0.01*$F$74</f>
        <v>#DIV/0!</v>
      </c>
      <c r="AE15" s="199" t="e">
        <f>0.01*$F$75</f>
        <v>#DIV/0!</v>
      </c>
      <c r="AF15" s="199" t="e">
        <f>0.01*$F$76</f>
        <v>#DIV/0!</v>
      </c>
      <c r="AG15" s="199" t="e">
        <f>0.01*$F$77</f>
        <v>#DIV/0!</v>
      </c>
      <c r="AH15" s="199" t="e">
        <f>0.01*$F$78</f>
        <v>#DIV/0!</v>
      </c>
      <c r="AI15" s="199" t="e">
        <f>0.01*$F$79</f>
        <v>#DIV/0!</v>
      </c>
      <c r="AJ15" s="199" t="e">
        <f>0.01*$F$80</f>
        <v>#DIV/0!</v>
      </c>
      <c r="AK15" s="199" t="e">
        <f>0.01*$F$81</f>
        <v>#DIV/0!</v>
      </c>
      <c r="AL15" s="199" t="e">
        <f>0.01*$F$82</f>
        <v>#DIV/0!</v>
      </c>
      <c r="AM15" s="199" t="e">
        <f>0.01*$F$83</f>
        <v>#DIV/0!</v>
      </c>
      <c r="AN15" s="199" t="e">
        <f>0.01*$F$84</f>
        <v>#DIV/0!</v>
      </c>
      <c r="AO15" s="199" t="e">
        <f>0.01*$F$85</f>
        <v>#DIV/0!</v>
      </c>
      <c r="AP15" s="199" t="e">
        <f>0.01*$F$86</f>
        <v>#DIV/0!</v>
      </c>
      <c r="AQ15" s="199" t="e">
        <f>0.01*$F$87</f>
        <v>#DIV/0!</v>
      </c>
      <c r="AR15" s="199" t="e">
        <f>0.01*$F$88</f>
        <v>#DIV/0!</v>
      </c>
      <c r="AS15" s="199" t="e">
        <f>0.01*$F$90</f>
        <v>#DIV/0!</v>
      </c>
      <c r="AT15" s="199" t="e">
        <f>0.01*$F$91</f>
        <v>#DIV/0!</v>
      </c>
      <c r="AU15" s="199" t="e">
        <f>0.01*$F$92</f>
        <v>#DIV/0!</v>
      </c>
      <c r="AV15" s="199" t="e">
        <f>0.01*$F$93</f>
        <v>#DIV/0!</v>
      </c>
      <c r="AW15" s="199" t="e">
        <f>0.01*$F$94</f>
        <v>#DIV/0!</v>
      </c>
      <c r="AX15" s="173"/>
      <c r="AY15" s="173"/>
      <c r="AZ15" s="173"/>
      <c r="BA15" s="173"/>
      <c r="BB15" s="173"/>
      <c r="BC15" s="173"/>
      <c r="BD15" s="173"/>
      <c r="BE15" s="173"/>
      <c r="BF15" s="173"/>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row>
    <row r="16" spans="1:88">
      <c r="A16" s="2">
        <v>2017</v>
      </c>
      <c r="B16" t="s">
        <v>6</v>
      </c>
      <c r="C16" s="199" t="e">
        <f>0.01*$G$47</f>
        <v>#DIV/0!</v>
      </c>
      <c r="D16" s="199" t="e">
        <f>0.01*$G$48</f>
        <v>#DIV/0!</v>
      </c>
      <c r="E16" s="199" t="e">
        <f>0.01*$G$49</f>
        <v>#DIV/0!</v>
      </c>
      <c r="F16" s="199" t="e">
        <f>0.01*$G$50</f>
        <v>#DIV/0!</v>
      </c>
      <c r="G16" s="199" t="e">
        <f>0.01*$G$51</f>
        <v>#DIV/0!</v>
      </c>
      <c r="H16" s="199" t="e">
        <f>0.01*$G$52</f>
        <v>#DIV/0!</v>
      </c>
      <c r="I16" s="199" t="e">
        <f>0.01*$G$53</f>
        <v>#DIV/0!</v>
      </c>
      <c r="J16" s="199" t="e">
        <f>0.01*$G$54</f>
        <v>#DIV/0!</v>
      </c>
      <c r="K16" s="199" t="e">
        <f>0.01*$G$55</f>
        <v>#DIV/0!</v>
      </c>
      <c r="L16" s="199" t="e">
        <f>0.01*$G$56</f>
        <v>#DIV/0!</v>
      </c>
      <c r="M16" s="199" t="e">
        <f>0.01*$G$57</f>
        <v>#DIV/0!</v>
      </c>
      <c r="N16" s="199" t="e">
        <f>0.01*$G$58</f>
        <v>#DIV/0!</v>
      </c>
      <c r="O16" s="199" t="e">
        <f>0.01*$G$59</f>
        <v>#DIV/0!</v>
      </c>
      <c r="P16" s="199" t="e">
        <f>0.01*$G$60</f>
        <v>#DIV/0!</v>
      </c>
      <c r="Q16" s="199" t="e">
        <f>0.01*$G$61</f>
        <v>#DIV/0!</v>
      </c>
      <c r="R16" s="199" t="e">
        <f>0.01*$G$62</f>
        <v>#DIV/0!</v>
      </c>
      <c r="S16" s="199" t="e">
        <f>0.01*$G$63</f>
        <v>#DIV/0!</v>
      </c>
      <c r="T16" s="199" t="e">
        <f>0.01*$G$64</f>
        <v>#DIV/0!</v>
      </c>
      <c r="U16" s="199" t="e">
        <f>0.01*$G$65</f>
        <v>#DIV/0!</v>
      </c>
      <c r="V16" s="199" t="e">
        <f>0.01*$G$66</f>
        <v>#DIV/0!</v>
      </c>
      <c r="W16" s="199" t="e">
        <f>0.01*$G$67</f>
        <v>#DIV/0!</v>
      </c>
      <c r="X16" s="199" t="e">
        <f>0.01*$G$68</f>
        <v>#DIV/0!</v>
      </c>
      <c r="Y16" s="199" t="e">
        <f>0.01*$G$69</f>
        <v>#DIV/0!</v>
      </c>
      <c r="Z16" s="199" t="e">
        <f>0.01*$G$70</f>
        <v>#DIV/0!</v>
      </c>
      <c r="AA16" s="199" t="e">
        <f>0.01*$G$71</f>
        <v>#DIV/0!</v>
      </c>
      <c r="AB16" s="199" t="e">
        <f>0.01*$G$72</f>
        <v>#DIV/0!</v>
      </c>
      <c r="AC16" s="199" t="e">
        <f>0.01*$G$73</f>
        <v>#DIV/0!</v>
      </c>
      <c r="AD16" s="199" t="e">
        <f>0.01*$G$74</f>
        <v>#DIV/0!</v>
      </c>
      <c r="AE16" s="199" t="e">
        <f>0.01*$G$75</f>
        <v>#DIV/0!</v>
      </c>
      <c r="AF16" s="199" t="e">
        <f>0.01*$G$76</f>
        <v>#DIV/0!</v>
      </c>
      <c r="AG16" s="199" t="e">
        <f>0.01*$G$77</f>
        <v>#DIV/0!</v>
      </c>
      <c r="AH16" s="199" t="e">
        <f>0.01*$G$78</f>
        <v>#DIV/0!</v>
      </c>
      <c r="AI16" s="199" t="e">
        <f>0.01*$G$79</f>
        <v>#DIV/0!</v>
      </c>
      <c r="AJ16" s="199" t="e">
        <f>0.01*$G$80</f>
        <v>#DIV/0!</v>
      </c>
      <c r="AK16" s="199" t="e">
        <f>0.01*$G$81</f>
        <v>#DIV/0!</v>
      </c>
      <c r="AL16" s="199" t="e">
        <f>0.01*$G$82</f>
        <v>#DIV/0!</v>
      </c>
      <c r="AM16" s="199" t="e">
        <f>0.01*$G$83</f>
        <v>#DIV/0!</v>
      </c>
      <c r="AN16" s="199" t="e">
        <f>0.01*$G$84</f>
        <v>#DIV/0!</v>
      </c>
      <c r="AO16" s="199" t="e">
        <f>0.01*$G$85</f>
        <v>#DIV/0!</v>
      </c>
      <c r="AP16" s="199" t="e">
        <f>0.01*$G$86</f>
        <v>#DIV/0!</v>
      </c>
      <c r="AQ16" s="199" t="e">
        <f>0.01*$G$87</f>
        <v>#DIV/0!</v>
      </c>
      <c r="AR16" s="199" t="e">
        <f>0.01*$G$88</f>
        <v>#DIV/0!</v>
      </c>
      <c r="AS16" s="199" t="e">
        <f>0.01*$G$90</f>
        <v>#DIV/0!</v>
      </c>
      <c r="AT16" s="199" t="e">
        <f>0.01*$G$91</f>
        <v>#DIV/0!</v>
      </c>
      <c r="AU16" s="199" t="e">
        <f>0.01*$G$92</f>
        <v>#DIV/0!</v>
      </c>
      <c r="AV16" s="199" t="e">
        <f>0.01*$G$93</f>
        <v>#DIV/0!</v>
      </c>
      <c r="AW16" s="199" t="e">
        <f>0.01*$G$94</f>
        <v>#DIV/0!</v>
      </c>
      <c r="AX16" s="173"/>
      <c r="AY16" s="173"/>
      <c r="AZ16" s="173"/>
      <c r="BA16" s="173"/>
      <c r="BB16" s="173"/>
      <c r="BC16" s="173"/>
      <c r="BD16" s="173"/>
      <c r="BE16" s="173"/>
      <c r="BF16" s="173"/>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row>
    <row r="17" spans="1:88">
      <c r="A17">
        <v>2017</v>
      </c>
      <c r="B17" t="s">
        <v>42</v>
      </c>
      <c r="C17" s="199" t="e">
        <f>0.01*$H$47</f>
        <v>#DIV/0!</v>
      </c>
      <c r="D17" s="199" t="e">
        <f>0.01*$H$48</f>
        <v>#DIV/0!</v>
      </c>
      <c r="E17" s="199" t="e">
        <f>0.01*$H$49</f>
        <v>#DIV/0!</v>
      </c>
      <c r="F17" s="199" t="e">
        <f>0.01*$H$50</f>
        <v>#DIV/0!</v>
      </c>
      <c r="G17" s="199" t="e">
        <f>0.01*$H$51</f>
        <v>#DIV/0!</v>
      </c>
      <c r="H17" s="199" t="e">
        <f>0.01*$H$52</f>
        <v>#DIV/0!</v>
      </c>
      <c r="I17" s="199" t="e">
        <f>0.01*$H$53</f>
        <v>#DIV/0!</v>
      </c>
      <c r="J17" s="199" t="e">
        <f>0.01*$H$54</f>
        <v>#DIV/0!</v>
      </c>
      <c r="K17" s="199" t="e">
        <f>0.01*$H$55</f>
        <v>#DIV/0!</v>
      </c>
      <c r="L17" s="199" t="e">
        <f>0.01*$H$56</f>
        <v>#DIV/0!</v>
      </c>
      <c r="M17" s="199" t="e">
        <f>0.01*$H$57</f>
        <v>#DIV/0!</v>
      </c>
      <c r="N17" s="199" t="e">
        <f>0.01*$H$58</f>
        <v>#DIV/0!</v>
      </c>
      <c r="O17" s="199" t="e">
        <f>0.01*$H$59</f>
        <v>#DIV/0!</v>
      </c>
      <c r="P17" s="199" t="e">
        <f>0.01*$H$60</f>
        <v>#DIV/0!</v>
      </c>
      <c r="Q17" s="199" t="e">
        <f>0.01*$H$61</f>
        <v>#DIV/0!</v>
      </c>
      <c r="R17" s="199" t="e">
        <f>0.01*$H$62</f>
        <v>#DIV/0!</v>
      </c>
      <c r="S17" s="199" t="e">
        <f>0.01*$H$63</f>
        <v>#DIV/0!</v>
      </c>
      <c r="T17" s="199" t="e">
        <f>0.01*$H$64</f>
        <v>#DIV/0!</v>
      </c>
      <c r="U17" s="199" t="e">
        <f>0.01*$H$65</f>
        <v>#DIV/0!</v>
      </c>
      <c r="V17" s="199" t="e">
        <f>0.01*$H$66</f>
        <v>#DIV/0!</v>
      </c>
      <c r="W17" s="199" t="e">
        <f>0.01*$H$67</f>
        <v>#DIV/0!</v>
      </c>
      <c r="X17" s="199" t="e">
        <f>0.01*$H$68</f>
        <v>#DIV/0!</v>
      </c>
      <c r="Y17" s="199" t="e">
        <f>0.01*$H$69</f>
        <v>#DIV/0!</v>
      </c>
      <c r="Z17" s="199" t="e">
        <f>0.01*$H$70</f>
        <v>#DIV/0!</v>
      </c>
      <c r="AA17" s="199" t="e">
        <f>0.01*$H$71</f>
        <v>#DIV/0!</v>
      </c>
      <c r="AB17" s="199" t="e">
        <f>0.01*$H$72</f>
        <v>#DIV/0!</v>
      </c>
      <c r="AC17" s="199" t="e">
        <f>0.01*$H$73</f>
        <v>#DIV/0!</v>
      </c>
      <c r="AD17" s="199" t="e">
        <f>0.01*$H$74</f>
        <v>#DIV/0!</v>
      </c>
      <c r="AE17" s="199" t="e">
        <f>0.01*$H$75</f>
        <v>#DIV/0!</v>
      </c>
      <c r="AF17" s="199" t="e">
        <f>0.01*$H$76</f>
        <v>#DIV/0!</v>
      </c>
      <c r="AG17" s="199" t="e">
        <f>0.01*$H$77</f>
        <v>#DIV/0!</v>
      </c>
      <c r="AH17" s="199" t="e">
        <f>0.01*$H$78</f>
        <v>#DIV/0!</v>
      </c>
      <c r="AI17" s="199" t="e">
        <f>0.01*$H$79</f>
        <v>#DIV/0!</v>
      </c>
      <c r="AJ17" s="199" t="e">
        <f>0.01*$H$80</f>
        <v>#DIV/0!</v>
      </c>
      <c r="AK17" s="199" t="e">
        <f>0.01*$H$81</f>
        <v>#DIV/0!</v>
      </c>
      <c r="AL17" s="199" t="e">
        <f>0.01*$H$82</f>
        <v>#DIV/0!</v>
      </c>
      <c r="AM17" s="199" t="e">
        <f>0.01*$H$83</f>
        <v>#DIV/0!</v>
      </c>
      <c r="AN17" s="199" t="e">
        <f>0.01*$H$84</f>
        <v>#DIV/0!</v>
      </c>
      <c r="AO17" s="199" t="e">
        <f>0.01*$H$85</f>
        <v>#DIV/0!</v>
      </c>
      <c r="AP17" s="199" t="e">
        <f>0.01*$H$86</f>
        <v>#DIV/0!</v>
      </c>
      <c r="AQ17" s="199" t="e">
        <f>0.01*$H$87</f>
        <v>#DIV/0!</v>
      </c>
      <c r="AR17" s="199" t="e">
        <f>0.01*$H$88</f>
        <v>#DIV/0!</v>
      </c>
      <c r="AS17" s="199" t="e">
        <f>0.01*$H$90</f>
        <v>#DIV/0!</v>
      </c>
      <c r="AT17" s="199" t="e">
        <f>0.01*$H$91</f>
        <v>#DIV/0!</v>
      </c>
      <c r="AU17" s="199" t="e">
        <f>0.01*$H$92</f>
        <v>#DIV/0!</v>
      </c>
      <c r="AV17" s="199" t="e">
        <f>0.01*$H$93</f>
        <v>#DIV/0!</v>
      </c>
      <c r="AW17" s="199" t="e">
        <f>0.01*$H$94</f>
        <v>#DIV/0!</v>
      </c>
      <c r="AX17" s="173"/>
      <c r="AY17" s="173"/>
      <c r="AZ17" s="173"/>
      <c r="BA17" s="173"/>
      <c r="BB17" s="173"/>
      <c r="BC17" s="173"/>
      <c r="BD17" s="173"/>
      <c r="BE17" s="173"/>
      <c r="BF17" s="173"/>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row>
    <row r="18" spans="1:88">
      <c r="A18" s="2">
        <v>2018</v>
      </c>
      <c r="B18" t="s">
        <v>5</v>
      </c>
      <c r="C18" s="199" t="e">
        <f>0.01*$I$47</f>
        <v>#DIV/0!</v>
      </c>
      <c r="D18" s="199" t="e">
        <f>0.01*$I$48</f>
        <v>#DIV/0!</v>
      </c>
      <c r="E18" s="199" t="e">
        <f>0.01*$I$49</f>
        <v>#DIV/0!</v>
      </c>
      <c r="F18" s="199" t="e">
        <f>0.01*$I$50</f>
        <v>#DIV/0!</v>
      </c>
      <c r="G18" s="199" t="e">
        <f>0.01*$I$51</f>
        <v>#DIV/0!</v>
      </c>
      <c r="H18" s="199" t="e">
        <f>0.01*$I$52</f>
        <v>#DIV/0!</v>
      </c>
      <c r="I18" s="199" t="e">
        <f>0.01*$I$53</f>
        <v>#DIV/0!</v>
      </c>
      <c r="J18" s="199" t="e">
        <f>0.01*$I$54</f>
        <v>#DIV/0!</v>
      </c>
      <c r="K18" s="199" t="e">
        <f>0.01*$I$55</f>
        <v>#DIV/0!</v>
      </c>
      <c r="L18" s="199" t="e">
        <f>0.01*$I$56</f>
        <v>#DIV/0!</v>
      </c>
      <c r="M18" s="199" t="e">
        <f>0.01*$I$57</f>
        <v>#DIV/0!</v>
      </c>
      <c r="N18" s="199" t="e">
        <f>0.01*$I$58</f>
        <v>#DIV/0!</v>
      </c>
      <c r="O18" s="199" t="e">
        <f>0.01*$I$59</f>
        <v>#DIV/0!</v>
      </c>
      <c r="P18" s="199" t="e">
        <f>0.01*$I$60</f>
        <v>#DIV/0!</v>
      </c>
      <c r="Q18" s="199" t="e">
        <f>0.01*$I$61</f>
        <v>#DIV/0!</v>
      </c>
      <c r="R18" s="199" t="e">
        <f>0.01*$I$62</f>
        <v>#DIV/0!</v>
      </c>
      <c r="S18" s="199" t="e">
        <f>0.01*$I$63</f>
        <v>#DIV/0!</v>
      </c>
      <c r="T18" s="199" t="e">
        <f>0.01*$I$64</f>
        <v>#DIV/0!</v>
      </c>
      <c r="U18" s="199" t="e">
        <f>0.01*$I$65</f>
        <v>#DIV/0!</v>
      </c>
      <c r="V18" s="199" t="e">
        <f>0.01*$I$66</f>
        <v>#DIV/0!</v>
      </c>
      <c r="W18" s="199" t="e">
        <f>0.01*$I$67</f>
        <v>#DIV/0!</v>
      </c>
      <c r="X18" s="199" t="e">
        <f>0.01*$I$68</f>
        <v>#DIV/0!</v>
      </c>
      <c r="Y18" s="199" t="e">
        <f>0.01*$I$69</f>
        <v>#DIV/0!</v>
      </c>
      <c r="Z18" s="199" t="e">
        <f>0.01*$I$70</f>
        <v>#DIV/0!</v>
      </c>
      <c r="AA18" s="199" t="e">
        <f>0.01*$I$71</f>
        <v>#DIV/0!</v>
      </c>
      <c r="AB18" s="199" t="e">
        <f>0.01*$I$72</f>
        <v>#DIV/0!</v>
      </c>
      <c r="AC18" s="199" t="e">
        <f>0.01*$I$73</f>
        <v>#DIV/0!</v>
      </c>
      <c r="AD18" s="199" t="e">
        <f>0.01*$I$74</f>
        <v>#DIV/0!</v>
      </c>
      <c r="AE18" s="199" t="e">
        <f>0.01*$I$75</f>
        <v>#DIV/0!</v>
      </c>
      <c r="AF18" s="199" t="e">
        <f>0.01*$I$76</f>
        <v>#DIV/0!</v>
      </c>
      <c r="AG18" s="199" t="e">
        <f>0.01*$I$77</f>
        <v>#DIV/0!</v>
      </c>
      <c r="AH18" s="199" t="e">
        <f>0.01*$I$78</f>
        <v>#DIV/0!</v>
      </c>
      <c r="AI18" s="199" t="e">
        <f>0.01*$I$79</f>
        <v>#DIV/0!</v>
      </c>
      <c r="AJ18" s="199" t="e">
        <f>0.01*$I$80</f>
        <v>#DIV/0!</v>
      </c>
      <c r="AK18" s="199" t="e">
        <f>0.01*$I$81</f>
        <v>#DIV/0!</v>
      </c>
      <c r="AL18" s="199" t="e">
        <f>0.01*$I$82</f>
        <v>#DIV/0!</v>
      </c>
      <c r="AM18" s="199" t="e">
        <f>0.01*$I$83</f>
        <v>#DIV/0!</v>
      </c>
      <c r="AN18" s="199" t="e">
        <f>0.01*$I$84</f>
        <v>#DIV/0!</v>
      </c>
      <c r="AO18" s="199" t="e">
        <f>0.01*$I$85</f>
        <v>#DIV/0!</v>
      </c>
      <c r="AP18" s="199" t="e">
        <f>0.01*$I$86</f>
        <v>#DIV/0!</v>
      </c>
      <c r="AQ18" s="199" t="e">
        <f>0.01*$I$87</f>
        <v>#DIV/0!</v>
      </c>
      <c r="AR18" s="199" t="e">
        <f>0.01*$I$88</f>
        <v>#DIV/0!</v>
      </c>
      <c r="AS18" s="199" t="e">
        <f>0.01*$I$90</f>
        <v>#DIV/0!</v>
      </c>
      <c r="AT18" s="199" t="e">
        <f>0.01*$I$91</f>
        <v>#DIV/0!</v>
      </c>
      <c r="AU18" s="199" t="e">
        <f>0.01*$I$92</f>
        <v>#DIV/0!</v>
      </c>
      <c r="AV18" s="199" t="e">
        <f>0.01*$I$93</f>
        <v>#DIV/0!</v>
      </c>
      <c r="AW18" s="199" t="e">
        <f>0.01*$I$94</f>
        <v>#DIV/0!</v>
      </c>
      <c r="AX18" s="173"/>
      <c r="AY18" s="173"/>
      <c r="AZ18" s="173"/>
      <c r="BA18" s="173"/>
      <c r="BB18" s="173"/>
      <c r="BC18" s="173"/>
      <c r="BD18" s="173"/>
      <c r="BE18" s="173"/>
      <c r="BF18" s="173"/>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row>
    <row r="19" spans="1:88">
      <c r="A19">
        <v>2018</v>
      </c>
      <c r="B19" t="s">
        <v>6</v>
      </c>
      <c r="C19" s="199" t="e">
        <f>0.01*$J$47</f>
        <v>#DIV/0!</v>
      </c>
      <c r="D19" s="199" t="e">
        <f>0.01*$J$48</f>
        <v>#DIV/0!</v>
      </c>
      <c r="E19" s="199" t="e">
        <f>0.01*$J$49</f>
        <v>#DIV/0!</v>
      </c>
      <c r="F19" s="199" t="e">
        <f>0.01*$J$50</f>
        <v>#DIV/0!</v>
      </c>
      <c r="G19" s="199" t="e">
        <f>0.01*$J$51</f>
        <v>#DIV/0!</v>
      </c>
      <c r="H19" s="199" t="e">
        <f>0.01*$J$52</f>
        <v>#DIV/0!</v>
      </c>
      <c r="I19" s="199" t="e">
        <f>0.01*$J$53</f>
        <v>#DIV/0!</v>
      </c>
      <c r="J19" s="199" t="e">
        <f>0.01*$J$54</f>
        <v>#DIV/0!</v>
      </c>
      <c r="K19" s="199" t="e">
        <f>0.01*$J$55</f>
        <v>#DIV/0!</v>
      </c>
      <c r="L19" s="199" t="e">
        <f>0.01*$J$56</f>
        <v>#DIV/0!</v>
      </c>
      <c r="M19" s="199" t="e">
        <f>0.01*$J$57</f>
        <v>#DIV/0!</v>
      </c>
      <c r="N19" s="199" t="e">
        <f>0.01*$J$58</f>
        <v>#DIV/0!</v>
      </c>
      <c r="O19" s="199" t="e">
        <f>0.01*$J$59</f>
        <v>#DIV/0!</v>
      </c>
      <c r="P19" s="199" t="e">
        <f>0.01*$J$60</f>
        <v>#DIV/0!</v>
      </c>
      <c r="Q19" s="199" t="e">
        <f>0.01*$J$61</f>
        <v>#DIV/0!</v>
      </c>
      <c r="R19" s="199" t="e">
        <f>0.01*$J$62</f>
        <v>#DIV/0!</v>
      </c>
      <c r="S19" s="199" t="e">
        <f>0.01*$J$63</f>
        <v>#DIV/0!</v>
      </c>
      <c r="T19" s="199" t="e">
        <f>0.01*$J$64</f>
        <v>#DIV/0!</v>
      </c>
      <c r="U19" s="199" t="e">
        <f>0.01*$J$65</f>
        <v>#DIV/0!</v>
      </c>
      <c r="V19" s="199" t="e">
        <f>0.01*$J$66</f>
        <v>#DIV/0!</v>
      </c>
      <c r="W19" s="199" t="e">
        <f>0.01*$J$67</f>
        <v>#DIV/0!</v>
      </c>
      <c r="X19" s="199" t="e">
        <f>0.01*$J$68</f>
        <v>#DIV/0!</v>
      </c>
      <c r="Y19" s="199" t="e">
        <f>0.01*$J$69</f>
        <v>#DIV/0!</v>
      </c>
      <c r="Z19" s="199" t="e">
        <f>0.01*$J$70</f>
        <v>#DIV/0!</v>
      </c>
      <c r="AA19" s="199" t="e">
        <f>0.01*$J$71</f>
        <v>#DIV/0!</v>
      </c>
      <c r="AB19" s="199" t="e">
        <f>0.01*$J$72</f>
        <v>#DIV/0!</v>
      </c>
      <c r="AC19" s="199" t="e">
        <f>0.01*$J$73</f>
        <v>#DIV/0!</v>
      </c>
      <c r="AD19" s="199" t="e">
        <f>0.01*$J$74</f>
        <v>#DIV/0!</v>
      </c>
      <c r="AE19" s="199" t="e">
        <f>0.01*$J$75</f>
        <v>#DIV/0!</v>
      </c>
      <c r="AF19" s="199" t="e">
        <f>0.01*$J$76</f>
        <v>#DIV/0!</v>
      </c>
      <c r="AG19" s="199" t="e">
        <f>0.01*$J$77</f>
        <v>#DIV/0!</v>
      </c>
      <c r="AH19" s="199" t="e">
        <f>0.01*$J$78</f>
        <v>#DIV/0!</v>
      </c>
      <c r="AI19" s="199" t="e">
        <f>0.01*$J$79</f>
        <v>#DIV/0!</v>
      </c>
      <c r="AJ19" s="199" t="e">
        <f>0.01*$J$80</f>
        <v>#DIV/0!</v>
      </c>
      <c r="AK19" s="199" t="e">
        <f>0.01*$J$81</f>
        <v>#DIV/0!</v>
      </c>
      <c r="AL19" s="199" t="e">
        <f>0.01*$J$82</f>
        <v>#DIV/0!</v>
      </c>
      <c r="AM19" s="199" t="e">
        <f>0.01*$J$83</f>
        <v>#DIV/0!</v>
      </c>
      <c r="AN19" s="199" t="e">
        <f>0.01*$J$84</f>
        <v>#DIV/0!</v>
      </c>
      <c r="AO19" s="199" t="e">
        <f>0.01*$J$85</f>
        <v>#DIV/0!</v>
      </c>
      <c r="AP19" s="199" t="e">
        <f>0.01*$J$86</f>
        <v>#DIV/0!</v>
      </c>
      <c r="AQ19" s="199" t="e">
        <f>0.01*$J$87</f>
        <v>#DIV/0!</v>
      </c>
      <c r="AR19" s="199" t="e">
        <f>0.01*$J$88</f>
        <v>#DIV/0!</v>
      </c>
      <c r="AS19" s="199" t="e">
        <f>0.01*$J$90</f>
        <v>#DIV/0!</v>
      </c>
      <c r="AT19" s="199" t="e">
        <f>0.01*$J$91</f>
        <v>#DIV/0!</v>
      </c>
      <c r="AU19" s="199" t="e">
        <f>0.01*$J$92</f>
        <v>#DIV/0!</v>
      </c>
      <c r="AV19" s="199" t="e">
        <f>0.01*$J$93</f>
        <v>#DIV/0!</v>
      </c>
      <c r="AW19" s="199" t="e">
        <f>0.01*$J$94</f>
        <v>#DIV/0!</v>
      </c>
      <c r="AX19" s="173"/>
      <c r="AY19" s="173"/>
      <c r="AZ19" s="173"/>
      <c r="BA19" s="173"/>
      <c r="BB19" s="173"/>
      <c r="BC19" s="173"/>
      <c r="BD19" s="173"/>
      <c r="BE19" s="173"/>
      <c r="BF19" s="173"/>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row>
    <row r="20" spans="1:88">
      <c r="A20" s="2">
        <v>2018</v>
      </c>
      <c r="B20" t="s">
        <v>42</v>
      </c>
      <c r="C20" s="199" t="e">
        <f>0.01*$K$47</f>
        <v>#DIV/0!</v>
      </c>
      <c r="D20" s="199" t="e">
        <f>0.01*$K$48</f>
        <v>#DIV/0!</v>
      </c>
      <c r="E20" s="199" t="e">
        <f>0.01*$K$49</f>
        <v>#DIV/0!</v>
      </c>
      <c r="F20" s="199" t="e">
        <f>0.01*$K$50</f>
        <v>#DIV/0!</v>
      </c>
      <c r="G20" s="199" t="e">
        <f>0.01*$K$51</f>
        <v>#DIV/0!</v>
      </c>
      <c r="H20" s="199" t="e">
        <f>0.01*$K$52</f>
        <v>#DIV/0!</v>
      </c>
      <c r="I20" s="199" t="e">
        <f>0.01*$K$53</f>
        <v>#DIV/0!</v>
      </c>
      <c r="J20" s="199" t="e">
        <f>0.01*$K$54</f>
        <v>#DIV/0!</v>
      </c>
      <c r="K20" s="199" t="e">
        <f>0.01*$K$55</f>
        <v>#DIV/0!</v>
      </c>
      <c r="L20" s="199" t="e">
        <f>0.01*$K$56</f>
        <v>#DIV/0!</v>
      </c>
      <c r="M20" s="199" t="e">
        <f>0.01*$K$57</f>
        <v>#DIV/0!</v>
      </c>
      <c r="N20" s="199" t="e">
        <f>0.01*$K$58</f>
        <v>#DIV/0!</v>
      </c>
      <c r="O20" s="199" t="e">
        <f>0.01*$K$59</f>
        <v>#DIV/0!</v>
      </c>
      <c r="P20" s="199" t="e">
        <f>0.01*$K$60</f>
        <v>#DIV/0!</v>
      </c>
      <c r="Q20" s="199" t="e">
        <f>0.01*$K$61</f>
        <v>#DIV/0!</v>
      </c>
      <c r="R20" s="199" t="e">
        <f>0.01*$K$62</f>
        <v>#DIV/0!</v>
      </c>
      <c r="S20" s="199" t="e">
        <f>0.01*$K$63</f>
        <v>#DIV/0!</v>
      </c>
      <c r="T20" s="199" t="e">
        <f>0.01*$K$64</f>
        <v>#DIV/0!</v>
      </c>
      <c r="U20" s="199" t="e">
        <f>0.01*$K$65</f>
        <v>#DIV/0!</v>
      </c>
      <c r="V20" s="199" t="e">
        <f>0.01*$K$66</f>
        <v>#DIV/0!</v>
      </c>
      <c r="W20" s="199" t="e">
        <f>0.01*$K$67</f>
        <v>#DIV/0!</v>
      </c>
      <c r="X20" s="199" t="e">
        <f>0.01*$K$68</f>
        <v>#DIV/0!</v>
      </c>
      <c r="Y20" s="199" t="e">
        <f>0.01*$K$69</f>
        <v>#DIV/0!</v>
      </c>
      <c r="Z20" s="199" t="e">
        <f>0.01*$K$70</f>
        <v>#DIV/0!</v>
      </c>
      <c r="AA20" s="199" t="e">
        <f>0.01*$K$71</f>
        <v>#DIV/0!</v>
      </c>
      <c r="AB20" s="199" t="e">
        <f>0.01*$K$72</f>
        <v>#DIV/0!</v>
      </c>
      <c r="AC20" s="199" t="e">
        <f>0.01*$K$73</f>
        <v>#DIV/0!</v>
      </c>
      <c r="AD20" s="199" t="e">
        <f>0.01*$K$74</f>
        <v>#DIV/0!</v>
      </c>
      <c r="AE20" s="199" t="e">
        <f>0.01*$K$75</f>
        <v>#DIV/0!</v>
      </c>
      <c r="AF20" s="199" t="e">
        <f>0.01*$K$76</f>
        <v>#DIV/0!</v>
      </c>
      <c r="AG20" s="199" t="e">
        <f>0.01*$K$77</f>
        <v>#DIV/0!</v>
      </c>
      <c r="AH20" s="199" t="e">
        <f>0.01*$K$78</f>
        <v>#DIV/0!</v>
      </c>
      <c r="AI20" s="199" t="e">
        <f>0.01*$K$79</f>
        <v>#DIV/0!</v>
      </c>
      <c r="AJ20" s="199" t="e">
        <f>0.01*$K$80</f>
        <v>#DIV/0!</v>
      </c>
      <c r="AK20" s="199" t="e">
        <f>0.01*$K$81</f>
        <v>#DIV/0!</v>
      </c>
      <c r="AL20" s="199" t="e">
        <f>0.01*$K$82</f>
        <v>#DIV/0!</v>
      </c>
      <c r="AM20" s="199" t="e">
        <f>0.01*$K$83</f>
        <v>#DIV/0!</v>
      </c>
      <c r="AN20" s="199" t="e">
        <f>0.01*$K$84</f>
        <v>#DIV/0!</v>
      </c>
      <c r="AO20" s="199" t="e">
        <f>0.01*$K$85</f>
        <v>#DIV/0!</v>
      </c>
      <c r="AP20" s="199" t="e">
        <f>0.01*$K$86</f>
        <v>#DIV/0!</v>
      </c>
      <c r="AQ20" s="199" t="e">
        <f>0.01*$K$87</f>
        <v>#DIV/0!</v>
      </c>
      <c r="AR20" s="199" t="e">
        <f>0.01*$K$88</f>
        <v>#DIV/0!</v>
      </c>
      <c r="AS20" s="199" t="e">
        <f>0.01*$K$90</f>
        <v>#DIV/0!</v>
      </c>
      <c r="AT20" s="199" t="e">
        <f>0.01*$K$91</f>
        <v>#DIV/0!</v>
      </c>
      <c r="AU20" s="199" t="e">
        <f>0.01*$K$92</f>
        <v>#DIV/0!</v>
      </c>
      <c r="AV20" s="199" t="e">
        <f>0.01*$K$93</f>
        <v>#DIV/0!</v>
      </c>
      <c r="AW20" s="199" t="e">
        <f>0.01*$K$94</f>
        <v>#DIV/0!</v>
      </c>
      <c r="AX20" s="173"/>
      <c r="AY20" s="173"/>
      <c r="AZ20" s="173"/>
      <c r="BA20" s="173"/>
      <c r="BB20" s="173"/>
      <c r="BC20" s="173"/>
      <c r="BD20" s="173"/>
      <c r="BE20" s="173"/>
      <c r="BF20" s="173"/>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row>
    <row r="21" spans="1:88">
      <c r="A21">
        <v>2019</v>
      </c>
      <c r="B21" t="s">
        <v>5</v>
      </c>
      <c r="C21" s="199" t="e">
        <f>0.01*$L$47</f>
        <v>#DIV/0!</v>
      </c>
      <c r="D21" s="199" t="e">
        <f>0.01*$L$48</f>
        <v>#DIV/0!</v>
      </c>
      <c r="E21" s="199" t="e">
        <f>0.01*$L$49</f>
        <v>#DIV/0!</v>
      </c>
      <c r="F21" s="199" t="e">
        <f>0.01*$L$50</f>
        <v>#DIV/0!</v>
      </c>
      <c r="G21" s="199" t="e">
        <f>0.01*$L$51</f>
        <v>#DIV/0!</v>
      </c>
      <c r="H21" s="199" t="e">
        <f>0.01*$L$52</f>
        <v>#DIV/0!</v>
      </c>
      <c r="I21" s="199" t="e">
        <f>0.01*$L$53</f>
        <v>#DIV/0!</v>
      </c>
      <c r="J21" s="199" t="e">
        <f>0.01*$L$54</f>
        <v>#DIV/0!</v>
      </c>
      <c r="K21" s="199" t="e">
        <f>0.01*$L$55</f>
        <v>#DIV/0!</v>
      </c>
      <c r="L21" s="199" t="e">
        <f>0.01*$L$56</f>
        <v>#DIV/0!</v>
      </c>
      <c r="M21" s="199" t="e">
        <f>0.01*$L$57</f>
        <v>#DIV/0!</v>
      </c>
      <c r="N21" s="199" t="e">
        <f>0.01*$L$58</f>
        <v>#DIV/0!</v>
      </c>
      <c r="O21" s="199" t="e">
        <f>0.01*$L$59</f>
        <v>#DIV/0!</v>
      </c>
      <c r="P21" s="199" t="e">
        <f>0.01*$L$60</f>
        <v>#DIV/0!</v>
      </c>
      <c r="Q21" s="199" t="e">
        <f>0.01*$L$61</f>
        <v>#DIV/0!</v>
      </c>
      <c r="R21" s="199" t="e">
        <f>0.01*$L$62</f>
        <v>#DIV/0!</v>
      </c>
      <c r="S21" s="199" t="e">
        <f>0.01*$L$63</f>
        <v>#DIV/0!</v>
      </c>
      <c r="T21" s="199" t="e">
        <f>0.01*$L$64</f>
        <v>#DIV/0!</v>
      </c>
      <c r="U21" s="199" t="e">
        <f>0.01*$L$65</f>
        <v>#DIV/0!</v>
      </c>
      <c r="V21" s="199" t="e">
        <f>0.01*$L$66</f>
        <v>#DIV/0!</v>
      </c>
      <c r="W21" s="199" t="e">
        <f>0.01*$L$67</f>
        <v>#DIV/0!</v>
      </c>
      <c r="X21" s="199" t="e">
        <f>0.01*$L$68</f>
        <v>#DIV/0!</v>
      </c>
      <c r="Y21" s="199" t="e">
        <f>0.01*$L$69</f>
        <v>#DIV/0!</v>
      </c>
      <c r="Z21" s="199" t="e">
        <f>0.01*$L$70</f>
        <v>#DIV/0!</v>
      </c>
      <c r="AA21" s="199" t="e">
        <f>0.01*$L$71</f>
        <v>#DIV/0!</v>
      </c>
      <c r="AB21" s="199" t="e">
        <f>0.01*$L$72</f>
        <v>#DIV/0!</v>
      </c>
      <c r="AC21" s="199" t="e">
        <f>0.01*$L$73</f>
        <v>#DIV/0!</v>
      </c>
      <c r="AD21" s="199" t="e">
        <f>0.01*$L$74</f>
        <v>#DIV/0!</v>
      </c>
      <c r="AE21" s="199" t="e">
        <f>0.01*$L$75</f>
        <v>#DIV/0!</v>
      </c>
      <c r="AF21" s="199" t="e">
        <f>0.01*$L$76</f>
        <v>#DIV/0!</v>
      </c>
      <c r="AG21" s="199" t="e">
        <f>0.01*$L$77</f>
        <v>#DIV/0!</v>
      </c>
      <c r="AH21" s="199" t="e">
        <f>0.01*$L$78</f>
        <v>#DIV/0!</v>
      </c>
      <c r="AI21" s="199" t="e">
        <f>0.01*$L$79</f>
        <v>#DIV/0!</v>
      </c>
      <c r="AJ21" s="199" t="e">
        <f>0.01*$L$80</f>
        <v>#DIV/0!</v>
      </c>
      <c r="AK21" s="199" t="e">
        <f>0.01*$L$81</f>
        <v>#DIV/0!</v>
      </c>
      <c r="AL21" s="199" t="e">
        <f>0.01*$L$82</f>
        <v>#DIV/0!</v>
      </c>
      <c r="AM21" s="199" t="e">
        <f>0.01*$L$83</f>
        <v>#DIV/0!</v>
      </c>
      <c r="AN21" s="199" t="e">
        <f>0.01*$L$84</f>
        <v>#DIV/0!</v>
      </c>
      <c r="AO21" s="199" t="e">
        <f>0.01*$L$85</f>
        <v>#DIV/0!</v>
      </c>
      <c r="AP21" s="199" t="e">
        <f>0.01*$L$86</f>
        <v>#DIV/0!</v>
      </c>
      <c r="AQ21" s="199" t="e">
        <f>0.01*$L$87</f>
        <v>#DIV/0!</v>
      </c>
      <c r="AR21" s="199" t="e">
        <f>0.01*$L$88</f>
        <v>#DIV/0!</v>
      </c>
      <c r="AS21" s="199" t="e">
        <f>0.01*$L$90</f>
        <v>#DIV/0!</v>
      </c>
      <c r="AT21" s="199" t="e">
        <f>0.01*$L$91</f>
        <v>#DIV/0!</v>
      </c>
      <c r="AU21" s="199" t="e">
        <f>0.01*$L$92</f>
        <v>#DIV/0!</v>
      </c>
      <c r="AV21" s="199" t="e">
        <f>0.01*$L$93</f>
        <v>#DIV/0!</v>
      </c>
      <c r="AW21" s="199" t="e">
        <f>0.01*$L$94</f>
        <v>#DIV/0!</v>
      </c>
      <c r="AX21" s="173"/>
      <c r="AY21" s="173"/>
      <c r="AZ21" s="173"/>
      <c r="BA21" s="173"/>
      <c r="BB21" s="173"/>
      <c r="BC21" s="173"/>
      <c r="BD21" s="173"/>
      <c r="BE21" s="173"/>
      <c r="BF21" s="173"/>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row>
    <row r="22" spans="1:88">
      <c r="A22" s="2">
        <v>2019</v>
      </c>
      <c r="B22" t="s">
        <v>6</v>
      </c>
      <c r="C22" s="199" t="e">
        <f>0.01*$M$47</f>
        <v>#DIV/0!</v>
      </c>
      <c r="D22" s="199" t="e">
        <f>0.01*$M$48</f>
        <v>#DIV/0!</v>
      </c>
      <c r="E22" s="199" t="e">
        <f>0.01*$M$49</f>
        <v>#DIV/0!</v>
      </c>
      <c r="F22" s="199" t="e">
        <f>0.01*$M$50</f>
        <v>#DIV/0!</v>
      </c>
      <c r="G22" s="199" t="e">
        <f>0.01*$M$51</f>
        <v>#DIV/0!</v>
      </c>
      <c r="H22" s="199" t="e">
        <f>0.01*$M$52</f>
        <v>#DIV/0!</v>
      </c>
      <c r="I22" s="199" t="e">
        <f>0.01*$M$53</f>
        <v>#DIV/0!</v>
      </c>
      <c r="J22" s="199" t="e">
        <f>0.01*$M$54</f>
        <v>#DIV/0!</v>
      </c>
      <c r="K22" s="199" t="e">
        <f>0.01*$M$55</f>
        <v>#DIV/0!</v>
      </c>
      <c r="L22" s="199" t="e">
        <f>0.01*$M$56</f>
        <v>#DIV/0!</v>
      </c>
      <c r="M22" s="199" t="e">
        <f>0.01*$M$57</f>
        <v>#DIV/0!</v>
      </c>
      <c r="N22" s="199" t="e">
        <f>0.01*$M$58</f>
        <v>#DIV/0!</v>
      </c>
      <c r="O22" s="199" t="e">
        <f>0.01*$M$59</f>
        <v>#DIV/0!</v>
      </c>
      <c r="P22" s="199" t="e">
        <f>0.01*$M$60</f>
        <v>#DIV/0!</v>
      </c>
      <c r="Q22" s="199" t="e">
        <f>0.01*$M$61</f>
        <v>#DIV/0!</v>
      </c>
      <c r="R22" s="199" t="e">
        <f>0.01*$M$62</f>
        <v>#DIV/0!</v>
      </c>
      <c r="S22" s="199" t="e">
        <f>0.01*$M$63</f>
        <v>#DIV/0!</v>
      </c>
      <c r="T22" s="199" t="e">
        <f>0.01*$M$64</f>
        <v>#DIV/0!</v>
      </c>
      <c r="U22" s="199" t="e">
        <f>0.01*$M$65</f>
        <v>#DIV/0!</v>
      </c>
      <c r="V22" s="199" t="e">
        <f>0.01*$M$66</f>
        <v>#DIV/0!</v>
      </c>
      <c r="W22" s="199" t="e">
        <f>0.01*$M$67</f>
        <v>#DIV/0!</v>
      </c>
      <c r="X22" s="199" t="e">
        <f>0.01*$M$68</f>
        <v>#DIV/0!</v>
      </c>
      <c r="Y22" s="199" t="e">
        <f>0.01*$M$69</f>
        <v>#DIV/0!</v>
      </c>
      <c r="Z22" s="199" t="e">
        <f>0.01*$M$70</f>
        <v>#DIV/0!</v>
      </c>
      <c r="AA22" s="199" t="e">
        <f>0.01*$M$71</f>
        <v>#DIV/0!</v>
      </c>
      <c r="AB22" s="199" t="e">
        <f>0.01*$M$72</f>
        <v>#DIV/0!</v>
      </c>
      <c r="AC22" s="199" t="e">
        <f>0.01*$M$73</f>
        <v>#DIV/0!</v>
      </c>
      <c r="AD22" s="199" t="e">
        <f>0.01*$M$74</f>
        <v>#DIV/0!</v>
      </c>
      <c r="AE22" s="199" t="e">
        <f>0.01*$M$75</f>
        <v>#DIV/0!</v>
      </c>
      <c r="AF22" s="199" t="e">
        <f>0.01*$M$76</f>
        <v>#DIV/0!</v>
      </c>
      <c r="AG22" s="199" t="e">
        <f>0.01*$M$77</f>
        <v>#DIV/0!</v>
      </c>
      <c r="AH22" s="199" t="e">
        <f>0.01*$M$78</f>
        <v>#DIV/0!</v>
      </c>
      <c r="AI22" s="199" t="e">
        <f>0.01*$M$79</f>
        <v>#DIV/0!</v>
      </c>
      <c r="AJ22" s="199" t="e">
        <f>0.01*$M$80</f>
        <v>#DIV/0!</v>
      </c>
      <c r="AK22" s="199" t="e">
        <f>0.01*$M$81</f>
        <v>#DIV/0!</v>
      </c>
      <c r="AL22" s="199" t="e">
        <f>0.01*$M$82</f>
        <v>#DIV/0!</v>
      </c>
      <c r="AM22" s="199" t="e">
        <f>0.01*$M$83</f>
        <v>#DIV/0!</v>
      </c>
      <c r="AN22" s="199" t="e">
        <f>0.01*$M$84</f>
        <v>#DIV/0!</v>
      </c>
      <c r="AO22" s="199" t="e">
        <f>0.01*$M$85</f>
        <v>#DIV/0!</v>
      </c>
      <c r="AP22" s="199" t="e">
        <f>0.01*$M$86</f>
        <v>#DIV/0!</v>
      </c>
      <c r="AQ22" s="199" t="e">
        <f>0.01*$M$87</f>
        <v>#DIV/0!</v>
      </c>
      <c r="AR22" s="199" t="e">
        <f>0.01*$M$88</f>
        <v>#DIV/0!</v>
      </c>
      <c r="AS22" s="199" t="e">
        <f>0.01*$M$90</f>
        <v>#DIV/0!</v>
      </c>
      <c r="AT22" s="199" t="e">
        <f>0.01*$M$91</f>
        <v>#DIV/0!</v>
      </c>
      <c r="AU22" s="199" t="e">
        <f>0.01*$M$92</f>
        <v>#DIV/0!</v>
      </c>
      <c r="AV22" s="199" t="e">
        <f>0.01*$M$93</f>
        <v>#DIV/0!</v>
      </c>
      <c r="AW22" s="199" t="e">
        <f>0.01*$M$94</f>
        <v>#DIV/0!</v>
      </c>
      <c r="AX22" s="173"/>
      <c r="AY22" s="173"/>
      <c r="AZ22" s="173"/>
      <c r="BA22" s="173"/>
      <c r="BB22" s="173"/>
      <c r="BC22" s="173"/>
      <c r="BD22" s="173"/>
      <c r="BE22" s="173"/>
      <c r="BF22" s="173"/>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row>
    <row r="23" spans="1:88">
      <c r="A23">
        <v>2019</v>
      </c>
      <c r="B23" t="s">
        <v>42</v>
      </c>
      <c r="C23" s="199" t="e">
        <f>0.01*$N$47</f>
        <v>#DIV/0!</v>
      </c>
      <c r="D23" s="199" t="e">
        <f>0.01*$N$48</f>
        <v>#DIV/0!</v>
      </c>
      <c r="E23" s="199" t="e">
        <f>0.01*$N$49</f>
        <v>#DIV/0!</v>
      </c>
      <c r="F23" s="199" t="e">
        <f>0.01*$N$50</f>
        <v>#DIV/0!</v>
      </c>
      <c r="G23" s="199" t="e">
        <f>0.01*$N$51</f>
        <v>#DIV/0!</v>
      </c>
      <c r="H23" s="199" t="e">
        <f>0.01*$N$52</f>
        <v>#DIV/0!</v>
      </c>
      <c r="I23" s="199" t="e">
        <f>0.01*$N$53</f>
        <v>#DIV/0!</v>
      </c>
      <c r="J23" s="199" t="e">
        <f>0.01*$N$54</f>
        <v>#DIV/0!</v>
      </c>
      <c r="K23" s="199" t="e">
        <f>0.01*$N$55</f>
        <v>#DIV/0!</v>
      </c>
      <c r="L23" s="199" t="e">
        <f>0.01*$N$56</f>
        <v>#DIV/0!</v>
      </c>
      <c r="M23" s="199" t="e">
        <f>0.01*$N$57</f>
        <v>#DIV/0!</v>
      </c>
      <c r="N23" s="199" t="e">
        <f>0.01*$N$58</f>
        <v>#DIV/0!</v>
      </c>
      <c r="O23" s="199" t="e">
        <f>0.01*$N$59</f>
        <v>#DIV/0!</v>
      </c>
      <c r="P23" s="199" t="e">
        <f>0.01*$N$60</f>
        <v>#DIV/0!</v>
      </c>
      <c r="Q23" s="199" t="e">
        <f>0.01*$N$61</f>
        <v>#DIV/0!</v>
      </c>
      <c r="R23" s="199" t="e">
        <f>0.01*$N$62</f>
        <v>#DIV/0!</v>
      </c>
      <c r="S23" s="199" t="e">
        <f>0.01*$N$63</f>
        <v>#DIV/0!</v>
      </c>
      <c r="T23" s="199" t="e">
        <f>0.01*$N$64</f>
        <v>#DIV/0!</v>
      </c>
      <c r="U23" s="199" t="e">
        <f>0.01*$N$65</f>
        <v>#DIV/0!</v>
      </c>
      <c r="V23" s="199" t="e">
        <f>0.01*$N$66</f>
        <v>#DIV/0!</v>
      </c>
      <c r="W23" s="199" t="e">
        <f>0.01*$N$67</f>
        <v>#DIV/0!</v>
      </c>
      <c r="X23" s="199" t="e">
        <f>0.01*$N$68</f>
        <v>#DIV/0!</v>
      </c>
      <c r="Y23" s="199" t="e">
        <f>0.01*$N$69</f>
        <v>#DIV/0!</v>
      </c>
      <c r="Z23" s="199" t="e">
        <f>0.01*$N$70</f>
        <v>#DIV/0!</v>
      </c>
      <c r="AA23" s="199" t="e">
        <f>0.01*$N$71</f>
        <v>#DIV/0!</v>
      </c>
      <c r="AB23" s="199" t="e">
        <f>0.01*$N$72</f>
        <v>#DIV/0!</v>
      </c>
      <c r="AC23" s="199" t="e">
        <f>0.01*$N$73</f>
        <v>#DIV/0!</v>
      </c>
      <c r="AD23" s="199" t="e">
        <f>0.01*$N$74</f>
        <v>#DIV/0!</v>
      </c>
      <c r="AE23" s="199" t="e">
        <f>0.01*$N$75</f>
        <v>#DIV/0!</v>
      </c>
      <c r="AF23" s="199" t="e">
        <f>0.01*$N$76</f>
        <v>#DIV/0!</v>
      </c>
      <c r="AG23" s="199" t="e">
        <f>0.01*$N$77</f>
        <v>#DIV/0!</v>
      </c>
      <c r="AH23" s="199" t="e">
        <f>0.01*$N$78</f>
        <v>#DIV/0!</v>
      </c>
      <c r="AI23" s="199" t="e">
        <f>0.01*$N$79</f>
        <v>#DIV/0!</v>
      </c>
      <c r="AJ23" s="199" t="e">
        <f>0.01*$N$80</f>
        <v>#DIV/0!</v>
      </c>
      <c r="AK23" s="199" t="e">
        <f>0.01*$N$81</f>
        <v>#DIV/0!</v>
      </c>
      <c r="AL23" s="199" t="e">
        <f>0.01*$N$82</f>
        <v>#DIV/0!</v>
      </c>
      <c r="AM23" s="199" t="e">
        <f>0.01*$N$83</f>
        <v>#DIV/0!</v>
      </c>
      <c r="AN23" s="199" t="e">
        <f>0.01*$N$84</f>
        <v>#DIV/0!</v>
      </c>
      <c r="AO23" s="199" t="e">
        <f>0.01*$N$85</f>
        <v>#DIV/0!</v>
      </c>
      <c r="AP23" s="199" t="e">
        <f>0.01*$N$86</f>
        <v>#DIV/0!</v>
      </c>
      <c r="AQ23" s="199" t="e">
        <f>0.01*$N$87</f>
        <v>#DIV/0!</v>
      </c>
      <c r="AR23" s="199" t="e">
        <f>0.01*$N$88</f>
        <v>#DIV/0!</v>
      </c>
      <c r="AS23" s="199" t="e">
        <f>0.01*$N$90</f>
        <v>#DIV/0!</v>
      </c>
      <c r="AT23" s="199" t="e">
        <f>0.01*$N$91</f>
        <v>#DIV/0!</v>
      </c>
      <c r="AU23" s="199" t="e">
        <f>0.01*$N$92</f>
        <v>#DIV/0!</v>
      </c>
      <c r="AV23" s="199" t="e">
        <f>0.01*$N$93</f>
        <v>#DIV/0!</v>
      </c>
      <c r="AW23" s="199" t="e">
        <f>0.01*$N$94</f>
        <v>#DIV/0!</v>
      </c>
      <c r="AX23" s="173"/>
      <c r="AY23" s="173"/>
      <c r="AZ23" s="173"/>
      <c r="BA23" s="173"/>
      <c r="BB23" s="173"/>
      <c r="BC23" s="173"/>
      <c r="BD23" s="173"/>
      <c r="BE23" s="173"/>
      <c r="BF23" s="173"/>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row>
    <row r="24" spans="1:88">
      <c r="A24" s="2">
        <v>2020</v>
      </c>
      <c r="B24" t="s">
        <v>5</v>
      </c>
      <c r="C24" s="199" t="e">
        <f>0.01*$O$47</f>
        <v>#DIV/0!</v>
      </c>
      <c r="D24" s="199" t="e">
        <f>0.01*$O$48</f>
        <v>#DIV/0!</v>
      </c>
      <c r="E24" s="199" t="e">
        <f>0.01*$O$49</f>
        <v>#DIV/0!</v>
      </c>
      <c r="F24" s="199" t="e">
        <f>0.01*$O$50</f>
        <v>#DIV/0!</v>
      </c>
      <c r="G24" s="199" t="e">
        <f>0.01*$O$51</f>
        <v>#DIV/0!</v>
      </c>
      <c r="H24" s="199" t="e">
        <f>0.01*$O$52</f>
        <v>#DIV/0!</v>
      </c>
      <c r="I24" s="199" t="e">
        <f>0.01*$O$53</f>
        <v>#DIV/0!</v>
      </c>
      <c r="J24" s="199" t="e">
        <f>0.01*$O$54</f>
        <v>#DIV/0!</v>
      </c>
      <c r="K24" s="199" t="e">
        <f>0.01*$O$55</f>
        <v>#DIV/0!</v>
      </c>
      <c r="L24" s="199" t="e">
        <f>0.01*$O$56</f>
        <v>#DIV/0!</v>
      </c>
      <c r="M24" s="199" t="e">
        <f>0.01*$O$57</f>
        <v>#DIV/0!</v>
      </c>
      <c r="N24" s="199" t="e">
        <f>0.01*$O$58</f>
        <v>#DIV/0!</v>
      </c>
      <c r="O24" s="199" t="e">
        <f>0.01*$O$59</f>
        <v>#DIV/0!</v>
      </c>
      <c r="P24" s="199" t="e">
        <f>0.01*$O$60</f>
        <v>#DIV/0!</v>
      </c>
      <c r="Q24" s="199" t="e">
        <f>0.01*$O$61</f>
        <v>#DIV/0!</v>
      </c>
      <c r="R24" s="199" t="e">
        <f>0.01*$O$62</f>
        <v>#DIV/0!</v>
      </c>
      <c r="S24" s="199" t="e">
        <f>0.01*$O$63</f>
        <v>#DIV/0!</v>
      </c>
      <c r="T24" s="199" t="e">
        <f>0.01*$O$64</f>
        <v>#DIV/0!</v>
      </c>
      <c r="U24" s="199" t="e">
        <f>0.01*$O$65</f>
        <v>#DIV/0!</v>
      </c>
      <c r="V24" s="199" t="e">
        <f>0.01*$O$66</f>
        <v>#DIV/0!</v>
      </c>
      <c r="W24" s="199" t="e">
        <f>0.01*$O$67</f>
        <v>#DIV/0!</v>
      </c>
      <c r="X24" s="199" t="e">
        <f>0.01*$O$68</f>
        <v>#DIV/0!</v>
      </c>
      <c r="Y24" s="199" t="e">
        <f>0.01*$O$69</f>
        <v>#DIV/0!</v>
      </c>
      <c r="Z24" s="199" t="e">
        <f>0.01*$O$70</f>
        <v>#DIV/0!</v>
      </c>
      <c r="AA24" s="199" t="e">
        <f>0.01*$O$71</f>
        <v>#DIV/0!</v>
      </c>
      <c r="AB24" s="199" t="e">
        <f>0.01*$O$72</f>
        <v>#DIV/0!</v>
      </c>
      <c r="AC24" s="199" t="e">
        <f>0.01*$O$73</f>
        <v>#DIV/0!</v>
      </c>
      <c r="AD24" s="199" t="e">
        <f>0.01*$O$74</f>
        <v>#DIV/0!</v>
      </c>
      <c r="AE24" s="199" t="e">
        <f>0.01*$O$75</f>
        <v>#DIV/0!</v>
      </c>
      <c r="AF24" s="199" t="e">
        <f>0.01*$O$76</f>
        <v>#DIV/0!</v>
      </c>
      <c r="AG24" s="199" t="e">
        <f>0.01*$O$77</f>
        <v>#DIV/0!</v>
      </c>
      <c r="AH24" s="199" t="e">
        <f>0.01*$O$78</f>
        <v>#DIV/0!</v>
      </c>
      <c r="AI24" s="199" t="e">
        <f>0.01*$O$79</f>
        <v>#DIV/0!</v>
      </c>
      <c r="AJ24" s="199" t="e">
        <f>0.01*$O$80</f>
        <v>#DIV/0!</v>
      </c>
      <c r="AK24" s="199" t="e">
        <f>0.01*$O$81</f>
        <v>#DIV/0!</v>
      </c>
      <c r="AL24" s="199" t="e">
        <f>0.01*$O$82</f>
        <v>#DIV/0!</v>
      </c>
      <c r="AM24" s="199" t="e">
        <f>0.01*$O$83</f>
        <v>#DIV/0!</v>
      </c>
      <c r="AN24" s="199" t="e">
        <f>0.01*$O$84</f>
        <v>#DIV/0!</v>
      </c>
      <c r="AO24" s="199" t="e">
        <f>0.01*$O$85</f>
        <v>#DIV/0!</v>
      </c>
      <c r="AP24" s="199" t="e">
        <f>0.01*$O$86</f>
        <v>#DIV/0!</v>
      </c>
      <c r="AQ24" s="199" t="e">
        <f>0.01*$O$87</f>
        <v>#DIV/0!</v>
      </c>
      <c r="AR24" s="199" t="e">
        <f>0.01*$O$88</f>
        <v>#DIV/0!</v>
      </c>
      <c r="AS24" s="199" t="e">
        <f>0.01*$O$90</f>
        <v>#DIV/0!</v>
      </c>
      <c r="AT24" s="199" t="e">
        <f>0.01*$O$91</f>
        <v>#DIV/0!</v>
      </c>
      <c r="AU24" s="199" t="e">
        <f>0.01*$O$92</f>
        <v>#DIV/0!</v>
      </c>
      <c r="AV24" s="199" t="e">
        <f>0.01*$O$93</f>
        <v>#DIV/0!</v>
      </c>
      <c r="AW24" s="199" t="e">
        <f>0.01*$O$94</f>
        <v>#DIV/0!</v>
      </c>
      <c r="AX24" s="173"/>
      <c r="AY24" s="173"/>
      <c r="AZ24" s="173"/>
      <c r="BA24" s="173"/>
      <c r="BB24" s="173"/>
      <c r="BC24" s="173"/>
      <c r="BD24" s="173"/>
      <c r="BE24" s="173"/>
      <c r="BF24" s="173"/>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row>
    <row r="25" spans="1:88">
      <c r="A25">
        <v>2020</v>
      </c>
      <c r="B25" t="s">
        <v>6</v>
      </c>
      <c r="C25" s="199" t="e">
        <f>0.01*$P$47</f>
        <v>#DIV/0!</v>
      </c>
      <c r="D25" s="199" t="e">
        <f>0.01*$P$48</f>
        <v>#DIV/0!</v>
      </c>
      <c r="E25" s="199" t="e">
        <f>0.01*$P$49</f>
        <v>#DIV/0!</v>
      </c>
      <c r="F25" s="199" t="e">
        <f>0.01*$P$50</f>
        <v>#DIV/0!</v>
      </c>
      <c r="G25" s="199" t="e">
        <f>0.01*$P$51</f>
        <v>#DIV/0!</v>
      </c>
      <c r="H25" s="199" t="e">
        <f>0.01*$P$52</f>
        <v>#DIV/0!</v>
      </c>
      <c r="I25" s="199" t="e">
        <f>0.01*$P$53</f>
        <v>#DIV/0!</v>
      </c>
      <c r="J25" s="199" t="e">
        <f>0.01*$P$54</f>
        <v>#DIV/0!</v>
      </c>
      <c r="K25" s="199" t="e">
        <f>0.01*$P$55</f>
        <v>#DIV/0!</v>
      </c>
      <c r="L25" s="199" t="e">
        <f>0.01*$P$56</f>
        <v>#DIV/0!</v>
      </c>
      <c r="M25" s="199" t="e">
        <f>0.01*$P$57</f>
        <v>#DIV/0!</v>
      </c>
      <c r="N25" s="199" t="e">
        <f>0.01*$P$58</f>
        <v>#DIV/0!</v>
      </c>
      <c r="O25" s="199" t="e">
        <f>0.01*$P$59</f>
        <v>#DIV/0!</v>
      </c>
      <c r="P25" s="199" t="e">
        <f>0.01*$P$60</f>
        <v>#DIV/0!</v>
      </c>
      <c r="Q25" s="199" t="e">
        <f>0.01*$P$61</f>
        <v>#DIV/0!</v>
      </c>
      <c r="R25" s="199" t="e">
        <f>0.01*$P$62</f>
        <v>#DIV/0!</v>
      </c>
      <c r="S25" s="199" t="e">
        <f>0.01*$P$63</f>
        <v>#DIV/0!</v>
      </c>
      <c r="T25" s="199" t="e">
        <f>0.01*$P$64</f>
        <v>#DIV/0!</v>
      </c>
      <c r="U25" s="199" t="e">
        <f>0.01*$P$65</f>
        <v>#DIV/0!</v>
      </c>
      <c r="V25" s="199" t="e">
        <f>0.01*$P$66</f>
        <v>#DIV/0!</v>
      </c>
      <c r="W25" s="199" t="e">
        <f>0.01*$P$67</f>
        <v>#DIV/0!</v>
      </c>
      <c r="X25" s="199" t="e">
        <f>0.01*$P$68</f>
        <v>#DIV/0!</v>
      </c>
      <c r="Y25" s="199" t="e">
        <f>0.01*$P$69</f>
        <v>#DIV/0!</v>
      </c>
      <c r="Z25" s="199" t="e">
        <f>0.01*$P$70</f>
        <v>#DIV/0!</v>
      </c>
      <c r="AA25" s="199" t="e">
        <f>0.01*$P$71</f>
        <v>#DIV/0!</v>
      </c>
      <c r="AB25" s="199" t="e">
        <f>0.01*$P$72</f>
        <v>#DIV/0!</v>
      </c>
      <c r="AC25" s="199" t="e">
        <f>0.01*$P$73</f>
        <v>#DIV/0!</v>
      </c>
      <c r="AD25" s="199" t="e">
        <f>0.01*$P$74</f>
        <v>#DIV/0!</v>
      </c>
      <c r="AE25" s="199" t="e">
        <f>0.01*$P$75</f>
        <v>#DIV/0!</v>
      </c>
      <c r="AF25" s="199" t="e">
        <f>0.01*$P$76</f>
        <v>#DIV/0!</v>
      </c>
      <c r="AG25" s="199" t="e">
        <f>0.01*$P$77</f>
        <v>#DIV/0!</v>
      </c>
      <c r="AH25" s="199" t="e">
        <f>0.01*$P$78</f>
        <v>#DIV/0!</v>
      </c>
      <c r="AI25" s="199" t="e">
        <f>0.01*$P$79</f>
        <v>#DIV/0!</v>
      </c>
      <c r="AJ25" s="199" t="e">
        <f>0.01*$P$80</f>
        <v>#DIV/0!</v>
      </c>
      <c r="AK25" s="199" t="e">
        <f>0.01*$P$81</f>
        <v>#DIV/0!</v>
      </c>
      <c r="AL25" s="199" t="e">
        <f>0.01*$P$82</f>
        <v>#DIV/0!</v>
      </c>
      <c r="AM25" s="199" t="e">
        <f>0.01*$P$83</f>
        <v>#DIV/0!</v>
      </c>
      <c r="AN25" s="199" t="e">
        <f>0.01*$P$84</f>
        <v>#DIV/0!</v>
      </c>
      <c r="AO25" s="199" t="e">
        <f>0.01*$P$85</f>
        <v>#DIV/0!</v>
      </c>
      <c r="AP25" s="199" t="e">
        <f>0.01*$P$86</f>
        <v>#DIV/0!</v>
      </c>
      <c r="AQ25" s="199" t="e">
        <f>0.01*$P$87</f>
        <v>#DIV/0!</v>
      </c>
      <c r="AR25" s="199" t="e">
        <f>0.01*$P$88</f>
        <v>#DIV/0!</v>
      </c>
      <c r="AS25" s="199" t="e">
        <f>0.01*$P$90</f>
        <v>#DIV/0!</v>
      </c>
      <c r="AT25" s="199" t="e">
        <f>0.01*$P$91</f>
        <v>#DIV/0!</v>
      </c>
      <c r="AU25" s="199" t="e">
        <f>0.01*$P$92</f>
        <v>#DIV/0!</v>
      </c>
      <c r="AV25" s="199" t="e">
        <f>0.01*$P$93</f>
        <v>#DIV/0!</v>
      </c>
      <c r="AW25" s="199" t="e">
        <f>0.01*$P$94</f>
        <v>#DIV/0!</v>
      </c>
      <c r="AX25" s="173"/>
      <c r="AY25" s="173"/>
      <c r="AZ25" s="173"/>
      <c r="BA25" s="173"/>
      <c r="BB25" s="173"/>
      <c r="BC25" s="173"/>
      <c r="BD25" s="173"/>
      <c r="BE25" s="173"/>
      <c r="BF25" s="173"/>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row>
    <row r="26" spans="1:88">
      <c r="A26" s="2">
        <v>2020</v>
      </c>
      <c r="B26" t="s">
        <v>42</v>
      </c>
      <c r="C26" s="199" t="e">
        <f>0.01*$Q$47</f>
        <v>#DIV/0!</v>
      </c>
      <c r="D26" s="199" t="e">
        <f>0.01*$Q$48</f>
        <v>#DIV/0!</v>
      </c>
      <c r="E26" s="199" t="e">
        <f>0.01*$Q$49</f>
        <v>#DIV/0!</v>
      </c>
      <c r="F26" s="199" t="e">
        <f>0.01*$Q$50</f>
        <v>#DIV/0!</v>
      </c>
      <c r="G26" s="199" t="e">
        <f>0.01*$Q$51</f>
        <v>#DIV/0!</v>
      </c>
      <c r="H26" s="199" t="e">
        <f>0.01*$Q$52</f>
        <v>#DIV/0!</v>
      </c>
      <c r="I26" s="199" t="e">
        <f>0.01*$Q$53</f>
        <v>#DIV/0!</v>
      </c>
      <c r="J26" s="199" t="e">
        <f>0.01*$Q$54</f>
        <v>#DIV/0!</v>
      </c>
      <c r="K26" s="199" t="e">
        <f>0.01*$Q$55</f>
        <v>#DIV/0!</v>
      </c>
      <c r="L26" s="199" t="e">
        <f>0.01*$Q$56</f>
        <v>#DIV/0!</v>
      </c>
      <c r="M26" s="199" t="e">
        <f>0.01*$Q$57</f>
        <v>#DIV/0!</v>
      </c>
      <c r="N26" s="199" t="e">
        <f>0.01*$Q$58</f>
        <v>#DIV/0!</v>
      </c>
      <c r="O26" s="199" t="e">
        <f>0.01*$Q$59</f>
        <v>#DIV/0!</v>
      </c>
      <c r="P26" s="199" t="e">
        <f>0.01*$Q$60</f>
        <v>#DIV/0!</v>
      </c>
      <c r="Q26" s="199" t="e">
        <f>0.01*$Q$61</f>
        <v>#DIV/0!</v>
      </c>
      <c r="R26" s="199" t="e">
        <f>0.01*$Q$62</f>
        <v>#DIV/0!</v>
      </c>
      <c r="S26" s="199" t="e">
        <f>0.01*$Q$63</f>
        <v>#DIV/0!</v>
      </c>
      <c r="T26" s="199" t="e">
        <f>0.01*$Q$64</f>
        <v>#DIV/0!</v>
      </c>
      <c r="U26" s="199" t="e">
        <f>0.01*$Q$65</f>
        <v>#DIV/0!</v>
      </c>
      <c r="V26" s="199" t="e">
        <f>0.01*$Q$66</f>
        <v>#DIV/0!</v>
      </c>
      <c r="W26" s="199" t="e">
        <f>0.01*$Q$67</f>
        <v>#DIV/0!</v>
      </c>
      <c r="X26" s="199" t="e">
        <f>0.01*$Q$68</f>
        <v>#DIV/0!</v>
      </c>
      <c r="Y26" s="199" t="e">
        <f>0.01*$Q$69</f>
        <v>#DIV/0!</v>
      </c>
      <c r="Z26" s="199" t="e">
        <f>0.01*$Q$70</f>
        <v>#DIV/0!</v>
      </c>
      <c r="AA26" s="199" t="e">
        <f>0.01*$Q$71</f>
        <v>#DIV/0!</v>
      </c>
      <c r="AB26" s="199" t="e">
        <f>0.01*$Q$72</f>
        <v>#DIV/0!</v>
      </c>
      <c r="AC26" s="199" t="e">
        <f>0.01*$Q$73</f>
        <v>#DIV/0!</v>
      </c>
      <c r="AD26" s="199" t="e">
        <f>0.01*$Q$74</f>
        <v>#DIV/0!</v>
      </c>
      <c r="AE26" s="199" t="e">
        <f>0.01*$Q$75</f>
        <v>#DIV/0!</v>
      </c>
      <c r="AF26" s="199" t="e">
        <f>0.01*$Q$76</f>
        <v>#DIV/0!</v>
      </c>
      <c r="AG26" s="199" t="e">
        <f>0.01*$Q$77</f>
        <v>#DIV/0!</v>
      </c>
      <c r="AH26" s="199" t="e">
        <f>0.01*$Q$78</f>
        <v>#DIV/0!</v>
      </c>
      <c r="AI26" s="199" t="e">
        <f>0.01*$Q$79</f>
        <v>#DIV/0!</v>
      </c>
      <c r="AJ26" s="199" t="e">
        <f>0.01*$Q$80</f>
        <v>#DIV/0!</v>
      </c>
      <c r="AK26" s="199" t="e">
        <f>0.01*$Q$81</f>
        <v>#DIV/0!</v>
      </c>
      <c r="AL26" s="199" t="e">
        <f>0.01*$Q$82</f>
        <v>#DIV/0!</v>
      </c>
      <c r="AM26" s="199" t="e">
        <f>0.01*$Q$83</f>
        <v>#DIV/0!</v>
      </c>
      <c r="AN26" s="199" t="e">
        <f>0.01*$Q$84</f>
        <v>#DIV/0!</v>
      </c>
      <c r="AO26" s="199" t="e">
        <f>0.01*$Q$85</f>
        <v>#DIV/0!</v>
      </c>
      <c r="AP26" s="199" t="e">
        <f>0.01*$Q$86</f>
        <v>#DIV/0!</v>
      </c>
      <c r="AQ26" s="199" t="e">
        <f>0.01*$Q$87</f>
        <v>#DIV/0!</v>
      </c>
      <c r="AR26" s="199" t="e">
        <f>0.01*$Q$88</f>
        <v>#DIV/0!</v>
      </c>
      <c r="AS26" s="199" t="e">
        <f>0.01*$Q$90</f>
        <v>#DIV/0!</v>
      </c>
      <c r="AT26" s="199" t="e">
        <f>0.01*$Q$91</f>
        <v>#DIV/0!</v>
      </c>
      <c r="AU26" s="199" t="e">
        <f>0.01*$Q$92</f>
        <v>#DIV/0!</v>
      </c>
      <c r="AV26" s="199" t="e">
        <f>0.01*$Q$93</f>
        <v>#DIV/0!</v>
      </c>
      <c r="AW26" s="199" t="e">
        <f>0.01*$Q$94</f>
        <v>#DIV/0!</v>
      </c>
      <c r="AX26" s="173"/>
      <c r="AY26" s="173"/>
      <c r="AZ26" s="173"/>
      <c r="BA26" s="173"/>
      <c r="BB26" s="173"/>
      <c r="BC26" s="173"/>
      <c r="BD26" s="173"/>
      <c r="BE26" s="173"/>
      <c r="BF26" s="173"/>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row>
    <row r="27" spans="1:88">
      <c r="A27">
        <v>2021</v>
      </c>
      <c r="B27" t="s">
        <v>5</v>
      </c>
      <c r="C27" s="199" t="e">
        <f>0.01*$R$47</f>
        <v>#DIV/0!</v>
      </c>
      <c r="D27" s="199" t="e">
        <f>0.01*$R$48</f>
        <v>#DIV/0!</v>
      </c>
      <c r="E27" s="199" t="e">
        <f>0.01*$R$49</f>
        <v>#DIV/0!</v>
      </c>
      <c r="F27" s="199" t="e">
        <f>0.01*$R$50</f>
        <v>#DIV/0!</v>
      </c>
      <c r="G27" s="199" t="e">
        <f>0.01*$R$51</f>
        <v>#DIV/0!</v>
      </c>
      <c r="H27" s="199" t="e">
        <f>0.01*$R$52</f>
        <v>#DIV/0!</v>
      </c>
      <c r="I27" s="199" t="e">
        <f>0.01*$R$53</f>
        <v>#DIV/0!</v>
      </c>
      <c r="J27" s="199" t="e">
        <f>0.01*$R$54</f>
        <v>#DIV/0!</v>
      </c>
      <c r="K27" s="199" t="e">
        <f>0.01*$R$55</f>
        <v>#DIV/0!</v>
      </c>
      <c r="L27" s="199" t="e">
        <f>0.01*$R$56</f>
        <v>#DIV/0!</v>
      </c>
      <c r="M27" s="199" t="e">
        <f>0.01*$R$57</f>
        <v>#DIV/0!</v>
      </c>
      <c r="N27" s="199" t="e">
        <f>0.01*$R$58</f>
        <v>#DIV/0!</v>
      </c>
      <c r="O27" s="199" t="e">
        <f>0.01*$R$59</f>
        <v>#DIV/0!</v>
      </c>
      <c r="P27" s="199" t="e">
        <f>0.01*$R$60</f>
        <v>#DIV/0!</v>
      </c>
      <c r="Q27" s="199" t="e">
        <f>0.01*$R$61</f>
        <v>#DIV/0!</v>
      </c>
      <c r="R27" s="199" t="e">
        <f>0.01*$R$62</f>
        <v>#DIV/0!</v>
      </c>
      <c r="S27" s="199" t="e">
        <f>0.01*$R$63</f>
        <v>#DIV/0!</v>
      </c>
      <c r="T27" s="199" t="e">
        <f>0.01*$R$64</f>
        <v>#DIV/0!</v>
      </c>
      <c r="U27" s="199" t="e">
        <f>0.01*$R$65</f>
        <v>#DIV/0!</v>
      </c>
      <c r="V27" s="199" t="e">
        <f>0.01*$R$66</f>
        <v>#DIV/0!</v>
      </c>
      <c r="W27" s="199" t="e">
        <f>0.01*$R$67</f>
        <v>#DIV/0!</v>
      </c>
      <c r="X27" s="199" t="e">
        <f>0.01*$R$68</f>
        <v>#DIV/0!</v>
      </c>
      <c r="Y27" s="199" t="e">
        <f>0.01*$R$69</f>
        <v>#DIV/0!</v>
      </c>
      <c r="Z27" s="199" t="e">
        <f>0.01*$R$70</f>
        <v>#DIV/0!</v>
      </c>
      <c r="AA27" s="199" t="e">
        <f>0.01*$R$71</f>
        <v>#DIV/0!</v>
      </c>
      <c r="AB27" s="199" t="e">
        <f>0.01*$R$72</f>
        <v>#DIV/0!</v>
      </c>
      <c r="AC27" s="199" t="e">
        <f>0.01*$R$73</f>
        <v>#DIV/0!</v>
      </c>
      <c r="AD27" s="199" t="e">
        <f>0.01*$R$74</f>
        <v>#DIV/0!</v>
      </c>
      <c r="AE27" s="199" t="e">
        <f>0.01*$R$75</f>
        <v>#DIV/0!</v>
      </c>
      <c r="AF27" s="199" t="e">
        <f>0.01*$R$76</f>
        <v>#DIV/0!</v>
      </c>
      <c r="AG27" s="199" t="e">
        <f>0.01*$R$77</f>
        <v>#DIV/0!</v>
      </c>
      <c r="AH27" s="199" t="e">
        <f>0.01*$R$78</f>
        <v>#DIV/0!</v>
      </c>
      <c r="AI27" s="199" t="e">
        <f>0.01*$R$79</f>
        <v>#DIV/0!</v>
      </c>
      <c r="AJ27" s="199" t="e">
        <f>0.01*$R$80</f>
        <v>#DIV/0!</v>
      </c>
      <c r="AK27" s="199" t="e">
        <f>0.01*$R$81</f>
        <v>#DIV/0!</v>
      </c>
      <c r="AL27" s="199" t="e">
        <f>0.01*$R$82</f>
        <v>#DIV/0!</v>
      </c>
      <c r="AM27" s="199" t="e">
        <f>0.01*$R$83</f>
        <v>#DIV/0!</v>
      </c>
      <c r="AN27" s="199" t="e">
        <f>0.01*$R$84</f>
        <v>#DIV/0!</v>
      </c>
      <c r="AO27" s="199" t="e">
        <f>0.01*$R$85</f>
        <v>#DIV/0!</v>
      </c>
      <c r="AP27" s="199" t="e">
        <f>0.01*$R$86</f>
        <v>#DIV/0!</v>
      </c>
      <c r="AQ27" s="199" t="e">
        <f>0.01*$R$87</f>
        <v>#DIV/0!</v>
      </c>
      <c r="AR27" s="199" t="e">
        <f>0.01*$R$88</f>
        <v>#DIV/0!</v>
      </c>
      <c r="AS27" s="199" t="e">
        <f>0.01*$R$90</f>
        <v>#DIV/0!</v>
      </c>
      <c r="AT27" s="199" t="e">
        <f>0.01*$R$91</f>
        <v>#DIV/0!</v>
      </c>
      <c r="AU27" s="199" t="e">
        <f>0.01*$R$92</f>
        <v>#DIV/0!</v>
      </c>
      <c r="AV27" s="199" t="e">
        <f>0.01*$R$93</f>
        <v>#DIV/0!</v>
      </c>
      <c r="AW27" s="199" t="e">
        <f>0.01*$R$94</f>
        <v>#DIV/0!</v>
      </c>
      <c r="AX27" s="173"/>
      <c r="AY27" s="173"/>
      <c r="AZ27" s="173"/>
      <c r="BA27" s="173"/>
      <c r="BB27" s="173"/>
      <c r="BC27" s="173"/>
      <c r="BD27" s="173"/>
      <c r="BE27" s="173"/>
      <c r="BF27" s="173"/>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row>
    <row r="28" spans="1:88">
      <c r="A28" s="2">
        <v>2021</v>
      </c>
      <c r="B28" t="s">
        <v>6</v>
      </c>
      <c r="C28" s="199" t="e">
        <f>$S$47</f>
        <v>#DIV/0!</v>
      </c>
      <c r="D28" s="199" t="e">
        <f>$S$48</f>
        <v>#DIV/0!</v>
      </c>
      <c r="E28" s="199" t="e">
        <f>$S$49</f>
        <v>#DIV/0!</v>
      </c>
      <c r="F28" s="199" t="e">
        <f>$S$50</f>
        <v>#DIV/0!</v>
      </c>
      <c r="G28" s="199" t="e">
        <f>$S$51</f>
        <v>#DIV/0!</v>
      </c>
      <c r="H28" s="199" t="e">
        <f>$S$52</f>
        <v>#DIV/0!</v>
      </c>
      <c r="I28" s="199" t="e">
        <f>$S$53</f>
        <v>#DIV/0!</v>
      </c>
      <c r="J28" s="199" t="e">
        <f>$S$54</f>
        <v>#DIV/0!</v>
      </c>
      <c r="K28" s="199" t="e">
        <f>$S$55</f>
        <v>#DIV/0!</v>
      </c>
      <c r="L28" s="199" t="e">
        <f>$S$56</f>
        <v>#DIV/0!</v>
      </c>
      <c r="M28" s="199" t="e">
        <f>$S$57</f>
        <v>#DIV/0!</v>
      </c>
      <c r="N28" s="199" t="e">
        <f>$S$58</f>
        <v>#DIV/0!</v>
      </c>
      <c r="O28" s="199" t="e">
        <f>$S$59</f>
        <v>#DIV/0!</v>
      </c>
      <c r="P28" s="199" t="e">
        <f>$S$60</f>
        <v>#DIV/0!</v>
      </c>
      <c r="Q28" s="199" t="e">
        <f>$S$61</f>
        <v>#DIV/0!</v>
      </c>
      <c r="R28" s="199" t="e">
        <f>$S$62</f>
        <v>#DIV/0!</v>
      </c>
      <c r="S28" s="199" t="e">
        <f>$S$63</f>
        <v>#DIV/0!</v>
      </c>
      <c r="T28" s="199" t="e">
        <f>$S$64</f>
        <v>#DIV/0!</v>
      </c>
      <c r="U28" s="199" t="e">
        <f>$S$65</f>
        <v>#DIV/0!</v>
      </c>
      <c r="V28" s="199" t="e">
        <f>$S$66</f>
        <v>#DIV/0!</v>
      </c>
      <c r="W28" s="199" t="e">
        <f>$S$67</f>
        <v>#DIV/0!</v>
      </c>
      <c r="X28" s="199" t="e">
        <f>$S$68</f>
        <v>#DIV/0!</v>
      </c>
      <c r="Y28" s="199" t="e">
        <f>$S$69</f>
        <v>#DIV/0!</v>
      </c>
      <c r="Z28" s="199" t="e">
        <f>$S$70</f>
        <v>#DIV/0!</v>
      </c>
      <c r="AA28" s="199" t="e">
        <f>$S$71</f>
        <v>#DIV/0!</v>
      </c>
      <c r="AB28" s="199" t="e">
        <f>$S$72</f>
        <v>#DIV/0!</v>
      </c>
      <c r="AC28" s="199" t="e">
        <f>$S$73</f>
        <v>#DIV/0!</v>
      </c>
      <c r="AD28" s="199" t="e">
        <f>$S$74</f>
        <v>#DIV/0!</v>
      </c>
      <c r="AE28" s="199" t="e">
        <f>$S$75</f>
        <v>#DIV/0!</v>
      </c>
      <c r="AF28" s="199" t="e">
        <f>$S$76</f>
        <v>#DIV/0!</v>
      </c>
      <c r="AG28" s="199" t="e">
        <f>$S$77</f>
        <v>#DIV/0!</v>
      </c>
      <c r="AH28" s="199" t="e">
        <f>$S$78</f>
        <v>#DIV/0!</v>
      </c>
      <c r="AI28" s="199" t="e">
        <f>$S$79</f>
        <v>#DIV/0!</v>
      </c>
      <c r="AJ28" s="199" t="e">
        <f>$S$80</f>
        <v>#DIV/0!</v>
      </c>
      <c r="AK28" s="199" t="e">
        <f>$S$81</f>
        <v>#DIV/0!</v>
      </c>
      <c r="AL28" s="199" t="e">
        <f>$S$82</f>
        <v>#DIV/0!</v>
      </c>
      <c r="AM28" s="199" t="e">
        <f>$S$83</f>
        <v>#DIV/0!</v>
      </c>
      <c r="AN28" s="199" t="e">
        <f>$S$84</f>
        <v>#DIV/0!</v>
      </c>
      <c r="AO28" s="199" t="e">
        <f>$S$85</f>
        <v>#DIV/0!</v>
      </c>
      <c r="AP28" s="199" t="e">
        <f>$S$86</f>
        <v>#DIV/0!</v>
      </c>
      <c r="AQ28" s="199" t="e">
        <f>$S$87</f>
        <v>#DIV/0!</v>
      </c>
      <c r="AR28" s="199" t="e">
        <f>$S$88</f>
        <v>#DIV/0!</v>
      </c>
      <c r="AS28" s="199" t="e">
        <f>$S$90</f>
        <v>#DIV/0!</v>
      </c>
      <c r="AT28" s="199" t="e">
        <f>$S$91</f>
        <v>#DIV/0!</v>
      </c>
      <c r="AU28" s="199" t="e">
        <f>$S$92</f>
        <v>#DIV/0!</v>
      </c>
      <c r="AV28" s="199" t="e">
        <f>$S$93</f>
        <v>#DIV/0!</v>
      </c>
      <c r="AW28" s="199" t="e">
        <f>$S$94</f>
        <v>#DIV/0!</v>
      </c>
      <c r="AX28" s="8"/>
      <c r="AY28" s="177"/>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row>
    <row r="29" spans="1:88">
      <c r="A29" s="2">
        <v>2021</v>
      </c>
      <c r="B29" t="s">
        <v>42</v>
      </c>
      <c r="C29" s="199" t="e">
        <f>$T$47</f>
        <v>#DIV/0!</v>
      </c>
      <c r="D29" s="199" t="e">
        <f>$T$48</f>
        <v>#DIV/0!</v>
      </c>
      <c r="E29" s="199" t="e">
        <f>$T$49</f>
        <v>#DIV/0!</v>
      </c>
      <c r="F29" s="199" t="e">
        <f>$T$50</f>
        <v>#DIV/0!</v>
      </c>
      <c r="G29" s="199" t="e">
        <f>$T$51</f>
        <v>#DIV/0!</v>
      </c>
      <c r="H29" s="199" t="e">
        <f>$T$52</f>
        <v>#DIV/0!</v>
      </c>
      <c r="I29" s="199" t="e">
        <f>$T$53</f>
        <v>#DIV/0!</v>
      </c>
      <c r="J29" s="199" t="e">
        <f>$T$54</f>
        <v>#DIV/0!</v>
      </c>
      <c r="K29" s="199" t="e">
        <f>$T$55</f>
        <v>#DIV/0!</v>
      </c>
      <c r="L29" s="199" t="e">
        <f>$T$56</f>
        <v>#DIV/0!</v>
      </c>
      <c r="M29" s="199" t="e">
        <f>$T$57</f>
        <v>#DIV/0!</v>
      </c>
      <c r="N29" s="199" t="e">
        <f>$T$58</f>
        <v>#DIV/0!</v>
      </c>
      <c r="O29" s="199" t="e">
        <f>$T$59</f>
        <v>#DIV/0!</v>
      </c>
      <c r="P29" s="199" t="e">
        <f>$T$60</f>
        <v>#DIV/0!</v>
      </c>
      <c r="Q29" s="199" t="e">
        <f>$T$61</f>
        <v>#DIV/0!</v>
      </c>
      <c r="R29" s="199" t="e">
        <f>$T$62</f>
        <v>#DIV/0!</v>
      </c>
      <c r="S29" s="199" t="e">
        <f>$T$63</f>
        <v>#DIV/0!</v>
      </c>
      <c r="T29" s="199" t="e">
        <f>$T$64</f>
        <v>#DIV/0!</v>
      </c>
      <c r="U29" s="199" t="e">
        <f>$T$65</f>
        <v>#DIV/0!</v>
      </c>
      <c r="V29" s="199" t="e">
        <f>$T$66</f>
        <v>#DIV/0!</v>
      </c>
      <c r="W29" s="199" t="e">
        <f>$T$67</f>
        <v>#DIV/0!</v>
      </c>
      <c r="X29" s="199" t="e">
        <f>$T$68</f>
        <v>#DIV/0!</v>
      </c>
      <c r="Y29" s="199" t="e">
        <f>$T$69</f>
        <v>#DIV/0!</v>
      </c>
      <c r="Z29" s="199" t="e">
        <f>$T$70</f>
        <v>#DIV/0!</v>
      </c>
      <c r="AA29" s="199" t="e">
        <f>$T$71</f>
        <v>#DIV/0!</v>
      </c>
      <c r="AB29" s="199" t="e">
        <f>$T$72</f>
        <v>#DIV/0!</v>
      </c>
      <c r="AC29" s="199" t="e">
        <f>$T$73</f>
        <v>#DIV/0!</v>
      </c>
      <c r="AD29" s="199" t="e">
        <f>$T$74</f>
        <v>#DIV/0!</v>
      </c>
      <c r="AE29" s="199" t="e">
        <f>$T$75</f>
        <v>#DIV/0!</v>
      </c>
      <c r="AF29" s="199" t="e">
        <f>$T$76</f>
        <v>#DIV/0!</v>
      </c>
      <c r="AG29" s="199" t="e">
        <f>$T$77</f>
        <v>#DIV/0!</v>
      </c>
      <c r="AH29" s="199" t="e">
        <f>$T$78</f>
        <v>#DIV/0!</v>
      </c>
      <c r="AI29" s="199" t="e">
        <f>$T$79</f>
        <v>#DIV/0!</v>
      </c>
      <c r="AJ29" s="199" t="e">
        <f>$T$80</f>
        <v>#DIV/0!</v>
      </c>
      <c r="AK29" s="199" t="e">
        <f>$T$81</f>
        <v>#DIV/0!</v>
      </c>
      <c r="AL29" s="199" t="e">
        <f>$T$82</f>
        <v>#DIV/0!</v>
      </c>
      <c r="AM29" s="199" t="e">
        <f>$T$83</f>
        <v>#DIV/0!</v>
      </c>
      <c r="AN29" s="199" t="e">
        <f>$T$84</f>
        <v>#DIV/0!</v>
      </c>
      <c r="AO29" s="199" t="e">
        <f>$T$85</f>
        <v>#DIV/0!</v>
      </c>
      <c r="AP29" s="199" t="e">
        <f>$T$86</f>
        <v>#DIV/0!</v>
      </c>
      <c r="AQ29" s="199" t="e">
        <f>$T$87</f>
        <v>#DIV/0!</v>
      </c>
      <c r="AR29" s="199" t="e">
        <f>$T$88</f>
        <v>#DIV/0!</v>
      </c>
      <c r="AS29" s="199" t="e">
        <f>$T$90</f>
        <v>#DIV/0!</v>
      </c>
      <c r="AT29" s="199" t="e">
        <f>$T$91</f>
        <v>#DIV/0!</v>
      </c>
      <c r="AU29" s="199" t="e">
        <f>$T$92</f>
        <v>#DIV/0!</v>
      </c>
      <c r="AV29" s="199" t="e">
        <f>$T$93</f>
        <v>#DIV/0!</v>
      </c>
      <c r="AW29" s="199" t="e">
        <f>$T$94</f>
        <v>#DIV/0!</v>
      </c>
      <c r="AX29" s="8"/>
      <c r="AY29" s="177"/>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row>
    <row r="30" spans="1:88">
      <c r="A30" s="2">
        <v>2022</v>
      </c>
      <c r="B30" t="s">
        <v>5</v>
      </c>
      <c r="C30" s="199" t="e">
        <f>$U$47</f>
        <v>#DIV/0!</v>
      </c>
      <c r="D30" s="199" t="e">
        <f>$U$48</f>
        <v>#DIV/0!</v>
      </c>
      <c r="E30" s="199" t="e">
        <f>$U$49</f>
        <v>#DIV/0!</v>
      </c>
      <c r="F30" s="199" t="e">
        <f>$U$50</f>
        <v>#DIV/0!</v>
      </c>
      <c r="G30" s="199" t="e">
        <f>$U$51</f>
        <v>#DIV/0!</v>
      </c>
      <c r="H30" s="199" t="e">
        <f>$U$52</f>
        <v>#DIV/0!</v>
      </c>
      <c r="I30" s="199" t="e">
        <f>$U$53</f>
        <v>#DIV/0!</v>
      </c>
      <c r="J30" s="199" t="e">
        <f>$U$54</f>
        <v>#DIV/0!</v>
      </c>
      <c r="K30" s="199" t="e">
        <f>$U$55</f>
        <v>#DIV/0!</v>
      </c>
      <c r="L30" s="199" t="e">
        <f>$U$56</f>
        <v>#DIV/0!</v>
      </c>
      <c r="M30" s="199" t="e">
        <f>$U$57</f>
        <v>#DIV/0!</v>
      </c>
      <c r="N30" s="199" t="e">
        <f>$U$58</f>
        <v>#DIV/0!</v>
      </c>
      <c r="O30" s="199" t="e">
        <f>$U$59</f>
        <v>#DIV/0!</v>
      </c>
      <c r="P30" s="199" t="e">
        <f>$U$60</f>
        <v>#DIV/0!</v>
      </c>
      <c r="Q30" s="199" t="e">
        <f>$U$61</f>
        <v>#DIV/0!</v>
      </c>
      <c r="R30" s="199" t="e">
        <f>$U$62</f>
        <v>#DIV/0!</v>
      </c>
      <c r="S30" s="199" t="e">
        <f>$U$63</f>
        <v>#DIV/0!</v>
      </c>
      <c r="T30" s="199" t="e">
        <f>$U$64</f>
        <v>#DIV/0!</v>
      </c>
      <c r="U30" s="199" t="e">
        <f>$U$65</f>
        <v>#DIV/0!</v>
      </c>
      <c r="V30" s="199" t="e">
        <f>$U$66</f>
        <v>#DIV/0!</v>
      </c>
      <c r="W30" s="199" t="e">
        <f>$U$67</f>
        <v>#DIV/0!</v>
      </c>
      <c r="X30" s="199" t="e">
        <f>$U$68</f>
        <v>#DIV/0!</v>
      </c>
      <c r="Y30" s="199" t="e">
        <f>$U$69</f>
        <v>#DIV/0!</v>
      </c>
      <c r="Z30" s="199" t="e">
        <f>$U$70</f>
        <v>#DIV/0!</v>
      </c>
      <c r="AA30" s="199" t="e">
        <f>$U$71</f>
        <v>#DIV/0!</v>
      </c>
      <c r="AB30" s="199" t="e">
        <f>$U$72</f>
        <v>#DIV/0!</v>
      </c>
      <c r="AC30" s="199" t="e">
        <f>$U$73</f>
        <v>#DIV/0!</v>
      </c>
      <c r="AD30" s="199" t="e">
        <f>$U$74</f>
        <v>#DIV/0!</v>
      </c>
      <c r="AE30" s="199" t="e">
        <f>$U$75</f>
        <v>#DIV/0!</v>
      </c>
      <c r="AF30" s="199" t="e">
        <f>$U$76</f>
        <v>#DIV/0!</v>
      </c>
      <c r="AG30" s="199" t="e">
        <f>$U$77</f>
        <v>#DIV/0!</v>
      </c>
      <c r="AH30" s="199" t="e">
        <f>$U$78</f>
        <v>#DIV/0!</v>
      </c>
      <c r="AI30" s="199" t="e">
        <f>$U$79</f>
        <v>#DIV/0!</v>
      </c>
      <c r="AJ30" s="199" t="e">
        <f>$U$80</f>
        <v>#DIV/0!</v>
      </c>
      <c r="AK30" s="199" t="e">
        <f>$U$81</f>
        <v>#DIV/0!</v>
      </c>
      <c r="AL30" s="199" t="e">
        <f>$U$82</f>
        <v>#DIV/0!</v>
      </c>
      <c r="AM30" s="199" t="e">
        <f>$U$83</f>
        <v>#DIV/0!</v>
      </c>
      <c r="AN30" s="199" t="e">
        <f>$U$84</f>
        <v>#DIV/0!</v>
      </c>
      <c r="AO30" s="199" t="e">
        <f>$U$85</f>
        <v>#DIV/0!</v>
      </c>
      <c r="AP30" s="199" t="e">
        <f>$U$86</f>
        <v>#DIV/0!</v>
      </c>
      <c r="AQ30" s="199" t="e">
        <f>$U$87</f>
        <v>#DIV/0!</v>
      </c>
      <c r="AR30" s="199" t="e">
        <f>$U$88</f>
        <v>#DIV/0!</v>
      </c>
      <c r="AS30" s="199" t="e">
        <f>$U$90</f>
        <v>#DIV/0!</v>
      </c>
      <c r="AT30" s="199" t="e">
        <f>$U$91</f>
        <v>#DIV/0!</v>
      </c>
      <c r="AU30" s="199" t="e">
        <f>$U$92</f>
        <v>#DIV/0!</v>
      </c>
      <c r="AV30" s="199" t="e">
        <f>$U$93</f>
        <v>#DIV/0!</v>
      </c>
      <c r="AW30" s="199" t="e">
        <f>$U$94</f>
        <v>#DIV/0!</v>
      </c>
      <c r="AX30" s="8"/>
      <c r="AY30" s="177"/>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row>
    <row r="31" spans="1:88">
      <c r="A31" s="2">
        <v>2022</v>
      </c>
      <c r="B31" t="s">
        <v>6</v>
      </c>
      <c r="C31" s="199" t="e">
        <f>$V$47</f>
        <v>#DIV/0!</v>
      </c>
      <c r="D31" s="199" t="e">
        <f>$V$48</f>
        <v>#DIV/0!</v>
      </c>
      <c r="E31" s="199" t="e">
        <f>$V$49</f>
        <v>#DIV/0!</v>
      </c>
      <c r="F31" s="199" t="e">
        <f>$V$50</f>
        <v>#DIV/0!</v>
      </c>
      <c r="G31" s="199" t="e">
        <f>$V$51</f>
        <v>#DIV/0!</v>
      </c>
      <c r="H31" s="199" t="e">
        <f>$V$52</f>
        <v>#DIV/0!</v>
      </c>
      <c r="I31" s="199" t="e">
        <f>$V$53</f>
        <v>#DIV/0!</v>
      </c>
      <c r="J31" s="199" t="e">
        <f>$V$54</f>
        <v>#DIV/0!</v>
      </c>
      <c r="K31" s="199" t="e">
        <f>$V$55</f>
        <v>#DIV/0!</v>
      </c>
      <c r="L31" s="199" t="e">
        <f>$V$56</f>
        <v>#DIV/0!</v>
      </c>
      <c r="M31" s="199" t="e">
        <f>$V$57</f>
        <v>#DIV/0!</v>
      </c>
      <c r="N31" s="199" t="e">
        <f>$V$58</f>
        <v>#DIV/0!</v>
      </c>
      <c r="O31" s="199" t="e">
        <f>$V$59</f>
        <v>#DIV/0!</v>
      </c>
      <c r="P31" s="199" t="e">
        <f>$V$60</f>
        <v>#DIV/0!</v>
      </c>
      <c r="Q31" s="199" t="e">
        <f>$V$61</f>
        <v>#DIV/0!</v>
      </c>
      <c r="R31" s="199" t="e">
        <f>$V$62</f>
        <v>#DIV/0!</v>
      </c>
      <c r="S31" s="199" t="e">
        <f>$V$63</f>
        <v>#DIV/0!</v>
      </c>
      <c r="T31" s="199" t="e">
        <f>$V$64</f>
        <v>#DIV/0!</v>
      </c>
      <c r="U31" s="199" t="e">
        <f>$V$65</f>
        <v>#DIV/0!</v>
      </c>
      <c r="V31" s="199" t="e">
        <f>$V$66</f>
        <v>#DIV/0!</v>
      </c>
      <c r="W31" s="199" t="e">
        <f>$V$67</f>
        <v>#DIV/0!</v>
      </c>
      <c r="X31" s="199" t="e">
        <f>$V$68</f>
        <v>#DIV/0!</v>
      </c>
      <c r="Y31" s="199" t="e">
        <f>$V$69</f>
        <v>#DIV/0!</v>
      </c>
      <c r="Z31" s="199" t="e">
        <f>$V$70</f>
        <v>#DIV/0!</v>
      </c>
      <c r="AA31" s="199" t="e">
        <f>$V$71</f>
        <v>#DIV/0!</v>
      </c>
      <c r="AB31" s="199" t="e">
        <f>$V$72</f>
        <v>#DIV/0!</v>
      </c>
      <c r="AC31" s="199" t="e">
        <f>$V$73</f>
        <v>#DIV/0!</v>
      </c>
      <c r="AD31" s="199" t="e">
        <f>$V$74</f>
        <v>#DIV/0!</v>
      </c>
      <c r="AE31" s="199" t="e">
        <f>$V$75</f>
        <v>#DIV/0!</v>
      </c>
      <c r="AF31" s="199" t="e">
        <f>$V$76</f>
        <v>#DIV/0!</v>
      </c>
      <c r="AG31" s="199" t="e">
        <f>$V$77</f>
        <v>#DIV/0!</v>
      </c>
      <c r="AH31" s="199" t="e">
        <f>$V$78</f>
        <v>#DIV/0!</v>
      </c>
      <c r="AI31" s="199" t="e">
        <f>$V$79</f>
        <v>#DIV/0!</v>
      </c>
      <c r="AJ31" s="199" t="e">
        <f>$V$80</f>
        <v>#DIV/0!</v>
      </c>
      <c r="AK31" s="199" t="e">
        <f>$V$81</f>
        <v>#DIV/0!</v>
      </c>
      <c r="AL31" s="199" t="e">
        <f>$V$82</f>
        <v>#DIV/0!</v>
      </c>
      <c r="AM31" s="199" t="e">
        <f>$V$83</f>
        <v>#DIV/0!</v>
      </c>
      <c r="AN31" s="199" t="e">
        <f>$V$84</f>
        <v>#DIV/0!</v>
      </c>
      <c r="AO31" s="199" t="e">
        <f>$V$85</f>
        <v>#DIV/0!</v>
      </c>
      <c r="AP31" s="199" t="e">
        <f>$V$86</f>
        <v>#DIV/0!</v>
      </c>
      <c r="AQ31" s="199" t="e">
        <f>$V$87</f>
        <v>#DIV/0!</v>
      </c>
      <c r="AR31" s="199" t="e">
        <f>$V$88</f>
        <v>#DIV/0!</v>
      </c>
      <c r="AS31" s="199" t="e">
        <f>$V$90</f>
        <v>#DIV/0!</v>
      </c>
      <c r="AT31" s="199" t="e">
        <f>$V$91</f>
        <v>#DIV/0!</v>
      </c>
      <c r="AU31" s="199" t="e">
        <f>$V$92</f>
        <v>#DIV/0!</v>
      </c>
      <c r="AV31" s="199" t="e">
        <f>$V$93</f>
        <v>#DIV/0!</v>
      </c>
      <c r="AW31" s="199" t="e">
        <f>$V$94</f>
        <v>#DIV/0!</v>
      </c>
      <c r="AX31" s="8"/>
      <c r="AY31" s="177"/>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row>
    <row r="32" spans="1:88">
      <c r="A32" s="2">
        <v>2022</v>
      </c>
      <c r="B32" t="s">
        <v>42</v>
      </c>
      <c r="C32" s="199" t="e">
        <f>$W$47</f>
        <v>#DIV/0!</v>
      </c>
      <c r="D32" s="199" t="e">
        <f>$W$48</f>
        <v>#DIV/0!</v>
      </c>
      <c r="E32" s="199" t="e">
        <f>$W$49</f>
        <v>#DIV/0!</v>
      </c>
      <c r="F32" s="199" t="e">
        <f>$W$50</f>
        <v>#DIV/0!</v>
      </c>
      <c r="G32" s="199" t="e">
        <f>$W$51</f>
        <v>#DIV/0!</v>
      </c>
      <c r="H32" s="199" t="e">
        <f>$W$52</f>
        <v>#DIV/0!</v>
      </c>
      <c r="I32" s="199" t="e">
        <f>$W$53</f>
        <v>#DIV/0!</v>
      </c>
      <c r="J32" s="199" t="e">
        <f>$W$54</f>
        <v>#DIV/0!</v>
      </c>
      <c r="K32" s="199" t="e">
        <f>$W$55</f>
        <v>#DIV/0!</v>
      </c>
      <c r="L32" s="199" t="e">
        <f>$W$56</f>
        <v>#DIV/0!</v>
      </c>
      <c r="M32" s="199" t="e">
        <f>$W$57</f>
        <v>#DIV/0!</v>
      </c>
      <c r="N32" s="199" t="e">
        <f>$W$58</f>
        <v>#DIV/0!</v>
      </c>
      <c r="O32" s="199" t="e">
        <f>$W$59</f>
        <v>#DIV/0!</v>
      </c>
      <c r="P32" s="199" t="e">
        <f>$W$60</f>
        <v>#DIV/0!</v>
      </c>
      <c r="Q32" s="199" t="e">
        <f>$W$61</f>
        <v>#DIV/0!</v>
      </c>
      <c r="R32" s="199" t="e">
        <f>$W$62</f>
        <v>#DIV/0!</v>
      </c>
      <c r="S32" s="199" t="e">
        <f>$W$63</f>
        <v>#DIV/0!</v>
      </c>
      <c r="T32" s="199" t="e">
        <f>$W$64</f>
        <v>#DIV/0!</v>
      </c>
      <c r="U32" s="199" t="e">
        <f>$W$65</f>
        <v>#DIV/0!</v>
      </c>
      <c r="V32" s="199" t="e">
        <f>$W$66</f>
        <v>#DIV/0!</v>
      </c>
      <c r="W32" s="199" t="e">
        <f>$W$67</f>
        <v>#DIV/0!</v>
      </c>
      <c r="X32" s="199" t="e">
        <f>$W$68</f>
        <v>#DIV/0!</v>
      </c>
      <c r="Y32" s="199" t="e">
        <f>$W$69</f>
        <v>#DIV/0!</v>
      </c>
      <c r="Z32" s="199" t="e">
        <f>$W$70</f>
        <v>#DIV/0!</v>
      </c>
      <c r="AA32" s="199" t="e">
        <f>$W$71</f>
        <v>#DIV/0!</v>
      </c>
      <c r="AB32" s="199" t="e">
        <f>$W$72</f>
        <v>#DIV/0!</v>
      </c>
      <c r="AC32" s="199" t="e">
        <f>$W$73</f>
        <v>#DIV/0!</v>
      </c>
      <c r="AD32" s="199" t="e">
        <f>$W$74</f>
        <v>#DIV/0!</v>
      </c>
      <c r="AE32" s="199" t="e">
        <f>$W$75</f>
        <v>#DIV/0!</v>
      </c>
      <c r="AF32" s="199" t="e">
        <f>$W$76</f>
        <v>#DIV/0!</v>
      </c>
      <c r="AG32" s="199" t="e">
        <f>$W$77</f>
        <v>#DIV/0!</v>
      </c>
      <c r="AH32" s="199" t="e">
        <f>$W$78</f>
        <v>#DIV/0!</v>
      </c>
      <c r="AI32" s="199" t="e">
        <f>$W$79</f>
        <v>#DIV/0!</v>
      </c>
      <c r="AJ32" s="199" t="e">
        <f>$W$80</f>
        <v>#DIV/0!</v>
      </c>
      <c r="AK32" s="199" t="e">
        <f>$W$81</f>
        <v>#DIV/0!</v>
      </c>
      <c r="AL32" s="199" t="e">
        <f>$W$82</f>
        <v>#DIV/0!</v>
      </c>
      <c r="AM32" s="199" t="e">
        <f>$W$83</f>
        <v>#DIV/0!</v>
      </c>
      <c r="AN32" s="199" t="e">
        <f>$W$84</f>
        <v>#DIV/0!</v>
      </c>
      <c r="AO32" s="199" t="e">
        <f>$W$85</f>
        <v>#DIV/0!</v>
      </c>
      <c r="AP32" s="199" t="e">
        <f>$W$86</f>
        <v>#DIV/0!</v>
      </c>
      <c r="AQ32" s="199" t="e">
        <f>$W$87</f>
        <v>#DIV/0!</v>
      </c>
      <c r="AR32" s="199" t="e">
        <f>$W$88</f>
        <v>#DIV/0!</v>
      </c>
      <c r="AS32" s="199" t="e">
        <f>$W$90</f>
        <v>#DIV/0!</v>
      </c>
      <c r="AT32" s="199" t="e">
        <f>$W$91</f>
        <v>#DIV/0!</v>
      </c>
      <c r="AU32" s="199" t="e">
        <f>$W$92</f>
        <v>#DIV/0!</v>
      </c>
      <c r="AV32" s="199" t="e">
        <f>$W$93</f>
        <v>#DIV/0!</v>
      </c>
      <c r="AW32" s="199" t="e">
        <f>$W$94</f>
        <v>#DIV/0!</v>
      </c>
      <c r="AY32" s="2"/>
    </row>
    <row r="33" spans="1:66">
      <c r="A33" s="2">
        <v>2023</v>
      </c>
      <c r="B33" t="s">
        <v>5</v>
      </c>
      <c r="C33" s="199" t="e">
        <f>$X$47</f>
        <v>#DIV/0!</v>
      </c>
      <c r="D33" s="199" t="e">
        <f>$X$48</f>
        <v>#DIV/0!</v>
      </c>
      <c r="E33" s="199" t="e">
        <f>$X$49</f>
        <v>#DIV/0!</v>
      </c>
      <c r="F33" s="199" t="e">
        <f>$X$50</f>
        <v>#DIV/0!</v>
      </c>
      <c r="G33" s="199" t="e">
        <f>$X$51</f>
        <v>#DIV/0!</v>
      </c>
      <c r="H33" s="199" t="e">
        <f>$X$52</f>
        <v>#DIV/0!</v>
      </c>
      <c r="I33" s="199" t="e">
        <f>$X$53</f>
        <v>#DIV/0!</v>
      </c>
      <c r="J33" s="199" t="e">
        <f>$X$54</f>
        <v>#DIV/0!</v>
      </c>
      <c r="K33" s="199" t="e">
        <f>$X$55</f>
        <v>#DIV/0!</v>
      </c>
      <c r="L33" s="199" t="e">
        <f>$X$56</f>
        <v>#DIV/0!</v>
      </c>
      <c r="M33" s="199" t="e">
        <f>$X$57</f>
        <v>#DIV/0!</v>
      </c>
      <c r="N33" s="199" t="e">
        <f>$X$58</f>
        <v>#DIV/0!</v>
      </c>
      <c r="O33" s="199" t="e">
        <f>$X$59</f>
        <v>#DIV/0!</v>
      </c>
      <c r="P33" s="199" t="e">
        <f>$X$60</f>
        <v>#DIV/0!</v>
      </c>
      <c r="Q33" s="199" t="e">
        <f>$X$61</f>
        <v>#DIV/0!</v>
      </c>
      <c r="R33" s="199" t="e">
        <f>$X$62</f>
        <v>#DIV/0!</v>
      </c>
      <c r="S33" s="199" t="e">
        <f>$X$63</f>
        <v>#DIV/0!</v>
      </c>
      <c r="T33" s="199" t="e">
        <f>$X$64</f>
        <v>#DIV/0!</v>
      </c>
      <c r="U33" s="199" t="e">
        <f>$X$65</f>
        <v>#DIV/0!</v>
      </c>
      <c r="V33" s="199" t="e">
        <f>$X$66</f>
        <v>#DIV/0!</v>
      </c>
      <c r="W33" s="199" t="e">
        <f>$X$67</f>
        <v>#DIV/0!</v>
      </c>
      <c r="X33" s="199" t="e">
        <f>$X$68</f>
        <v>#DIV/0!</v>
      </c>
      <c r="Y33" s="199" t="e">
        <f>$X$69</f>
        <v>#DIV/0!</v>
      </c>
      <c r="Z33" s="199" t="e">
        <f>$X$70</f>
        <v>#DIV/0!</v>
      </c>
      <c r="AA33" s="199" t="e">
        <f>$X$71</f>
        <v>#DIV/0!</v>
      </c>
      <c r="AB33" s="199" t="e">
        <f>$X$72</f>
        <v>#DIV/0!</v>
      </c>
      <c r="AC33" s="199" t="e">
        <f>$X$73</f>
        <v>#DIV/0!</v>
      </c>
      <c r="AD33" s="199" t="e">
        <f>$X$74</f>
        <v>#DIV/0!</v>
      </c>
      <c r="AE33" s="199" t="e">
        <f>$X$75</f>
        <v>#DIV/0!</v>
      </c>
      <c r="AF33" s="199" t="e">
        <f>$X$76</f>
        <v>#DIV/0!</v>
      </c>
      <c r="AG33" s="199" t="e">
        <f>$X$77</f>
        <v>#DIV/0!</v>
      </c>
      <c r="AH33" s="199" t="e">
        <f>$X$78</f>
        <v>#DIV/0!</v>
      </c>
      <c r="AI33" s="199" t="e">
        <f>$X$79</f>
        <v>#DIV/0!</v>
      </c>
      <c r="AJ33" s="199" t="e">
        <f>$X$80</f>
        <v>#DIV/0!</v>
      </c>
      <c r="AK33" s="199" t="e">
        <f>$X$81</f>
        <v>#DIV/0!</v>
      </c>
      <c r="AL33" s="199" t="e">
        <f>$X$82</f>
        <v>#DIV/0!</v>
      </c>
      <c r="AM33" s="199" t="e">
        <f>$X$83</f>
        <v>#DIV/0!</v>
      </c>
      <c r="AN33" s="199" t="e">
        <f>$X$84</f>
        <v>#DIV/0!</v>
      </c>
      <c r="AO33" s="199" t="e">
        <f>$X$85</f>
        <v>#DIV/0!</v>
      </c>
      <c r="AP33" s="199" t="e">
        <f>$X$86</f>
        <v>#DIV/0!</v>
      </c>
      <c r="AQ33" s="199" t="e">
        <f>$X$87</f>
        <v>#DIV/0!</v>
      </c>
      <c r="AR33" s="199" t="e">
        <f>$X$88</f>
        <v>#DIV/0!</v>
      </c>
      <c r="AS33" s="199" t="e">
        <f>$X$90</f>
        <v>#DIV/0!</v>
      </c>
      <c r="AT33" s="199" t="e">
        <f>$X$91</f>
        <v>#DIV/0!</v>
      </c>
      <c r="AU33" s="199" t="e">
        <f>$X$92</f>
        <v>#DIV/0!</v>
      </c>
      <c r="AV33" s="199" t="e">
        <f>$X$93</f>
        <v>#DIV/0!</v>
      </c>
      <c r="AW33" s="199" t="e">
        <f>$X$94</f>
        <v>#DIV/0!</v>
      </c>
      <c r="AY33" s="2"/>
    </row>
    <row r="34" spans="1:66">
      <c r="A34" s="2">
        <v>2023</v>
      </c>
      <c r="B34" t="s">
        <v>6</v>
      </c>
      <c r="C34" s="199" t="e">
        <f>$Y$47</f>
        <v>#DIV/0!</v>
      </c>
      <c r="D34" s="199" t="e">
        <f>$Y$48</f>
        <v>#DIV/0!</v>
      </c>
      <c r="E34" s="199" t="e">
        <f>$Y$49</f>
        <v>#DIV/0!</v>
      </c>
      <c r="F34" s="199" t="e">
        <f>$Y$50</f>
        <v>#DIV/0!</v>
      </c>
      <c r="G34" s="199" t="e">
        <f>$Y$51</f>
        <v>#DIV/0!</v>
      </c>
      <c r="H34" s="199" t="e">
        <f>$Y$52</f>
        <v>#DIV/0!</v>
      </c>
      <c r="I34" s="199" t="e">
        <f>$Y$53</f>
        <v>#DIV/0!</v>
      </c>
      <c r="J34" s="199" t="e">
        <f>$Y$54</f>
        <v>#DIV/0!</v>
      </c>
      <c r="K34" s="199" t="e">
        <f>$Y$55</f>
        <v>#DIV/0!</v>
      </c>
      <c r="L34" s="199" t="e">
        <f>$Y$56</f>
        <v>#DIV/0!</v>
      </c>
      <c r="M34" s="199" t="e">
        <f>$Y$57</f>
        <v>#DIV/0!</v>
      </c>
      <c r="N34" s="199" t="e">
        <f>$Y$58</f>
        <v>#DIV/0!</v>
      </c>
      <c r="O34" s="199" t="e">
        <f>$Y$59</f>
        <v>#DIV/0!</v>
      </c>
      <c r="P34" s="199" t="e">
        <f>$Y$60</f>
        <v>#DIV/0!</v>
      </c>
      <c r="Q34" s="199" t="e">
        <f>$Y$61</f>
        <v>#DIV/0!</v>
      </c>
      <c r="R34" s="199" t="e">
        <f>$Y$62</f>
        <v>#DIV/0!</v>
      </c>
      <c r="S34" s="199" t="e">
        <f>$Y$63</f>
        <v>#DIV/0!</v>
      </c>
      <c r="T34" s="199" t="e">
        <f>$Y$64</f>
        <v>#DIV/0!</v>
      </c>
      <c r="U34" s="199" t="e">
        <f>$Y$65</f>
        <v>#DIV/0!</v>
      </c>
      <c r="V34" s="199" t="e">
        <f>$Y$66</f>
        <v>#DIV/0!</v>
      </c>
      <c r="W34" s="199" t="e">
        <f>$Y$67</f>
        <v>#DIV/0!</v>
      </c>
      <c r="X34" s="199" t="e">
        <f>$Y$68</f>
        <v>#DIV/0!</v>
      </c>
      <c r="Y34" s="199" t="e">
        <f>$Y$69</f>
        <v>#DIV/0!</v>
      </c>
      <c r="Z34" s="199" t="e">
        <f>$Y$70</f>
        <v>#DIV/0!</v>
      </c>
      <c r="AA34" s="199" t="e">
        <f>$Y$71</f>
        <v>#DIV/0!</v>
      </c>
      <c r="AB34" s="199" t="e">
        <f>$Y$72</f>
        <v>#DIV/0!</v>
      </c>
      <c r="AC34" s="199" t="e">
        <f>$Y$73</f>
        <v>#DIV/0!</v>
      </c>
      <c r="AD34" s="199" t="e">
        <f>$Y$74</f>
        <v>#DIV/0!</v>
      </c>
      <c r="AE34" s="199" t="e">
        <f>$Y$75</f>
        <v>#DIV/0!</v>
      </c>
      <c r="AF34" s="199" t="e">
        <f>$Y$76</f>
        <v>#DIV/0!</v>
      </c>
      <c r="AG34" s="199" t="e">
        <f>$Y$77</f>
        <v>#DIV/0!</v>
      </c>
      <c r="AH34" s="199" t="e">
        <f>$Y$78</f>
        <v>#DIV/0!</v>
      </c>
      <c r="AI34" s="199" t="e">
        <f>$Y$79</f>
        <v>#DIV/0!</v>
      </c>
      <c r="AJ34" s="199" t="e">
        <f>$Y$80</f>
        <v>#DIV/0!</v>
      </c>
      <c r="AK34" s="199" t="e">
        <f>$Y$81</f>
        <v>#DIV/0!</v>
      </c>
      <c r="AL34" s="199" t="e">
        <f>$Y$82</f>
        <v>#DIV/0!</v>
      </c>
      <c r="AM34" s="199" t="e">
        <f>$Y$83</f>
        <v>#DIV/0!</v>
      </c>
      <c r="AN34" s="199" t="e">
        <f>$Y$84</f>
        <v>#DIV/0!</v>
      </c>
      <c r="AO34" s="199" t="e">
        <f>$Y$85</f>
        <v>#DIV/0!</v>
      </c>
      <c r="AP34" s="199" t="e">
        <f>$Y$86</f>
        <v>#DIV/0!</v>
      </c>
      <c r="AQ34" s="199" t="e">
        <f>$Y$87</f>
        <v>#DIV/0!</v>
      </c>
      <c r="AR34" s="199" t="e">
        <f>$Y$88</f>
        <v>#DIV/0!</v>
      </c>
      <c r="AS34" s="199" t="e">
        <f>$Y$90</f>
        <v>#DIV/0!</v>
      </c>
      <c r="AT34" s="199" t="e">
        <f>$Y$91</f>
        <v>#DIV/0!</v>
      </c>
      <c r="AU34" s="199" t="e">
        <f>$Y$92</f>
        <v>#DIV/0!</v>
      </c>
      <c r="AV34" s="199" t="e">
        <f>$Y$93</f>
        <v>#DIV/0!</v>
      </c>
      <c r="AW34" s="199" t="e">
        <f>$Y$94</f>
        <v>#DIV/0!</v>
      </c>
      <c r="AY34" s="2"/>
    </row>
    <row r="35" spans="1:66">
      <c r="A35" s="2">
        <v>2023</v>
      </c>
      <c r="B35" t="s">
        <v>42</v>
      </c>
      <c r="C35" s="199" t="e">
        <f>$Z$47</f>
        <v>#DIV/0!</v>
      </c>
      <c r="D35" s="199" t="e">
        <f>$Z$48</f>
        <v>#DIV/0!</v>
      </c>
      <c r="E35" s="199" t="e">
        <f>$Z$49</f>
        <v>#DIV/0!</v>
      </c>
      <c r="F35" s="199" t="e">
        <f>$Z$50</f>
        <v>#DIV/0!</v>
      </c>
      <c r="G35" s="199" t="e">
        <f>$Z$51</f>
        <v>#DIV/0!</v>
      </c>
      <c r="H35" s="199" t="e">
        <f>$Z$52</f>
        <v>#DIV/0!</v>
      </c>
      <c r="I35" s="199" t="e">
        <f>$Z$53</f>
        <v>#DIV/0!</v>
      </c>
      <c r="J35" s="199" t="e">
        <f>$Z$54</f>
        <v>#DIV/0!</v>
      </c>
      <c r="K35" s="199" t="e">
        <f>$Z$55</f>
        <v>#DIV/0!</v>
      </c>
      <c r="L35" s="199" t="e">
        <f>$Z$56</f>
        <v>#DIV/0!</v>
      </c>
      <c r="M35" s="199" t="e">
        <f>$Z$57</f>
        <v>#DIV/0!</v>
      </c>
      <c r="N35" s="199" t="e">
        <f>$Z$58</f>
        <v>#DIV/0!</v>
      </c>
      <c r="O35" s="199" t="e">
        <f>$Z$59</f>
        <v>#DIV/0!</v>
      </c>
      <c r="P35" s="199" t="e">
        <f>$Z$60</f>
        <v>#DIV/0!</v>
      </c>
      <c r="Q35" s="199" t="e">
        <f>$Z$61</f>
        <v>#DIV/0!</v>
      </c>
      <c r="R35" s="199" t="e">
        <f>$Z$62</f>
        <v>#DIV/0!</v>
      </c>
      <c r="S35" s="199" t="e">
        <f>$Z$63</f>
        <v>#DIV/0!</v>
      </c>
      <c r="T35" s="199" t="e">
        <f>$Z$64</f>
        <v>#DIV/0!</v>
      </c>
      <c r="U35" s="199" t="e">
        <f>$Z$65</f>
        <v>#DIV/0!</v>
      </c>
      <c r="V35" s="199" t="e">
        <f>$Z$66</f>
        <v>#DIV/0!</v>
      </c>
      <c r="W35" s="199" t="e">
        <f>$Z$67</f>
        <v>#DIV/0!</v>
      </c>
      <c r="X35" s="199" t="e">
        <f>$Z$68</f>
        <v>#DIV/0!</v>
      </c>
      <c r="Y35" s="199" t="e">
        <f>$Z$69</f>
        <v>#DIV/0!</v>
      </c>
      <c r="Z35" s="199" t="e">
        <f>$Z$70</f>
        <v>#DIV/0!</v>
      </c>
      <c r="AA35" s="199" t="e">
        <f>$Z$71</f>
        <v>#DIV/0!</v>
      </c>
      <c r="AB35" s="199" t="e">
        <f>$Z$72</f>
        <v>#DIV/0!</v>
      </c>
      <c r="AC35" s="199" t="e">
        <f>$Z$73</f>
        <v>#DIV/0!</v>
      </c>
      <c r="AD35" s="199" t="e">
        <f>$Z$74</f>
        <v>#DIV/0!</v>
      </c>
      <c r="AE35" s="199" t="e">
        <f>$Z$75</f>
        <v>#DIV/0!</v>
      </c>
      <c r="AF35" s="199" t="e">
        <f>$Z$76</f>
        <v>#DIV/0!</v>
      </c>
      <c r="AG35" s="199" t="e">
        <f>$Z$77</f>
        <v>#DIV/0!</v>
      </c>
      <c r="AH35" s="199" t="e">
        <f>$Z$78</f>
        <v>#DIV/0!</v>
      </c>
      <c r="AI35" s="199" t="e">
        <f>$Z$79</f>
        <v>#DIV/0!</v>
      </c>
      <c r="AJ35" s="199" t="e">
        <f>$Z$80</f>
        <v>#DIV/0!</v>
      </c>
      <c r="AK35" s="199" t="e">
        <f>$Z$81</f>
        <v>#DIV/0!</v>
      </c>
      <c r="AL35" s="199" t="e">
        <f>$Z$82</f>
        <v>#DIV/0!</v>
      </c>
      <c r="AM35" s="199" t="e">
        <f>$Z$83</f>
        <v>#DIV/0!</v>
      </c>
      <c r="AN35" s="199" t="e">
        <f>$Z$84</f>
        <v>#DIV/0!</v>
      </c>
      <c r="AO35" s="199" t="e">
        <f>$Z$85</f>
        <v>#DIV/0!</v>
      </c>
      <c r="AP35" s="199" t="e">
        <f>$Z$86</f>
        <v>#DIV/0!</v>
      </c>
      <c r="AQ35" s="199" t="e">
        <f>$Z$87</f>
        <v>#DIV/0!</v>
      </c>
      <c r="AR35" s="199" t="e">
        <f>$Z$88</f>
        <v>#DIV/0!</v>
      </c>
      <c r="AS35" s="199" t="e">
        <f>$Z$90</f>
        <v>#DIV/0!</v>
      </c>
      <c r="AT35" s="199" t="e">
        <f>$Z$91</f>
        <v>#DIV/0!</v>
      </c>
      <c r="AU35" s="199" t="e">
        <f>$Z$92</f>
        <v>#DIV/0!</v>
      </c>
      <c r="AV35" s="199" t="e">
        <f>$Z$93</f>
        <v>#DIV/0!</v>
      </c>
      <c r="AW35" s="199" t="e">
        <f>$Z$94</f>
        <v>#DIV/0!</v>
      </c>
      <c r="AY35" s="2"/>
    </row>
    <row r="36" spans="1:66">
      <c r="A36" s="2">
        <v>2024</v>
      </c>
      <c r="B36" t="s">
        <v>5</v>
      </c>
      <c r="C36" s="199" t="e">
        <f>$AA$47</f>
        <v>#DIV/0!</v>
      </c>
      <c r="D36" s="199" t="e">
        <f>$AA$48</f>
        <v>#DIV/0!</v>
      </c>
      <c r="E36" s="199" t="e">
        <f>$AA$49</f>
        <v>#DIV/0!</v>
      </c>
      <c r="F36" s="199" t="e">
        <f>$AA$50</f>
        <v>#DIV/0!</v>
      </c>
      <c r="G36" s="199" t="e">
        <f>$AA$51</f>
        <v>#DIV/0!</v>
      </c>
      <c r="H36" s="199" t="e">
        <f>$AA$52</f>
        <v>#DIV/0!</v>
      </c>
      <c r="I36" s="199" t="e">
        <f>$AA$53</f>
        <v>#DIV/0!</v>
      </c>
      <c r="J36" s="199" t="e">
        <f>$AA$54</f>
        <v>#DIV/0!</v>
      </c>
      <c r="K36" s="199" t="e">
        <f>$AA$55</f>
        <v>#DIV/0!</v>
      </c>
      <c r="L36" s="199" t="e">
        <f>$AA$56</f>
        <v>#DIV/0!</v>
      </c>
      <c r="M36" s="199" t="e">
        <f>$AA$57</f>
        <v>#DIV/0!</v>
      </c>
      <c r="N36" s="199" t="e">
        <f>$AA$58</f>
        <v>#DIV/0!</v>
      </c>
      <c r="O36" s="199" t="e">
        <f>$AA$59</f>
        <v>#DIV/0!</v>
      </c>
      <c r="P36" s="199" t="e">
        <f>$AA$60</f>
        <v>#DIV/0!</v>
      </c>
      <c r="Q36" s="199" t="e">
        <f>$AA$61</f>
        <v>#DIV/0!</v>
      </c>
      <c r="R36" s="199" t="e">
        <f>$AA$62</f>
        <v>#DIV/0!</v>
      </c>
      <c r="S36" s="199" t="e">
        <f>$AA$63</f>
        <v>#DIV/0!</v>
      </c>
      <c r="T36" s="199" t="e">
        <f>$AA$64</f>
        <v>#DIV/0!</v>
      </c>
      <c r="U36" s="199" t="e">
        <f>$AA$65</f>
        <v>#DIV/0!</v>
      </c>
      <c r="V36" s="199" t="e">
        <f>$AA$66</f>
        <v>#DIV/0!</v>
      </c>
      <c r="W36" s="199" t="e">
        <f>$AA$67</f>
        <v>#DIV/0!</v>
      </c>
      <c r="X36" s="199" t="e">
        <f>$AA$68</f>
        <v>#DIV/0!</v>
      </c>
      <c r="Y36" s="199" t="e">
        <f>$AA$69</f>
        <v>#DIV/0!</v>
      </c>
      <c r="Z36" s="199" t="e">
        <f>$AA$70</f>
        <v>#DIV/0!</v>
      </c>
      <c r="AA36" s="199" t="e">
        <f>$AA$71</f>
        <v>#DIV/0!</v>
      </c>
      <c r="AB36" s="199" t="e">
        <f>$AA$72</f>
        <v>#DIV/0!</v>
      </c>
      <c r="AC36" s="199" t="e">
        <f>$AA$73</f>
        <v>#DIV/0!</v>
      </c>
      <c r="AD36" s="199" t="e">
        <f>$AA$74</f>
        <v>#DIV/0!</v>
      </c>
      <c r="AE36" s="199" t="e">
        <f>$AA$75</f>
        <v>#DIV/0!</v>
      </c>
      <c r="AF36" s="199" t="e">
        <f>$AA$76</f>
        <v>#DIV/0!</v>
      </c>
      <c r="AG36" s="199" t="e">
        <f>$AA$77</f>
        <v>#DIV/0!</v>
      </c>
      <c r="AH36" s="199" t="e">
        <f>$AA$78</f>
        <v>#DIV/0!</v>
      </c>
      <c r="AI36" s="199" t="e">
        <f>$AA$79</f>
        <v>#DIV/0!</v>
      </c>
      <c r="AJ36" s="199" t="e">
        <f>$AA$80</f>
        <v>#DIV/0!</v>
      </c>
      <c r="AK36" s="199" t="e">
        <f>$AA$81</f>
        <v>#DIV/0!</v>
      </c>
      <c r="AL36" s="199" t="e">
        <f>$AA$82</f>
        <v>#DIV/0!</v>
      </c>
      <c r="AM36" s="199" t="e">
        <f>$AA$83</f>
        <v>#DIV/0!</v>
      </c>
      <c r="AN36" s="199" t="e">
        <f>$AA$84</f>
        <v>#DIV/0!</v>
      </c>
      <c r="AO36" s="199" t="e">
        <f>$AA$85</f>
        <v>#DIV/0!</v>
      </c>
      <c r="AP36" s="199" t="e">
        <f>$AA$86</f>
        <v>#DIV/0!</v>
      </c>
      <c r="AQ36" s="199" t="e">
        <f>$AA$87</f>
        <v>#DIV/0!</v>
      </c>
      <c r="AR36" s="199" t="e">
        <f>$AA$88</f>
        <v>#DIV/0!</v>
      </c>
      <c r="AS36" s="199" t="e">
        <f>$AA$90</f>
        <v>#DIV/0!</v>
      </c>
      <c r="AT36" s="199" t="e">
        <f>$AA$91</f>
        <v>#DIV/0!</v>
      </c>
      <c r="AU36" s="199" t="e">
        <f>$AA$92</f>
        <v>#DIV/0!</v>
      </c>
      <c r="AV36" s="199" t="e">
        <f>$AA$93</f>
        <v>#DIV/0!</v>
      </c>
      <c r="AW36" s="199" t="e">
        <f>$AA$94</f>
        <v>#DIV/0!</v>
      </c>
      <c r="AY36" s="2"/>
    </row>
    <row r="37" spans="1:66">
      <c r="A37" s="2">
        <v>2024</v>
      </c>
      <c r="B37" t="s">
        <v>6</v>
      </c>
      <c r="C37" s="199" t="e">
        <f>$AB$47</f>
        <v>#DIV/0!</v>
      </c>
      <c r="D37" s="199" t="e">
        <f>$AB$48</f>
        <v>#DIV/0!</v>
      </c>
      <c r="E37" s="199" t="e">
        <f>$AB$49</f>
        <v>#DIV/0!</v>
      </c>
      <c r="F37" s="199" t="e">
        <f>$AB$50</f>
        <v>#DIV/0!</v>
      </c>
      <c r="G37" s="199" t="e">
        <f>$AB$51</f>
        <v>#DIV/0!</v>
      </c>
      <c r="H37" s="199" t="e">
        <f>$AB$52</f>
        <v>#DIV/0!</v>
      </c>
      <c r="I37" s="199" t="e">
        <f>$AB$53</f>
        <v>#DIV/0!</v>
      </c>
      <c r="J37" s="199" t="e">
        <f>$AB$54</f>
        <v>#DIV/0!</v>
      </c>
      <c r="K37" s="199" t="e">
        <f>$AB$55</f>
        <v>#DIV/0!</v>
      </c>
      <c r="L37" s="199" t="e">
        <f>$AB$56</f>
        <v>#DIV/0!</v>
      </c>
      <c r="M37" s="199" t="e">
        <f>$AB$57</f>
        <v>#DIV/0!</v>
      </c>
      <c r="N37" s="199" t="e">
        <f>$AB$58</f>
        <v>#DIV/0!</v>
      </c>
      <c r="O37" s="199" t="e">
        <f>$AB$59</f>
        <v>#DIV/0!</v>
      </c>
      <c r="P37" s="199" t="e">
        <f>$AB$60</f>
        <v>#DIV/0!</v>
      </c>
      <c r="Q37" s="199" t="e">
        <f>$AB$61</f>
        <v>#DIV/0!</v>
      </c>
      <c r="R37" s="199" t="e">
        <f>$AB$62</f>
        <v>#DIV/0!</v>
      </c>
      <c r="S37" s="199" t="e">
        <f>$AB$63</f>
        <v>#DIV/0!</v>
      </c>
      <c r="T37" s="199" t="e">
        <f>$AB$64</f>
        <v>#DIV/0!</v>
      </c>
      <c r="U37" s="199" t="e">
        <f>$AB$65</f>
        <v>#DIV/0!</v>
      </c>
      <c r="V37" s="199" t="e">
        <f>$AB$66</f>
        <v>#DIV/0!</v>
      </c>
      <c r="W37" s="199" t="e">
        <f>$AB$67</f>
        <v>#DIV/0!</v>
      </c>
      <c r="X37" s="199" t="e">
        <f>$AB$68</f>
        <v>#DIV/0!</v>
      </c>
      <c r="Y37" s="199" t="e">
        <f>$AB$69</f>
        <v>#DIV/0!</v>
      </c>
      <c r="Z37" s="199" t="e">
        <f>$AB$70</f>
        <v>#DIV/0!</v>
      </c>
      <c r="AA37" s="199" t="e">
        <f>$AB$71</f>
        <v>#DIV/0!</v>
      </c>
      <c r="AB37" s="199" t="e">
        <f>$AB$72</f>
        <v>#DIV/0!</v>
      </c>
      <c r="AC37" s="199" t="e">
        <f>$AB$73</f>
        <v>#DIV/0!</v>
      </c>
      <c r="AD37" s="199" t="e">
        <f>$AB$74</f>
        <v>#DIV/0!</v>
      </c>
      <c r="AE37" s="199" t="e">
        <f>$AB$75</f>
        <v>#DIV/0!</v>
      </c>
      <c r="AF37" s="199" t="e">
        <f>$AB$76</f>
        <v>#DIV/0!</v>
      </c>
      <c r="AG37" s="199" t="e">
        <f>$AB$77</f>
        <v>#DIV/0!</v>
      </c>
      <c r="AH37" s="199" t="e">
        <f>$AB$78</f>
        <v>#DIV/0!</v>
      </c>
      <c r="AI37" s="199" t="e">
        <f>$AB$79</f>
        <v>#DIV/0!</v>
      </c>
      <c r="AJ37" s="199" t="e">
        <f>$AB$80</f>
        <v>#DIV/0!</v>
      </c>
      <c r="AK37" s="199" t="e">
        <f>$AB$81</f>
        <v>#DIV/0!</v>
      </c>
      <c r="AL37" s="199" t="e">
        <f>$AB$82</f>
        <v>#DIV/0!</v>
      </c>
      <c r="AM37" s="199" t="e">
        <f>$AB$83</f>
        <v>#DIV/0!</v>
      </c>
      <c r="AN37" s="199" t="e">
        <f>$AB$84</f>
        <v>#DIV/0!</v>
      </c>
      <c r="AO37" s="199" t="e">
        <f>$AB$85</f>
        <v>#DIV/0!</v>
      </c>
      <c r="AP37" s="199" t="e">
        <f>$AB$86</f>
        <v>#DIV/0!</v>
      </c>
      <c r="AQ37" s="199" t="e">
        <f>$AB$87</f>
        <v>#DIV/0!</v>
      </c>
      <c r="AR37" s="199" t="e">
        <f>$AB$88</f>
        <v>#DIV/0!</v>
      </c>
      <c r="AS37" s="199" t="e">
        <f>$AB$90</f>
        <v>#DIV/0!</v>
      </c>
      <c r="AT37" s="199" t="e">
        <f>$AB$91</f>
        <v>#DIV/0!</v>
      </c>
      <c r="AU37" s="199" t="e">
        <f>$AB$92</f>
        <v>#DIV/0!</v>
      </c>
      <c r="AV37" s="199" t="e">
        <f>$AB$93</f>
        <v>#DIV/0!</v>
      </c>
      <c r="AW37" s="199" t="e">
        <f>$AB$94</f>
        <v>#DIV/0!</v>
      </c>
      <c r="AY37" s="2"/>
    </row>
    <row r="38" spans="1:66">
      <c r="A38" s="2">
        <v>2024</v>
      </c>
      <c r="B38" t="s">
        <v>42</v>
      </c>
      <c r="C38" s="199" t="e">
        <f>$AC$47</f>
        <v>#DIV/0!</v>
      </c>
      <c r="D38" s="199" t="e">
        <f>$AC$48</f>
        <v>#DIV/0!</v>
      </c>
      <c r="E38" s="199" t="e">
        <f>$AC$49</f>
        <v>#DIV/0!</v>
      </c>
      <c r="F38" s="199" t="e">
        <f>$AC$50</f>
        <v>#DIV/0!</v>
      </c>
      <c r="G38" s="199" t="e">
        <f>$AC$51</f>
        <v>#DIV/0!</v>
      </c>
      <c r="H38" s="199" t="e">
        <f>$AC$52</f>
        <v>#DIV/0!</v>
      </c>
      <c r="I38" s="199" t="e">
        <f>$AC$53</f>
        <v>#DIV/0!</v>
      </c>
      <c r="J38" s="199" t="e">
        <f>$AC$54</f>
        <v>#DIV/0!</v>
      </c>
      <c r="K38" s="199" t="e">
        <f>$AC$55</f>
        <v>#DIV/0!</v>
      </c>
      <c r="L38" s="199" t="e">
        <f>$AC$56</f>
        <v>#DIV/0!</v>
      </c>
      <c r="M38" s="199" t="e">
        <f>$AC$57</f>
        <v>#DIV/0!</v>
      </c>
      <c r="N38" s="199" t="e">
        <f>$AC$58</f>
        <v>#DIV/0!</v>
      </c>
      <c r="O38" s="199" t="e">
        <f>$AC$59</f>
        <v>#DIV/0!</v>
      </c>
      <c r="P38" s="199" t="e">
        <f>$AC$60</f>
        <v>#DIV/0!</v>
      </c>
      <c r="Q38" s="199" t="e">
        <f>$AC$61</f>
        <v>#DIV/0!</v>
      </c>
      <c r="R38" s="199" t="e">
        <f>$AC$62</f>
        <v>#DIV/0!</v>
      </c>
      <c r="S38" s="199" t="e">
        <f>$AC$63</f>
        <v>#DIV/0!</v>
      </c>
      <c r="T38" s="199" t="e">
        <f>$AC$64</f>
        <v>#DIV/0!</v>
      </c>
      <c r="U38" s="199" t="e">
        <f>$AC$65</f>
        <v>#DIV/0!</v>
      </c>
      <c r="V38" s="199" t="e">
        <f>$AC$66</f>
        <v>#DIV/0!</v>
      </c>
      <c r="W38" s="199" t="e">
        <f>$AC$67</f>
        <v>#DIV/0!</v>
      </c>
      <c r="X38" s="199" t="e">
        <f>$AC$68</f>
        <v>#DIV/0!</v>
      </c>
      <c r="Y38" s="199" t="e">
        <f>$AC$69</f>
        <v>#DIV/0!</v>
      </c>
      <c r="Z38" s="199" t="e">
        <f>$AC$70</f>
        <v>#DIV/0!</v>
      </c>
      <c r="AA38" s="199" t="e">
        <f>$AC$71</f>
        <v>#DIV/0!</v>
      </c>
      <c r="AB38" s="199" t="e">
        <f>$AC$72</f>
        <v>#DIV/0!</v>
      </c>
      <c r="AC38" s="199" t="e">
        <f>$AC$73</f>
        <v>#DIV/0!</v>
      </c>
      <c r="AD38" s="199" t="e">
        <f>$AC$74</f>
        <v>#DIV/0!</v>
      </c>
      <c r="AE38" s="199" t="e">
        <f>$AC$75</f>
        <v>#DIV/0!</v>
      </c>
      <c r="AF38" s="199" t="e">
        <f>$AC$76</f>
        <v>#DIV/0!</v>
      </c>
      <c r="AG38" s="199" t="e">
        <f>$AC$77</f>
        <v>#DIV/0!</v>
      </c>
      <c r="AH38" s="199" t="e">
        <f>$AC$78</f>
        <v>#DIV/0!</v>
      </c>
      <c r="AI38" s="199" t="e">
        <f>$AC$79</f>
        <v>#DIV/0!</v>
      </c>
      <c r="AJ38" s="199" t="e">
        <f>$AC$80</f>
        <v>#DIV/0!</v>
      </c>
      <c r="AK38" s="199" t="e">
        <f>$AC$81</f>
        <v>#DIV/0!</v>
      </c>
      <c r="AL38" s="199" t="e">
        <f>$AC$82</f>
        <v>#DIV/0!</v>
      </c>
      <c r="AM38" s="199" t="e">
        <f>$AC$83</f>
        <v>#DIV/0!</v>
      </c>
      <c r="AN38" s="199" t="e">
        <f>$AC$84</f>
        <v>#DIV/0!</v>
      </c>
      <c r="AO38" s="199" t="e">
        <f>$AC$85</f>
        <v>#DIV/0!</v>
      </c>
      <c r="AP38" s="199" t="e">
        <f>$AC$86</f>
        <v>#DIV/0!</v>
      </c>
      <c r="AQ38" s="199" t="e">
        <f>$AC$87</f>
        <v>#DIV/0!</v>
      </c>
      <c r="AR38" s="199" t="e">
        <f>$AC$88</f>
        <v>#DIV/0!</v>
      </c>
      <c r="AS38" s="199" t="e">
        <f>$AC$90</f>
        <v>#DIV/0!</v>
      </c>
      <c r="AT38" s="199" t="e">
        <f>$AC$91</f>
        <v>#DIV/0!</v>
      </c>
      <c r="AU38" s="199" t="e">
        <f>$AC$92</f>
        <v>#DIV/0!</v>
      </c>
      <c r="AV38" s="199" t="e">
        <f>$AC$93</f>
        <v>#DIV/0!</v>
      </c>
      <c r="AW38" s="199" t="e">
        <f>$AC$94</f>
        <v>#DIV/0!</v>
      </c>
      <c r="AY38" s="2"/>
    </row>
    <row r="39" spans="1:66">
      <c r="A39" s="2">
        <v>2025</v>
      </c>
      <c r="B39" t="s">
        <v>5</v>
      </c>
      <c r="C39" s="199" t="e">
        <f>$AD$47</f>
        <v>#DIV/0!</v>
      </c>
      <c r="D39" s="199" t="e">
        <f>$AD$48</f>
        <v>#DIV/0!</v>
      </c>
      <c r="E39" s="199" t="e">
        <f>$AD$49</f>
        <v>#DIV/0!</v>
      </c>
      <c r="F39" s="199" t="e">
        <f>$AD$50</f>
        <v>#DIV/0!</v>
      </c>
      <c r="G39" s="199" t="e">
        <f>$AD$51</f>
        <v>#DIV/0!</v>
      </c>
      <c r="H39" s="199" t="e">
        <f>$AD$52</f>
        <v>#DIV/0!</v>
      </c>
      <c r="I39" s="199" t="e">
        <f>$AD$53</f>
        <v>#DIV/0!</v>
      </c>
      <c r="J39" s="199" t="e">
        <f>$AD$54</f>
        <v>#DIV/0!</v>
      </c>
      <c r="K39" s="199" t="e">
        <f>$AD$55</f>
        <v>#DIV/0!</v>
      </c>
      <c r="L39" s="199" t="e">
        <f>$AD$56</f>
        <v>#DIV/0!</v>
      </c>
      <c r="M39" s="199" t="e">
        <f>$AD$57</f>
        <v>#DIV/0!</v>
      </c>
      <c r="N39" s="199" t="e">
        <f>$AD$58</f>
        <v>#DIV/0!</v>
      </c>
      <c r="O39" s="199" t="e">
        <f>$AD$59</f>
        <v>#DIV/0!</v>
      </c>
      <c r="P39" s="199" t="e">
        <f>$AD$60</f>
        <v>#DIV/0!</v>
      </c>
      <c r="Q39" s="199" t="e">
        <f>$AD$61</f>
        <v>#DIV/0!</v>
      </c>
      <c r="R39" s="199" t="e">
        <f>$AD$62</f>
        <v>#DIV/0!</v>
      </c>
      <c r="S39" s="199" t="e">
        <f>$AD$63</f>
        <v>#DIV/0!</v>
      </c>
      <c r="T39" s="199" t="e">
        <f>$AD$64</f>
        <v>#DIV/0!</v>
      </c>
      <c r="U39" s="199" t="e">
        <f>$AD$65</f>
        <v>#DIV/0!</v>
      </c>
      <c r="V39" s="199" t="e">
        <f>$AD$66</f>
        <v>#DIV/0!</v>
      </c>
      <c r="W39" s="199" t="e">
        <f>$AD$67</f>
        <v>#DIV/0!</v>
      </c>
      <c r="X39" s="199" t="e">
        <f>$AD$68</f>
        <v>#DIV/0!</v>
      </c>
      <c r="Y39" s="199" t="e">
        <f>$AD$69</f>
        <v>#DIV/0!</v>
      </c>
      <c r="Z39" s="199" t="e">
        <f>$AD$70</f>
        <v>#DIV/0!</v>
      </c>
      <c r="AA39" s="199" t="e">
        <f>$AD$71</f>
        <v>#DIV/0!</v>
      </c>
      <c r="AB39" s="199" t="e">
        <f>$AD$72</f>
        <v>#DIV/0!</v>
      </c>
      <c r="AC39" s="199" t="e">
        <f>$AD$73</f>
        <v>#DIV/0!</v>
      </c>
      <c r="AD39" s="199" t="e">
        <f>$AD$74</f>
        <v>#DIV/0!</v>
      </c>
      <c r="AE39" s="199" t="e">
        <f>$AD$75</f>
        <v>#DIV/0!</v>
      </c>
      <c r="AF39" s="199" t="e">
        <f>$AD$76</f>
        <v>#DIV/0!</v>
      </c>
      <c r="AG39" s="199" t="e">
        <f>$AD$77</f>
        <v>#DIV/0!</v>
      </c>
      <c r="AH39" s="199" t="e">
        <f>$AD$78</f>
        <v>#DIV/0!</v>
      </c>
      <c r="AI39" s="199" t="e">
        <f>$AD$79</f>
        <v>#DIV/0!</v>
      </c>
      <c r="AJ39" s="199" t="e">
        <f>$AD$80</f>
        <v>#DIV/0!</v>
      </c>
      <c r="AK39" s="199" t="e">
        <f>$AD$81</f>
        <v>#DIV/0!</v>
      </c>
      <c r="AL39" s="199" t="e">
        <f>$AD$82</f>
        <v>#DIV/0!</v>
      </c>
      <c r="AM39" s="199" t="e">
        <f>$AD$83</f>
        <v>#DIV/0!</v>
      </c>
      <c r="AN39" s="199" t="e">
        <f>$AD$84</f>
        <v>#DIV/0!</v>
      </c>
      <c r="AO39" s="199" t="e">
        <f>$AD$85</f>
        <v>#DIV/0!</v>
      </c>
      <c r="AP39" s="199" t="e">
        <f>$AD$86</f>
        <v>#DIV/0!</v>
      </c>
      <c r="AQ39" s="199" t="e">
        <f>$AD$87</f>
        <v>#DIV/0!</v>
      </c>
      <c r="AR39" s="199" t="e">
        <f>$AD$88</f>
        <v>#DIV/0!</v>
      </c>
      <c r="AS39" s="199" t="e">
        <f>$AD$90</f>
        <v>#DIV/0!</v>
      </c>
      <c r="AT39" s="199" t="e">
        <f>$AD$91</f>
        <v>#DIV/0!</v>
      </c>
      <c r="AU39" s="199" t="e">
        <f>$AD$92</f>
        <v>#DIV/0!</v>
      </c>
      <c r="AV39" s="199" t="e">
        <f>$AD$93</f>
        <v>#DIV/0!</v>
      </c>
      <c r="AW39" s="199" t="e">
        <f>$AD$94</f>
        <v>#DIV/0!</v>
      </c>
      <c r="AY39" s="2"/>
    </row>
    <row r="40" spans="1:66">
      <c r="A40" s="2">
        <v>2025</v>
      </c>
      <c r="B40" t="s">
        <v>6</v>
      </c>
      <c r="C40" s="199" t="e">
        <f>$AE$47</f>
        <v>#DIV/0!</v>
      </c>
      <c r="D40" s="199" t="e">
        <f>$AE$48</f>
        <v>#DIV/0!</v>
      </c>
      <c r="E40" s="199" t="e">
        <f>$AE$49</f>
        <v>#DIV/0!</v>
      </c>
      <c r="F40" s="199" t="e">
        <f>$AE$50</f>
        <v>#DIV/0!</v>
      </c>
      <c r="G40" s="199" t="e">
        <f>$AE$51</f>
        <v>#DIV/0!</v>
      </c>
      <c r="H40" s="199" t="e">
        <f>$AE$52</f>
        <v>#DIV/0!</v>
      </c>
      <c r="I40" s="199" t="e">
        <f>$AE$53</f>
        <v>#DIV/0!</v>
      </c>
      <c r="J40" s="199" t="e">
        <f>$AE$54</f>
        <v>#DIV/0!</v>
      </c>
      <c r="K40" s="199" t="e">
        <f>$AE$55</f>
        <v>#DIV/0!</v>
      </c>
      <c r="L40" s="199" t="e">
        <f>$AE$56</f>
        <v>#DIV/0!</v>
      </c>
      <c r="M40" s="199" t="e">
        <f>$AE$57</f>
        <v>#DIV/0!</v>
      </c>
      <c r="N40" s="199" t="e">
        <f>$AE$58</f>
        <v>#DIV/0!</v>
      </c>
      <c r="O40" s="199" t="e">
        <f>$AE$59</f>
        <v>#DIV/0!</v>
      </c>
      <c r="P40" s="199" t="e">
        <f>$AE$60</f>
        <v>#DIV/0!</v>
      </c>
      <c r="Q40" s="199" t="e">
        <f>$AE$61</f>
        <v>#DIV/0!</v>
      </c>
      <c r="R40" s="199" t="e">
        <f>$AE$62</f>
        <v>#DIV/0!</v>
      </c>
      <c r="S40" s="199" t="e">
        <f>$AE$63</f>
        <v>#DIV/0!</v>
      </c>
      <c r="T40" s="199" t="e">
        <f>$AE$64</f>
        <v>#DIV/0!</v>
      </c>
      <c r="U40" s="199" t="e">
        <f>$AE$65</f>
        <v>#DIV/0!</v>
      </c>
      <c r="V40" s="199" t="e">
        <f>$AE$66</f>
        <v>#DIV/0!</v>
      </c>
      <c r="W40" s="199" t="e">
        <f>$AE$67</f>
        <v>#DIV/0!</v>
      </c>
      <c r="X40" s="199" t="e">
        <f>$AE$68</f>
        <v>#DIV/0!</v>
      </c>
      <c r="Y40" s="199" t="e">
        <f>$AE$69</f>
        <v>#DIV/0!</v>
      </c>
      <c r="Z40" s="199" t="e">
        <f>$AE$70</f>
        <v>#DIV/0!</v>
      </c>
      <c r="AA40" s="199" t="e">
        <f>$AE$71</f>
        <v>#DIV/0!</v>
      </c>
      <c r="AB40" s="199" t="e">
        <f>$AE$72</f>
        <v>#DIV/0!</v>
      </c>
      <c r="AC40" s="199" t="e">
        <f>$AE$73</f>
        <v>#DIV/0!</v>
      </c>
      <c r="AD40" s="199" t="e">
        <f>$AE$74</f>
        <v>#DIV/0!</v>
      </c>
      <c r="AE40" s="199" t="e">
        <f>$AE$75</f>
        <v>#DIV/0!</v>
      </c>
      <c r="AF40" s="199" t="e">
        <f>$AE$76</f>
        <v>#DIV/0!</v>
      </c>
      <c r="AG40" s="199" t="e">
        <f>$AE$77</f>
        <v>#DIV/0!</v>
      </c>
      <c r="AH40" s="199" t="e">
        <f>$AE$78</f>
        <v>#DIV/0!</v>
      </c>
      <c r="AI40" s="199" t="e">
        <f>$AE$79</f>
        <v>#DIV/0!</v>
      </c>
      <c r="AJ40" s="199" t="e">
        <f>$AE$80</f>
        <v>#DIV/0!</v>
      </c>
      <c r="AK40" s="199" t="e">
        <f>$AE$81</f>
        <v>#DIV/0!</v>
      </c>
      <c r="AL40" s="199" t="e">
        <f>$AE$82</f>
        <v>#DIV/0!</v>
      </c>
      <c r="AM40" s="199" t="e">
        <f>$AE$83</f>
        <v>#DIV/0!</v>
      </c>
      <c r="AN40" s="199" t="e">
        <f>$AE$84</f>
        <v>#DIV/0!</v>
      </c>
      <c r="AO40" s="199" t="e">
        <f>$AE$85</f>
        <v>#DIV/0!</v>
      </c>
      <c r="AP40" s="199" t="e">
        <f>$AE$86</f>
        <v>#DIV/0!</v>
      </c>
      <c r="AQ40" s="199" t="e">
        <f>$AE$87</f>
        <v>#DIV/0!</v>
      </c>
      <c r="AR40" s="199" t="e">
        <f>$AE$88</f>
        <v>#DIV/0!</v>
      </c>
      <c r="AS40" s="199" t="e">
        <f>$AE$90</f>
        <v>#DIV/0!</v>
      </c>
      <c r="AT40" s="199" t="e">
        <f>$AE$91</f>
        <v>#DIV/0!</v>
      </c>
      <c r="AU40" s="199" t="e">
        <f>$AE$92</f>
        <v>#DIV/0!</v>
      </c>
      <c r="AV40" s="199" t="e">
        <f>$AE$93</f>
        <v>#DIV/0!</v>
      </c>
      <c r="AW40" s="199" t="e">
        <f>$AE$94</f>
        <v>#DIV/0!</v>
      </c>
      <c r="AY40" s="2"/>
    </row>
    <row r="41" spans="1:66">
      <c r="A41" s="2">
        <v>2025</v>
      </c>
      <c r="B41" t="s">
        <v>42</v>
      </c>
      <c r="C41" s="199" t="e">
        <f>$AF$47</f>
        <v>#DIV/0!</v>
      </c>
      <c r="D41" s="199" t="e">
        <f>$AF$48</f>
        <v>#DIV/0!</v>
      </c>
      <c r="E41" s="199" t="e">
        <f>$AF$49</f>
        <v>#DIV/0!</v>
      </c>
      <c r="F41" s="199" t="e">
        <f>$AF$50</f>
        <v>#DIV/0!</v>
      </c>
      <c r="G41" s="199" t="e">
        <f>$AF$51</f>
        <v>#DIV/0!</v>
      </c>
      <c r="H41" s="199" t="e">
        <f>$AF$52</f>
        <v>#DIV/0!</v>
      </c>
      <c r="I41" s="199" t="e">
        <f>$AF$53</f>
        <v>#DIV/0!</v>
      </c>
      <c r="J41" s="199" t="e">
        <f>$AF$54</f>
        <v>#DIV/0!</v>
      </c>
      <c r="K41" s="199" t="e">
        <f>$AF$55</f>
        <v>#DIV/0!</v>
      </c>
      <c r="L41" s="199" t="e">
        <f>$AF$56</f>
        <v>#DIV/0!</v>
      </c>
      <c r="M41" s="199" t="e">
        <f>$AF$57</f>
        <v>#DIV/0!</v>
      </c>
      <c r="N41" s="199" t="e">
        <f>$AF$58</f>
        <v>#DIV/0!</v>
      </c>
      <c r="O41" s="199" t="e">
        <f>$AF$59</f>
        <v>#DIV/0!</v>
      </c>
      <c r="P41" s="199" t="e">
        <f>$AF$60</f>
        <v>#DIV/0!</v>
      </c>
      <c r="Q41" s="199" t="e">
        <f>$AF$61</f>
        <v>#DIV/0!</v>
      </c>
      <c r="R41" s="199" t="e">
        <f>$AF$62</f>
        <v>#DIV/0!</v>
      </c>
      <c r="S41" s="199" t="e">
        <f>$AF$63</f>
        <v>#DIV/0!</v>
      </c>
      <c r="T41" s="199" t="e">
        <f>$AF$64</f>
        <v>#DIV/0!</v>
      </c>
      <c r="U41" s="199" t="e">
        <f>$AF$65</f>
        <v>#DIV/0!</v>
      </c>
      <c r="V41" s="199" t="e">
        <f>$AF$66</f>
        <v>#DIV/0!</v>
      </c>
      <c r="W41" s="199" t="e">
        <f>$AF$67</f>
        <v>#DIV/0!</v>
      </c>
      <c r="X41" s="199" t="e">
        <f>$AF$68</f>
        <v>#DIV/0!</v>
      </c>
      <c r="Y41" s="199" t="e">
        <f>$AF$69</f>
        <v>#DIV/0!</v>
      </c>
      <c r="Z41" s="199" t="e">
        <f>$AF$70</f>
        <v>#DIV/0!</v>
      </c>
      <c r="AA41" s="199" t="e">
        <f>$AF$71</f>
        <v>#DIV/0!</v>
      </c>
      <c r="AB41" s="199" t="e">
        <f>$AF$72</f>
        <v>#DIV/0!</v>
      </c>
      <c r="AC41" s="199" t="e">
        <f>$AF$73</f>
        <v>#DIV/0!</v>
      </c>
      <c r="AD41" s="199" t="e">
        <f>$AF$74</f>
        <v>#DIV/0!</v>
      </c>
      <c r="AE41" s="199" t="e">
        <f>$AF$75</f>
        <v>#DIV/0!</v>
      </c>
      <c r="AF41" s="199" t="e">
        <f>$AF$76</f>
        <v>#DIV/0!</v>
      </c>
      <c r="AG41" s="199" t="e">
        <f>$AF$77</f>
        <v>#DIV/0!</v>
      </c>
      <c r="AH41" s="199" t="e">
        <f>$AF$78</f>
        <v>#DIV/0!</v>
      </c>
      <c r="AI41" s="199" t="e">
        <f>$AF$79</f>
        <v>#DIV/0!</v>
      </c>
      <c r="AJ41" s="199" t="e">
        <f>$AF$80</f>
        <v>#DIV/0!</v>
      </c>
      <c r="AK41" s="199" t="e">
        <f>$AF$81</f>
        <v>#DIV/0!</v>
      </c>
      <c r="AL41" s="199" t="e">
        <f>$AF$82</f>
        <v>#DIV/0!</v>
      </c>
      <c r="AM41" s="199" t="e">
        <f>$AF$83</f>
        <v>#DIV/0!</v>
      </c>
      <c r="AN41" s="199" t="e">
        <f>$AF$84</f>
        <v>#DIV/0!</v>
      </c>
      <c r="AO41" s="199" t="e">
        <f>$AF$85</f>
        <v>#DIV/0!</v>
      </c>
      <c r="AP41" s="199" t="e">
        <f>$AF$86</f>
        <v>#DIV/0!</v>
      </c>
      <c r="AQ41" s="199" t="e">
        <f>$AF$87</f>
        <v>#DIV/0!</v>
      </c>
      <c r="AR41" s="199" t="e">
        <f>$AF$88</f>
        <v>#DIV/0!</v>
      </c>
      <c r="AS41" s="199" t="e">
        <f>$AF$90</f>
        <v>#DIV/0!</v>
      </c>
      <c r="AT41" s="199" t="e">
        <f>$AF$91</f>
        <v>#DIV/0!</v>
      </c>
      <c r="AU41" s="199" t="e">
        <f>$AF$92</f>
        <v>#DIV/0!</v>
      </c>
      <c r="AV41" s="199" t="e">
        <f>$AF$93</f>
        <v>#DIV/0!</v>
      </c>
      <c r="AW41" s="199" t="e">
        <f>$AF$94</f>
        <v>#DIV/0!</v>
      </c>
      <c r="AY41" s="2"/>
    </row>
    <row r="42" spans="1:66">
      <c r="A42" s="2"/>
      <c r="D42" s="79"/>
      <c r="E42" s="79"/>
      <c r="F42" s="79"/>
      <c r="G42" s="79"/>
      <c r="H42" s="79"/>
      <c r="I42" s="79"/>
      <c r="Q42" s="8"/>
      <c r="R42" s="82"/>
      <c r="S42" s="82"/>
      <c r="T42" s="8"/>
      <c r="U42" s="8"/>
      <c r="V42" s="8"/>
      <c r="W42" s="8"/>
      <c r="X42" s="8"/>
      <c r="Y42" s="8"/>
      <c r="Z42" s="8"/>
      <c r="AA42" s="8"/>
      <c r="AB42" s="8"/>
      <c r="AC42" s="8"/>
      <c r="AD42" s="8"/>
      <c r="AE42" s="8"/>
      <c r="AF42" s="8"/>
      <c r="AG42" s="8"/>
      <c r="AH42" s="8"/>
    </row>
    <row r="43" spans="1:66">
      <c r="A43" s="2"/>
      <c r="D43" s="79"/>
      <c r="E43" s="79"/>
      <c r="F43" s="79"/>
      <c r="G43" s="79"/>
      <c r="H43" s="79"/>
      <c r="I43" s="79"/>
      <c r="Q43" s="8"/>
      <c r="R43" s="82"/>
      <c r="S43" s="82"/>
      <c r="T43" s="8"/>
      <c r="U43" s="8"/>
      <c r="V43" s="8"/>
      <c r="W43" s="8"/>
      <c r="X43" s="8"/>
      <c r="Y43" s="8"/>
      <c r="Z43" s="8"/>
      <c r="AA43" s="8"/>
      <c r="AB43" s="8"/>
      <c r="AC43" s="8"/>
      <c r="AD43" s="8"/>
      <c r="AE43" s="8"/>
      <c r="AF43" s="8"/>
      <c r="AG43" s="8"/>
      <c r="AH43" s="8"/>
    </row>
    <row r="44" spans="1:66">
      <c r="Q44" s="8"/>
      <c r="R44" s="82"/>
      <c r="S44" s="82"/>
      <c r="T44" s="82"/>
      <c r="U44" s="82"/>
      <c r="V44" s="82"/>
      <c r="W44" s="82"/>
      <c r="X44" s="82"/>
      <c r="Y44" s="82"/>
      <c r="Z44" s="82"/>
      <c r="AA44" s="82"/>
      <c r="AB44" s="82"/>
      <c r="AC44" s="82"/>
      <c r="AD44" s="8"/>
      <c r="AE44" s="8"/>
      <c r="AF44" s="8"/>
      <c r="AG44" s="8"/>
      <c r="AH44" s="8"/>
    </row>
    <row r="45" spans="1:66" ht="23.65" thickBot="1">
      <c r="A45" s="355" t="s">
        <v>195</v>
      </c>
      <c r="B45" s="355"/>
      <c r="C45" s="356">
        <v>2016</v>
      </c>
      <c r="D45" s="357"/>
      <c r="E45" s="358"/>
      <c r="F45" s="356">
        <v>2017</v>
      </c>
      <c r="G45" s="357"/>
      <c r="H45" s="358"/>
      <c r="I45" s="356">
        <v>2018</v>
      </c>
      <c r="J45" s="357"/>
      <c r="K45" s="358"/>
      <c r="L45" s="356">
        <v>2019</v>
      </c>
      <c r="M45" s="357"/>
      <c r="N45" s="358"/>
      <c r="O45" s="356">
        <v>2020</v>
      </c>
      <c r="P45" s="357"/>
      <c r="Q45" s="358"/>
      <c r="R45" s="356">
        <v>2021</v>
      </c>
      <c r="S45" s="357"/>
      <c r="T45" s="358"/>
      <c r="U45" s="356">
        <v>2022</v>
      </c>
      <c r="V45" s="357"/>
      <c r="W45" s="358"/>
      <c r="X45" s="356">
        <v>2023</v>
      </c>
      <c r="Y45" s="357"/>
      <c r="Z45" s="358"/>
      <c r="AA45" s="356">
        <v>2024</v>
      </c>
      <c r="AB45" s="357"/>
      <c r="AC45" s="358"/>
      <c r="AD45" s="356">
        <v>2025</v>
      </c>
      <c r="AE45" s="357"/>
      <c r="AF45" s="358"/>
      <c r="AG45" s="155"/>
      <c r="AH45" s="321" t="s">
        <v>46</v>
      </c>
      <c r="AI45" s="321"/>
      <c r="AJ45" s="82"/>
      <c r="AK45" s="368" t="s">
        <v>245</v>
      </c>
      <c r="AL45" s="368"/>
      <c r="AM45" s="368"/>
      <c r="AN45" s="368"/>
      <c r="AO45" s="368"/>
      <c r="AP45" s="368"/>
      <c r="AQ45" s="368"/>
      <c r="AR45" s="368"/>
      <c r="AS45" s="368"/>
      <c r="AT45" s="368"/>
      <c r="AU45" s="368"/>
      <c r="AV45" s="368"/>
      <c r="AW45" s="368"/>
      <c r="AX45" s="368"/>
      <c r="AY45" s="368"/>
      <c r="AZ45" s="368"/>
      <c r="BA45" s="368"/>
      <c r="BB45" s="368"/>
      <c r="BC45" s="368"/>
      <c r="BD45" s="368"/>
      <c r="BE45" s="368"/>
      <c r="BF45" s="368"/>
      <c r="BG45" s="368"/>
      <c r="BH45" s="368"/>
      <c r="BI45" s="368"/>
      <c r="BJ45" s="368"/>
      <c r="BK45" s="368"/>
      <c r="BL45" s="368"/>
      <c r="BM45" s="368"/>
      <c r="BN45" s="368"/>
    </row>
    <row r="46" spans="1:66" ht="18">
      <c r="A46" s="81" t="s">
        <v>199</v>
      </c>
      <c r="B46" s="80" t="s">
        <v>210</v>
      </c>
      <c r="C46" s="145" t="s">
        <v>5</v>
      </c>
      <c r="D46" s="145" t="s">
        <v>6</v>
      </c>
      <c r="E46" s="146" t="s">
        <v>42</v>
      </c>
      <c r="F46" s="145" t="s">
        <v>5</v>
      </c>
      <c r="G46" s="145" t="s">
        <v>6</v>
      </c>
      <c r="H46" s="146" t="s">
        <v>42</v>
      </c>
      <c r="I46" s="145" t="s">
        <v>5</v>
      </c>
      <c r="J46" s="145" t="s">
        <v>6</v>
      </c>
      <c r="K46" s="146" t="s">
        <v>42</v>
      </c>
      <c r="L46" s="145" t="s">
        <v>5</v>
      </c>
      <c r="M46" s="145" t="s">
        <v>6</v>
      </c>
      <c r="N46" s="146" t="s">
        <v>42</v>
      </c>
      <c r="O46" s="145" t="s">
        <v>5</v>
      </c>
      <c r="P46" s="145" t="s">
        <v>6</v>
      </c>
      <c r="Q46" s="146" t="s">
        <v>42</v>
      </c>
      <c r="R46" s="145" t="s">
        <v>5</v>
      </c>
      <c r="S46" s="145" t="s">
        <v>6</v>
      </c>
      <c r="T46" s="146" t="s">
        <v>42</v>
      </c>
      <c r="U46" s="145" t="s">
        <v>5</v>
      </c>
      <c r="V46" s="145" t="s">
        <v>6</v>
      </c>
      <c r="W46" s="146" t="s">
        <v>42</v>
      </c>
      <c r="X46" s="145" t="s">
        <v>5</v>
      </c>
      <c r="Y46" s="145" t="s">
        <v>6</v>
      </c>
      <c r="Z46" s="146" t="s">
        <v>42</v>
      </c>
      <c r="AA46" s="145" t="s">
        <v>5</v>
      </c>
      <c r="AB46" s="145" t="s">
        <v>6</v>
      </c>
      <c r="AC46" s="146" t="s">
        <v>42</v>
      </c>
      <c r="AD46" s="145" t="s">
        <v>5</v>
      </c>
      <c r="AE46" s="145" t="s">
        <v>6</v>
      </c>
      <c r="AF46" s="146" t="s">
        <v>42</v>
      </c>
      <c r="AG46" s="82"/>
      <c r="AH46" s="319" t="s">
        <v>65</v>
      </c>
      <c r="AI46" s="320"/>
      <c r="AJ46" s="82"/>
      <c r="AK46" s="369">
        <v>2016</v>
      </c>
      <c r="AL46" s="369"/>
      <c r="AM46" s="373"/>
      <c r="AN46" s="372">
        <v>2017</v>
      </c>
      <c r="AO46" s="369"/>
      <c r="AP46" s="373"/>
      <c r="AQ46" s="369">
        <v>2018</v>
      </c>
      <c r="AR46" s="369"/>
      <c r="AS46" s="373"/>
      <c r="AT46" s="369">
        <v>2019</v>
      </c>
      <c r="AU46" s="369"/>
      <c r="AV46" s="373"/>
      <c r="AW46" s="369">
        <v>2020</v>
      </c>
      <c r="AX46" s="369"/>
      <c r="AY46" s="373"/>
      <c r="AZ46" s="369">
        <v>2021</v>
      </c>
      <c r="BA46" s="369"/>
      <c r="BB46" s="373"/>
      <c r="BC46" s="372">
        <v>2022</v>
      </c>
      <c r="BD46" s="369"/>
      <c r="BE46" s="373"/>
      <c r="BF46" s="369">
        <v>2023</v>
      </c>
      <c r="BG46" s="369"/>
      <c r="BH46" s="373"/>
      <c r="BI46" s="369">
        <v>2024</v>
      </c>
      <c r="BJ46" s="369"/>
      <c r="BK46" s="373"/>
      <c r="BL46" s="369">
        <v>2025</v>
      </c>
      <c r="BM46" s="369"/>
      <c r="BN46" s="373"/>
    </row>
    <row r="47" spans="1:66">
      <c r="A47" s="69" t="s">
        <v>159</v>
      </c>
      <c r="B47" s="71" t="s">
        <v>162</v>
      </c>
      <c r="C47" s="101">
        <v>25.555555555555554</v>
      </c>
      <c r="D47" s="101">
        <v>22.093023255813954</v>
      </c>
      <c r="E47" s="101">
        <v>25.136612021857925</v>
      </c>
      <c r="F47" t="e">
        <f>1/0</f>
        <v>#DIV/0!</v>
      </c>
      <c r="G47" t="e">
        <f t="shared" ref="G47:AF57" si="0">1/0</f>
        <v>#DIV/0!</v>
      </c>
      <c r="H47" t="e">
        <f t="shared" si="0"/>
        <v>#DIV/0!</v>
      </c>
      <c r="I47" t="e">
        <f t="shared" si="0"/>
        <v>#DIV/0!</v>
      </c>
      <c r="J47" t="e">
        <f t="shared" si="0"/>
        <v>#DIV/0!</v>
      </c>
      <c r="K47" t="e">
        <f t="shared" si="0"/>
        <v>#DIV/0!</v>
      </c>
      <c r="L47" t="e">
        <f t="shared" si="0"/>
        <v>#DIV/0!</v>
      </c>
      <c r="M47" t="e">
        <f t="shared" si="0"/>
        <v>#DIV/0!</v>
      </c>
      <c r="N47" t="e">
        <f t="shared" si="0"/>
        <v>#DIV/0!</v>
      </c>
      <c r="O47" t="e">
        <f t="shared" si="0"/>
        <v>#DIV/0!</v>
      </c>
      <c r="P47" t="e">
        <f t="shared" si="0"/>
        <v>#DIV/0!</v>
      </c>
      <c r="Q47" t="e">
        <f t="shared" si="0"/>
        <v>#DIV/0!</v>
      </c>
      <c r="R47" t="e">
        <f t="shared" si="0"/>
        <v>#DIV/0!</v>
      </c>
      <c r="S47" t="e">
        <f t="shared" si="0"/>
        <v>#DIV/0!</v>
      </c>
      <c r="T47" t="e">
        <f t="shared" si="0"/>
        <v>#DIV/0!</v>
      </c>
      <c r="U47" t="e">
        <f t="shared" si="0"/>
        <v>#DIV/0!</v>
      </c>
      <c r="V47" t="e">
        <f t="shared" si="0"/>
        <v>#DIV/0!</v>
      </c>
      <c r="W47" t="e">
        <f t="shared" si="0"/>
        <v>#DIV/0!</v>
      </c>
      <c r="X47" t="e">
        <f t="shared" si="0"/>
        <v>#DIV/0!</v>
      </c>
      <c r="Y47" t="e">
        <f t="shared" si="0"/>
        <v>#DIV/0!</v>
      </c>
      <c r="Z47" t="e">
        <f t="shared" si="0"/>
        <v>#DIV/0!</v>
      </c>
      <c r="AA47" t="e">
        <f t="shared" si="0"/>
        <v>#DIV/0!</v>
      </c>
      <c r="AB47" t="e">
        <f t="shared" si="0"/>
        <v>#DIV/0!</v>
      </c>
      <c r="AC47" t="e">
        <f t="shared" si="0"/>
        <v>#DIV/0!</v>
      </c>
      <c r="AD47" t="e">
        <f t="shared" si="0"/>
        <v>#DIV/0!</v>
      </c>
      <c r="AE47" t="e">
        <f t="shared" si="0"/>
        <v>#DIV/0!</v>
      </c>
      <c r="AF47" t="e">
        <f t="shared" si="0"/>
        <v>#DIV/0!</v>
      </c>
      <c r="AG47" s="82"/>
      <c r="AH47" s="56" t="s">
        <v>61</v>
      </c>
      <c r="AI47" s="56" t="s">
        <v>62</v>
      </c>
      <c r="AJ47" s="82"/>
      <c r="AK47" s="101">
        <f>$C$47</f>
        <v>25.555555555555554</v>
      </c>
      <c r="AL47" s="101">
        <f>$D$47</f>
        <v>22.093023255813954</v>
      </c>
      <c r="AM47" s="101">
        <f>$E$47</f>
        <v>25.136612021857925</v>
      </c>
      <c r="AN47" s="101" t="e">
        <f>$F$47</f>
        <v>#DIV/0!</v>
      </c>
      <c r="AO47" s="101" t="e">
        <f>$G$47</f>
        <v>#DIV/0!</v>
      </c>
      <c r="AP47" s="101" t="e">
        <f>$H$47</f>
        <v>#DIV/0!</v>
      </c>
      <c r="AQ47" s="101" t="e">
        <f>$I$47</f>
        <v>#DIV/0!</v>
      </c>
      <c r="AR47" s="101" t="e">
        <f>$J$47</f>
        <v>#DIV/0!</v>
      </c>
      <c r="AS47" s="101" t="e">
        <f>$K$47</f>
        <v>#DIV/0!</v>
      </c>
      <c r="AT47" s="101" t="e">
        <f>$L$47</f>
        <v>#DIV/0!</v>
      </c>
      <c r="AU47" s="101" t="e">
        <f>$M$47</f>
        <v>#DIV/0!</v>
      </c>
      <c r="AV47" s="101" t="e">
        <f>$N$47</f>
        <v>#DIV/0!</v>
      </c>
      <c r="AW47" s="101" t="e">
        <f>$O$47</f>
        <v>#DIV/0!</v>
      </c>
      <c r="AX47" s="101" t="e">
        <f>$P$47</f>
        <v>#DIV/0!</v>
      </c>
      <c r="AY47" s="101" t="e">
        <f>$Q$47</f>
        <v>#DIV/0!</v>
      </c>
      <c r="AZ47" s="101" t="e">
        <f>$R$47</f>
        <v>#DIV/0!</v>
      </c>
      <c r="BA47" s="101" t="e">
        <f>$S$47</f>
        <v>#DIV/0!</v>
      </c>
      <c r="BB47" s="101" t="e">
        <f>$T$47</f>
        <v>#DIV/0!</v>
      </c>
      <c r="BC47" s="101" t="e">
        <f>$U$47</f>
        <v>#DIV/0!</v>
      </c>
      <c r="BD47" s="101" t="e">
        <f>$V$47</f>
        <v>#DIV/0!</v>
      </c>
      <c r="BE47" s="101" t="e">
        <f>$W$47</f>
        <v>#DIV/0!</v>
      </c>
      <c r="BF47" s="101" t="e">
        <f>$X$47</f>
        <v>#DIV/0!</v>
      </c>
      <c r="BG47" s="101" t="e">
        <f>$Y$47</f>
        <v>#DIV/0!</v>
      </c>
      <c r="BH47" s="101" t="e">
        <f>$Z$47</f>
        <v>#DIV/0!</v>
      </c>
      <c r="BI47" s="101" t="e">
        <f>$AA$47</f>
        <v>#DIV/0!</v>
      </c>
      <c r="BJ47" s="101" t="e">
        <f>$AB$47</f>
        <v>#DIV/0!</v>
      </c>
      <c r="BK47" s="101" t="e">
        <f>$AC$47</f>
        <v>#DIV/0!</v>
      </c>
      <c r="BL47" s="101" t="e">
        <f>$AD$47</f>
        <v>#DIV/0!</v>
      </c>
      <c r="BM47" s="101" t="e">
        <f>$AE$47</f>
        <v>#DIV/0!</v>
      </c>
      <c r="BN47" s="101" t="e">
        <f>$AF$47</f>
        <v>#DIV/0!</v>
      </c>
    </row>
    <row r="48" spans="1:66">
      <c r="A48" s="68" t="s">
        <v>194</v>
      </c>
      <c r="B48" s="71" t="s">
        <v>188</v>
      </c>
      <c r="C48" s="101">
        <v>22.627737226277372</v>
      </c>
      <c r="D48" s="101">
        <v>24.060150375939848</v>
      </c>
      <c r="E48" s="101">
        <v>23.465703971119133</v>
      </c>
      <c r="F48" t="e">
        <f t="shared" ref="F48:U94" si="1">1/0</f>
        <v>#DIV/0!</v>
      </c>
      <c r="G48" t="e">
        <f t="shared" si="1"/>
        <v>#DIV/0!</v>
      </c>
      <c r="H48" t="e">
        <f t="shared" si="1"/>
        <v>#DIV/0!</v>
      </c>
      <c r="I48" t="e">
        <f t="shared" si="1"/>
        <v>#DIV/0!</v>
      </c>
      <c r="J48" t="e">
        <f t="shared" si="1"/>
        <v>#DIV/0!</v>
      </c>
      <c r="K48" t="e">
        <f t="shared" si="1"/>
        <v>#DIV/0!</v>
      </c>
      <c r="L48" t="e">
        <f t="shared" si="1"/>
        <v>#DIV/0!</v>
      </c>
      <c r="M48" t="e">
        <f t="shared" si="1"/>
        <v>#DIV/0!</v>
      </c>
      <c r="N48" t="e">
        <f t="shared" si="1"/>
        <v>#DIV/0!</v>
      </c>
      <c r="O48" t="e">
        <f t="shared" si="1"/>
        <v>#DIV/0!</v>
      </c>
      <c r="P48" t="e">
        <f t="shared" si="1"/>
        <v>#DIV/0!</v>
      </c>
      <c r="Q48" t="e">
        <f t="shared" si="1"/>
        <v>#DIV/0!</v>
      </c>
      <c r="R48" t="e">
        <f t="shared" si="1"/>
        <v>#DIV/0!</v>
      </c>
      <c r="S48" t="e">
        <f t="shared" si="1"/>
        <v>#DIV/0!</v>
      </c>
      <c r="T48" t="e">
        <f t="shared" si="1"/>
        <v>#DIV/0!</v>
      </c>
      <c r="U48" t="e">
        <f t="shared" si="1"/>
        <v>#DIV/0!</v>
      </c>
      <c r="V48" t="e">
        <f t="shared" si="0"/>
        <v>#DIV/0!</v>
      </c>
      <c r="W48" t="e">
        <f t="shared" si="0"/>
        <v>#DIV/0!</v>
      </c>
      <c r="X48" t="e">
        <f t="shared" si="0"/>
        <v>#DIV/0!</v>
      </c>
      <c r="Y48" t="e">
        <f t="shared" si="0"/>
        <v>#DIV/0!</v>
      </c>
      <c r="Z48" t="e">
        <f t="shared" si="0"/>
        <v>#DIV/0!</v>
      </c>
      <c r="AA48" t="e">
        <f t="shared" si="0"/>
        <v>#DIV/0!</v>
      </c>
      <c r="AB48" t="e">
        <f t="shared" si="0"/>
        <v>#DIV/0!</v>
      </c>
      <c r="AC48" t="e">
        <f t="shared" si="0"/>
        <v>#DIV/0!</v>
      </c>
      <c r="AD48" t="e">
        <f t="shared" si="0"/>
        <v>#DIV/0!</v>
      </c>
      <c r="AE48" t="e">
        <f t="shared" si="0"/>
        <v>#DIV/0!</v>
      </c>
      <c r="AF48" t="e">
        <f t="shared" si="0"/>
        <v>#DIV/0!</v>
      </c>
      <c r="AG48" s="82"/>
      <c r="AH48" s="244" t="s">
        <v>392</v>
      </c>
      <c r="AI48" s="244" t="s">
        <v>448</v>
      </c>
      <c r="AJ48" s="82"/>
      <c r="AK48" s="101">
        <f>$C$48</f>
        <v>22.627737226277372</v>
      </c>
      <c r="AL48" s="101">
        <f>$D$48</f>
        <v>24.060150375939848</v>
      </c>
      <c r="AM48" s="101">
        <f>$E$48</f>
        <v>23.465703971119133</v>
      </c>
      <c r="AN48" s="101" t="e">
        <f>$F$48</f>
        <v>#DIV/0!</v>
      </c>
      <c r="AO48" s="101" t="e">
        <f>$G$48</f>
        <v>#DIV/0!</v>
      </c>
      <c r="AP48" s="101" t="e">
        <f>$H$48</f>
        <v>#DIV/0!</v>
      </c>
      <c r="AQ48" s="101" t="e">
        <f>$I$48</f>
        <v>#DIV/0!</v>
      </c>
      <c r="AR48" s="101" t="e">
        <f>$J$48</f>
        <v>#DIV/0!</v>
      </c>
      <c r="AS48" s="101" t="e">
        <f>$K$48</f>
        <v>#DIV/0!</v>
      </c>
      <c r="AT48" s="101" t="e">
        <f>$L$48</f>
        <v>#DIV/0!</v>
      </c>
      <c r="AU48" s="101" t="e">
        <f>$M$48</f>
        <v>#DIV/0!</v>
      </c>
      <c r="AV48" s="101" t="e">
        <f>$N$48</f>
        <v>#DIV/0!</v>
      </c>
      <c r="AW48" s="101" t="e">
        <f>$O$48</f>
        <v>#DIV/0!</v>
      </c>
      <c r="AX48" s="101" t="e">
        <f>$P$48</f>
        <v>#DIV/0!</v>
      </c>
      <c r="AY48" s="101" t="e">
        <f>$Q$48</f>
        <v>#DIV/0!</v>
      </c>
      <c r="AZ48" s="101" t="e">
        <f>$R$48</f>
        <v>#DIV/0!</v>
      </c>
      <c r="BA48" s="101" t="e">
        <f>$S$48</f>
        <v>#DIV/0!</v>
      </c>
      <c r="BB48" s="101" t="e">
        <f>$T$48</f>
        <v>#DIV/0!</v>
      </c>
      <c r="BC48" s="101" t="e">
        <f>$U$48</f>
        <v>#DIV/0!</v>
      </c>
      <c r="BD48" s="101" t="e">
        <f>$V$48</f>
        <v>#DIV/0!</v>
      </c>
      <c r="BE48" s="101" t="e">
        <f>$W$48</f>
        <v>#DIV/0!</v>
      </c>
      <c r="BF48" s="101" t="e">
        <f>$X$48</f>
        <v>#DIV/0!</v>
      </c>
      <c r="BG48" s="101" t="e">
        <f>$Y$48</f>
        <v>#DIV/0!</v>
      </c>
      <c r="BH48" s="101" t="e">
        <f>$Z$48</f>
        <v>#DIV/0!</v>
      </c>
      <c r="BI48" s="101" t="e">
        <f>$AA$48</f>
        <v>#DIV/0!</v>
      </c>
      <c r="BJ48" s="101" t="e">
        <f>$AB$48</f>
        <v>#DIV/0!</v>
      </c>
      <c r="BK48" s="101" t="e">
        <f>$AC$48</f>
        <v>#DIV/0!</v>
      </c>
      <c r="BL48" s="101" t="e">
        <f>$AD$48</f>
        <v>#DIV/0!</v>
      </c>
      <c r="BM48" s="101" t="e">
        <f>$AE$48</f>
        <v>#DIV/0!</v>
      </c>
      <c r="BN48" s="101" t="e">
        <f>$AF$48</f>
        <v>#DIV/0!</v>
      </c>
    </row>
    <row r="49" spans="1:66">
      <c r="A49" s="68" t="s">
        <v>189</v>
      </c>
      <c r="B49" t="s">
        <v>153</v>
      </c>
      <c r="C49" s="100"/>
      <c r="E49" s="101">
        <v>38.181818181818187</v>
      </c>
      <c r="F49" t="e">
        <f t="shared" si="1"/>
        <v>#DIV/0!</v>
      </c>
      <c r="G49" t="e">
        <f t="shared" si="0"/>
        <v>#DIV/0!</v>
      </c>
      <c r="H49" t="e">
        <f t="shared" si="0"/>
        <v>#DIV/0!</v>
      </c>
      <c r="I49" t="e">
        <f t="shared" si="0"/>
        <v>#DIV/0!</v>
      </c>
      <c r="J49" t="e">
        <f t="shared" si="0"/>
        <v>#DIV/0!</v>
      </c>
      <c r="K49" t="e">
        <f t="shared" si="0"/>
        <v>#DIV/0!</v>
      </c>
      <c r="L49" t="e">
        <f t="shared" si="0"/>
        <v>#DIV/0!</v>
      </c>
      <c r="M49" t="e">
        <f t="shared" si="0"/>
        <v>#DIV/0!</v>
      </c>
      <c r="N49" t="e">
        <f t="shared" si="0"/>
        <v>#DIV/0!</v>
      </c>
      <c r="O49" t="e">
        <f t="shared" si="0"/>
        <v>#DIV/0!</v>
      </c>
      <c r="P49" t="e">
        <f t="shared" si="0"/>
        <v>#DIV/0!</v>
      </c>
      <c r="Q49" t="e">
        <f t="shared" si="0"/>
        <v>#DIV/0!</v>
      </c>
      <c r="R49" t="e">
        <f t="shared" si="0"/>
        <v>#DIV/0!</v>
      </c>
      <c r="S49" t="e">
        <f t="shared" si="0"/>
        <v>#DIV/0!</v>
      </c>
      <c r="T49" t="e">
        <f t="shared" si="0"/>
        <v>#DIV/0!</v>
      </c>
      <c r="U49" t="e">
        <f t="shared" si="0"/>
        <v>#DIV/0!</v>
      </c>
      <c r="V49" t="e">
        <f t="shared" si="0"/>
        <v>#DIV/0!</v>
      </c>
      <c r="W49" t="e">
        <f t="shared" si="0"/>
        <v>#DIV/0!</v>
      </c>
      <c r="X49" t="e">
        <f t="shared" si="0"/>
        <v>#DIV/0!</v>
      </c>
      <c r="Y49" t="e">
        <f t="shared" si="0"/>
        <v>#DIV/0!</v>
      </c>
      <c r="Z49" t="e">
        <f t="shared" si="0"/>
        <v>#DIV/0!</v>
      </c>
      <c r="AA49" t="e">
        <f t="shared" si="0"/>
        <v>#DIV/0!</v>
      </c>
      <c r="AB49" t="e">
        <f t="shared" si="0"/>
        <v>#DIV/0!</v>
      </c>
      <c r="AC49" t="e">
        <f t="shared" si="0"/>
        <v>#DIV/0!</v>
      </c>
      <c r="AD49" t="e">
        <f t="shared" si="0"/>
        <v>#DIV/0!</v>
      </c>
      <c r="AE49" t="e">
        <f t="shared" si="0"/>
        <v>#DIV/0!</v>
      </c>
      <c r="AF49" t="e">
        <f t="shared" si="0"/>
        <v>#DIV/0!</v>
      </c>
      <c r="AG49" s="82"/>
      <c r="AH49" s="244" t="s">
        <v>393</v>
      </c>
      <c r="AI49" s="244" t="s">
        <v>449</v>
      </c>
      <c r="AJ49" s="82"/>
      <c r="AK49" s="101">
        <f>$C$49</f>
        <v>0</v>
      </c>
      <c r="AL49" s="101">
        <f>$D$49</f>
        <v>0</v>
      </c>
      <c r="AM49" s="101">
        <f>$E$49</f>
        <v>38.181818181818187</v>
      </c>
      <c r="AN49" s="101" t="e">
        <f>$F$49</f>
        <v>#DIV/0!</v>
      </c>
      <c r="AO49" s="101" t="e">
        <f>$G$49</f>
        <v>#DIV/0!</v>
      </c>
      <c r="AP49" s="101" t="e">
        <f>$H$49</f>
        <v>#DIV/0!</v>
      </c>
      <c r="AQ49" s="101" t="e">
        <f>$I$49</f>
        <v>#DIV/0!</v>
      </c>
      <c r="AR49" s="101" t="e">
        <f>$J$49</f>
        <v>#DIV/0!</v>
      </c>
      <c r="AS49" s="101" t="e">
        <f>$K$49</f>
        <v>#DIV/0!</v>
      </c>
      <c r="AT49" s="101" t="e">
        <f>$L$49</f>
        <v>#DIV/0!</v>
      </c>
      <c r="AU49" s="101" t="e">
        <f>$M$49</f>
        <v>#DIV/0!</v>
      </c>
      <c r="AV49" s="101" t="e">
        <f>$N$49</f>
        <v>#DIV/0!</v>
      </c>
      <c r="AW49" s="101" t="e">
        <f>$O$49</f>
        <v>#DIV/0!</v>
      </c>
      <c r="AX49" s="101" t="e">
        <f>$P$49</f>
        <v>#DIV/0!</v>
      </c>
      <c r="AY49" s="101" t="e">
        <f>$Q$49</f>
        <v>#DIV/0!</v>
      </c>
      <c r="AZ49" s="101" t="e">
        <f>$R$49</f>
        <v>#DIV/0!</v>
      </c>
      <c r="BA49" s="101" t="e">
        <f>$S$49</f>
        <v>#DIV/0!</v>
      </c>
      <c r="BB49" s="101" t="e">
        <f>$T$49</f>
        <v>#DIV/0!</v>
      </c>
      <c r="BC49" s="101" t="e">
        <f>$U$49</f>
        <v>#DIV/0!</v>
      </c>
      <c r="BD49" s="101" t="e">
        <f>$V$49</f>
        <v>#DIV/0!</v>
      </c>
      <c r="BE49" s="101" t="e">
        <f>$W$49</f>
        <v>#DIV/0!</v>
      </c>
      <c r="BF49" s="101" t="e">
        <f>$X$49</f>
        <v>#DIV/0!</v>
      </c>
      <c r="BG49" s="101" t="e">
        <f>$Y$49</f>
        <v>#DIV/0!</v>
      </c>
      <c r="BH49" s="101" t="e">
        <f>$Z$49</f>
        <v>#DIV/0!</v>
      </c>
      <c r="BI49" s="101" t="e">
        <f>$AA$49</f>
        <v>#DIV/0!</v>
      </c>
      <c r="BJ49" s="101" t="e">
        <f>$AB$49</f>
        <v>#DIV/0!</v>
      </c>
      <c r="BK49" s="101" t="e">
        <f>$AC$49</f>
        <v>#DIV/0!</v>
      </c>
      <c r="BL49" s="101" t="e">
        <f>$AD$49</f>
        <v>#DIV/0!</v>
      </c>
      <c r="BM49" s="101" t="e">
        <f>$AE$49</f>
        <v>#DIV/0!</v>
      </c>
      <c r="BN49" s="101" t="e">
        <f>$AF$49</f>
        <v>#DIV/0!</v>
      </c>
    </row>
    <row r="50" spans="1:66">
      <c r="A50" s="69" t="s">
        <v>184</v>
      </c>
      <c r="B50" s="71" t="s">
        <v>188</v>
      </c>
      <c r="C50" s="100"/>
      <c r="E50" s="101">
        <v>18.75</v>
      </c>
      <c r="F50" t="e">
        <f t="shared" si="1"/>
        <v>#DIV/0!</v>
      </c>
      <c r="G50" t="e">
        <f t="shared" si="0"/>
        <v>#DIV/0!</v>
      </c>
      <c r="H50" t="e">
        <f t="shared" si="0"/>
        <v>#DIV/0!</v>
      </c>
      <c r="I50" t="e">
        <f t="shared" si="0"/>
        <v>#DIV/0!</v>
      </c>
      <c r="J50" t="e">
        <f t="shared" si="0"/>
        <v>#DIV/0!</v>
      </c>
      <c r="K50" t="e">
        <f t="shared" si="0"/>
        <v>#DIV/0!</v>
      </c>
      <c r="L50" t="e">
        <f t="shared" si="0"/>
        <v>#DIV/0!</v>
      </c>
      <c r="M50" t="e">
        <f t="shared" si="0"/>
        <v>#DIV/0!</v>
      </c>
      <c r="N50" t="e">
        <f t="shared" si="0"/>
        <v>#DIV/0!</v>
      </c>
      <c r="O50" t="e">
        <f t="shared" si="0"/>
        <v>#DIV/0!</v>
      </c>
      <c r="P50" t="e">
        <f t="shared" si="0"/>
        <v>#DIV/0!</v>
      </c>
      <c r="Q50" t="e">
        <f t="shared" si="0"/>
        <v>#DIV/0!</v>
      </c>
      <c r="R50" t="e">
        <f t="shared" si="0"/>
        <v>#DIV/0!</v>
      </c>
      <c r="S50" t="e">
        <f t="shared" si="0"/>
        <v>#DIV/0!</v>
      </c>
      <c r="T50" t="e">
        <f t="shared" si="0"/>
        <v>#DIV/0!</v>
      </c>
      <c r="U50" t="e">
        <f t="shared" si="0"/>
        <v>#DIV/0!</v>
      </c>
      <c r="V50" t="e">
        <f t="shared" si="0"/>
        <v>#DIV/0!</v>
      </c>
      <c r="W50" t="e">
        <f t="shared" si="0"/>
        <v>#DIV/0!</v>
      </c>
      <c r="X50" t="e">
        <f t="shared" si="0"/>
        <v>#DIV/0!</v>
      </c>
      <c r="Y50" t="e">
        <f t="shared" si="0"/>
        <v>#DIV/0!</v>
      </c>
      <c r="Z50" t="e">
        <f t="shared" si="0"/>
        <v>#DIV/0!</v>
      </c>
      <c r="AA50" t="e">
        <f t="shared" si="0"/>
        <v>#DIV/0!</v>
      </c>
      <c r="AB50" t="e">
        <f t="shared" si="0"/>
        <v>#DIV/0!</v>
      </c>
      <c r="AC50" t="e">
        <f t="shared" si="0"/>
        <v>#DIV/0!</v>
      </c>
      <c r="AD50" t="e">
        <f t="shared" si="0"/>
        <v>#DIV/0!</v>
      </c>
      <c r="AE50" t="e">
        <f t="shared" si="0"/>
        <v>#DIV/0!</v>
      </c>
      <c r="AF50" t="e">
        <f t="shared" si="0"/>
        <v>#DIV/0!</v>
      </c>
      <c r="AG50" s="82"/>
      <c r="AH50" s="244" t="s">
        <v>394</v>
      </c>
      <c r="AI50" s="244" t="s">
        <v>450</v>
      </c>
      <c r="AJ50" s="82"/>
      <c r="AK50" s="101">
        <f>$C$50</f>
        <v>0</v>
      </c>
      <c r="AL50" s="101">
        <f>$D$50</f>
        <v>0</v>
      </c>
      <c r="AM50" s="101">
        <f>$E$50</f>
        <v>18.75</v>
      </c>
      <c r="AN50" s="101" t="e">
        <f>$F$50</f>
        <v>#DIV/0!</v>
      </c>
      <c r="AO50" s="101" t="e">
        <f>$G$50</f>
        <v>#DIV/0!</v>
      </c>
      <c r="AP50" s="101" t="e">
        <f>$H$50</f>
        <v>#DIV/0!</v>
      </c>
      <c r="AQ50" s="101" t="e">
        <f>$I$50</f>
        <v>#DIV/0!</v>
      </c>
      <c r="AR50" s="101" t="e">
        <f>$J$50</f>
        <v>#DIV/0!</v>
      </c>
      <c r="AS50" s="101" t="e">
        <f>$K$50</f>
        <v>#DIV/0!</v>
      </c>
      <c r="AT50" s="101" t="e">
        <f>$L$50</f>
        <v>#DIV/0!</v>
      </c>
      <c r="AU50" s="101" t="e">
        <f>$M$50</f>
        <v>#DIV/0!</v>
      </c>
      <c r="AV50" s="101" t="e">
        <f>$N$50</f>
        <v>#DIV/0!</v>
      </c>
      <c r="AW50" s="101" t="e">
        <f>$O$50</f>
        <v>#DIV/0!</v>
      </c>
      <c r="AX50" s="101" t="e">
        <f>$P$50</f>
        <v>#DIV/0!</v>
      </c>
      <c r="AY50" s="101" t="e">
        <f>$Q$50</f>
        <v>#DIV/0!</v>
      </c>
      <c r="AZ50" s="101" t="e">
        <f>$R$50</f>
        <v>#DIV/0!</v>
      </c>
      <c r="BA50" s="101" t="e">
        <f>$S$50</f>
        <v>#DIV/0!</v>
      </c>
      <c r="BB50" s="101" t="e">
        <f>$T$50</f>
        <v>#DIV/0!</v>
      </c>
      <c r="BC50" s="101" t="e">
        <f>$U$50</f>
        <v>#DIV/0!</v>
      </c>
      <c r="BD50" s="101" t="e">
        <f>$V$50</f>
        <v>#DIV/0!</v>
      </c>
      <c r="BE50" s="101" t="e">
        <f>$W$50</f>
        <v>#DIV/0!</v>
      </c>
      <c r="BF50" s="101" t="e">
        <f>$X$50</f>
        <v>#DIV/0!</v>
      </c>
      <c r="BG50" s="101" t="e">
        <f>$Y$50</f>
        <v>#DIV/0!</v>
      </c>
      <c r="BH50" s="101" t="e">
        <f>$Z$50</f>
        <v>#DIV/0!</v>
      </c>
      <c r="BI50" s="101" t="e">
        <f>$AA$50</f>
        <v>#DIV/0!</v>
      </c>
      <c r="BJ50" s="101" t="e">
        <f>$AB$50</f>
        <v>#DIV/0!</v>
      </c>
      <c r="BK50" s="101" t="e">
        <f>$AC$50</f>
        <v>#DIV/0!</v>
      </c>
      <c r="BL50" s="101" t="e">
        <f>$AD$50</f>
        <v>#DIV/0!</v>
      </c>
      <c r="BM50" s="101" t="e">
        <f>$AE$50</f>
        <v>#DIV/0!</v>
      </c>
      <c r="BN50" s="101" t="e">
        <f>$AF$50</f>
        <v>#DIV/0!</v>
      </c>
    </row>
    <row r="51" spans="1:66">
      <c r="A51" s="69" t="s">
        <v>182</v>
      </c>
      <c r="B51" s="71" t="s">
        <v>188</v>
      </c>
      <c r="C51" s="100"/>
      <c r="E51" s="101">
        <v>25.714285714285712</v>
      </c>
      <c r="F51" t="e">
        <f t="shared" si="1"/>
        <v>#DIV/0!</v>
      </c>
      <c r="G51" t="e">
        <f t="shared" si="0"/>
        <v>#DIV/0!</v>
      </c>
      <c r="H51" t="e">
        <f t="shared" si="0"/>
        <v>#DIV/0!</v>
      </c>
      <c r="I51" t="e">
        <f t="shared" si="0"/>
        <v>#DIV/0!</v>
      </c>
      <c r="J51" t="e">
        <f t="shared" si="0"/>
        <v>#DIV/0!</v>
      </c>
      <c r="K51" t="e">
        <f t="shared" si="0"/>
        <v>#DIV/0!</v>
      </c>
      <c r="L51" t="e">
        <f t="shared" si="0"/>
        <v>#DIV/0!</v>
      </c>
      <c r="M51" t="e">
        <f t="shared" si="0"/>
        <v>#DIV/0!</v>
      </c>
      <c r="N51" t="e">
        <f t="shared" si="0"/>
        <v>#DIV/0!</v>
      </c>
      <c r="O51" t="e">
        <f t="shared" si="0"/>
        <v>#DIV/0!</v>
      </c>
      <c r="P51" t="e">
        <f t="shared" si="0"/>
        <v>#DIV/0!</v>
      </c>
      <c r="Q51" t="e">
        <f t="shared" si="0"/>
        <v>#DIV/0!</v>
      </c>
      <c r="R51" t="e">
        <f t="shared" si="0"/>
        <v>#DIV/0!</v>
      </c>
      <c r="S51" t="e">
        <f t="shared" si="0"/>
        <v>#DIV/0!</v>
      </c>
      <c r="T51" t="e">
        <f t="shared" si="0"/>
        <v>#DIV/0!</v>
      </c>
      <c r="U51" t="e">
        <f t="shared" si="0"/>
        <v>#DIV/0!</v>
      </c>
      <c r="V51" t="e">
        <f t="shared" si="0"/>
        <v>#DIV/0!</v>
      </c>
      <c r="W51" t="e">
        <f t="shared" si="0"/>
        <v>#DIV/0!</v>
      </c>
      <c r="X51" t="e">
        <f t="shared" si="0"/>
        <v>#DIV/0!</v>
      </c>
      <c r="Y51" t="e">
        <f t="shared" si="0"/>
        <v>#DIV/0!</v>
      </c>
      <c r="Z51" t="e">
        <f t="shared" si="0"/>
        <v>#DIV/0!</v>
      </c>
      <c r="AA51" t="e">
        <f t="shared" si="0"/>
        <v>#DIV/0!</v>
      </c>
      <c r="AB51" t="e">
        <f t="shared" si="0"/>
        <v>#DIV/0!</v>
      </c>
      <c r="AC51" t="e">
        <f t="shared" si="0"/>
        <v>#DIV/0!</v>
      </c>
      <c r="AD51" t="e">
        <f t="shared" si="0"/>
        <v>#DIV/0!</v>
      </c>
      <c r="AE51" t="e">
        <f t="shared" si="0"/>
        <v>#DIV/0!</v>
      </c>
      <c r="AF51" t="e">
        <f t="shared" si="0"/>
        <v>#DIV/0!</v>
      </c>
      <c r="AG51" s="82"/>
      <c r="AH51" s="244" t="s">
        <v>434</v>
      </c>
      <c r="AI51" s="244" t="s">
        <v>451</v>
      </c>
      <c r="AJ51" s="82"/>
      <c r="AK51" s="101">
        <f>$C$51</f>
        <v>0</v>
      </c>
      <c r="AL51" s="101">
        <f>$D$51</f>
        <v>0</v>
      </c>
      <c r="AM51" s="101">
        <f>$E$51</f>
        <v>25.714285714285712</v>
      </c>
      <c r="AN51" s="101" t="e">
        <f>$F$51</f>
        <v>#DIV/0!</v>
      </c>
      <c r="AO51" s="101" t="e">
        <f>$G$51</f>
        <v>#DIV/0!</v>
      </c>
      <c r="AP51" s="101" t="e">
        <f>$H$51</f>
        <v>#DIV/0!</v>
      </c>
      <c r="AQ51" s="101" t="e">
        <f>$I$51</f>
        <v>#DIV/0!</v>
      </c>
      <c r="AR51" s="101" t="e">
        <f>$J$51</f>
        <v>#DIV/0!</v>
      </c>
      <c r="AS51" s="101" t="e">
        <f>$K$51</f>
        <v>#DIV/0!</v>
      </c>
      <c r="AT51" s="101" t="e">
        <f>$L$51</f>
        <v>#DIV/0!</v>
      </c>
      <c r="AU51" s="101" t="e">
        <f>$M$51</f>
        <v>#DIV/0!</v>
      </c>
      <c r="AV51" s="101" t="e">
        <f>$N$51</f>
        <v>#DIV/0!</v>
      </c>
      <c r="AW51" s="101" t="e">
        <f>$O$51</f>
        <v>#DIV/0!</v>
      </c>
      <c r="AX51" s="101" t="e">
        <f>$P$51</f>
        <v>#DIV/0!</v>
      </c>
      <c r="AY51" s="101" t="e">
        <f>$Q$51</f>
        <v>#DIV/0!</v>
      </c>
      <c r="AZ51" s="101" t="e">
        <f>$R$51</f>
        <v>#DIV/0!</v>
      </c>
      <c r="BA51" s="101" t="e">
        <f>$S$51</f>
        <v>#DIV/0!</v>
      </c>
      <c r="BB51" s="101" t="e">
        <f>$T$51</f>
        <v>#DIV/0!</v>
      </c>
      <c r="BC51" s="101" t="e">
        <f>$U$51</f>
        <v>#DIV/0!</v>
      </c>
      <c r="BD51" s="101" t="e">
        <f>$V$51</f>
        <v>#DIV/0!</v>
      </c>
      <c r="BE51" s="101" t="e">
        <f>$W$51</f>
        <v>#DIV/0!</v>
      </c>
      <c r="BF51" s="101" t="e">
        <f>$X$51</f>
        <v>#DIV/0!</v>
      </c>
      <c r="BG51" s="101" t="e">
        <f>$Y$51</f>
        <v>#DIV/0!</v>
      </c>
      <c r="BH51" s="101" t="e">
        <f>$Z$51</f>
        <v>#DIV/0!</v>
      </c>
      <c r="BI51" s="101" t="e">
        <f>$AA$51</f>
        <v>#DIV/0!</v>
      </c>
      <c r="BJ51" s="101" t="e">
        <f>$AB$51</f>
        <v>#DIV/0!</v>
      </c>
      <c r="BK51" s="101" t="e">
        <f>$AC$51</f>
        <v>#DIV/0!</v>
      </c>
      <c r="BL51" s="101" t="e">
        <f>$AD$51</f>
        <v>#DIV/0!</v>
      </c>
      <c r="BM51" s="101" t="e">
        <f>$AE$51</f>
        <v>#DIV/0!</v>
      </c>
      <c r="BN51" s="101" t="e">
        <f>$AF$51</f>
        <v>#DIV/0!</v>
      </c>
    </row>
    <row r="52" spans="1:66">
      <c r="A52" s="69" t="s">
        <v>164</v>
      </c>
      <c r="B52" s="71" t="s">
        <v>178</v>
      </c>
      <c r="C52" s="101">
        <v>40.963855421686745</v>
      </c>
      <c r="D52" s="101">
        <v>33.663366336633665</v>
      </c>
      <c r="E52" s="101">
        <v>36.756756756756758</v>
      </c>
      <c r="F52" t="e">
        <f t="shared" si="1"/>
        <v>#DIV/0!</v>
      </c>
      <c r="G52" t="e">
        <f t="shared" si="0"/>
        <v>#DIV/0!</v>
      </c>
      <c r="H52" t="e">
        <f t="shared" si="0"/>
        <v>#DIV/0!</v>
      </c>
      <c r="I52" t="e">
        <f t="shared" si="0"/>
        <v>#DIV/0!</v>
      </c>
      <c r="J52" t="e">
        <f t="shared" si="0"/>
        <v>#DIV/0!</v>
      </c>
      <c r="K52" t="e">
        <f t="shared" si="0"/>
        <v>#DIV/0!</v>
      </c>
      <c r="L52" t="e">
        <f t="shared" si="0"/>
        <v>#DIV/0!</v>
      </c>
      <c r="M52" t="e">
        <f t="shared" si="0"/>
        <v>#DIV/0!</v>
      </c>
      <c r="N52" t="e">
        <f t="shared" si="0"/>
        <v>#DIV/0!</v>
      </c>
      <c r="O52" t="e">
        <f t="shared" si="0"/>
        <v>#DIV/0!</v>
      </c>
      <c r="P52" t="e">
        <f t="shared" si="0"/>
        <v>#DIV/0!</v>
      </c>
      <c r="Q52" t="e">
        <f t="shared" si="0"/>
        <v>#DIV/0!</v>
      </c>
      <c r="R52" t="e">
        <f t="shared" si="0"/>
        <v>#DIV/0!</v>
      </c>
      <c r="S52" t="e">
        <f t="shared" si="0"/>
        <v>#DIV/0!</v>
      </c>
      <c r="T52" t="e">
        <f t="shared" si="0"/>
        <v>#DIV/0!</v>
      </c>
      <c r="U52" t="e">
        <f t="shared" si="0"/>
        <v>#DIV/0!</v>
      </c>
      <c r="V52" t="e">
        <f t="shared" si="0"/>
        <v>#DIV/0!</v>
      </c>
      <c r="W52" t="e">
        <f t="shared" si="0"/>
        <v>#DIV/0!</v>
      </c>
      <c r="X52" t="e">
        <f t="shared" si="0"/>
        <v>#DIV/0!</v>
      </c>
      <c r="Y52" t="e">
        <f t="shared" si="0"/>
        <v>#DIV/0!</v>
      </c>
      <c r="Z52" t="e">
        <f t="shared" si="0"/>
        <v>#DIV/0!</v>
      </c>
      <c r="AA52" t="e">
        <f t="shared" si="0"/>
        <v>#DIV/0!</v>
      </c>
      <c r="AB52" t="e">
        <f t="shared" si="0"/>
        <v>#DIV/0!</v>
      </c>
      <c r="AC52" t="e">
        <f t="shared" si="0"/>
        <v>#DIV/0!</v>
      </c>
      <c r="AD52" t="e">
        <f t="shared" si="0"/>
        <v>#DIV/0!</v>
      </c>
      <c r="AE52" t="e">
        <f t="shared" si="0"/>
        <v>#DIV/0!</v>
      </c>
      <c r="AF52" t="e">
        <f t="shared" si="0"/>
        <v>#DIV/0!</v>
      </c>
      <c r="AG52" s="82"/>
      <c r="AH52" s="244" t="s">
        <v>435</v>
      </c>
      <c r="AI52" s="244" t="s">
        <v>452</v>
      </c>
      <c r="AJ52" s="82"/>
      <c r="AK52" s="101">
        <f>$C$52</f>
        <v>40.963855421686745</v>
      </c>
      <c r="AL52" s="101">
        <f>$D$52</f>
        <v>33.663366336633665</v>
      </c>
      <c r="AM52" s="101">
        <f>$E$52</f>
        <v>36.756756756756758</v>
      </c>
      <c r="AN52" s="101" t="e">
        <f>$F$52</f>
        <v>#DIV/0!</v>
      </c>
      <c r="AO52" s="101" t="e">
        <f>$G$52</f>
        <v>#DIV/0!</v>
      </c>
      <c r="AP52" s="101" t="e">
        <f>$H$52</f>
        <v>#DIV/0!</v>
      </c>
      <c r="AQ52" s="101" t="e">
        <f>$I$52</f>
        <v>#DIV/0!</v>
      </c>
      <c r="AR52" s="101" t="e">
        <f>$J$52</f>
        <v>#DIV/0!</v>
      </c>
      <c r="AS52" s="101" t="e">
        <f>$K$52</f>
        <v>#DIV/0!</v>
      </c>
      <c r="AT52" s="101" t="e">
        <f>$L$52</f>
        <v>#DIV/0!</v>
      </c>
      <c r="AU52" s="101" t="e">
        <f>$M$52</f>
        <v>#DIV/0!</v>
      </c>
      <c r="AV52" s="101" t="e">
        <f>$N$52</f>
        <v>#DIV/0!</v>
      </c>
      <c r="AW52" s="101" t="e">
        <f>$O$52</f>
        <v>#DIV/0!</v>
      </c>
      <c r="AX52" s="101" t="e">
        <f>$P$52</f>
        <v>#DIV/0!</v>
      </c>
      <c r="AY52" s="101" t="e">
        <f>$Q$52</f>
        <v>#DIV/0!</v>
      </c>
      <c r="AZ52" s="101" t="e">
        <f>$R$52</f>
        <v>#DIV/0!</v>
      </c>
      <c r="BA52" s="101" t="e">
        <f>$S$52</f>
        <v>#DIV/0!</v>
      </c>
      <c r="BB52" s="101" t="e">
        <f>$T$52</f>
        <v>#DIV/0!</v>
      </c>
      <c r="BC52" s="101" t="e">
        <f>$U$52</f>
        <v>#DIV/0!</v>
      </c>
      <c r="BD52" s="101" t="e">
        <f>$V$52</f>
        <v>#DIV/0!</v>
      </c>
      <c r="BE52" s="101" t="e">
        <f>$W$52</f>
        <v>#DIV/0!</v>
      </c>
      <c r="BF52" s="101" t="e">
        <f>$X$52</f>
        <v>#DIV/0!</v>
      </c>
      <c r="BG52" s="101" t="e">
        <f>$Y$52</f>
        <v>#DIV/0!</v>
      </c>
      <c r="BH52" s="101" t="e">
        <f>$Z$52</f>
        <v>#DIV/0!</v>
      </c>
      <c r="BI52" s="101" t="e">
        <f>$AA$52</f>
        <v>#DIV/0!</v>
      </c>
      <c r="BJ52" s="101" t="e">
        <f>$AB$52</f>
        <v>#DIV/0!</v>
      </c>
      <c r="BK52" s="101" t="e">
        <f>$AC$52</f>
        <v>#DIV/0!</v>
      </c>
      <c r="BL52" s="101" t="e">
        <f>$AD$52</f>
        <v>#DIV/0!</v>
      </c>
      <c r="BM52" s="101" t="e">
        <f>$AE$52</f>
        <v>#DIV/0!</v>
      </c>
      <c r="BN52" s="101" t="e">
        <f>$AF$52</f>
        <v>#DIV/0!</v>
      </c>
    </row>
    <row r="53" spans="1:66">
      <c r="A53" s="69" t="s">
        <v>154</v>
      </c>
      <c r="B53" s="71" t="s">
        <v>158</v>
      </c>
      <c r="C53" s="101">
        <v>30.892742453436096</v>
      </c>
      <c r="D53" s="101">
        <v>22.847682119205299</v>
      </c>
      <c r="E53" s="101">
        <v>27.058072750478622</v>
      </c>
      <c r="F53" t="e">
        <f t="shared" si="1"/>
        <v>#DIV/0!</v>
      </c>
      <c r="G53" t="e">
        <f t="shared" si="0"/>
        <v>#DIV/0!</v>
      </c>
      <c r="H53" t="e">
        <f t="shared" si="0"/>
        <v>#DIV/0!</v>
      </c>
      <c r="I53" t="e">
        <f t="shared" si="0"/>
        <v>#DIV/0!</v>
      </c>
      <c r="J53" t="e">
        <f t="shared" si="0"/>
        <v>#DIV/0!</v>
      </c>
      <c r="K53" t="e">
        <f t="shared" si="0"/>
        <v>#DIV/0!</v>
      </c>
      <c r="L53" t="e">
        <f t="shared" si="0"/>
        <v>#DIV/0!</v>
      </c>
      <c r="M53" t="e">
        <f t="shared" si="0"/>
        <v>#DIV/0!</v>
      </c>
      <c r="N53" t="e">
        <f t="shared" si="0"/>
        <v>#DIV/0!</v>
      </c>
      <c r="O53" t="e">
        <f t="shared" si="0"/>
        <v>#DIV/0!</v>
      </c>
      <c r="P53" t="e">
        <f t="shared" si="0"/>
        <v>#DIV/0!</v>
      </c>
      <c r="Q53" t="e">
        <f t="shared" si="0"/>
        <v>#DIV/0!</v>
      </c>
      <c r="R53" t="e">
        <f t="shared" si="0"/>
        <v>#DIV/0!</v>
      </c>
      <c r="S53" t="e">
        <f t="shared" si="0"/>
        <v>#DIV/0!</v>
      </c>
      <c r="T53" t="e">
        <f t="shared" si="0"/>
        <v>#DIV/0!</v>
      </c>
      <c r="U53" t="e">
        <f t="shared" si="0"/>
        <v>#DIV/0!</v>
      </c>
      <c r="V53" t="e">
        <f t="shared" si="0"/>
        <v>#DIV/0!</v>
      </c>
      <c r="W53" t="e">
        <f t="shared" si="0"/>
        <v>#DIV/0!</v>
      </c>
      <c r="X53" t="e">
        <f t="shared" si="0"/>
        <v>#DIV/0!</v>
      </c>
      <c r="Y53" t="e">
        <f t="shared" si="0"/>
        <v>#DIV/0!</v>
      </c>
      <c r="Z53" t="e">
        <f t="shared" si="0"/>
        <v>#DIV/0!</v>
      </c>
      <c r="AA53" t="e">
        <f t="shared" si="0"/>
        <v>#DIV/0!</v>
      </c>
      <c r="AB53" t="e">
        <f t="shared" si="0"/>
        <v>#DIV/0!</v>
      </c>
      <c r="AC53" t="e">
        <f t="shared" si="0"/>
        <v>#DIV/0!</v>
      </c>
      <c r="AD53" t="e">
        <f t="shared" si="0"/>
        <v>#DIV/0!</v>
      </c>
      <c r="AE53" t="e">
        <f t="shared" si="0"/>
        <v>#DIV/0!</v>
      </c>
      <c r="AF53" t="e">
        <f t="shared" si="0"/>
        <v>#DIV/0!</v>
      </c>
      <c r="AG53" s="82"/>
      <c r="AH53" s="244" t="s">
        <v>436</v>
      </c>
      <c r="AI53" s="244" t="s">
        <v>453</v>
      </c>
      <c r="AJ53" s="82"/>
      <c r="AK53" s="101">
        <f>$C$53</f>
        <v>30.892742453436096</v>
      </c>
      <c r="AL53" s="101">
        <f>$D$53</f>
        <v>22.847682119205299</v>
      </c>
      <c r="AM53" s="101">
        <f>$E$53</f>
        <v>27.058072750478622</v>
      </c>
      <c r="AN53" s="101" t="e">
        <f>$F$53</f>
        <v>#DIV/0!</v>
      </c>
      <c r="AO53" s="101" t="e">
        <f>$G$53</f>
        <v>#DIV/0!</v>
      </c>
      <c r="AP53" s="101" t="e">
        <f>$H$53</f>
        <v>#DIV/0!</v>
      </c>
      <c r="AQ53" s="101" t="e">
        <f>$I$53</f>
        <v>#DIV/0!</v>
      </c>
      <c r="AR53" s="101" t="e">
        <f>$J$53</f>
        <v>#DIV/0!</v>
      </c>
      <c r="AS53" s="101" t="e">
        <f>$K$53</f>
        <v>#DIV/0!</v>
      </c>
      <c r="AT53" s="101" t="e">
        <f>$L$53</f>
        <v>#DIV/0!</v>
      </c>
      <c r="AU53" s="101" t="e">
        <f>$M$53</f>
        <v>#DIV/0!</v>
      </c>
      <c r="AV53" s="101" t="e">
        <f>$N$53</f>
        <v>#DIV/0!</v>
      </c>
      <c r="AW53" s="101" t="e">
        <f>$O$53</f>
        <v>#DIV/0!</v>
      </c>
      <c r="AX53" s="101" t="e">
        <f>$P$53</f>
        <v>#DIV/0!</v>
      </c>
      <c r="AY53" s="101" t="e">
        <f>$Q$53</f>
        <v>#DIV/0!</v>
      </c>
      <c r="AZ53" s="101" t="e">
        <f>$R$53</f>
        <v>#DIV/0!</v>
      </c>
      <c r="BA53" s="101" t="e">
        <f>$S$53</f>
        <v>#DIV/0!</v>
      </c>
      <c r="BB53" s="101" t="e">
        <f>$T$53</f>
        <v>#DIV/0!</v>
      </c>
      <c r="BC53" s="101" t="e">
        <f>$U$53</f>
        <v>#DIV/0!</v>
      </c>
      <c r="BD53" s="101" t="e">
        <f>$V$53</f>
        <v>#DIV/0!</v>
      </c>
      <c r="BE53" s="101" t="e">
        <f>$W$53</f>
        <v>#DIV/0!</v>
      </c>
      <c r="BF53" s="101" t="e">
        <f>$X$53</f>
        <v>#DIV/0!</v>
      </c>
      <c r="BG53" s="101" t="e">
        <f>$Y$53</f>
        <v>#DIV/0!</v>
      </c>
      <c r="BH53" s="101" t="e">
        <f>$Z$53</f>
        <v>#DIV/0!</v>
      </c>
      <c r="BI53" s="101" t="e">
        <f>$AA$53</f>
        <v>#DIV/0!</v>
      </c>
      <c r="BJ53" s="101" t="e">
        <f>$AB$53</f>
        <v>#DIV/0!</v>
      </c>
      <c r="BK53" s="101" t="e">
        <f>$AC$53</f>
        <v>#DIV/0!</v>
      </c>
      <c r="BL53" s="101" t="e">
        <f>$AD$53</f>
        <v>#DIV/0!</v>
      </c>
      <c r="BM53" s="101" t="e">
        <f>$AE$53</f>
        <v>#DIV/0!</v>
      </c>
      <c r="BN53" s="101" t="e">
        <f>$AF$53</f>
        <v>#DIV/0!</v>
      </c>
    </row>
    <row r="54" spans="1:66">
      <c r="A54" s="69" t="s">
        <v>167</v>
      </c>
      <c r="B54" s="71" t="s">
        <v>178</v>
      </c>
      <c r="C54" s="100"/>
      <c r="E54" s="101">
        <v>28.08988764044944</v>
      </c>
      <c r="F54" t="e">
        <f t="shared" si="1"/>
        <v>#DIV/0!</v>
      </c>
      <c r="G54" t="e">
        <f t="shared" si="0"/>
        <v>#DIV/0!</v>
      </c>
      <c r="H54" t="e">
        <f t="shared" si="0"/>
        <v>#DIV/0!</v>
      </c>
      <c r="I54" t="e">
        <f t="shared" si="0"/>
        <v>#DIV/0!</v>
      </c>
      <c r="J54" t="e">
        <f t="shared" si="0"/>
        <v>#DIV/0!</v>
      </c>
      <c r="K54" t="e">
        <f t="shared" si="0"/>
        <v>#DIV/0!</v>
      </c>
      <c r="L54" t="e">
        <f t="shared" si="0"/>
        <v>#DIV/0!</v>
      </c>
      <c r="M54" t="e">
        <f t="shared" si="0"/>
        <v>#DIV/0!</v>
      </c>
      <c r="N54" t="e">
        <f t="shared" si="0"/>
        <v>#DIV/0!</v>
      </c>
      <c r="O54" t="e">
        <f t="shared" si="0"/>
        <v>#DIV/0!</v>
      </c>
      <c r="P54" t="e">
        <f t="shared" si="0"/>
        <v>#DIV/0!</v>
      </c>
      <c r="Q54" t="e">
        <f t="shared" si="0"/>
        <v>#DIV/0!</v>
      </c>
      <c r="R54" t="e">
        <f t="shared" si="0"/>
        <v>#DIV/0!</v>
      </c>
      <c r="S54" t="e">
        <f t="shared" si="0"/>
        <v>#DIV/0!</v>
      </c>
      <c r="T54" t="e">
        <f t="shared" si="0"/>
        <v>#DIV/0!</v>
      </c>
      <c r="U54" t="e">
        <f t="shared" si="0"/>
        <v>#DIV/0!</v>
      </c>
      <c r="V54" t="e">
        <f t="shared" si="0"/>
        <v>#DIV/0!</v>
      </c>
      <c r="W54" t="e">
        <f t="shared" si="0"/>
        <v>#DIV/0!</v>
      </c>
      <c r="X54" t="e">
        <f t="shared" si="0"/>
        <v>#DIV/0!</v>
      </c>
      <c r="Y54" t="e">
        <f t="shared" si="0"/>
        <v>#DIV/0!</v>
      </c>
      <c r="Z54" t="e">
        <f t="shared" si="0"/>
        <v>#DIV/0!</v>
      </c>
      <c r="AA54" t="e">
        <f t="shared" si="0"/>
        <v>#DIV/0!</v>
      </c>
      <c r="AB54" t="e">
        <f t="shared" si="0"/>
        <v>#DIV/0!</v>
      </c>
      <c r="AC54" t="e">
        <f t="shared" si="0"/>
        <v>#DIV/0!</v>
      </c>
      <c r="AD54" t="e">
        <f t="shared" si="0"/>
        <v>#DIV/0!</v>
      </c>
      <c r="AE54" t="e">
        <f t="shared" si="0"/>
        <v>#DIV/0!</v>
      </c>
      <c r="AF54" t="e">
        <f t="shared" si="0"/>
        <v>#DIV/0!</v>
      </c>
      <c r="AG54" s="82"/>
      <c r="AH54" s="244" t="s">
        <v>437</v>
      </c>
      <c r="AI54" s="245" t="s">
        <v>454</v>
      </c>
      <c r="AJ54" s="82"/>
      <c r="AK54" s="101">
        <f>$C$54</f>
        <v>0</v>
      </c>
      <c r="AL54" s="101">
        <f>$D$54</f>
        <v>0</v>
      </c>
      <c r="AM54" s="101">
        <f>$E$54</f>
        <v>28.08988764044944</v>
      </c>
      <c r="AN54" s="101" t="e">
        <f>$F$54</f>
        <v>#DIV/0!</v>
      </c>
      <c r="AO54" s="101" t="e">
        <f>$G$54</f>
        <v>#DIV/0!</v>
      </c>
      <c r="AP54" s="101" t="e">
        <f>$H$54</f>
        <v>#DIV/0!</v>
      </c>
      <c r="AQ54" s="101" t="e">
        <f>$I$54</f>
        <v>#DIV/0!</v>
      </c>
      <c r="AR54" s="101" t="e">
        <f>$J$54</f>
        <v>#DIV/0!</v>
      </c>
      <c r="AS54" s="101" t="e">
        <f>$K$54</f>
        <v>#DIV/0!</v>
      </c>
      <c r="AT54" s="101" t="e">
        <f>$L$54</f>
        <v>#DIV/0!</v>
      </c>
      <c r="AU54" s="101" t="e">
        <f>$M$54</f>
        <v>#DIV/0!</v>
      </c>
      <c r="AV54" s="101" t="e">
        <f>$N$54</f>
        <v>#DIV/0!</v>
      </c>
      <c r="AW54" s="101" t="e">
        <f>$O$54</f>
        <v>#DIV/0!</v>
      </c>
      <c r="AX54" s="101" t="e">
        <f>$P$54</f>
        <v>#DIV/0!</v>
      </c>
      <c r="AY54" s="101" t="e">
        <f>$Q$54</f>
        <v>#DIV/0!</v>
      </c>
      <c r="AZ54" s="101" t="e">
        <f>$R$54</f>
        <v>#DIV/0!</v>
      </c>
      <c r="BA54" s="101" t="e">
        <f>$S$54</f>
        <v>#DIV/0!</v>
      </c>
      <c r="BB54" s="101" t="e">
        <f>$T$54</f>
        <v>#DIV/0!</v>
      </c>
      <c r="BC54" s="101" t="e">
        <f>$U$54</f>
        <v>#DIV/0!</v>
      </c>
      <c r="BD54" s="101" t="e">
        <f>$V$54</f>
        <v>#DIV/0!</v>
      </c>
      <c r="BE54" s="101" t="e">
        <f>$W$54</f>
        <v>#DIV/0!</v>
      </c>
      <c r="BF54" s="101" t="e">
        <f>$X$54</f>
        <v>#DIV/0!</v>
      </c>
      <c r="BG54" s="101" t="e">
        <f>$Y$54</f>
        <v>#DIV/0!</v>
      </c>
      <c r="BH54" s="101" t="e">
        <f>$Z$54</f>
        <v>#DIV/0!</v>
      </c>
      <c r="BI54" s="101" t="e">
        <f>$AA$54</f>
        <v>#DIV/0!</v>
      </c>
      <c r="BJ54" s="101" t="e">
        <f>$AB$54</f>
        <v>#DIV/0!</v>
      </c>
      <c r="BK54" s="101" t="e">
        <f>$AC$54</f>
        <v>#DIV/0!</v>
      </c>
      <c r="BL54" s="101" t="e">
        <f>$AD$54</f>
        <v>#DIV/0!</v>
      </c>
      <c r="BM54" s="101" t="e">
        <f>$AE$54</f>
        <v>#DIV/0!</v>
      </c>
      <c r="BN54" s="101" t="e">
        <f>$AF$54</f>
        <v>#DIV/0!</v>
      </c>
    </row>
    <row r="55" spans="1:66">
      <c r="A55" s="69" t="s">
        <v>168</v>
      </c>
      <c r="B55" s="71" t="s">
        <v>178</v>
      </c>
      <c r="C55" s="100"/>
      <c r="E55" s="101">
        <v>20.3125</v>
      </c>
      <c r="F55" t="e">
        <f t="shared" si="1"/>
        <v>#DIV/0!</v>
      </c>
      <c r="G55" t="e">
        <f t="shared" si="0"/>
        <v>#DIV/0!</v>
      </c>
      <c r="H55" t="e">
        <f t="shared" si="0"/>
        <v>#DIV/0!</v>
      </c>
      <c r="I55" t="e">
        <f t="shared" si="0"/>
        <v>#DIV/0!</v>
      </c>
      <c r="J55" t="e">
        <f t="shared" si="0"/>
        <v>#DIV/0!</v>
      </c>
      <c r="K55" t="e">
        <f t="shared" si="0"/>
        <v>#DIV/0!</v>
      </c>
      <c r="L55" t="e">
        <f t="shared" si="0"/>
        <v>#DIV/0!</v>
      </c>
      <c r="M55" t="e">
        <f t="shared" si="0"/>
        <v>#DIV/0!</v>
      </c>
      <c r="N55" t="e">
        <f t="shared" si="0"/>
        <v>#DIV/0!</v>
      </c>
      <c r="O55" t="e">
        <f t="shared" si="0"/>
        <v>#DIV/0!</v>
      </c>
      <c r="P55" t="e">
        <f t="shared" si="0"/>
        <v>#DIV/0!</v>
      </c>
      <c r="Q55" t="e">
        <f t="shared" si="0"/>
        <v>#DIV/0!</v>
      </c>
      <c r="R55" t="e">
        <f t="shared" si="0"/>
        <v>#DIV/0!</v>
      </c>
      <c r="S55" t="e">
        <f t="shared" si="0"/>
        <v>#DIV/0!</v>
      </c>
      <c r="T55" t="e">
        <f t="shared" si="0"/>
        <v>#DIV/0!</v>
      </c>
      <c r="U55" t="e">
        <f t="shared" si="0"/>
        <v>#DIV/0!</v>
      </c>
      <c r="V55" t="e">
        <f t="shared" si="0"/>
        <v>#DIV/0!</v>
      </c>
      <c r="W55" t="e">
        <f t="shared" si="0"/>
        <v>#DIV/0!</v>
      </c>
      <c r="X55" t="e">
        <f t="shared" si="0"/>
        <v>#DIV/0!</v>
      </c>
      <c r="Y55" t="e">
        <f t="shared" si="0"/>
        <v>#DIV/0!</v>
      </c>
      <c r="Z55" t="e">
        <f t="shared" si="0"/>
        <v>#DIV/0!</v>
      </c>
      <c r="AA55" t="e">
        <f t="shared" si="0"/>
        <v>#DIV/0!</v>
      </c>
      <c r="AB55" t="e">
        <f t="shared" si="0"/>
        <v>#DIV/0!</v>
      </c>
      <c r="AC55" t="e">
        <f t="shared" si="0"/>
        <v>#DIV/0!</v>
      </c>
      <c r="AD55" t="e">
        <f t="shared" si="0"/>
        <v>#DIV/0!</v>
      </c>
      <c r="AE55" t="e">
        <f t="shared" si="0"/>
        <v>#DIV/0!</v>
      </c>
      <c r="AF55" t="e">
        <f t="shared" si="0"/>
        <v>#DIV/0!</v>
      </c>
      <c r="AG55" s="82"/>
      <c r="AH55" s="244" t="s">
        <v>438</v>
      </c>
      <c r="AI55" s="244" t="s">
        <v>455</v>
      </c>
      <c r="AJ55" s="82"/>
      <c r="AK55" s="101">
        <f>$C$55</f>
        <v>0</v>
      </c>
      <c r="AL55" s="101">
        <f>$D$55</f>
        <v>0</v>
      </c>
      <c r="AM55" s="101">
        <f>$E$55</f>
        <v>20.3125</v>
      </c>
      <c r="AN55" s="101" t="e">
        <f>$F$55</f>
        <v>#DIV/0!</v>
      </c>
      <c r="AO55" s="101" t="e">
        <f>$G$55</f>
        <v>#DIV/0!</v>
      </c>
      <c r="AP55" s="101" t="e">
        <f>$H$55</f>
        <v>#DIV/0!</v>
      </c>
      <c r="AQ55" s="101" t="e">
        <f>$I$55</f>
        <v>#DIV/0!</v>
      </c>
      <c r="AR55" s="101" t="e">
        <f>$J$55</f>
        <v>#DIV/0!</v>
      </c>
      <c r="AS55" s="101" t="e">
        <f>$K$55</f>
        <v>#DIV/0!</v>
      </c>
      <c r="AT55" s="101" t="e">
        <f>$L$55</f>
        <v>#DIV/0!</v>
      </c>
      <c r="AU55" s="101" t="e">
        <f>$M$55</f>
        <v>#DIV/0!</v>
      </c>
      <c r="AV55" s="101" t="e">
        <f>$N$55</f>
        <v>#DIV/0!</v>
      </c>
      <c r="AW55" s="101" t="e">
        <f>$O$55</f>
        <v>#DIV/0!</v>
      </c>
      <c r="AX55" s="101" t="e">
        <f>$P$55</f>
        <v>#DIV/0!</v>
      </c>
      <c r="AY55" s="101" t="e">
        <f>$Q$55</f>
        <v>#DIV/0!</v>
      </c>
      <c r="AZ55" s="101" t="e">
        <f>$R$55</f>
        <v>#DIV/0!</v>
      </c>
      <c r="BA55" s="101" t="e">
        <f>$S$55</f>
        <v>#DIV/0!</v>
      </c>
      <c r="BB55" s="101" t="e">
        <f>$T$55</f>
        <v>#DIV/0!</v>
      </c>
      <c r="BC55" s="101" t="e">
        <f>$U$55</f>
        <v>#DIV/0!</v>
      </c>
      <c r="BD55" s="101" t="e">
        <f>$V$55</f>
        <v>#DIV/0!</v>
      </c>
      <c r="BE55" s="101" t="e">
        <f>$W$55</f>
        <v>#DIV/0!</v>
      </c>
      <c r="BF55" s="101" t="e">
        <f>$X$55</f>
        <v>#DIV/0!</v>
      </c>
      <c r="BG55" s="101" t="e">
        <f>$Y$55</f>
        <v>#DIV/0!</v>
      </c>
      <c r="BH55" s="101" t="e">
        <f>$Z$55</f>
        <v>#DIV/0!</v>
      </c>
      <c r="BI55" s="101" t="e">
        <f>$AA$55</f>
        <v>#DIV/0!</v>
      </c>
      <c r="BJ55" s="101" t="e">
        <f>$AB$55</f>
        <v>#DIV/0!</v>
      </c>
      <c r="BK55" s="101" t="e">
        <f>$AC$55</f>
        <v>#DIV/0!</v>
      </c>
      <c r="BL55" s="101" t="e">
        <f>$AD$55</f>
        <v>#DIV/0!</v>
      </c>
      <c r="BM55" s="101" t="e">
        <f>$AE$55</f>
        <v>#DIV/0!</v>
      </c>
      <c r="BN55" s="101" t="e">
        <f>$AF$55</f>
        <v>#DIV/0!</v>
      </c>
    </row>
    <row r="56" spans="1:66">
      <c r="A56" s="69" t="s">
        <v>169</v>
      </c>
      <c r="B56" s="71" t="s">
        <v>178</v>
      </c>
      <c r="C56" s="100"/>
      <c r="E56" s="101">
        <v>34.42622950819672</v>
      </c>
      <c r="F56" t="e">
        <f t="shared" si="1"/>
        <v>#DIV/0!</v>
      </c>
      <c r="G56" t="e">
        <f t="shared" si="0"/>
        <v>#DIV/0!</v>
      </c>
      <c r="H56" t="e">
        <f t="shared" si="0"/>
        <v>#DIV/0!</v>
      </c>
      <c r="I56" t="e">
        <f t="shared" si="0"/>
        <v>#DIV/0!</v>
      </c>
      <c r="J56" t="e">
        <f t="shared" si="0"/>
        <v>#DIV/0!</v>
      </c>
      <c r="K56" t="e">
        <f t="shared" si="0"/>
        <v>#DIV/0!</v>
      </c>
      <c r="L56" t="e">
        <f t="shared" si="0"/>
        <v>#DIV/0!</v>
      </c>
      <c r="M56" t="e">
        <f t="shared" si="0"/>
        <v>#DIV/0!</v>
      </c>
      <c r="N56" t="e">
        <f t="shared" si="0"/>
        <v>#DIV/0!</v>
      </c>
      <c r="O56" t="e">
        <f t="shared" si="0"/>
        <v>#DIV/0!</v>
      </c>
      <c r="P56" t="e">
        <f t="shared" si="0"/>
        <v>#DIV/0!</v>
      </c>
      <c r="Q56" t="e">
        <f t="shared" si="0"/>
        <v>#DIV/0!</v>
      </c>
      <c r="R56" t="e">
        <f t="shared" si="0"/>
        <v>#DIV/0!</v>
      </c>
      <c r="S56" t="e">
        <f t="shared" si="0"/>
        <v>#DIV/0!</v>
      </c>
      <c r="T56" t="e">
        <f t="shared" si="0"/>
        <v>#DIV/0!</v>
      </c>
      <c r="U56" t="e">
        <f t="shared" si="0"/>
        <v>#DIV/0!</v>
      </c>
      <c r="V56" t="e">
        <f t="shared" si="0"/>
        <v>#DIV/0!</v>
      </c>
      <c r="W56" t="e">
        <f t="shared" si="0"/>
        <v>#DIV/0!</v>
      </c>
      <c r="X56" t="e">
        <f t="shared" si="0"/>
        <v>#DIV/0!</v>
      </c>
      <c r="Y56" t="e">
        <f t="shared" si="0"/>
        <v>#DIV/0!</v>
      </c>
      <c r="Z56" t="e">
        <f t="shared" si="0"/>
        <v>#DIV/0!</v>
      </c>
      <c r="AA56" t="e">
        <f t="shared" si="0"/>
        <v>#DIV/0!</v>
      </c>
      <c r="AB56" t="e">
        <f t="shared" si="0"/>
        <v>#DIV/0!</v>
      </c>
      <c r="AC56" t="e">
        <f t="shared" si="0"/>
        <v>#DIV/0!</v>
      </c>
      <c r="AD56" t="e">
        <f t="shared" si="0"/>
        <v>#DIV/0!</v>
      </c>
      <c r="AE56" t="e">
        <f t="shared" si="0"/>
        <v>#DIV/0!</v>
      </c>
      <c r="AF56" t="e">
        <f t="shared" si="0"/>
        <v>#DIV/0!</v>
      </c>
      <c r="AG56" s="96"/>
      <c r="AH56" s="245" t="s">
        <v>439</v>
      </c>
      <c r="AI56" s="244" t="s">
        <v>456</v>
      </c>
      <c r="AJ56" s="96"/>
      <c r="AK56" s="101">
        <f>$C$56</f>
        <v>0</v>
      </c>
      <c r="AL56" s="101">
        <f>$D$56</f>
        <v>0</v>
      </c>
      <c r="AM56" s="101">
        <f>$E$56</f>
        <v>34.42622950819672</v>
      </c>
      <c r="AN56" s="101" t="e">
        <f>$F$56</f>
        <v>#DIV/0!</v>
      </c>
      <c r="AO56" s="101" t="e">
        <f>$G$56</f>
        <v>#DIV/0!</v>
      </c>
      <c r="AP56" s="101" t="e">
        <f>$H$56</f>
        <v>#DIV/0!</v>
      </c>
      <c r="AQ56" s="101" t="e">
        <f>$I$56</f>
        <v>#DIV/0!</v>
      </c>
      <c r="AR56" s="101" t="e">
        <f>$J$56</f>
        <v>#DIV/0!</v>
      </c>
      <c r="AS56" s="101" t="e">
        <f>$K$56</f>
        <v>#DIV/0!</v>
      </c>
      <c r="AT56" s="101" t="e">
        <f>$L$56</f>
        <v>#DIV/0!</v>
      </c>
      <c r="AU56" s="101" t="e">
        <f>$M$56</f>
        <v>#DIV/0!</v>
      </c>
      <c r="AV56" s="101" t="e">
        <f>$N$56</f>
        <v>#DIV/0!</v>
      </c>
      <c r="AW56" s="101" t="e">
        <f>$O$56</f>
        <v>#DIV/0!</v>
      </c>
      <c r="AX56" s="101" t="e">
        <f>$P$56</f>
        <v>#DIV/0!</v>
      </c>
      <c r="AY56" s="101" t="e">
        <f>$Q$56</f>
        <v>#DIV/0!</v>
      </c>
      <c r="AZ56" s="101" t="e">
        <f>$R$56</f>
        <v>#DIV/0!</v>
      </c>
      <c r="BA56" s="101" t="e">
        <f>$S$56</f>
        <v>#DIV/0!</v>
      </c>
      <c r="BB56" s="101" t="e">
        <f>$T$56</f>
        <v>#DIV/0!</v>
      </c>
      <c r="BC56" s="101" t="e">
        <f>$U$56</f>
        <v>#DIV/0!</v>
      </c>
      <c r="BD56" s="101" t="e">
        <f>$V$56</f>
        <v>#DIV/0!</v>
      </c>
      <c r="BE56" s="101" t="e">
        <f>$W$56</f>
        <v>#DIV/0!</v>
      </c>
      <c r="BF56" s="101" t="e">
        <f>$X$56</f>
        <v>#DIV/0!</v>
      </c>
      <c r="BG56" s="101" t="e">
        <f>$Y$56</f>
        <v>#DIV/0!</v>
      </c>
      <c r="BH56" s="101" t="e">
        <f>$Z$56</f>
        <v>#DIV/0!</v>
      </c>
      <c r="BI56" s="101" t="e">
        <f>$AA$56</f>
        <v>#DIV/0!</v>
      </c>
      <c r="BJ56" s="101" t="e">
        <f>$AB$56</f>
        <v>#DIV/0!</v>
      </c>
      <c r="BK56" s="101" t="e">
        <f>$AC$56</f>
        <v>#DIV/0!</v>
      </c>
      <c r="BL56" s="101" t="e">
        <f>$AD$56</f>
        <v>#DIV/0!</v>
      </c>
      <c r="BM56" s="101" t="e">
        <f>$AE$56</f>
        <v>#DIV/0!</v>
      </c>
      <c r="BN56" s="101" t="e">
        <f>$AF$56</f>
        <v>#DIV/0!</v>
      </c>
    </row>
    <row r="57" spans="1:66">
      <c r="A57" s="69" t="s">
        <v>160</v>
      </c>
      <c r="B57" s="71" t="s">
        <v>162</v>
      </c>
      <c r="C57" s="101">
        <v>20.66115702479339</v>
      </c>
      <c r="D57" s="101">
        <v>27.819548872180448</v>
      </c>
      <c r="E57" s="101">
        <v>24.21875</v>
      </c>
      <c r="F57" t="e">
        <f t="shared" si="1"/>
        <v>#DIV/0!</v>
      </c>
      <c r="G57" t="e">
        <f t="shared" si="0"/>
        <v>#DIV/0!</v>
      </c>
      <c r="H57" t="e">
        <f t="shared" si="0"/>
        <v>#DIV/0!</v>
      </c>
      <c r="I57" t="e">
        <f t="shared" si="0"/>
        <v>#DIV/0!</v>
      </c>
      <c r="J57" t="e">
        <f t="shared" si="0"/>
        <v>#DIV/0!</v>
      </c>
      <c r="K57" t="e">
        <f t="shared" si="0"/>
        <v>#DIV/0!</v>
      </c>
      <c r="L57" t="e">
        <f t="shared" si="0"/>
        <v>#DIV/0!</v>
      </c>
      <c r="M57" t="e">
        <f t="shared" si="0"/>
        <v>#DIV/0!</v>
      </c>
      <c r="N57" t="e">
        <f t="shared" si="0"/>
        <v>#DIV/0!</v>
      </c>
      <c r="O57" t="e">
        <f t="shared" si="0"/>
        <v>#DIV/0!</v>
      </c>
      <c r="P57" t="e">
        <f t="shared" si="0"/>
        <v>#DIV/0!</v>
      </c>
      <c r="Q57" t="e">
        <f t="shared" ref="G57:AF67" si="2">1/0</f>
        <v>#DIV/0!</v>
      </c>
      <c r="R57" t="e">
        <f t="shared" si="2"/>
        <v>#DIV/0!</v>
      </c>
      <c r="S57" t="e">
        <f t="shared" si="2"/>
        <v>#DIV/0!</v>
      </c>
      <c r="T57" t="e">
        <f t="shared" si="2"/>
        <v>#DIV/0!</v>
      </c>
      <c r="U57" t="e">
        <f t="shared" si="2"/>
        <v>#DIV/0!</v>
      </c>
      <c r="V57" t="e">
        <f t="shared" si="2"/>
        <v>#DIV/0!</v>
      </c>
      <c r="W57" t="e">
        <f t="shared" si="2"/>
        <v>#DIV/0!</v>
      </c>
      <c r="X57" t="e">
        <f t="shared" si="2"/>
        <v>#DIV/0!</v>
      </c>
      <c r="Y57" t="e">
        <f t="shared" si="2"/>
        <v>#DIV/0!</v>
      </c>
      <c r="Z57" t="e">
        <f t="shared" si="2"/>
        <v>#DIV/0!</v>
      </c>
      <c r="AA57" t="e">
        <f t="shared" si="2"/>
        <v>#DIV/0!</v>
      </c>
      <c r="AB57" t="e">
        <f t="shared" si="2"/>
        <v>#DIV/0!</v>
      </c>
      <c r="AC57" t="e">
        <f t="shared" si="2"/>
        <v>#DIV/0!</v>
      </c>
      <c r="AD57" t="e">
        <f t="shared" si="2"/>
        <v>#DIV/0!</v>
      </c>
      <c r="AE57" t="e">
        <f t="shared" si="2"/>
        <v>#DIV/0!</v>
      </c>
      <c r="AF57" t="e">
        <f t="shared" si="2"/>
        <v>#DIV/0!</v>
      </c>
      <c r="AG57" s="96"/>
      <c r="AH57" s="244" t="s">
        <v>440</v>
      </c>
      <c r="AI57" s="244" t="s">
        <v>457</v>
      </c>
      <c r="AJ57" s="96"/>
      <c r="AK57" s="101">
        <f>$C$57</f>
        <v>20.66115702479339</v>
      </c>
      <c r="AL57" s="101">
        <f>$D$57</f>
        <v>27.819548872180448</v>
      </c>
      <c r="AM57" s="101">
        <f>$E$57</f>
        <v>24.21875</v>
      </c>
      <c r="AN57" s="101" t="e">
        <f>$F$57</f>
        <v>#DIV/0!</v>
      </c>
      <c r="AO57" s="101" t="e">
        <f>$G$57</f>
        <v>#DIV/0!</v>
      </c>
      <c r="AP57" s="101" t="e">
        <f>$H$57</f>
        <v>#DIV/0!</v>
      </c>
      <c r="AQ57" s="101" t="e">
        <f>$I$57</f>
        <v>#DIV/0!</v>
      </c>
      <c r="AR57" s="101" t="e">
        <f>$J$57</f>
        <v>#DIV/0!</v>
      </c>
      <c r="AS57" s="101" t="e">
        <f>$K$57</f>
        <v>#DIV/0!</v>
      </c>
      <c r="AT57" s="101" t="e">
        <f>$L$57</f>
        <v>#DIV/0!</v>
      </c>
      <c r="AU57" s="101" t="e">
        <f>$M$57</f>
        <v>#DIV/0!</v>
      </c>
      <c r="AV57" s="101" t="e">
        <f>$N$57</f>
        <v>#DIV/0!</v>
      </c>
      <c r="AW57" s="101" t="e">
        <f>$O$57</f>
        <v>#DIV/0!</v>
      </c>
      <c r="AX57" s="101" t="e">
        <f>$P$57</f>
        <v>#DIV/0!</v>
      </c>
      <c r="AY57" s="101" t="e">
        <f>$Q$57</f>
        <v>#DIV/0!</v>
      </c>
      <c r="AZ57" s="101" t="e">
        <f>$R$57</f>
        <v>#DIV/0!</v>
      </c>
      <c r="BA57" s="101" t="e">
        <f>$S$57</f>
        <v>#DIV/0!</v>
      </c>
      <c r="BB57" s="101" t="e">
        <f>$T$57</f>
        <v>#DIV/0!</v>
      </c>
      <c r="BC57" s="101" t="e">
        <f>$U$57</f>
        <v>#DIV/0!</v>
      </c>
      <c r="BD57" s="101" t="e">
        <f>$V$57</f>
        <v>#DIV/0!</v>
      </c>
      <c r="BE57" s="101" t="e">
        <f>$W$57</f>
        <v>#DIV/0!</v>
      </c>
      <c r="BF57" s="101" t="e">
        <f>$X$57</f>
        <v>#DIV/0!</v>
      </c>
      <c r="BG57" s="101" t="e">
        <f>$Y$57</f>
        <v>#DIV/0!</v>
      </c>
      <c r="BH57" s="101" t="e">
        <f>$Z$57</f>
        <v>#DIV/0!</v>
      </c>
      <c r="BI57" s="101" t="e">
        <f>$AA$57</f>
        <v>#DIV/0!</v>
      </c>
      <c r="BJ57" s="101" t="e">
        <f>$AB$57</f>
        <v>#DIV/0!</v>
      </c>
      <c r="BK57" s="101" t="e">
        <f>$AC$57</f>
        <v>#DIV/0!</v>
      </c>
      <c r="BL57" s="101" t="e">
        <f>$AD$57</f>
        <v>#DIV/0!</v>
      </c>
      <c r="BM57" s="101" t="e">
        <f>$AE$57</f>
        <v>#DIV/0!</v>
      </c>
      <c r="BN57" s="101" t="e">
        <f>$AF$57</f>
        <v>#DIV/0!</v>
      </c>
    </row>
    <row r="58" spans="1:66">
      <c r="A58" s="69" t="s">
        <v>179</v>
      </c>
      <c r="B58" s="71" t="s">
        <v>188</v>
      </c>
      <c r="C58" s="101">
        <v>36.111111111111107</v>
      </c>
      <c r="D58" s="101">
        <v>34.693877551020407</v>
      </c>
      <c r="E58" s="101">
        <v>35.757575757575758</v>
      </c>
      <c r="F58" t="e">
        <f t="shared" si="1"/>
        <v>#DIV/0!</v>
      </c>
      <c r="G58" t="e">
        <f t="shared" si="2"/>
        <v>#DIV/0!</v>
      </c>
      <c r="H58" t="e">
        <f t="shared" si="2"/>
        <v>#DIV/0!</v>
      </c>
      <c r="I58" t="e">
        <f t="shared" si="2"/>
        <v>#DIV/0!</v>
      </c>
      <c r="J58" t="e">
        <f t="shared" si="2"/>
        <v>#DIV/0!</v>
      </c>
      <c r="K58" t="e">
        <f t="shared" si="2"/>
        <v>#DIV/0!</v>
      </c>
      <c r="L58" t="e">
        <f t="shared" si="2"/>
        <v>#DIV/0!</v>
      </c>
      <c r="M58" t="e">
        <f t="shared" si="2"/>
        <v>#DIV/0!</v>
      </c>
      <c r="N58" t="e">
        <f t="shared" si="2"/>
        <v>#DIV/0!</v>
      </c>
      <c r="O58" t="e">
        <f t="shared" si="2"/>
        <v>#DIV/0!</v>
      </c>
      <c r="P58" t="e">
        <f t="shared" si="2"/>
        <v>#DIV/0!</v>
      </c>
      <c r="Q58" t="e">
        <f t="shared" si="2"/>
        <v>#DIV/0!</v>
      </c>
      <c r="R58" t="e">
        <f t="shared" si="2"/>
        <v>#DIV/0!</v>
      </c>
      <c r="S58" t="e">
        <f t="shared" si="2"/>
        <v>#DIV/0!</v>
      </c>
      <c r="T58" t="e">
        <f t="shared" si="2"/>
        <v>#DIV/0!</v>
      </c>
      <c r="U58" t="e">
        <f t="shared" si="2"/>
        <v>#DIV/0!</v>
      </c>
      <c r="V58" t="e">
        <f t="shared" si="2"/>
        <v>#DIV/0!</v>
      </c>
      <c r="W58" t="e">
        <f t="shared" si="2"/>
        <v>#DIV/0!</v>
      </c>
      <c r="X58" t="e">
        <f t="shared" si="2"/>
        <v>#DIV/0!</v>
      </c>
      <c r="Y58" t="e">
        <f t="shared" si="2"/>
        <v>#DIV/0!</v>
      </c>
      <c r="Z58" t="e">
        <f t="shared" si="2"/>
        <v>#DIV/0!</v>
      </c>
      <c r="AA58" t="e">
        <f t="shared" si="2"/>
        <v>#DIV/0!</v>
      </c>
      <c r="AB58" t="e">
        <f t="shared" si="2"/>
        <v>#DIV/0!</v>
      </c>
      <c r="AC58" t="e">
        <f t="shared" si="2"/>
        <v>#DIV/0!</v>
      </c>
      <c r="AD58" t="e">
        <f t="shared" si="2"/>
        <v>#DIV/0!</v>
      </c>
      <c r="AE58" t="e">
        <f t="shared" si="2"/>
        <v>#DIV/0!</v>
      </c>
      <c r="AF58" t="e">
        <f t="shared" si="2"/>
        <v>#DIV/0!</v>
      </c>
      <c r="AG58" s="96"/>
      <c r="AH58" s="244" t="s">
        <v>441</v>
      </c>
      <c r="AI58" s="244" t="s">
        <v>458</v>
      </c>
      <c r="AJ58" s="96"/>
      <c r="AK58" s="101">
        <f>$C$58</f>
        <v>36.111111111111107</v>
      </c>
      <c r="AL58" s="101">
        <f>$D$58</f>
        <v>34.693877551020407</v>
      </c>
      <c r="AM58" s="101">
        <f>$E$58</f>
        <v>35.757575757575758</v>
      </c>
      <c r="AN58" s="101" t="e">
        <f>$F$58</f>
        <v>#DIV/0!</v>
      </c>
      <c r="AO58" s="101" t="e">
        <f>$G$58</f>
        <v>#DIV/0!</v>
      </c>
      <c r="AP58" s="101" t="e">
        <f>$H$58</f>
        <v>#DIV/0!</v>
      </c>
      <c r="AQ58" s="101" t="e">
        <f>$I$58</f>
        <v>#DIV/0!</v>
      </c>
      <c r="AR58" s="101" t="e">
        <f>$J$58</f>
        <v>#DIV/0!</v>
      </c>
      <c r="AS58" s="101" t="e">
        <f>$K$58</f>
        <v>#DIV/0!</v>
      </c>
      <c r="AT58" s="101" t="e">
        <f>$L$58</f>
        <v>#DIV/0!</v>
      </c>
      <c r="AU58" s="101" t="e">
        <f>$M$58</f>
        <v>#DIV/0!</v>
      </c>
      <c r="AV58" s="101" t="e">
        <f>$N$58</f>
        <v>#DIV/0!</v>
      </c>
      <c r="AW58" s="101" t="e">
        <f>$O$58</f>
        <v>#DIV/0!</v>
      </c>
      <c r="AX58" s="101" t="e">
        <f>$P$58</f>
        <v>#DIV/0!</v>
      </c>
      <c r="AY58" s="101" t="e">
        <f>$Q$58</f>
        <v>#DIV/0!</v>
      </c>
      <c r="AZ58" s="101" t="e">
        <f>$R$58</f>
        <v>#DIV/0!</v>
      </c>
      <c r="BA58" s="101" t="e">
        <f>$S$58</f>
        <v>#DIV/0!</v>
      </c>
      <c r="BB58" s="101" t="e">
        <f>$T$58</f>
        <v>#DIV/0!</v>
      </c>
      <c r="BC58" s="101" t="e">
        <f>$U$58</f>
        <v>#DIV/0!</v>
      </c>
      <c r="BD58" s="101" t="e">
        <f>$V$58</f>
        <v>#DIV/0!</v>
      </c>
      <c r="BE58" s="101" t="e">
        <f>$W$58</f>
        <v>#DIV/0!</v>
      </c>
      <c r="BF58" s="101" t="e">
        <f>$X$58</f>
        <v>#DIV/0!</v>
      </c>
      <c r="BG58" s="101" t="e">
        <f>$Y$58</f>
        <v>#DIV/0!</v>
      </c>
      <c r="BH58" s="101" t="e">
        <f>$Z$58</f>
        <v>#DIV/0!</v>
      </c>
      <c r="BI58" s="101" t="e">
        <f>$AA$58</f>
        <v>#DIV/0!</v>
      </c>
      <c r="BJ58" s="101" t="e">
        <f>$AB$58</f>
        <v>#DIV/0!</v>
      </c>
      <c r="BK58" s="101" t="e">
        <f>$AC$58</f>
        <v>#DIV/0!</v>
      </c>
      <c r="BL58" s="101" t="e">
        <f>$AD$58</f>
        <v>#DIV/0!</v>
      </c>
      <c r="BM58" s="101" t="e">
        <f>$AE$58</f>
        <v>#DIV/0!</v>
      </c>
      <c r="BN58" s="101" t="e">
        <f>$AF$58</f>
        <v>#DIV/0!</v>
      </c>
    </row>
    <row r="59" spans="1:66">
      <c r="A59" s="69" t="s">
        <v>170</v>
      </c>
      <c r="B59" s="71" t="s">
        <v>178</v>
      </c>
      <c r="C59" s="101">
        <v>32.653061224489797</v>
      </c>
      <c r="D59" s="101">
        <v>27.329192546583851</v>
      </c>
      <c r="E59" s="101">
        <v>30.670926517571885</v>
      </c>
      <c r="F59" t="e">
        <f t="shared" si="1"/>
        <v>#DIV/0!</v>
      </c>
      <c r="G59" t="e">
        <f t="shared" si="2"/>
        <v>#DIV/0!</v>
      </c>
      <c r="H59" t="e">
        <f t="shared" si="2"/>
        <v>#DIV/0!</v>
      </c>
      <c r="I59" t="e">
        <f t="shared" si="2"/>
        <v>#DIV/0!</v>
      </c>
      <c r="J59" t="e">
        <f t="shared" si="2"/>
        <v>#DIV/0!</v>
      </c>
      <c r="K59" t="e">
        <f t="shared" si="2"/>
        <v>#DIV/0!</v>
      </c>
      <c r="L59" t="e">
        <f t="shared" si="2"/>
        <v>#DIV/0!</v>
      </c>
      <c r="M59" t="e">
        <f t="shared" si="2"/>
        <v>#DIV/0!</v>
      </c>
      <c r="N59" t="e">
        <f t="shared" si="2"/>
        <v>#DIV/0!</v>
      </c>
      <c r="O59" t="e">
        <f t="shared" si="2"/>
        <v>#DIV/0!</v>
      </c>
      <c r="P59" t="e">
        <f t="shared" si="2"/>
        <v>#DIV/0!</v>
      </c>
      <c r="Q59" t="e">
        <f t="shared" si="2"/>
        <v>#DIV/0!</v>
      </c>
      <c r="R59" t="e">
        <f t="shared" si="2"/>
        <v>#DIV/0!</v>
      </c>
      <c r="S59" t="e">
        <f t="shared" si="2"/>
        <v>#DIV/0!</v>
      </c>
      <c r="T59" t="e">
        <f t="shared" si="2"/>
        <v>#DIV/0!</v>
      </c>
      <c r="U59" t="e">
        <f t="shared" si="2"/>
        <v>#DIV/0!</v>
      </c>
      <c r="V59" t="e">
        <f t="shared" si="2"/>
        <v>#DIV/0!</v>
      </c>
      <c r="W59" t="e">
        <f t="shared" si="2"/>
        <v>#DIV/0!</v>
      </c>
      <c r="X59" t="e">
        <f t="shared" si="2"/>
        <v>#DIV/0!</v>
      </c>
      <c r="Y59" t="e">
        <f t="shared" si="2"/>
        <v>#DIV/0!</v>
      </c>
      <c r="Z59" t="e">
        <f t="shared" si="2"/>
        <v>#DIV/0!</v>
      </c>
      <c r="AA59" t="e">
        <f t="shared" si="2"/>
        <v>#DIV/0!</v>
      </c>
      <c r="AB59" t="e">
        <f t="shared" si="2"/>
        <v>#DIV/0!</v>
      </c>
      <c r="AC59" t="e">
        <f t="shared" si="2"/>
        <v>#DIV/0!</v>
      </c>
      <c r="AD59" t="e">
        <f t="shared" si="2"/>
        <v>#DIV/0!</v>
      </c>
      <c r="AE59" t="e">
        <f t="shared" si="2"/>
        <v>#DIV/0!</v>
      </c>
      <c r="AF59" t="e">
        <f t="shared" si="2"/>
        <v>#DIV/0!</v>
      </c>
      <c r="AG59" s="96"/>
      <c r="AH59" s="244" t="s">
        <v>442</v>
      </c>
      <c r="AI59" s="244" t="s">
        <v>459</v>
      </c>
      <c r="AJ59" s="96"/>
      <c r="AK59" s="101">
        <f>$C$59</f>
        <v>32.653061224489797</v>
      </c>
      <c r="AL59" s="101">
        <f>$D$59</f>
        <v>27.329192546583851</v>
      </c>
      <c r="AM59" s="101">
        <f>$E$59</f>
        <v>30.670926517571885</v>
      </c>
      <c r="AN59" s="101" t="e">
        <f>$F$59</f>
        <v>#DIV/0!</v>
      </c>
      <c r="AO59" s="101" t="e">
        <f>$G$59</f>
        <v>#DIV/0!</v>
      </c>
      <c r="AP59" s="101" t="e">
        <f>$H$59</f>
        <v>#DIV/0!</v>
      </c>
      <c r="AQ59" s="101" t="e">
        <f>$I$59</f>
        <v>#DIV/0!</v>
      </c>
      <c r="AR59" s="101" t="e">
        <f>$J$59</f>
        <v>#DIV/0!</v>
      </c>
      <c r="AS59" s="101" t="e">
        <f>$K$59</f>
        <v>#DIV/0!</v>
      </c>
      <c r="AT59" s="101" t="e">
        <f>$L$59</f>
        <v>#DIV/0!</v>
      </c>
      <c r="AU59" s="101" t="e">
        <f>$M$59</f>
        <v>#DIV/0!</v>
      </c>
      <c r="AV59" s="101" t="e">
        <f>$N$59</f>
        <v>#DIV/0!</v>
      </c>
      <c r="AW59" s="101" t="e">
        <f>$O$59</f>
        <v>#DIV/0!</v>
      </c>
      <c r="AX59" s="101" t="e">
        <f>$P$59</f>
        <v>#DIV/0!</v>
      </c>
      <c r="AY59" s="101" t="e">
        <f>$Q$59</f>
        <v>#DIV/0!</v>
      </c>
      <c r="AZ59" s="101" t="e">
        <f>$R$59</f>
        <v>#DIV/0!</v>
      </c>
      <c r="BA59" s="101" t="e">
        <f>$S$59</f>
        <v>#DIV/0!</v>
      </c>
      <c r="BB59" s="101" t="e">
        <f>$T$59</f>
        <v>#DIV/0!</v>
      </c>
      <c r="BC59" s="101" t="e">
        <f>$U$59</f>
        <v>#DIV/0!</v>
      </c>
      <c r="BD59" s="101" t="e">
        <f>$V$59</f>
        <v>#DIV/0!</v>
      </c>
      <c r="BE59" s="101" t="e">
        <f>$W$59</f>
        <v>#DIV/0!</v>
      </c>
      <c r="BF59" s="101" t="e">
        <f>$X$59</f>
        <v>#DIV/0!</v>
      </c>
      <c r="BG59" s="101" t="e">
        <f>$Y$59</f>
        <v>#DIV/0!</v>
      </c>
      <c r="BH59" s="101" t="e">
        <f>$Z$59</f>
        <v>#DIV/0!</v>
      </c>
      <c r="BI59" s="101" t="e">
        <f>$AA$59</f>
        <v>#DIV/0!</v>
      </c>
      <c r="BJ59" s="101" t="e">
        <f>$AB$59</f>
        <v>#DIV/0!</v>
      </c>
      <c r="BK59" s="101" t="e">
        <f>$AC$59</f>
        <v>#DIV/0!</v>
      </c>
      <c r="BL59" s="101" t="e">
        <f>$AD$59</f>
        <v>#DIV/0!</v>
      </c>
      <c r="BM59" s="101" t="e">
        <f>$AE$59</f>
        <v>#DIV/0!</v>
      </c>
      <c r="BN59" s="101" t="e">
        <f>$AF$59</f>
        <v>#DIV/0!</v>
      </c>
    </row>
    <row r="60" spans="1:66">
      <c r="A60" s="69" t="s">
        <v>152</v>
      </c>
      <c r="B60" t="s">
        <v>153</v>
      </c>
      <c r="C60" s="100"/>
      <c r="E60" s="101">
        <v>24.590163934426229</v>
      </c>
      <c r="F60" t="e">
        <f t="shared" si="1"/>
        <v>#DIV/0!</v>
      </c>
      <c r="G60" t="e">
        <f t="shared" si="2"/>
        <v>#DIV/0!</v>
      </c>
      <c r="H60" t="e">
        <f t="shared" si="2"/>
        <v>#DIV/0!</v>
      </c>
      <c r="I60" t="e">
        <f t="shared" si="2"/>
        <v>#DIV/0!</v>
      </c>
      <c r="J60" t="e">
        <f t="shared" si="2"/>
        <v>#DIV/0!</v>
      </c>
      <c r="K60" t="e">
        <f t="shared" si="2"/>
        <v>#DIV/0!</v>
      </c>
      <c r="L60" t="e">
        <f t="shared" si="2"/>
        <v>#DIV/0!</v>
      </c>
      <c r="M60" t="e">
        <f t="shared" si="2"/>
        <v>#DIV/0!</v>
      </c>
      <c r="N60" t="e">
        <f t="shared" si="2"/>
        <v>#DIV/0!</v>
      </c>
      <c r="O60" t="e">
        <f t="shared" si="2"/>
        <v>#DIV/0!</v>
      </c>
      <c r="P60" t="e">
        <f t="shared" si="2"/>
        <v>#DIV/0!</v>
      </c>
      <c r="Q60" t="e">
        <f t="shared" si="2"/>
        <v>#DIV/0!</v>
      </c>
      <c r="R60" t="e">
        <f t="shared" si="2"/>
        <v>#DIV/0!</v>
      </c>
      <c r="S60" t="e">
        <f t="shared" si="2"/>
        <v>#DIV/0!</v>
      </c>
      <c r="T60" t="e">
        <f t="shared" si="2"/>
        <v>#DIV/0!</v>
      </c>
      <c r="U60" t="e">
        <f t="shared" si="2"/>
        <v>#DIV/0!</v>
      </c>
      <c r="V60" t="e">
        <f t="shared" si="2"/>
        <v>#DIV/0!</v>
      </c>
      <c r="W60" t="e">
        <f t="shared" si="2"/>
        <v>#DIV/0!</v>
      </c>
      <c r="X60" t="e">
        <f t="shared" si="2"/>
        <v>#DIV/0!</v>
      </c>
      <c r="Y60" t="e">
        <f t="shared" si="2"/>
        <v>#DIV/0!</v>
      </c>
      <c r="Z60" t="e">
        <f t="shared" si="2"/>
        <v>#DIV/0!</v>
      </c>
      <c r="AA60" t="e">
        <f t="shared" si="2"/>
        <v>#DIV/0!</v>
      </c>
      <c r="AB60" t="e">
        <f t="shared" si="2"/>
        <v>#DIV/0!</v>
      </c>
      <c r="AC60" t="e">
        <f t="shared" si="2"/>
        <v>#DIV/0!</v>
      </c>
      <c r="AD60" t="e">
        <f t="shared" si="2"/>
        <v>#DIV/0!</v>
      </c>
      <c r="AE60" t="e">
        <f t="shared" si="2"/>
        <v>#DIV/0!</v>
      </c>
      <c r="AF60" t="e">
        <f t="shared" si="2"/>
        <v>#DIV/0!</v>
      </c>
      <c r="AG60" s="96"/>
      <c r="AH60" s="244" t="s">
        <v>443</v>
      </c>
      <c r="AI60" s="244" t="s">
        <v>460</v>
      </c>
      <c r="AJ60" s="96"/>
      <c r="AK60" s="101">
        <f>$C$60</f>
        <v>0</v>
      </c>
      <c r="AL60" s="101">
        <f>$D$60</f>
        <v>0</v>
      </c>
      <c r="AM60" s="101">
        <f>$E$60</f>
        <v>24.590163934426229</v>
      </c>
      <c r="AN60" s="101" t="e">
        <f>$F$60</f>
        <v>#DIV/0!</v>
      </c>
      <c r="AO60" s="101" t="e">
        <f>$G$60</f>
        <v>#DIV/0!</v>
      </c>
      <c r="AP60" s="101" t="e">
        <f>$H$60</f>
        <v>#DIV/0!</v>
      </c>
      <c r="AQ60" s="101" t="e">
        <f>$I$60</f>
        <v>#DIV/0!</v>
      </c>
      <c r="AR60" s="101" t="e">
        <f>$J$60</f>
        <v>#DIV/0!</v>
      </c>
      <c r="AS60" s="101" t="e">
        <f>$K$60</f>
        <v>#DIV/0!</v>
      </c>
      <c r="AT60" s="101" t="e">
        <f>$L$60</f>
        <v>#DIV/0!</v>
      </c>
      <c r="AU60" s="101" t="e">
        <f>$M$60</f>
        <v>#DIV/0!</v>
      </c>
      <c r="AV60" s="101" t="e">
        <f>$N$60</f>
        <v>#DIV/0!</v>
      </c>
      <c r="AW60" s="101" t="e">
        <f>$O$60</f>
        <v>#DIV/0!</v>
      </c>
      <c r="AX60" s="101" t="e">
        <f>$P$60</f>
        <v>#DIV/0!</v>
      </c>
      <c r="AY60" s="101" t="e">
        <f>$Q$60</f>
        <v>#DIV/0!</v>
      </c>
      <c r="AZ60" s="101" t="e">
        <f>$R$60</f>
        <v>#DIV/0!</v>
      </c>
      <c r="BA60" s="101" t="e">
        <f>$S$60</f>
        <v>#DIV/0!</v>
      </c>
      <c r="BB60" s="101" t="e">
        <f>$T$60</f>
        <v>#DIV/0!</v>
      </c>
      <c r="BC60" s="101" t="e">
        <f>$U$60</f>
        <v>#DIV/0!</v>
      </c>
      <c r="BD60" s="101" t="e">
        <f>$V$60</f>
        <v>#DIV/0!</v>
      </c>
      <c r="BE60" s="101" t="e">
        <f>$W$60</f>
        <v>#DIV/0!</v>
      </c>
      <c r="BF60" s="101" t="e">
        <f>$X$60</f>
        <v>#DIV/0!</v>
      </c>
      <c r="BG60" s="101" t="e">
        <f>$Y$60</f>
        <v>#DIV/0!</v>
      </c>
      <c r="BH60" s="101" t="e">
        <f>$Z$60</f>
        <v>#DIV/0!</v>
      </c>
      <c r="BI60" s="101" t="e">
        <f>$AA$60</f>
        <v>#DIV/0!</v>
      </c>
      <c r="BJ60" s="101" t="e">
        <f>$AB$60</f>
        <v>#DIV/0!</v>
      </c>
      <c r="BK60" s="101" t="e">
        <f>$AC$60</f>
        <v>#DIV/0!</v>
      </c>
      <c r="BL60" s="101" t="e">
        <f>$AD$60</f>
        <v>#DIV/0!</v>
      </c>
      <c r="BM60" s="101" t="e">
        <f>$AE$60</f>
        <v>#DIV/0!</v>
      </c>
      <c r="BN60" s="101" t="e">
        <f>$AF$60</f>
        <v>#DIV/0!</v>
      </c>
    </row>
    <row r="61" spans="1:66">
      <c r="A61" s="69" t="s">
        <v>146</v>
      </c>
      <c r="B61" t="s">
        <v>153</v>
      </c>
      <c r="C61" s="101">
        <v>40</v>
      </c>
      <c r="D61" s="101">
        <v>27.659574468085108</v>
      </c>
      <c r="E61" s="101">
        <v>34.821428571428569</v>
      </c>
      <c r="F61" t="e">
        <f t="shared" si="1"/>
        <v>#DIV/0!</v>
      </c>
      <c r="G61" t="e">
        <f t="shared" si="2"/>
        <v>#DIV/0!</v>
      </c>
      <c r="H61" t="e">
        <f t="shared" si="2"/>
        <v>#DIV/0!</v>
      </c>
      <c r="I61" t="e">
        <f t="shared" si="2"/>
        <v>#DIV/0!</v>
      </c>
      <c r="J61" t="e">
        <f t="shared" si="2"/>
        <v>#DIV/0!</v>
      </c>
      <c r="K61" t="e">
        <f t="shared" si="2"/>
        <v>#DIV/0!</v>
      </c>
      <c r="L61" t="e">
        <f t="shared" si="2"/>
        <v>#DIV/0!</v>
      </c>
      <c r="M61" t="e">
        <f t="shared" si="2"/>
        <v>#DIV/0!</v>
      </c>
      <c r="N61" t="e">
        <f t="shared" si="2"/>
        <v>#DIV/0!</v>
      </c>
      <c r="O61" t="e">
        <f t="shared" si="2"/>
        <v>#DIV/0!</v>
      </c>
      <c r="P61" t="e">
        <f t="shared" si="2"/>
        <v>#DIV/0!</v>
      </c>
      <c r="Q61" t="e">
        <f t="shared" si="2"/>
        <v>#DIV/0!</v>
      </c>
      <c r="R61" t="e">
        <f t="shared" si="2"/>
        <v>#DIV/0!</v>
      </c>
      <c r="S61" t="e">
        <f t="shared" si="2"/>
        <v>#DIV/0!</v>
      </c>
      <c r="T61" t="e">
        <f t="shared" si="2"/>
        <v>#DIV/0!</v>
      </c>
      <c r="U61" t="e">
        <f t="shared" si="2"/>
        <v>#DIV/0!</v>
      </c>
      <c r="V61" t="e">
        <f t="shared" si="2"/>
        <v>#DIV/0!</v>
      </c>
      <c r="W61" t="e">
        <f t="shared" si="2"/>
        <v>#DIV/0!</v>
      </c>
      <c r="X61" t="e">
        <f t="shared" si="2"/>
        <v>#DIV/0!</v>
      </c>
      <c r="Y61" t="e">
        <f t="shared" si="2"/>
        <v>#DIV/0!</v>
      </c>
      <c r="Z61" t="e">
        <f t="shared" si="2"/>
        <v>#DIV/0!</v>
      </c>
      <c r="AA61" t="e">
        <f t="shared" si="2"/>
        <v>#DIV/0!</v>
      </c>
      <c r="AB61" t="e">
        <f t="shared" si="2"/>
        <v>#DIV/0!</v>
      </c>
      <c r="AC61" t="e">
        <f t="shared" si="2"/>
        <v>#DIV/0!</v>
      </c>
      <c r="AD61" t="e">
        <f t="shared" si="2"/>
        <v>#DIV/0!</v>
      </c>
      <c r="AE61" t="e">
        <f t="shared" si="2"/>
        <v>#DIV/0!</v>
      </c>
      <c r="AF61" t="e">
        <f t="shared" si="2"/>
        <v>#DIV/0!</v>
      </c>
      <c r="AG61" s="96"/>
      <c r="AH61" s="244" t="s">
        <v>444</v>
      </c>
      <c r="AI61" s="245" t="s">
        <v>461</v>
      </c>
      <c r="AJ61" s="96"/>
      <c r="AK61" s="101">
        <f>$C$61</f>
        <v>40</v>
      </c>
      <c r="AL61" s="101">
        <f>$D$61</f>
        <v>27.659574468085108</v>
      </c>
      <c r="AM61" s="101">
        <f>$E$61</f>
        <v>34.821428571428569</v>
      </c>
      <c r="AN61" s="101" t="e">
        <f>$F$61</f>
        <v>#DIV/0!</v>
      </c>
      <c r="AO61" s="101" t="e">
        <f>$G$61</f>
        <v>#DIV/0!</v>
      </c>
      <c r="AP61" s="101" t="e">
        <f>$H$61</f>
        <v>#DIV/0!</v>
      </c>
      <c r="AQ61" s="101" t="e">
        <f>$I$61</f>
        <v>#DIV/0!</v>
      </c>
      <c r="AR61" s="101" t="e">
        <f>$J$61</f>
        <v>#DIV/0!</v>
      </c>
      <c r="AS61" s="101" t="e">
        <f>$K$61</f>
        <v>#DIV/0!</v>
      </c>
      <c r="AT61" s="101" t="e">
        <f>$L$61</f>
        <v>#DIV/0!</v>
      </c>
      <c r="AU61" s="101" t="e">
        <f>$M$61</f>
        <v>#DIV/0!</v>
      </c>
      <c r="AV61" s="101" t="e">
        <f>$N$61</f>
        <v>#DIV/0!</v>
      </c>
      <c r="AW61" s="101" t="e">
        <f>$O$61</f>
        <v>#DIV/0!</v>
      </c>
      <c r="AX61" s="101" t="e">
        <f>$P$61</f>
        <v>#DIV/0!</v>
      </c>
      <c r="AY61" s="101" t="e">
        <f>$Q$61</f>
        <v>#DIV/0!</v>
      </c>
      <c r="AZ61" s="101" t="e">
        <f>$R$61</f>
        <v>#DIV/0!</v>
      </c>
      <c r="BA61" s="101" t="e">
        <f>$S$61</f>
        <v>#DIV/0!</v>
      </c>
      <c r="BB61" s="101" t="e">
        <f>$T$61</f>
        <v>#DIV/0!</v>
      </c>
      <c r="BC61" s="101" t="e">
        <f>$U$61</f>
        <v>#DIV/0!</v>
      </c>
      <c r="BD61" s="101" t="e">
        <f>$V$61</f>
        <v>#DIV/0!</v>
      </c>
      <c r="BE61" s="101" t="e">
        <f>$W$61</f>
        <v>#DIV/0!</v>
      </c>
      <c r="BF61" s="101" t="e">
        <f>$X$61</f>
        <v>#DIV/0!</v>
      </c>
      <c r="BG61" s="101" t="e">
        <f>$Y$61</f>
        <v>#DIV/0!</v>
      </c>
      <c r="BH61" s="101" t="e">
        <f>$Z$61</f>
        <v>#DIV/0!</v>
      </c>
      <c r="BI61" s="101" t="e">
        <f>$AA$61</f>
        <v>#DIV/0!</v>
      </c>
      <c r="BJ61" s="101" t="e">
        <f>$AB$61</f>
        <v>#DIV/0!</v>
      </c>
      <c r="BK61" s="101" t="e">
        <f>$AC$61</f>
        <v>#DIV/0!</v>
      </c>
      <c r="BL61" s="101" t="e">
        <f>$AD$61</f>
        <v>#DIV/0!</v>
      </c>
      <c r="BM61" s="101" t="e">
        <f>$AE$61</f>
        <v>#DIV/0!</v>
      </c>
      <c r="BN61" s="101" t="e">
        <f>$AF$61</f>
        <v>#DIV/0!</v>
      </c>
    </row>
    <row r="62" spans="1:66">
      <c r="A62" s="69" t="s">
        <v>171</v>
      </c>
      <c r="B62" s="71" t="s">
        <v>178</v>
      </c>
      <c r="C62" s="101">
        <v>19.81981981981982</v>
      </c>
      <c r="D62" s="101">
        <v>31.506849315068493</v>
      </c>
      <c r="E62" s="101">
        <v>24.338624338624339</v>
      </c>
      <c r="F62" t="e">
        <f t="shared" si="1"/>
        <v>#DIV/0!</v>
      </c>
      <c r="G62" t="e">
        <f t="shared" si="2"/>
        <v>#DIV/0!</v>
      </c>
      <c r="H62" t="e">
        <f t="shared" si="2"/>
        <v>#DIV/0!</v>
      </c>
      <c r="I62" t="e">
        <f t="shared" si="2"/>
        <v>#DIV/0!</v>
      </c>
      <c r="J62" t="e">
        <f t="shared" si="2"/>
        <v>#DIV/0!</v>
      </c>
      <c r="K62" t="e">
        <f t="shared" si="2"/>
        <v>#DIV/0!</v>
      </c>
      <c r="L62" t="e">
        <f t="shared" si="2"/>
        <v>#DIV/0!</v>
      </c>
      <c r="M62" t="e">
        <f t="shared" si="2"/>
        <v>#DIV/0!</v>
      </c>
      <c r="N62" t="e">
        <f t="shared" si="2"/>
        <v>#DIV/0!</v>
      </c>
      <c r="O62" t="e">
        <f t="shared" si="2"/>
        <v>#DIV/0!</v>
      </c>
      <c r="P62" t="e">
        <f t="shared" si="2"/>
        <v>#DIV/0!</v>
      </c>
      <c r="Q62" t="e">
        <f t="shared" si="2"/>
        <v>#DIV/0!</v>
      </c>
      <c r="R62" t="e">
        <f t="shared" si="2"/>
        <v>#DIV/0!</v>
      </c>
      <c r="S62" t="e">
        <f t="shared" si="2"/>
        <v>#DIV/0!</v>
      </c>
      <c r="T62" t="e">
        <f t="shared" si="2"/>
        <v>#DIV/0!</v>
      </c>
      <c r="U62" t="e">
        <f t="shared" si="2"/>
        <v>#DIV/0!</v>
      </c>
      <c r="V62" t="e">
        <f t="shared" si="2"/>
        <v>#DIV/0!</v>
      </c>
      <c r="W62" t="e">
        <f t="shared" si="2"/>
        <v>#DIV/0!</v>
      </c>
      <c r="X62" t="e">
        <f t="shared" si="2"/>
        <v>#DIV/0!</v>
      </c>
      <c r="Y62" t="e">
        <f t="shared" si="2"/>
        <v>#DIV/0!</v>
      </c>
      <c r="Z62" t="e">
        <f t="shared" si="2"/>
        <v>#DIV/0!</v>
      </c>
      <c r="AA62" t="e">
        <f t="shared" si="2"/>
        <v>#DIV/0!</v>
      </c>
      <c r="AB62" t="e">
        <f t="shared" si="2"/>
        <v>#DIV/0!</v>
      </c>
      <c r="AC62" t="e">
        <f t="shared" si="2"/>
        <v>#DIV/0!</v>
      </c>
      <c r="AD62" t="e">
        <f t="shared" si="2"/>
        <v>#DIV/0!</v>
      </c>
      <c r="AE62" t="e">
        <f t="shared" si="2"/>
        <v>#DIV/0!</v>
      </c>
      <c r="AF62" t="e">
        <f t="shared" si="2"/>
        <v>#DIV/0!</v>
      </c>
      <c r="AG62" s="96"/>
      <c r="AH62" s="244" t="s">
        <v>445</v>
      </c>
      <c r="AI62" s="244" t="s">
        <v>462</v>
      </c>
      <c r="AJ62" s="96"/>
      <c r="AK62" s="101">
        <f>$C$62</f>
        <v>19.81981981981982</v>
      </c>
      <c r="AL62" s="101">
        <f>$D$62</f>
        <v>31.506849315068493</v>
      </c>
      <c r="AM62" s="101">
        <f>$E$62</f>
        <v>24.338624338624339</v>
      </c>
      <c r="AN62" s="101" t="e">
        <f>$F$62</f>
        <v>#DIV/0!</v>
      </c>
      <c r="AO62" s="101" t="e">
        <f>$G$62</f>
        <v>#DIV/0!</v>
      </c>
      <c r="AP62" s="101" t="e">
        <f>$H$62</f>
        <v>#DIV/0!</v>
      </c>
      <c r="AQ62" s="101" t="e">
        <f>$I$62</f>
        <v>#DIV/0!</v>
      </c>
      <c r="AR62" s="101" t="e">
        <f>$J$62</f>
        <v>#DIV/0!</v>
      </c>
      <c r="AS62" s="101" t="e">
        <f>$K$62</f>
        <v>#DIV/0!</v>
      </c>
      <c r="AT62" s="101" t="e">
        <f>$L$62</f>
        <v>#DIV/0!</v>
      </c>
      <c r="AU62" s="101" t="e">
        <f>$M$62</f>
        <v>#DIV/0!</v>
      </c>
      <c r="AV62" s="101" t="e">
        <f>$N$62</f>
        <v>#DIV/0!</v>
      </c>
      <c r="AW62" s="101" t="e">
        <f>$O$62</f>
        <v>#DIV/0!</v>
      </c>
      <c r="AX62" s="101" t="e">
        <f>$P$62</f>
        <v>#DIV/0!</v>
      </c>
      <c r="AY62" s="101" t="e">
        <f>$Q$62</f>
        <v>#DIV/0!</v>
      </c>
      <c r="AZ62" s="101" t="e">
        <f>$R$62</f>
        <v>#DIV/0!</v>
      </c>
      <c r="BA62" s="101" t="e">
        <f>$S$62</f>
        <v>#DIV/0!</v>
      </c>
      <c r="BB62" s="101" t="e">
        <f>$T$62</f>
        <v>#DIV/0!</v>
      </c>
      <c r="BC62" s="101" t="e">
        <f>$U$62</f>
        <v>#DIV/0!</v>
      </c>
      <c r="BD62" s="101" t="e">
        <f>$V$62</f>
        <v>#DIV/0!</v>
      </c>
      <c r="BE62" s="101" t="e">
        <f>$W$62</f>
        <v>#DIV/0!</v>
      </c>
      <c r="BF62" s="101" t="e">
        <f>$X$62</f>
        <v>#DIV/0!</v>
      </c>
      <c r="BG62" s="101" t="e">
        <f>$Y$62</f>
        <v>#DIV/0!</v>
      </c>
      <c r="BH62" s="101" t="e">
        <f>$Z$62</f>
        <v>#DIV/0!</v>
      </c>
      <c r="BI62" s="101" t="e">
        <f>$AA$62</f>
        <v>#DIV/0!</v>
      </c>
      <c r="BJ62" s="101" t="e">
        <f>$AB$62</f>
        <v>#DIV/0!</v>
      </c>
      <c r="BK62" s="101" t="e">
        <f>$AC$62</f>
        <v>#DIV/0!</v>
      </c>
      <c r="BL62" s="101" t="e">
        <f>$AD$62</f>
        <v>#DIV/0!</v>
      </c>
      <c r="BM62" s="101" t="e">
        <f>$AE$62</f>
        <v>#DIV/0!</v>
      </c>
      <c r="BN62" s="101" t="e">
        <f>$AF$62</f>
        <v>#DIV/0!</v>
      </c>
    </row>
    <row r="63" spans="1:66">
      <c r="A63" s="69" t="s">
        <v>185</v>
      </c>
      <c r="B63" s="71" t="s">
        <v>188</v>
      </c>
      <c r="C63" s="101">
        <v>24.615384615384617</v>
      </c>
      <c r="D63" s="102">
        <v>22.137404580152673</v>
      </c>
      <c r="E63" s="101">
        <v>23.684210526315788</v>
      </c>
      <c r="F63" t="e">
        <f t="shared" si="1"/>
        <v>#DIV/0!</v>
      </c>
      <c r="G63" t="e">
        <f t="shared" si="2"/>
        <v>#DIV/0!</v>
      </c>
      <c r="H63" t="e">
        <f t="shared" si="2"/>
        <v>#DIV/0!</v>
      </c>
      <c r="I63" t="e">
        <f t="shared" si="2"/>
        <v>#DIV/0!</v>
      </c>
      <c r="J63" t="e">
        <f t="shared" si="2"/>
        <v>#DIV/0!</v>
      </c>
      <c r="K63" t="e">
        <f t="shared" si="2"/>
        <v>#DIV/0!</v>
      </c>
      <c r="L63" t="e">
        <f t="shared" si="2"/>
        <v>#DIV/0!</v>
      </c>
      <c r="M63" t="e">
        <f t="shared" si="2"/>
        <v>#DIV/0!</v>
      </c>
      <c r="N63" t="e">
        <f t="shared" si="2"/>
        <v>#DIV/0!</v>
      </c>
      <c r="O63" t="e">
        <f t="shared" si="2"/>
        <v>#DIV/0!</v>
      </c>
      <c r="P63" t="e">
        <f t="shared" si="2"/>
        <v>#DIV/0!</v>
      </c>
      <c r="Q63" t="e">
        <f t="shared" si="2"/>
        <v>#DIV/0!</v>
      </c>
      <c r="R63" t="e">
        <f t="shared" si="2"/>
        <v>#DIV/0!</v>
      </c>
      <c r="S63" t="e">
        <f t="shared" si="2"/>
        <v>#DIV/0!</v>
      </c>
      <c r="T63" t="e">
        <f t="shared" si="2"/>
        <v>#DIV/0!</v>
      </c>
      <c r="U63" t="e">
        <f t="shared" si="2"/>
        <v>#DIV/0!</v>
      </c>
      <c r="V63" t="e">
        <f t="shared" si="2"/>
        <v>#DIV/0!</v>
      </c>
      <c r="W63" t="e">
        <f t="shared" si="2"/>
        <v>#DIV/0!</v>
      </c>
      <c r="X63" t="e">
        <f t="shared" si="2"/>
        <v>#DIV/0!</v>
      </c>
      <c r="Y63" t="e">
        <f t="shared" si="2"/>
        <v>#DIV/0!</v>
      </c>
      <c r="Z63" t="e">
        <f t="shared" si="2"/>
        <v>#DIV/0!</v>
      </c>
      <c r="AA63" t="e">
        <f t="shared" si="2"/>
        <v>#DIV/0!</v>
      </c>
      <c r="AB63" t="e">
        <f t="shared" si="2"/>
        <v>#DIV/0!</v>
      </c>
      <c r="AC63" t="e">
        <f t="shared" si="2"/>
        <v>#DIV/0!</v>
      </c>
      <c r="AD63" t="e">
        <f t="shared" si="2"/>
        <v>#DIV/0!</v>
      </c>
      <c r="AE63" t="e">
        <f t="shared" si="2"/>
        <v>#DIV/0!</v>
      </c>
      <c r="AF63" t="e">
        <f t="shared" si="2"/>
        <v>#DIV/0!</v>
      </c>
      <c r="AG63" s="96"/>
      <c r="AH63" s="246" t="s">
        <v>446</v>
      </c>
      <c r="AI63" s="244" t="s">
        <v>463</v>
      </c>
      <c r="AJ63" s="96"/>
      <c r="AK63" s="101">
        <f>$C$63</f>
        <v>24.615384615384617</v>
      </c>
      <c r="AL63" s="101">
        <f>$D$63</f>
        <v>22.137404580152673</v>
      </c>
      <c r="AM63" s="101">
        <f>$E$63</f>
        <v>23.684210526315788</v>
      </c>
      <c r="AN63" s="101" t="e">
        <f>$F$63</f>
        <v>#DIV/0!</v>
      </c>
      <c r="AO63" s="101" t="e">
        <f>$G$63</f>
        <v>#DIV/0!</v>
      </c>
      <c r="AP63" s="101" t="e">
        <f>$H$63</f>
        <v>#DIV/0!</v>
      </c>
      <c r="AQ63" s="101" t="e">
        <f>$I$63</f>
        <v>#DIV/0!</v>
      </c>
      <c r="AR63" s="101" t="e">
        <f>$J$63</f>
        <v>#DIV/0!</v>
      </c>
      <c r="AS63" s="101" t="e">
        <f>$K$63</f>
        <v>#DIV/0!</v>
      </c>
      <c r="AT63" s="101" t="e">
        <f>$L$63</f>
        <v>#DIV/0!</v>
      </c>
      <c r="AU63" s="101" t="e">
        <f>$M$63</f>
        <v>#DIV/0!</v>
      </c>
      <c r="AV63" s="101" t="e">
        <f>$N$63</f>
        <v>#DIV/0!</v>
      </c>
      <c r="AW63" s="101" t="e">
        <f>$O$63</f>
        <v>#DIV/0!</v>
      </c>
      <c r="AX63" s="101" t="e">
        <f>$P$63</f>
        <v>#DIV/0!</v>
      </c>
      <c r="AY63" s="101" t="e">
        <f>$Q$63</f>
        <v>#DIV/0!</v>
      </c>
      <c r="AZ63" s="101" t="e">
        <f>$R$63</f>
        <v>#DIV/0!</v>
      </c>
      <c r="BA63" s="101" t="e">
        <f>$S$63</f>
        <v>#DIV/0!</v>
      </c>
      <c r="BB63" s="101" t="e">
        <f>$T$63</f>
        <v>#DIV/0!</v>
      </c>
      <c r="BC63" s="101" t="e">
        <f>$U$63</f>
        <v>#DIV/0!</v>
      </c>
      <c r="BD63" s="101" t="e">
        <f>$V$63</f>
        <v>#DIV/0!</v>
      </c>
      <c r="BE63" s="101" t="e">
        <f>$W$63</f>
        <v>#DIV/0!</v>
      </c>
      <c r="BF63" s="101" t="e">
        <f>$X$63</f>
        <v>#DIV/0!</v>
      </c>
      <c r="BG63" s="101" t="e">
        <f>$Y$63</f>
        <v>#DIV/0!</v>
      </c>
      <c r="BH63" s="101" t="e">
        <f>$Z$63</f>
        <v>#DIV/0!</v>
      </c>
      <c r="BI63" s="101" t="e">
        <f>$AA$63</f>
        <v>#DIV/0!</v>
      </c>
      <c r="BJ63" s="101" t="e">
        <f>$AB$63</f>
        <v>#DIV/0!</v>
      </c>
      <c r="BK63" s="101" t="e">
        <f>$AC$63</f>
        <v>#DIV/0!</v>
      </c>
      <c r="BL63" s="101" t="e">
        <f>$AD$63</f>
        <v>#DIV/0!</v>
      </c>
      <c r="BM63" s="101" t="e">
        <f>$AE$63</f>
        <v>#DIV/0!</v>
      </c>
      <c r="BN63" s="101" t="e">
        <f>$AF$63</f>
        <v>#DIV/0!</v>
      </c>
    </row>
    <row r="64" spans="1:66">
      <c r="A64" s="69" t="s">
        <v>142</v>
      </c>
      <c r="B64" t="s">
        <v>153</v>
      </c>
      <c r="C64" s="100"/>
      <c r="E64" s="101">
        <v>29.82456140350877</v>
      </c>
      <c r="F64" t="e">
        <f t="shared" si="1"/>
        <v>#DIV/0!</v>
      </c>
      <c r="G64" t="e">
        <f t="shared" si="2"/>
        <v>#DIV/0!</v>
      </c>
      <c r="H64" t="e">
        <f t="shared" si="2"/>
        <v>#DIV/0!</v>
      </c>
      <c r="I64" t="e">
        <f t="shared" si="2"/>
        <v>#DIV/0!</v>
      </c>
      <c r="J64" t="e">
        <f t="shared" si="2"/>
        <v>#DIV/0!</v>
      </c>
      <c r="K64" t="e">
        <f t="shared" si="2"/>
        <v>#DIV/0!</v>
      </c>
      <c r="L64" t="e">
        <f t="shared" si="2"/>
        <v>#DIV/0!</v>
      </c>
      <c r="M64" t="e">
        <f t="shared" si="2"/>
        <v>#DIV/0!</v>
      </c>
      <c r="N64" t="e">
        <f t="shared" si="2"/>
        <v>#DIV/0!</v>
      </c>
      <c r="O64" t="e">
        <f t="shared" si="2"/>
        <v>#DIV/0!</v>
      </c>
      <c r="P64" t="e">
        <f t="shared" si="2"/>
        <v>#DIV/0!</v>
      </c>
      <c r="Q64" t="e">
        <f t="shared" si="2"/>
        <v>#DIV/0!</v>
      </c>
      <c r="R64" t="e">
        <f t="shared" si="2"/>
        <v>#DIV/0!</v>
      </c>
      <c r="S64" t="e">
        <f t="shared" si="2"/>
        <v>#DIV/0!</v>
      </c>
      <c r="T64" t="e">
        <f t="shared" si="2"/>
        <v>#DIV/0!</v>
      </c>
      <c r="U64" t="e">
        <f t="shared" si="2"/>
        <v>#DIV/0!</v>
      </c>
      <c r="V64" t="e">
        <f t="shared" si="2"/>
        <v>#DIV/0!</v>
      </c>
      <c r="W64" t="e">
        <f t="shared" si="2"/>
        <v>#DIV/0!</v>
      </c>
      <c r="X64" t="e">
        <f t="shared" si="2"/>
        <v>#DIV/0!</v>
      </c>
      <c r="Y64" t="e">
        <f t="shared" si="2"/>
        <v>#DIV/0!</v>
      </c>
      <c r="Z64" t="e">
        <f t="shared" si="2"/>
        <v>#DIV/0!</v>
      </c>
      <c r="AA64" t="e">
        <f t="shared" si="2"/>
        <v>#DIV/0!</v>
      </c>
      <c r="AB64" t="e">
        <f t="shared" si="2"/>
        <v>#DIV/0!</v>
      </c>
      <c r="AC64" t="e">
        <f t="shared" si="2"/>
        <v>#DIV/0!</v>
      </c>
      <c r="AD64" t="e">
        <f t="shared" si="2"/>
        <v>#DIV/0!</v>
      </c>
      <c r="AE64" t="e">
        <f t="shared" si="2"/>
        <v>#DIV/0!</v>
      </c>
      <c r="AF64" t="e">
        <f t="shared" si="2"/>
        <v>#DIV/0!</v>
      </c>
      <c r="AG64" s="96"/>
      <c r="AH64" s="247" t="s">
        <v>447</v>
      </c>
      <c r="AI64" s="244" t="s">
        <v>464</v>
      </c>
      <c r="AJ64" s="96"/>
      <c r="AK64" s="101">
        <f>$C$64</f>
        <v>0</v>
      </c>
      <c r="AL64" s="101">
        <f>$D$64</f>
        <v>0</v>
      </c>
      <c r="AM64" s="101">
        <f>$E$64</f>
        <v>29.82456140350877</v>
      </c>
      <c r="AN64" s="101" t="e">
        <f>$F$64</f>
        <v>#DIV/0!</v>
      </c>
      <c r="AO64" s="101" t="e">
        <f>$G$64</f>
        <v>#DIV/0!</v>
      </c>
      <c r="AP64" s="101" t="e">
        <f>$H$64</f>
        <v>#DIV/0!</v>
      </c>
      <c r="AQ64" s="101" t="e">
        <f>$I$64</f>
        <v>#DIV/0!</v>
      </c>
      <c r="AR64" s="101" t="e">
        <f>$J$64</f>
        <v>#DIV/0!</v>
      </c>
      <c r="AS64" s="101" t="e">
        <f>$K$64</f>
        <v>#DIV/0!</v>
      </c>
      <c r="AT64" s="101" t="e">
        <f>$L$64</f>
        <v>#DIV/0!</v>
      </c>
      <c r="AU64" s="101" t="e">
        <f>$M$64</f>
        <v>#DIV/0!</v>
      </c>
      <c r="AV64" s="101" t="e">
        <f>$N$64</f>
        <v>#DIV/0!</v>
      </c>
      <c r="AW64" s="101" t="e">
        <f>$O$64</f>
        <v>#DIV/0!</v>
      </c>
      <c r="AX64" s="101" t="e">
        <f>$P$64</f>
        <v>#DIV/0!</v>
      </c>
      <c r="AY64" s="101" t="e">
        <f>$Q$64</f>
        <v>#DIV/0!</v>
      </c>
      <c r="AZ64" s="101" t="e">
        <f>$R$64</f>
        <v>#DIV/0!</v>
      </c>
      <c r="BA64" s="101" t="e">
        <f>$S$64</f>
        <v>#DIV/0!</v>
      </c>
      <c r="BB64" s="101" t="e">
        <f>$T$64</f>
        <v>#DIV/0!</v>
      </c>
      <c r="BC64" s="101" t="e">
        <f>$U$64</f>
        <v>#DIV/0!</v>
      </c>
      <c r="BD64" s="101" t="e">
        <f>$V$64</f>
        <v>#DIV/0!</v>
      </c>
      <c r="BE64" s="101" t="e">
        <f>$W$64</f>
        <v>#DIV/0!</v>
      </c>
      <c r="BF64" s="101" t="e">
        <f>$X$64</f>
        <v>#DIV/0!</v>
      </c>
      <c r="BG64" s="101" t="e">
        <f>$Y$64</f>
        <v>#DIV/0!</v>
      </c>
      <c r="BH64" s="101" t="e">
        <f>$Z$64</f>
        <v>#DIV/0!</v>
      </c>
      <c r="BI64" s="101" t="e">
        <f>$AA$64</f>
        <v>#DIV/0!</v>
      </c>
      <c r="BJ64" s="101" t="e">
        <f>$AB$64</f>
        <v>#DIV/0!</v>
      </c>
      <c r="BK64" s="101" t="e">
        <f>$AC$64</f>
        <v>#DIV/0!</v>
      </c>
      <c r="BL64" s="101" t="e">
        <f>$AD$64</f>
        <v>#DIV/0!</v>
      </c>
      <c r="BM64" s="101" t="e">
        <f>$AE$64</f>
        <v>#DIV/0!</v>
      </c>
      <c r="BN64" s="101" t="e">
        <f>$AF$64</f>
        <v>#DIV/0!</v>
      </c>
    </row>
    <row r="65" spans="1:66">
      <c r="A65" s="69" t="s">
        <v>148</v>
      </c>
      <c r="B65" t="s">
        <v>153</v>
      </c>
      <c r="C65" s="100"/>
      <c r="E65" s="101">
        <v>21.739130434782609</v>
      </c>
      <c r="F65" t="e">
        <f t="shared" si="1"/>
        <v>#DIV/0!</v>
      </c>
      <c r="G65" t="e">
        <f t="shared" si="2"/>
        <v>#DIV/0!</v>
      </c>
      <c r="H65" t="e">
        <f t="shared" si="2"/>
        <v>#DIV/0!</v>
      </c>
      <c r="I65" t="e">
        <f t="shared" si="2"/>
        <v>#DIV/0!</v>
      </c>
      <c r="J65" t="e">
        <f t="shared" si="2"/>
        <v>#DIV/0!</v>
      </c>
      <c r="K65" t="e">
        <f t="shared" si="2"/>
        <v>#DIV/0!</v>
      </c>
      <c r="L65" t="e">
        <f t="shared" si="2"/>
        <v>#DIV/0!</v>
      </c>
      <c r="M65" t="e">
        <f t="shared" si="2"/>
        <v>#DIV/0!</v>
      </c>
      <c r="N65" t="e">
        <f t="shared" si="2"/>
        <v>#DIV/0!</v>
      </c>
      <c r="O65" t="e">
        <f t="shared" si="2"/>
        <v>#DIV/0!</v>
      </c>
      <c r="P65" t="e">
        <f t="shared" si="2"/>
        <v>#DIV/0!</v>
      </c>
      <c r="Q65" t="e">
        <f t="shared" si="2"/>
        <v>#DIV/0!</v>
      </c>
      <c r="R65" t="e">
        <f t="shared" si="2"/>
        <v>#DIV/0!</v>
      </c>
      <c r="S65" t="e">
        <f t="shared" si="2"/>
        <v>#DIV/0!</v>
      </c>
      <c r="T65" t="e">
        <f t="shared" si="2"/>
        <v>#DIV/0!</v>
      </c>
      <c r="U65" t="e">
        <f t="shared" si="2"/>
        <v>#DIV/0!</v>
      </c>
      <c r="V65" t="e">
        <f t="shared" si="2"/>
        <v>#DIV/0!</v>
      </c>
      <c r="W65" t="e">
        <f t="shared" si="2"/>
        <v>#DIV/0!</v>
      </c>
      <c r="X65" t="e">
        <f t="shared" si="2"/>
        <v>#DIV/0!</v>
      </c>
      <c r="Y65" t="e">
        <f t="shared" si="2"/>
        <v>#DIV/0!</v>
      </c>
      <c r="Z65" t="e">
        <f t="shared" si="2"/>
        <v>#DIV/0!</v>
      </c>
      <c r="AA65" t="e">
        <f t="shared" si="2"/>
        <v>#DIV/0!</v>
      </c>
      <c r="AB65" t="e">
        <f t="shared" si="2"/>
        <v>#DIV/0!</v>
      </c>
      <c r="AC65" t="e">
        <f t="shared" si="2"/>
        <v>#DIV/0!</v>
      </c>
      <c r="AD65" t="e">
        <f t="shared" si="2"/>
        <v>#DIV/0!</v>
      </c>
      <c r="AE65" t="e">
        <f t="shared" si="2"/>
        <v>#DIV/0!</v>
      </c>
      <c r="AF65" t="e">
        <f t="shared" si="2"/>
        <v>#DIV/0!</v>
      </c>
      <c r="AG65" s="96"/>
      <c r="AH65" s="295"/>
      <c r="AI65" s="244" t="s">
        <v>465</v>
      </c>
      <c r="AJ65" s="96"/>
      <c r="AK65" s="101">
        <f>$C$65</f>
        <v>0</v>
      </c>
      <c r="AL65" s="101">
        <f>$D$65</f>
        <v>0</v>
      </c>
      <c r="AM65" s="101">
        <f>$E$65</f>
        <v>21.739130434782609</v>
      </c>
      <c r="AN65" s="101" t="e">
        <f>$F$65</f>
        <v>#DIV/0!</v>
      </c>
      <c r="AO65" s="101" t="e">
        <f>$G$65</f>
        <v>#DIV/0!</v>
      </c>
      <c r="AP65" s="101" t="e">
        <f>$H$65</f>
        <v>#DIV/0!</v>
      </c>
      <c r="AQ65" s="101" t="e">
        <f>$I$65</f>
        <v>#DIV/0!</v>
      </c>
      <c r="AR65" s="101" t="e">
        <f>$J$65</f>
        <v>#DIV/0!</v>
      </c>
      <c r="AS65" s="101" t="e">
        <f>$K$65</f>
        <v>#DIV/0!</v>
      </c>
      <c r="AT65" s="101" t="e">
        <f>$L$65</f>
        <v>#DIV/0!</v>
      </c>
      <c r="AU65" s="101" t="e">
        <f>$M$65</f>
        <v>#DIV/0!</v>
      </c>
      <c r="AV65" s="101" t="e">
        <f>$N$65</f>
        <v>#DIV/0!</v>
      </c>
      <c r="AW65" s="101" t="e">
        <f>$O$65</f>
        <v>#DIV/0!</v>
      </c>
      <c r="AX65" s="101" t="e">
        <f>$P$65</f>
        <v>#DIV/0!</v>
      </c>
      <c r="AY65" s="101" t="e">
        <f>$Q$65</f>
        <v>#DIV/0!</v>
      </c>
      <c r="AZ65" s="101" t="e">
        <f>$R$65</f>
        <v>#DIV/0!</v>
      </c>
      <c r="BA65" s="101" t="e">
        <f>$S$65</f>
        <v>#DIV/0!</v>
      </c>
      <c r="BB65" s="101" t="e">
        <f>$T$65</f>
        <v>#DIV/0!</v>
      </c>
      <c r="BC65" s="101" t="e">
        <f>$U$65</f>
        <v>#DIV/0!</v>
      </c>
      <c r="BD65" s="101" t="e">
        <f>$V$65</f>
        <v>#DIV/0!</v>
      </c>
      <c r="BE65" s="101" t="e">
        <f>$W$65</f>
        <v>#DIV/0!</v>
      </c>
      <c r="BF65" s="101" t="e">
        <f>$X$65</f>
        <v>#DIV/0!</v>
      </c>
      <c r="BG65" s="101" t="e">
        <f>$Y$65</f>
        <v>#DIV/0!</v>
      </c>
      <c r="BH65" s="101" t="e">
        <f>$Z$65</f>
        <v>#DIV/0!</v>
      </c>
      <c r="BI65" s="101" t="e">
        <f>$AA$65</f>
        <v>#DIV/0!</v>
      </c>
      <c r="BJ65" s="101" t="e">
        <f>$AB$65</f>
        <v>#DIV/0!</v>
      </c>
      <c r="BK65" s="101" t="e">
        <f>$AC$65</f>
        <v>#DIV/0!</v>
      </c>
      <c r="BL65" s="101" t="e">
        <f>$AD$65</f>
        <v>#DIV/0!</v>
      </c>
      <c r="BM65" s="101" t="e">
        <f>$AE$65</f>
        <v>#DIV/0!</v>
      </c>
      <c r="BN65" s="101" t="e">
        <f>$AF$65</f>
        <v>#DIV/0!</v>
      </c>
    </row>
    <row r="66" spans="1:66">
      <c r="A66" s="69" t="s">
        <v>156</v>
      </c>
      <c r="B66" s="71" t="s">
        <v>158</v>
      </c>
      <c r="C66" s="101">
        <v>23.622047244094489</v>
      </c>
      <c r="D66" s="101">
        <v>22.627737226277372</v>
      </c>
      <c r="E66" s="101">
        <v>23.134328358208954</v>
      </c>
      <c r="F66" t="e">
        <f t="shared" si="1"/>
        <v>#DIV/0!</v>
      </c>
      <c r="G66" t="e">
        <f t="shared" si="2"/>
        <v>#DIV/0!</v>
      </c>
      <c r="H66" t="e">
        <f t="shared" si="2"/>
        <v>#DIV/0!</v>
      </c>
      <c r="I66" t="e">
        <f t="shared" si="2"/>
        <v>#DIV/0!</v>
      </c>
      <c r="J66" t="e">
        <f t="shared" si="2"/>
        <v>#DIV/0!</v>
      </c>
      <c r="K66" t="e">
        <f t="shared" si="2"/>
        <v>#DIV/0!</v>
      </c>
      <c r="L66" t="e">
        <f t="shared" si="2"/>
        <v>#DIV/0!</v>
      </c>
      <c r="M66" t="e">
        <f t="shared" si="2"/>
        <v>#DIV/0!</v>
      </c>
      <c r="N66" t="e">
        <f t="shared" si="2"/>
        <v>#DIV/0!</v>
      </c>
      <c r="O66" t="e">
        <f t="shared" si="2"/>
        <v>#DIV/0!</v>
      </c>
      <c r="P66" t="e">
        <f t="shared" si="2"/>
        <v>#DIV/0!</v>
      </c>
      <c r="Q66" t="e">
        <f t="shared" si="2"/>
        <v>#DIV/0!</v>
      </c>
      <c r="R66" t="e">
        <f t="shared" si="2"/>
        <v>#DIV/0!</v>
      </c>
      <c r="S66" t="e">
        <f t="shared" si="2"/>
        <v>#DIV/0!</v>
      </c>
      <c r="T66" t="e">
        <f t="shared" si="2"/>
        <v>#DIV/0!</v>
      </c>
      <c r="U66" t="e">
        <f t="shared" si="2"/>
        <v>#DIV/0!</v>
      </c>
      <c r="V66" t="e">
        <f t="shared" si="2"/>
        <v>#DIV/0!</v>
      </c>
      <c r="W66" t="e">
        <f t="shared" si="2"/>
        <v>#DIV/0!</v>
      </c>
      <c r="X66" t="e">
        <f t="shared" si="2"/>
        <v>#DIV/0!</v>
      </c>
      <c r="Y66" t="e">
        <f t="shared" si="2"/>
        <v>#DIV/0!</v>
      </c>
      <c r="Z66" t="e">
        <f t="shared" si="2"/>
        <v>#DIV/0!</v>
      </c>
      <c r="AA66" t="e">
        <f t="shared" si="2"/>
        <v>#DIV/0!</v>
      </c>
      <c r="AB66" t="e">
        <f t="shared" si="2"/>
        <v>#DIV/0!</v>
      </c>
      <c r="AC66" t="e">
        <f t="shared" si="2"/>
        <v>#DIV/0!</v>
      </c>
      <c r="AD66" t="e">
        <f t="shared" si="2"/>
        <v>#DIV/0!</v>
      </c>
      <c r="AE66" t="e">
        <f t="shared" si="2"/>
        <v>#DIV/0!</v>
      </c>
      <c r="AF66" t="e">
        <f t="shared" si="2"/>
        <v>#DIV/0!</v>
      </c>
      <c r="AG66" s="96"/>
      <c r="AH66" s="204"/>
      <c r="AI66" s="248" t="s">
        <v>466</v>
      </c>
      <c r="AJ66" s="96"/>
      <c r="AK66" s="101">
        <f>$C$66</f>
        <v>23.622047244094489</v>
      </c>
      <c r="AL66" s="101">
        <f>$D$66</f>
        <v>22.627737226277372</v>
      </c>
      <c r="AM66" s="101">
        <f>$E$66</f>
        <v>23.134328358208954</v>
      </c>
      <c r="AN66" s="101" t="e">
        <f>$F$66</f>
        <v>#DIV/0!</v>
      </c>
      <c r="AO66" s="101" t="e">
        <f>$G$66</f>
        <v>#DIV/0!</v>
      </c>
      <c r="AP66" s="101" t="e">
        <f>$H$66</f>
        <v>#DIV/0!</v>
      </c>
      <c r="AQ66" s="101" t="e">
        <f>$I$66</f>
        <v>#DIV/0!</v>
      </c>
      <c r="AR66" s="101" t="e">
        <f>$J$66</f>
        <v>#DIV/0!</v>
      </c>
      <c r="AS66" s="101" t="e">
        <f>$K$66</f>
        <v>#DIV/0!</v>
      </c>
      <c r="AT66" s="101" t="e">
        <f>$L$66</f>
        <v>#DIV/0!</v>
      </c>
      <c r="AU66" s="101" t="e">
        <f>$M$66</f>
        <v>#DIV/0!</v>
      </c>
      <c r="AV66" s="101" t="e">
        <f>$N$66</f>
        <v>#DIV/0!</v>
      </c>
      <c r="AW66" s="101" t="e">
        <f>$O$66</f>
        <v>#DIV/0!</v>
      </c>
      <c r="AX66" s="101" t="e">
        <f>$P$66</f>
        <v>#DIV/0!</v>
      </c>
      <c r="AY66" s="101" t="e">
        <f>$Q$66</f>
        <v>#DIV/0!</v>
      </c>
      <c r="AZ66" s="101" t="e">
        <f>$R$66</f>
        <v>#DIV/0!</v>
      </c>
      <c r="BA66" s="101" t="e">
        <f>$S$66</f>
        <v>#DIV/0!</v>
      </c>
      <c r="BB66" s="101" t="e">
        <f>$T$66</f>
        <v>#DIV/0!</v>
      </c>
      <c r="BC66" s="101" t="e">
        <f>$U$66</f>
        <v>#DIV/0!</v>
      </c>
      <c r="BD66" s="101" t="e">
        <f>$V$66</f>
        <v>#DIV/0!</v>
      </c>
      <c r="BE66" s="101" t="e">
        <f>$W$66</f>
        <v>#DIV/0!</v>
      </c>
      <c r="BF66" s="101" t="e">
        <f>$X$66</f>
        <v>#DIV/0!</v>
      </c>
      <c r="BG66" s="101" t="e">
        <f>$Y$66</f>
        <v>#DIV/0!</v>
      </c>
      <c r="BH66" s="101" t="e">
        <f>$Z$66</f>
        <v>#DIV/0!</v>
      </c>
      <c r="BI66" s="101" t="e">
        <f>$AA$66</f>
        <v>#DIV/0!</v>
      </c>
      <c r="BJ66" s="101" t="e">
        <f>$AB$66</f>
        <v>#DIV/0!</v>
      </c>
      <c r="BK66" s="101" t="e">
        <f>$AC$66</f>
        <v>#DIV/0!</v>
      </c>
      <c r="BL66" s="101" t="e">
        <f>$AD$66</f>
        <v>#DIV/0!</v>
      </c>
      <c r="BM66" s="101" t="e">
        <f>$AE$66</f>
        <v>#DIV/0!</v>
      </c>
      <c r="BN66" s="101" t="e">
        <f>$AF$66</f>
        <v>#DIV/0!</v>
      </c>
    </row>
    <row r="67" spans="1:66">
      <c r="A67" s="69" t="s">
        <v>149</v>
      </c>
      <c r="B67" t="s">
        <v>153</v>
      </c>
      <c r="C67" s="100"/>
      <c r="E67" s="101">
        <v>30.107526881720432</v>
      </c>
      <c r="F67" t="e">
        <f t="shared" si="1"/>
        <v>#DIV/0!</v>
      </c>
      <c r="G67" t="e">
        <f t="shared" si="2"/>
        <v>#DIV/0!</v>
      </c>
      <c r="H67" t="e">
        <f t="shared" si="2"/>
        <v>#DIV/0!</v>
      </c>
      <c r="I67" t="e">
        <f t="shared" si="2"/>
        <v>#DIV/0!</v>
      </c>
      <c r="J67" t="e">
        <f t="shared" si="2"/>
        <v>#DIV/0!</v>
      </c>
      <c r="K67" t="e">
        <f t="shared" si="2"/>
        <v>#DIV/0!</v>
      </c>
      <c r="L67" t="e">
        <f t="shared" ref="G67:AF76" si="3">1/0</f>
        <v>#DIV/0!</v>
      </c>
      <c r="M67" t="e">
        <f t="shared" si="3"/>
        <v>#DIV/0!</v>
      </c>
      <c r="N67" t="e">
        <f t="shared" si="3"/>
        <v>#DIV/0!</v>
      </c>
      <c r="O67" t="e">
        <f t="shared" si="3"/>
        <v>#DIV/0!</v>
      </c>
      <c r="P67" t="e">
        <f t="shared" si="3"/>
        <v>#DIV/0!</v>
      </c>
      <c r="Q67" t="e">
        <f t="shared" si="3"/>
        <v>#DIV/0!</v>
      </c>
      <c r="R67" t="e">
        <f t="shared" si="3"/>
        <v>#DIV/0!</v>
      </c>
      <c r="S67" t="e">
        <f t="shared" si="3"/>
        <v>#DIV/0!</v>
      </c>
      <c r="T67" t="e">
        <f t="shared" si="3"/>
        <v>#DIV/0!</v>
      </c>
      <c r="U67" t="e">
        <f t="shared" si="3"/>
        <v>#DIV/0!</v>
      </c>
      <c r="V67" t="e">
        <f t="shared" si="3"/>
        <v>#DIV/0!</v>
      </c>
      <c r="W67" t="e">
        <f t="shared" si="3"/>
        <v>#DIV/0!</v>
      </c>
      <c r="X67" t="e">
        <f t="shared" si="3"/>
        <v>#DIV/0!</v>
      </c>
      <c r="Y67" t="e">
        <f t="shared" si="3"/>
        <v>#DIV/0!</v>
      </c>
      <c r="Z67" t="e">
        <f t="shared" si="3"/>
        <v>#DIV/0!</v>
      </c>
      <c r="AA67" t="e">
        <f t="shared" si="3"/>
        <v>#DIV/0!</v>
      </c>
      <c r="AB67" t="e">
        <f t="shared" si="3"/>
        <v>#DIV/0!</v>
      </c>
      <c r="AC67" t="e">
        <f t="shared" si="3"/>
        <v>#DIV/0!</v>
      </c>
      <c r="AD67" t="e">
        <f t="shared" si="3"/>
        <v>#DIV/0!</v>
      </c>
      <c r="AE67" t="e">
        <f t="shared" si="3"/>
        <v>#DIV/0!</v>
      </c>
      <c r="AF67" t="e">
        <f t="shared" si="3"/>
        <v>#DIV/0!</v>
      </c>
      <c r="AG67" s="96"/>
      <c r="AH67" s="256"/>
      <c r="AI67" s="254"/>
      <c r="AJ67" s="96"/>
      <c r="AK67" s="101">
        <f>$C$67</f>
        <v>0</v>
      </c>
      <c r="AL67" s="101">
        <f>$D$67</f>
        <v>0</v>
      </c>
      <c r="AM67" s="101">
        <f>$E$67</f>
        <v>30.107526881720432</v>
      </c>
      <c r="AN67" s="101" t="e">
        <f>$F$67</f>
        <v>#DIV/0!</v>
      </c>
      <c r="AO67" s="101" t="e">
        <f>$G$67</f>
        <v>#DIV/0!</v>
      </c>
      <c r="AP67" s="101" t="e">
        <f>$H$67</f>
        <v>#DIV/0!</v>
      </c>
      <c r="AQ67" s="101" t="e">
        <f>$I$67</f>
        <v>#DIV/0!</v>
      </c>
      <c r="AR67" s="101" t="e">
        <f>$J$67</f>
        <v>#DIV/0!</v>
      </c>
      <c r="AS67" s="101" t="e">
        <f>$K$67</f>
        <v>#DIV/0!</v>
      </c>
      <c r="AT67" s="101" t="e">
        <f>$L$67</f>
        <v>#DIV/0!</v>
      </c>
      <c r="AU67" s="101" t="e">
        <f>$M$67</f>
        <v>#DIV/0!</v>
      </c>
      <c r="AV67" s="101" t="e">
        <f>$N$67</f>
        <v>#DIV/0!</v>
      </c>
      <c r="AW67" s="101" t="e">
        <f>$O$67</f>
        <v>#DIV/0!</v>
      </c>
      <c r="AX67" s="101" t="e">
        <f>$P$67</f>
        <v>#DIV/0!</v>
      </c>
      <c r="AY67" s="101" t="e">
        <f>$Q$67</f>
        <v>#DIV/0!</v>
      </c>
      <c r="AZ67" s="101" t="e">
        <f>$R$67</f>
        <v>#DIV/0!</v>
      </c>
      <c r="BA67" s="101" t="e">
        <f>$S$67</f>
        <v>#DIV/0!</v>
      </c>
      <c r="BB67" s="101" t="e">
        <f>$T$67</f>
        <v>#DIV/0!</v>
      </c>
      <c r="BC67" s="101" t="e">
        <f>$U$67</f>
        <v>#DIV/0!</v>
      </c>
      <c r="BD67" s="101" t="e">
        <f>$V$67</f>
        <v>#DIV/0!</v>
      </c>
      <c r="BE67" s="101" t="e">
        <f>$W$67</f>
        <v>#DIV/0!</v>
      </c>
      <c r="BF67" s="101" t="e">
        <f>$X$67</f>
        <v>#DIV/0!</v>
      </c>
      <c r="BG67" s="101" t="e">
        <f>$Y$67</f>
        <v>#DIV/0!</v>
      </c>
      <c r="BH67" s="101" t="e">
        <f>$Z$67</f>
        <v>#DIV/0!</v>
      </c>
      <c r="BI67" s="101" t="e">
        <f>$AA$67</f>
        <v>#DIV/0!</v>
      </c>
      <c r="BJ67" s="101" t="e">
        <f>$AB$67</f>
        <v>#DIV/0!</v>
      </c>
      <c r="BK67" s="101" t="e">
        <f>$AC$67</f>
        <v>#DIV/0!</v>
      </c>
      <c r="BL67" s="101" t="e">
        <f>$AD$67</f>
        <v>#DIV/0!</v>
      </c>
      <c r="BM67" s="101" t="e">
        <f>$AE$67</f>
        <v>#DIV/0!</v>
      </c>
      <c r="BN67" s="101" t="e">
        <f>$AF$67</f>
        <v>#DIV/0!</v>
      </c>
    </row>
    <row r="68" spans="1:66">
      <c r="A68" s="69" t="s">
        <v>157</v>
      </c>
      <c r="B68" s="71" t="s">
        <v>158</v>
      </c>
      <c r="C68" s="101">
        <v>27.184466019417474</v>
      </c>
      <c r="D68" s="101">
        <v>30</v>
      </c>
      <c r="E68" s="101">
        <v>29.186602870813399</v>
      </c>
      <c r="F68" t="e">
        <f t="shared" si="1"/>
        <v>#DIV/0!</v>
      </c>
      <c r="G68" t="e">
        <f t="shared" si="3"/>
        <v>#DIV/0!</v>
      </c>
      <c r="H68" t="e">
        <f t="shared" si="3"/>
        <v>#DIV/0!</v>
      </c>
      <c r="I68" t="e">
        <f t="shared" si="3"/>
        <v>#DIV/0!</v>
      </c>
      <c r="J68" t="e">
        <f t="shared" si="3"/>
        <v>#DIV/0!</v>
      </c>
      <c r="K68" t="e">
        <f t="shared" si="3"/>
        <v>#DIV/0!</v>
      </c>
      <c r="L68" t="e">
        <f t="shared" si="3"/>
        <v>#DIV/0!</v>
      </c>
      <c r="M68" t="e">
        <f t="shared" si="3"/>
        <v>#DIV/0!</v>
      </c>
      <c r="N68" t="e">
        <f t="shared" si="3"/>
        <v>#DIV/0!</v>
      </c>
      <c r="O68" t="e">
        <f t="shared" si="3"/>
        <v>#DIV/0!</v>
      </c>
      <c r="P68" t="e">
        <f t="shared" si="3"/>
        <v>#DIV/0!</v>
      </c>
      <c r="Q68" t="e">
        <f t="shared" si="3"/>
        <v>#DIV/0!</v>
      </c>
      <c r="R68" t="e">
        <f t="shared" si="3"/>
        <v>#DIV/0!</v>
      </c>
      <c r="S68" t="e">
        <f t="shared" si="3"/>
        <v>#DIV/0!</v>
      </c>
      <c r="T68" t="e">
        <f t="shared" si="3"/>
        <v>#DIV/0!</v>
      </c>
      <c r="U68" t="e">
        <f t="shared" si="3"/>
        <v>#DIV/0!</v>
      </c>
      <c r="V68" t="e">
        <f t="shared" si="3"/>
        <v>#DIV/0!</v>
      </c>
      <c r="W68" t="e">
        <f t="shared" si="3"/>
        <v>#DIV/0!</v>
      </c>
      <c r="X68" t="e">
        <f t="shared" si="3"/>
        <v>#DIV/0!</v>
      </c>
      <c r="Y68" t="e">
        <f t="shared" si="3"/>
        <v>#DIV/0!</v>
      </c>
      <c r="Z68" t="e">
        <f t="shared" si="3"/>
        <v>#DIV/0!</v>
      </c>
      <c r="AA68" t="e">
        <f t="shared" si="3"/>
        <v>#DIV/0!</v>
      </c>
      <c r="AB68" t="e">
        <f t="shared" si="3"/>
        <v>#DIV/0!</v>
      </c>
      <c r="AC68" t="e">
        <f t="shared" si="3"/>
        <v>#DIV/0!</v>
      </c>
      <c r="AD68" t="e">
        <f t="shared" si="3"/>
        <v>#DIV/0!</v>
      </c>
      <c r="AE68" t="e">
        <f t="shared" si="3"/>
        <v>#DIV/0!</v>
      </c>
      <c r="AF68" t="e">
        <f t="shared" si="3"/>
        <v>#DIV/0!</v>
      </c>
      <c r="AG68" s="96"/>
      <c r="AH68" s="242"/>
      <c r="AI68" s="254"/>
      <c r="AJ68" s="96"/>
      <c r="AK68" s="101">
        <f>$C$68</f>
        <v>27.184466019417474</v>
      </c>
      <c r="AL68" s="101">
        <f>$D$68</f>
        <v>30</v>
      </c>
      <c r="AM68" s="101">
        <f>$E$68</f>
        <v>29.186602870813399</v>
      </c>
      <c r="AN68" s="101" t="e">
        <f>$F$68</f>
        <v>#DIV/0!</v>
      </c>
      <c r="AO68" s="101" t="e">
        <f>$G$68</f>
        <v>#DIV/0!</v>
      </c>
      <c r="AP68" s="101" t="e">
        <f>$H$68</f>
        <v>#DIV/0!</v>
      </c>
      <c r="AQ68" s="101" t="e">
        <f>$I$68</f>
        <v>#DIV/0!</v>
      </c>
      <c r="AR68" s="101" t="e">
        <f>$J$68</f>
        <v>#DIV/0!</v>
      </c>
      <c r="AS68" s="101" t="e">
        <f>$K$68</f>
        <v>#DIV/0!</v>
      </c>
      <c r="AT68" s="101" t="e">
        <f>$L$68</f>
        <v>#DIV/0!</v>
      </c>
      <c r="AU68" s="101" t="e">
        <f>$M$68</f>
        <v>#DIV/0!</v>
      </c>
      <c r="AV68" s="101" t="e">
        <f>$N$68</f>
        <v>#DIV/0!</v>
      </c>
      <c r="AW68" s="101" t="e">
        <f>$O$68</f>
        <v>#DIV/0!</v>
      </c>
      <c r="AX68" s="101" t="e">
        <f>$P$68</f>
        <v>#DIV/0!</v>
      </c>
      <c r="AY68" s="101" t="e">
        <f>$Q$68</f>
        <v>#DIV/0!</v>
      </c>
      <c r="AZ68" s="101" t="e">
        <f>$R$68</f>
        <v>#DIV/0!</v>
      </c>
      <c r="BA68" s="101" t="e">
        <f>$S$68</f>
        <v>#DIV/0!</v>
      </c>
      <c r="BB68" s="101" t="e">
        <f>$T$68</f>
        <v>#DIV/0!</v>
      </c>
      <c r="BC68" s="101" t="e">
        <f>$U$68</f>
        <v>#DIV/0!</v>
      </c>
      <c r="BD68" s="101" t="e">
        <f>$V$68</f>
        <v>#DIV/0!</v>
      </c>
      <c r="BE68" s="101" t="e">
        <f>$W$68</f>
        <v>#DIV/0!</v>
      </c>
      <c r="BF68" s="101" t="e">
        <f>$X$68</f>
        <v>#DIV/0!</v>
      </c>
      <c r="BG68" s="101" t="e">
        <f>$Y$68</f>
        <v>#DIV/0!</v>
      </c>
      <c r="BH68" s="101" t="e">
        <f>$Z$68</f>
        <v>#DIV/0!</v>
      </c>
      <c r="BI68" s="101" t="e">
        <f>$AA$68</f>
        <v>#DIV/0!</v>
      </c>
      <c r="BJ68" s="101" t="e">
        <f>$AB$68</f>
        <v>#DIV/0!</v>
      </c>
      <c r="BK68" s="101" t="e">
        <f>$AC$68</f>
        <v>#DIV/0!</v>
      </c>
      <c r="BL68" s="101" t="e">
        <f>$AD$68</f>
        <v>#DIV/0!</v>
      </c>
      <c r="BM68" s="101" t="e">
        <f>$AE$68</f>
        <v>#DIV/0!</v>
      </c>
      <c r="BN68" s="101" t="e">
        <f>$AF$68</f>
        <v>#DIV/0!</v>
      </c>
    </row>
    <row r="69" spans="1:66">
      <c r="A69" s="69" t="s">
        <v>172</v>
      </c>
      <c r="B69" s="71" t="s">
        <v>178</v>
      </c>
      <c r="C69" s="101">
        <v>27.536231884057973</v>
      </c>
      <c r="D69" s="101">
        <v>15.068493150684931</v>
      </c>
      <c r="E69" s="101">
        <v>20.833333333333336</v>
      </c>
      <c r="F69" t="e">
        <f t="shared" si="1"/>
        <v>#DIV/0!</v>
      </c>
      <c r="G69" t="e">
        <f t="shared" si="3"/>
        <v>#DIV/0!</v>
      </c>
      <c r="H69" t="e">
        <f t="shared" si="3"/>
        <v>#DIV/0!</v>
      </c>
      <c r="I69" t="e">
        <f t="shared" si="3"/>
        <v>#DIV/0!</v>
      </c>
      <c r="J69" t="e">
        <f t="shared" si="3"/>
        <v>#DIV/0!</v>
      </c>
      <c r="K69" t="e">
        <f t="shared" si="3"/>
        <v>#DIV/0!</v>
      </c>
      <c r="L69" t="e">
        <f t="shared" si="3"/>
        <v>#DIV/0!</v>
      </c>
      <c r="M69" t="e">
        <f t="shared" si="3"/>
        <v>#DIV/0!</v>
      </c>
      <c r="N69" t="e">
        <f t="shared" si="3"/>
        <v>#DIV/0!</v>
      </c>
      <c r="O69" t="e">
        <f t="shared" si="3"/>
        <v>#DIV/0!</v>
      </c>
      <c r="P69" t="e">
        <f t="shared" si="3"/>
        <v>#DIV/0!</v>
      </c>
      <c r="Q69" t="e">
        <f t="shared" si="3"/>
        <v>#DIV/0!</v>
      </c>
      <c r="R69" t="e">
        <f t="shared" si="3"/>
        <v>#DIV/0!</v>
      </c>
      <c r="S69" t="e">
        <f t="shared" si="3"/>
        <v>#DIV/0!</v>
      </c>
      <c r="T69" t="e">
        <f t="shared" si="3"/>
        <v>#DIV/0!</v>
      </c>
      <c r="U69" t="e">
        <f t="shared" si="3"/>
        <v>#DIV/0!</v>
      </c>
      <c r="V69" t="e">
        <f t="shared" si="3"/>
        <v>#DIV/0!</v>
      </c>
      <c r="W69" t="e">
        <f t="shared" si="3"/>
        <v>#DIV/0!</v>
      </c>
      <c r="X69" t="e">
        <f t="shared" si="3"/>
        <v>#DIV/0!</v>
      </c>
      <c r="Y69" t="e">
        <f t="shared" si="3"/>
        <v>#DIV/0!</v>
      </c>
      <c r="Z69" t="e">
        <f t="shared" si="3"/>
        <v>#DIV/0!</v>
      </c>
      <c r="AA69" t="e">
        <f t="shared" si="3"/>
        <v>#DIV/0!</v>
      </c>
      <c r="AB69" t="e">
        <f t="shared" si="3"/>
        <v>#DIV/0!</v>
      </c>
      <c r="AC69" t="e">
        <f t="shared" si="3"/>
        <v>#DIV/0!</v>
      </c>
      <c r="AD69" t="e">
        <f t="shared" si="3"/>
        <v>#DIV/0!</v>
      </c>
      <c r="AE69" t="e">
        <f t="shared" si="3"/>
        <v>#DIV/0!</v>
      </c>
      <c r="AF69" t="e">
        <f t="shared" si="3"/>
        <v>#DIV/0!</v>
      </c>
      <c r="AG69" s="82"/>
      <c r="AJ69" s="82"/>
      <c r="AK69" s="101">
        <f>$C$69</f>
        <v>27.536231884057973</v>
      </c>
      <c r="AL69" s="101">
        <f>$D$69</f>
        <v>15.068493150684931</v>
      </c>
      <c r="AM69" s="101">
        <f>$E$69</f>
        <v>20.833333333333336</v>
      </c>
      <c r="AN69" s="101" t="e">
        <f>$F$69</f>
        <v>#DIV/0!</v>
      </c>
      <c r="AO69" s="101" t="e">
        <f>$G$69</f>
        <v>#DIV/0!</v>
      </c>
      <c r="AP69" s="101" t="e">
        <f>$H$69</f>
        <v>#DIV/0!</v>
      </c>
      <c r="AQ69" s="101" t="e">
        <f>$I$69</f>
        <v>#DIV/0!</v>
      </c>
      <c r="AR69" s="101" t="e">
        <f>$J$69</f>
        <v>#DIV/0!</v>
      </c>
      <c r="AS69" s="101" t="e">
        <f>$K$69</f>
        <v>#DIV/0!</v>
      </c>
      <c r="AT69" s="101" t="e">
        <f>$L$69</f>
        <v>#DIV/0!</v>
      </c>
      <c r="AU69" s="101" t="e">
        <f>$M$69</f>
        <v>#DIV/0!</v>
      </c>
      <c r="AV69" s="101" t="e">
        <f>$N$69</f>
        <v>#DIV/0!</v>
      </c>
      <c r="AW69" s="101" t="e">
        <f>$O$69</f>
        <v>#DIV/0!</v>
      </c>
      <c r="AX69" s="101" t="e">
        <f>$P$69</f>
        <v>#DIV/0!</v>
      </c>
      <c r="AY69" s="101" t="e">
        <f>$Q$69</f>
        <v>#DIV/0!</v>
      </c>
      <c r="AZ69" s="101" t="e">
        <f>$R$69</f>
        <v>#DIV/0!</v>
      </c>
      <c r="BA69" s="101" t="e">
        <f>$S$69</f>
        <v>#DIV/0!</v>
      </c>
      <c r="BB69" s="101" t="e">
        <f>$T$69</f>
        <v>#DIV/0!</v>
      </c>
      <c r="BC69" s="101" t="e">
        <f>$U$69</f>
        <v>#DIV/0!</v>
      </c>
      <c r="BD69" s="101" t="e">
        <f>$V$69</f>
        <v>#DIV/0!</v>
      </c>
      <c r="BE69" s="101" t="e">
        <f>$W$69</f>
        <v>#DIV/0!</v>
      </c>
      <c r="BF69" s="101" t="e">
        <f>$X$69</f>
        <v>#DIV/0!</v>
      </c>
      <c r="BG69" s="101" t="e">
        <f>$Y$69</f>
        <v>#DIV/0!</v>
      </c>
      <c r="BH69" s="101" t="e">
        <f>$Z$69</f>
        <v>#DIV/0!</v>
      </c>
      <c r="BI69" s="101" t="e">
        <f>$AA$69</f>
        <v>#DIV/0!</v>
      </c>
      <c r="BJ69" s="101" t="e">
        <f>$AB$69</f>
        <v>#DIV/0!</v>
      </c>
      <c r="BK69" s="101" t="e">
        <f>$AC$69</f>
        <v>#DIV/0!</v>
      </c>
      <c r="BL69" s="101" t="e">
        <f>$AD$69</f>
        <v>#DIV/0!</v>
      </c>
      <c r="BM69" s="101" t="e">
        <f>$AE$69</f>
        <v>#DIV/0!</v>
      </c>
      <c r="BN69" s="101" t="e">
        <f>$AF$69</f>
        <v>#DIV/0!</v>
      </c>
    </row>
    <row r="70" spans="1:66" ht="23.65" thickBot="1">
      <c r="A70" s="69" t="s">
        <v>173</v>
      </c>
      <c r="B70" s="71" t="s">
        <v>178</v>
      </c>
      <c r="C70" s="101">
        <v>34.070796460176986</v>
      </c>
      <c r="D70" s="101">
        <v>22.95918367346939</v>
      </c>
      <c r="E70" s="101">
        <v>28.571428571428569</v>
      </c>
      <c r="F70" t="e">
        <f t="shared" si="1"/>
        <v>#DIV/0!</v>
      </c>
      <c r="G70" t="e">
        <f t="shared" si="3"/>
        <v>#DIV/0!</v>
      </c>
      <c r="H70" t="e">
        <f t="shared" si="3"/>
        <v>#DIV/0!</v>
      </c>
      <c r="I70" t="e">
        <f t="shared" si="3"/>
        <v>#DIV/0!</v>
      </c>
      <c r="J70" t="e">
        <f t="shared" si="3"/>
        <v>#DIV/0!</v>
      </c>
      <c r="K70" t="e">
        <f t="shared" si="3"/>
        <v>#DIV/0!</v>
      </c>
      <c r="L70" t="e">
        <f t="shared" si="3"/>
        <v>#DIV/0!</v>
      </c>
      <c r="M70" t="e">
        <f t="shared" si="3"/>
        <v>#DIV/0!</v>
      </c>
      <c r="N70" t="e">
        <f t="shared" si="3"/>
        <v>#DIV/0!</v>
      </c>
      <c r="O70" t="e">
        <f t="shared" si="3"/>
        <v>#DIV/0!</v>
      </c>
      <c r="P70" t="e">
        <f t="shared" si="3"/>
        <v>#DIV/0!</v>
      </c>
      <c r="Q70" t="e">
        <f t="shared" si="3"/>
        <v>#DIV/0!</v>
      </c>
      <c r="R70" t="e">
        <f t="shared" si="3"/>
        <v>#DIV/0!</v>
      </c>
      <c r="S70" t="e">
        <f t="shared" si="3"/>
        <v>#DIV/0!</v>
      </c>
      <c r="T70" t="e">
        <f t="shared" si="3"/>
        <v>#DIV/0!</v>
      </c>
      <c r="U70" t="e">
        <f t="shared" si="3"/>
        <v>#DIV/0!</v>
      </c>
      <c r="V70" t="e">
        <f t="shared" si="3"/>
        <v>#DIV/0!</v>
      </c>
      <c r="W70" t="e">
        <f t="shared" si="3"/>
        <v>#DIV/0!</v>
      </c>
      <c r="X70" t="e">
        <f t="shared" si="3"/>
        <v>#DIV/0!</v>
      </c>
      <c r="Y70" t="e">
        <f t="shared" si="3"/>
        <v>#DIV/0!</v>
      </c>
      <c r="Z70" t="e">
        <f t="shared" si="3"/>
        <v>#DIV/0!</v>
      </c>
      <c r="AA70" t="e">
        <f t="shared" si="3"/>
        <v>#DIV/0!</v>
      </c>
      <c r="AB70" t="e">
        <f t="shared" si="3"/>
        <v>#DIV/0!</v>
      </c>
      <c r="AC70" t="e">
        <f t="shared" si="3"/>
        <v>#DIV/0!</v>
      </c>
      <c r="AD70" t="e">
        <f t="shared" si="3"/>
        <v>#DIV/0!</v>
      </c>
      <c r="AE70" t="e">
        <f t="shared" si="3"/>
        <v>#DIV/0!</v>
      </c>
      <c r="AF70" t="e">
        <f t="shared" si="3"/>
        <v>#DIV/0!</v>
      </c>
      <c r="AG70" s="82"/>
      <c r="AH70" s="318" t="s">
        <v>46</v>
      </c>
      <c r="AI70" s="318"/>
      <c r="AJ70" s="82"/>
      <c r="AK70" s="101">
        <f>$C$70</f>
        <v>34.070796460176986</v>
      </c>
      <c r="AL70" s="101">
        <f>$D$70</f>
        <v>22.95918367346939</v>
      </c>
      <c r="AM70" s="101">
        <f>$E$70</f>
        <v>28.571428571428569</v>
      </c>
      <c r="AN70" s="101" t="e">
        <f>$F$70</f>
        <v>#DIV/0!</v>
      </c>
      <c r="AO70" s="101" t="e">
        <f>$G$70</f>
        <v>#DIV/0!</v>
      </c>
      <c r="AP70" s="101" t="e">
        <f>$H$70</f>
        <v>#DIV/0!</v>
      </c>
      <c r="AQ70" s="101" t="e">
        <f>$I$70</f>
        <v>#DIV/0!</v>
      </c>
      <c r="AR70" s="101" t="e">
        <f>$J$70</f>
        <v>#DIV/0!</v>
      </c>
      <c r="AS70" s="101" t="e">
        <f>$K$70</f>
        <v>#DIV/0!</v>
      </c>
      <c r="AT70" s="101" t="e">
        <f>$L$70</f>
        <v>#DIV/0!</v>
      </c>
      <c r="AU70" s="101" t="e">
        <f>$M$70</f>
        <v>#DIV/0!</v>
      </c>
      <c r="AV70" s="101" t="e">
        <f>$N$70</f>
        <v>#DIV/0!</v>
      </c>
      <c r="AW70" s="101" t="e">
        <f>$O$70</f>
        <v>#DIV/0!</v>
      </c>
      <c r="AX70" s="101" t="e">
        <f>$P$70</f>
        <v>#DIV/0!</v>
      </c>
      <c r="AY70" s="101" t="e">
        <f>$Q$70</f>
        <v>#DIV/0!</v>
      </c>
      <c r="AZ70" s="101" t="e">
        <f>$R$70</f>
        <v>#DIV/0!</v>
      </c>
      <c r="BA70" s="101" t="e">
        <f>$S$70</f>
        <v>#DIV/0!</v>
      </c>
      <c r="BB70" s="101" t="e">
        <f>$T$70</f>
        <v>#DIV/0!</v>
      </c>
      <c r="BC70" s="101" t="e">
        <f>$U$70</f>
        <v>#DIV/0!</v>
      </c>
      <c r="BD70" s="101" t="e">
        <f>$V$70</f>
        <v>#DIV/0!</v>
      </c>
      <c r="BE70" s="101" t="e">
        <f>$W$70</f>
        <v>#DIV/0!</v>
      </c>
      <c r="BF70" s="101" t="e">
        <f>$X$70</f>
        <v>#DIV/0!</v>
      </c>
      <c r="BG70" s="101" t="e">
        <f>$Y$70</f>
        <v>#DIV/0!</v>
      </c>
      <c r="BH70" s="101" t="e">
        <f>$Z$70</f>
        <v>#DIV/0!</v>
      </c>
      <c r="BI70" s="101" t="e">
        <f>$AA$70</f>
        <v>#DIV/0!</v>
      </c>
      <c r="BJ70" s="101" t="e">
        <f>$AB$70</f>
        <v>#DIV/0!</v>
      </c>
      <c r="BK70" s="101" t="e">
        <f>$AC$70</f>
        <v>#DIV/0!</v>
      </c>
      <c r="BL70" s="101" t="e">
        <f>$AD$70</f>
        <v>#DIV/0!</v>
      </c>
      <c r="BM70" s="101" t="e">
        <f>$AE$70</f>
        <v>#DIV/0!</v>
      </c>
      <c r="BN70" s="101" t="e">
        <f>$AF$70</f>
        <v>#DIV/0!</v>
      </c>
    </row>
    <row r="71" spans="1:66">
      <c r="A71" s="69" t="s">
        <v>147</v>
      </c>
      <c r="B71" t="s">
        <v>153</v>
      </c>
      <c r="C71" s="100"/>
      <c r="E71" s="101">
        <v>37.931034482758619</v>
      </c>
      <c r="F71" t="e">
        <f t="shared" si="1"/>
        <v>#DIV/0!</v>
      </c>
      <c r="G71" t="e">
        <f t="shared" si="3"/>
        <v>#DIV/0!</v>
      </c>
      <c r="H71" t="e">
        <f t="shared" si="3"/>
        <v>#DIV/0!</v>
      </c>
      <c r="I71" t="e">
        <f t="shared" si="3"/>
        <v>#DIV/0!</v>
      </c>
      <c r="J71" t="e">
        <f t="shared" si="3"/>
        <v>#DIV/0!</v>
      </c>
      <c r="K71" t="e">
        <f t="shared" si="3"/>
        <v>#DIV/0!</v>
      </c>
      <c r="L71" t="e">
        <f t="shared" si="3"/>
        <v>#DIV/0!</v>
      </c>
      <c r="M71" t="e">
        <f t="shared" si="3"/>
        <v>#DIV/0!</v>
      </c>
      <c r="N71" t="e">
        <f t="shared" si="3"/>
        <v>#DIV/0!</v>
      </c>
      <c r="O71" t="e">
        <f t="shared" si="3"/>
        <v>#DIV/0!</v>
      </c>
      <c r="P71" t="e">
        <f t="shared" si="3"/>
        <v>#DIV/0!</v>
      </c>
      <c r="Q71" t="e">
        <f t="shared" si="3"/>
        <v>#DIV/0!</v>
      </c>
      <c r="R71" t="e">
        <f t="shared" si="3"/>
        <v>#DIV/0!</v>
      </c>
      <c r="S71" t="e">
        <f t="shared" si="3"/>
        <v>#DIV/0!</v>
      </c>
      <c r="T71" t="e">
        <f t="shared" si="3"/>
        <v>#DIV/0!</v>
      </c>
      <c r="U71" t="e">
        <f t="shared" si="3"/>
        <v>#DIV/0!</v>
      </c>
      <c r="V71" t="e">
        <f t="shared" si="3"/>
        <v>#DIV/0!</v>
      </c>
      <c r="W71" t="e">
        <f t="shared" si="3"/>
        <v>#DIV/0!</v>
      </c>
      <c r="X71" t="e">
        <f t="shared" si="3"/>
        <v>#DIV/0!</v>
      </c>
      <c r="Y71" t="e">
        <f t="shared" si="3"/>
        <v>#DIV/0!</v>
      </c>
      <c r="Z71" t="e">
        <f t="shared" si="3"/>
        <v>#DIV/0!</v>
      </c>
      <c r="AA71" t="e">
        <f t="shared" si="3"/>
        <v>#DIV/0!</v>
      </c>
      <c r="AB71" t="e">
        <f t="shared" si="3"/>
        <v>#DIV/0!</v>
      </c>
      <c r="AC71" t="e">
        <f t="shared" si="3"/>
        <v>#DIV/0!</v>
      </c>
      <c r="AD71" t="e">
        <f t="shared" si="3"/>
        <v>#DIV/0!</v>
      </c>
      <c r="AE71" t="e">
        <f t="shared" si="3"/>
        <v>#DIV/0!</v>
      </c>
      <c r="AF71" t="e">
        <f t="shared" si="3"/>
        <v>#DIV/0!</v>
      </c>
      <c r="AG71" s="82"/>
      <c r="AH71" s="319" t="s">
        <v>66</v>
      </c>
      <c r="AI71" s="320"/>
      <c r="AJ71" s="82"/>
      <c r="AK71" s="101">
        <f>$C$71</f>
        <v>0</v>
      </c>
      <c r="AL71" s="101">
        <f>$D$71</f>
        <v>0</v>
      </c>
      <c r="AM71" s="101">
        <f>$E$71</f>
        <v>37.931034482758619</v>
      </c>
      <c r="AN71" s="101" t="e">
        <f>$F$71</f>
        <v>#DIV/0!</v>
      </c>
      <c r="AO71" s="101" t="e">
        <f>$G$71</f>
        <v>#DIV/0!</v>
      </c>
      <c r="AP71" s="101" t="e">
        <f>$H$71</f>
        <v>#DIV/0!</v>
      </c>
      <c r="AQ71" s="101" t="e">
        <f>$I$71</f>
        <v>#DIV/0!</v>
      </c>
      <c r="AR71" s="101" t="e">
        <f>$J$71</f>
        <v>#DIV/0!</v>
      </c>
      <c r="AS71" s="101" t="e">
        <f>$K$71</f>
        <v>#DIV/0!</v>
      </c>
      <c r="AT71" s="101" t="e">
        <f>$L$71</f>
        <v>#DIV/0!</v>
      </c>
      <c r="AU71" s="101" t="e">
        <f>$M$71</f>
        <v>#DIV/0!</v>
      </c>
      <c r="AV71" s="101" t="e">
        <f>$N$71</f>
        <v>#DIV/0!</v>
      </c>
      <c r="AW71" s="101" t="e">
        <f>$O$71</f>
        <v>#DIV/0!</v>
      </c>
      <c r="AX71" s="101" t="e">
        <f>$P$71</f>
        <v>#DIV/0!</v>
      </c>
      <c r="AY71" s="101" t="e">
        <f>$Q$71</f>
        <v>#DIV/0!</v>
      </c>
      <c r="AZ71" s="101" t="e">
        <f>$R$71</f>
        <v>#DIV/0!</v>
      </c>
      <c r="BA71" s="101" t="e">
        <f>$S$71</f>
        <v>#DIV/0!</v>
      </c>
      <c r="BB71" s="101" t="e">
        <f>$T$71</f>
        <v>#DIV/0!</v>
      </c>
      <c r="BC71" s="101" t="e">
        <f>$U$71</f>
        <v>#DIV/0!</v>
      </c>
      <c r="BD71" s="101" t="e">
        <f>$V$71</f>
        <v>#DIV/0!</v>
      </c>
      <c r="BE71" s="101" t="e">
        <f>$W$71</f>
        <v>#DIV/0!</v>
      </c>
      <c r="BF71" s="101" t="e">
        <f>$X$71</f>
        <v>#DIV/0!</v>
      </c>
      <c r="BG71" s="101" t="e">
        <f>$Y$71</f>
        <v>#DIV/0!</v>
      </c>
      <c r="BH71" s="101" t="e">
        <f>$Z$71</f>
        <v>#DIV/0!</v>
      </c>
      <c r="BI71" s="101" t="e">
        <f>$AA$71</f>
        <v>#DIV/0!</v>
      </c>
      <c r="BJ71" s="101" t="e">
        <f>$AB$71</f>
        <v>#DIV/0!</v>
      </c>
      <c r="BK71" s="101" t="e">
        <f>$AC$71</f>
        <v>#DIV/0!</v>
      </c>
      <c r="BL71" s="101" t="e">
        <f>$AD$71</f>
        <v>#DIV/0!</v>
      </c>
      <c r="BM71" s="101" t="e">
        <f>$AE$71</f>
        <v>#DIV/0!</v>
      </c>
      <c r="BN71" s="101" t="e">
        <f>$AF$71</f>
        <v>#DIV/0!</v>
      </c>
    </row>
    <row r="72" spans="1:66">
      <c r="A72" s="68" t="s">
        <v>193</v>
      </c>
      <c r="B72" s="71" t="s">
        <v>162</v>
      </c>
      <c r="C72" s="101">
        <v>43.243243243243242</v>
      </c>
      <c r="D72" s="101">
        <v>29.126213592233007</v>
      </c>
      <c r="E72" s="101">
        <v>36.744186046511629</v>
      </c>
      <c r="F72" t="e">
        <f t="shared" si="1"/>
        <v>#DIV/0!</v>
      </c>
      <c r="G72" t="e">
        <f t="shared" si="3"/>
        <v>#DIV/0!</v>
      </c>
      <c r="H72" t="e">
        <f t="shared" si="3"/>
        <v>#DIV/0!</v>
      </c>
      <c r="I72" t="e">
        <f t="shared" si="3"/>
        <v>#DIV/0!</v>
      </c>
      <c r="J72" t="e">
        <f t="shared" si="3"/>
        <v>#DIV/0!</v>
      </c>
      <c r="K72" t="e">
        <f t="shared" si="3"/>
        <v>#DIV/0!</v>
      </c>
      <c r="L72" t="e">
        <f t="shared" si="3"/>
        <v>#DIV/0!</v>
      </c>
      <c r="M72" t="e">
        <f t="shared" si="3"/>
        <v>#DIV/0!</v>
      </c>
      <c r="N72" t="e">
        <f t="shared" si="3"/>
        <v>#DIV/0!</v>
      </c>
      <c r="O72" t="e">
        <f t="shared" si="3"/>
        <v>#DIV/0!</v>
      </c>
      <c r="P72" t="e">
        <f t="shared" si="3"/>
        <v>#DIV/0!</v>
      </c>
      <c r="Q72" t="e">
        <f t="shared" si="3"/>
        <v>#DIV/0!</v>
      </c>
      <c r="R72" t="e">
        <f t="shared" si="3"/>
        <v>#DIV/0!</v>
      </c>
      <c r="S72" t="e">
        <f t="shared" si="3"/>
        <v>#DIV/0!</v>
      </c>
      <c r="T72" t="e">
        <f t="shared" si="3"/>
        <v>#DIV/0!</v>
      </c>
      <c r="U72" t="e">
        <f t="shared" si="3"/>
        <v>#DIV/0!</v>
      </c>
      <c r="V72" t="e">
        <f t="shared" si="3"/>
        <v>#DIV/0!</v>
      </c>
      <c r="W72" t="e">
        <f t="shared" si="3"/>
        <v>#DIV/0!</v>
      </c>
      <c r="X72" t="e">
        <f t="shared" si="3"/>
        <v>#DIV/0!</v>
      </c>
      <c r="Y72" t="e">
        <f t="shared" si="3"/>
        <v>#DIV/0!</v>
      </c>
      <c r="Z72" t="e">
        <f t="shared" si="3"/>
        <v>#DIV/0!</v>
      </c>
      <c r="AA72" t="e">
        <f t="shared" si="3"/>
        <v>#DIV/0!</v>
      </c>
      <c r="AB72" t="e">
        <f t="shared" si="3"/>
        <v>#DIV/0!</v>
      </c>
      <c r="AC72" t="e">
        <f t="shared" si="3"/>
        <v>#DIV/0!</v>
      </c>
      <c r="AD72" t="e">
        <f t="shared" si="3"/>
        <v>#DIV/0!</v>
      </c>
      <c r="AE72" t="e">
        <f t="shared" si="3"/>
        <v>#DIV/0!</v>
      </c>
      <c r="AF72" t="e">
        <f t="shared" si="3"/>
        <v>#DIV/0!</v>
      </c>
      <c r="AG72" s="82"/>
      <c r="AH72" s="56" t="s">
        <v>61</v>
      </c>
      <c r="AI72" s="56" t="s">
        <v>62</v>
      </c>
      <c r="AJ72" s="82"/>
      <c r="AK72" s="101">
        <f>$C$72</f>
        <v>43.243243243243242</v>
      </c>
      <c r="AL72" s="101">
        <f>$D$72</f>
        <v>29.126213592233007</v>
      </c>
      <c r="AM72" s="101">
        <f>$E$72</f>
        <v>36.744186046511629</v>
      </c>
      <c r="AN72" s="101" t="e">
        <f>$F$72</f>
        <v>#DIV/0!</v>
      </c>
      <c r="AO72" s="101" t="e">
        <f>$G$72</f>
        <v>#DIV/0!</v>
      </c>
      <c r="AP72" s="101" t="e">
        <f>$H$72</f>
        <v>#DIV/0!</v>
      </c>
      <c r="AQ72" s="101" t="e">
        <f>$I$72</f>
        <v>#DIV/0!</v>
      </c>
      <c r="AR72" s="101" t="e">
        <f>$J$72</f>
        <v>#DIV/0!</v>
      </c>
      <c r="AS72" s="101" t="e">
        <f>$K$72</f>
        <v>#DIV/0!</v>
      </c>
      <c r="AT72" s="101" t="e">
        <f>$L$72</f>
        <v>#DIV/0!</v>
      </c>
      <c r="AU72" s="101" t="e">
        <f>$M$72</f>
        <v>#DIV/0!</v>
      </c>
      <c r="AV72" s="101" t="e">
        <f>$N$72</f>
        <v>#DIV/0!</v>
      </c>
      <c r="AW72" s="101" t="e">
        <f>$O$72</f>
        <v>#DIV/0!</v>
      </c>
      <c r="AX72" s="101" t="e">
        <f>$P$72</f>
        <v>#DIV/0!</v>
      </c>
      <c r="AY72" s="101" t="e">
        <f>$Q$72</f>
        <v>#DIV/0!</v>
      </c>
      <c r="AZ72" s="101" t="e">
        <f>$R$72</f>
        <v>#DIV/0!</v>
      </c>
      <c r="BA72" s="101" t="e">
        <f>$S$72</f>
        <v>#DIV/0!</v>
      </c>
      <c r="BB72" s="101" t="e">
        <f>$T$72</f>
        <v>#DIV/0!</v>
      </c>
      <c r="BC72" s="101" t="e">
        <f>$U$72</f>
        <v>#DIV/0!</v>
      </c>
      <c r="BD72" s="101" t="e">
        <f>$V$72</f>
        <v>#DIV/0!</v>
      </c>
      <c r="BE72" s="101" t="e">
        <f>$W$72</f>
        <v>#DIV/0!</v>
      </c>
      <c r="BF72" s="101" t="e">
        <f>$X$72</f>
        <v>#DIV/0!</v>
      </c>
      <c r="BG72" s="101" t="e">
        <f>$Y$72</f>
        <v>#DIV/0!</v>
      </c>
      <c r="BH72" s="101" t="e">
        <f>$Z$72</f>
        <v>#DIV/0!</v>
      </c>
      <c r="BI72" s="101" t="e">
        <f>$AA$72</f>
        <v>#DIV/0!</v>
      </c>
      <c r="BJ72" s="101" t="e">
        <f>$AB$72</f>
        <v>#DIV/0!</v>
      </c>
      <c r="BK72" s="101" t="e">
        <f>$AC$72</f>
        <v>#DIV/0!</v>
      </c>
      <c r="BL72" s="101" t="e">
        <f>$AD$72</f>
        <v>#DIV/0!</v>
      </c>
      <c r="BM72" s="101" t="e">
        <f>$AE$72</f>
        <v>#DIV/0!</v>
      </c>
      <c r="BN72" s="101" t="e">
        <f>$AF$72</f>
        <v>#DIV/0!</v>
      </c>
    </row>
    <row r="73" spans="1:66">
      <c r="A73" s="68" t="s">
        <v>190</v>
      </c>
      <c r="B73" t="s">
        <v>153</v>
      </c>
      <c r="C73" s="100"/>
      <c r="E73" s="101">
        <v>30</v>
      </c>
      <c r="F73" t="e">
        <f t="shared" si="1"/>
        <v>#DIV/0!</v>
      </c>
      <c r="G73" t="e">
        <f t="shared" si="3"/>
        <v>#DIV/0!</v>
      </c>
      <c r="H73" t="e">
        <f t="shared" si="3"/>
        <v>#DIV/0!</v>
      </c>
      <c r="I73" t="e">
        <f t="shared" si="3"/>
        <v>#DIV/0!</v>
      </c>
      <c r="J73" t="e">
        <f t="shared" si="3"/>
        <v>#DIV/0!</v>
      </c>
      <c r="K73" t="e">
        <f t="shared" si="3"/>
        <v>#DIV/0!</v>
      </c>
      <c r="L73" t="e">
        <f t="shared" si="3"/>
        <v>#DIV/0!</v>
      </c>
      <c r="M73" t="e">
        <f t="shared" si="3"/>
        <v>#DIV/0!</v>
      </c>
      <c r="N73" t="e">
        <f t="shared" si="3"/>
        <v>#DIV/0!</v>
      </c>
      <c r="O73" t="e">
        <f t="shared" si="3"/>
        <v>#DIV/0!</v>
      </c>
      <c r="P73" t="e">
        <f t="shared" si="3"/>
        <v>#DIV/0!</v>
      </c>
      <c r="Q73" t="e">
        <f t="shared" si="3"/>
        <v>#DIV/0!</v>
      </c>
      <c r="R73" t="e">
        <f t="shared" si="3"/>
        <v>#DIV/0!</v>
      </c>
      <c r="S73" t="e">
        <f t="shared" si="3"/>
        <v>#DIV/0!</v>
      </c>
      <c r="T73" t="e">
        <f t="shared" si="3"/>
        <v>#DIV/0!</v>
      </c>
      <c r="U73" t="e">
        <f t="shared" si="3"/>
        <v>#DIV/0!</v>
      </c>
      <c r="V73" t="e">
        <f t="shared" si="3"/>
        <v>#DIV/0!</v>
      </c>
      <c r="W73" t="e">
        <f t="shared" si="3"/>
        <v>#DIV/0!</v>
      </c>
      <c r="X73" t="e">
        <f t="shared" si="3"/>
        <v>#DIV/0!</v>
      </c>
      <c r="Y73" t="e">
        <f t="shared" si="3"/>
        <v>#DIV/0!</v>
      </c>
      <c r="Z73" t="e">
        <f t="shared" si="3"/>
        <v>#DIV/0!</v>
      </c>
      <c r="AA73" t="e">
        <f t="shared" si="3"/>
        <v>#DIV/0!</v>
      </c>
      <c r="AB73" t="e">
        <f t="shared" si="3"/>
        <v>#DIV/0!</v>
      </c>
      <c r="AC73" t="e">
        <f t="shared" si="3"/>
        <v>#DIV/0!</v>
      </c>
      <c r="AD73" t="e">
        <f t="shared" si="3"/>
        <v>#DIV/0!</v>
      </c>
      <c r="AE73" t="e">
        <f t="shared" si="3"/>
        <v>#DIV/0!</v>
      </c>
      <c r="AF73" t="e">
        <f t="shared" si="3"/>
        <v>#DIV/0!</v>
      </c>
      <c r="AG73" s="82"/>
      <c r="AH73" s="244" t="s">
        <v>392</v>
      </c>
      <c r="AI73" s="244" t="s">
        <v>448</v>
      </c>
      <c r="AJ73" s="82"/>
      <c r="AK73" s="101">
        <f>$C$73</f>
        <v>0</v>
      </c>
      <c r="AL73" s="101">
        <f>$D$73</f>
        <v>0</v>
      </c>
      <c r="AM73" s="101">
        <f>$E$73</f>
        <v>30</v>
      </c>
      <c r="AN73" s="101" t="e">
        <f>$F$73</f>
        <v>#DIV/0!</v>
      </c>
      <c r="AO73" s="101" t="e">
        <f>$G$73</f>
        <v>#DIV/0!</v>
      </c>
      <c r="AP73" s="101" t="e">
        <f>$H$73</f>
        <v>#DIV/0!</v>
      </c>
      <c r="AQ73" s="101" t="e">
        <f>$I$73</f>
        <v>#DIV/0!</v>
      </c>
      <c r="AR73" s="101" t="e">
        <f>$J$73</f>
        <v>#DIV/0!</v>
      </c>
      <c r="AS73" s="101" t="e">
        <f>$K$73</f>
        <v>#DIV/0!</v>
      </c>
      <c r="AT73" s="101" t="e">
        <f>$L$73</f>
        <v>#DIV/0!</v>
      </c>
      <c r="AU73" s="101" t="e">
        <f>$M$73</f>
        <v>#DIV/0!</v>
      </c>
      <c r="AV73" s="101" t="e">
        <f>$N$73</f>
        <v>#DIV/0!</v>
      </c>
      <c r="AW73" s="101" t="e">
        <f>$O$73</f>
        <v>#DIV/0!</v>
      </c>
      <c r="AX73" s="101" t="e">
        <f>$P$73</f>
        <v>#DIV/0!</v>
      </c>
      <c r="AY73" s="101" t="e">
        <f>$Q$73</f>
        <v>#DIV/0!</v>
      </c>
      <c r="AZ73" s="101" t="e">
        <f>$R$73</f>
        <v>#DIV/0!</v>
      </c>
      <c r="BA73" s="101" t="e">
        <f>$S$73</f>
        <v>#DIV/0!</v>
      </c>
      <c r="BB73" s="101" t="e">
        <f>$T$73</f>
        <v>#DIV/0!</v>
      </c>
      <c r="BC73" s="101" t="e">
        <f>$U$73</f>
        <v>#DIV/0!</v>
      </c>
      <c r="BD73" s="101" t="e">
        <f>$V$73</f>
        <v>#DIV/0!</v>
      </c>
      <c r="BE73" s="101" t="e">
        <f>$W$73</f>
        <v>#DIV/0!</v>
      </c>
      <c r="BF73" s="101" t="e">
        <f>$X$73</f>
        <v>#DIV/0!</v>
      </c>
      <c r="BG73" s="101" t="e">
        <f>$Y$73</f>
        <v>#DIV/0!</v>
      </c>
      <c r="BH73" s="101" t="e">
        <f>$Z$73</f>
        <v>#DIV/0!</v>
      </c>
      <c r="BI73" s="101" t="e">
        <f>$AA$73</f>
        <v>#DIV/0!</v>
      </c>
      <c r="BJ73" s="101" t="e">
        <f>$AB$73</f>
        <v>#DIV/0!</v>
      </c>
      <c r="BK73" s="101" t="e">
        <f>$AC$73</f>
        <v>#DIV/0!</v>
      </c>
      <c r="BL73" s="101" t="e">
        <f>$AD$73</f>
        <v>#DIV/0!</v>
      </c>
      <c r="BM73" s="101" t="e">
        <f>$AE$73</f>
        <v>#DIV/0!</v>
      </c>
      <c r="BN73" s="101" t="e">
        <f>$AF$73</f>
        <v>#DIV/0!</v>
      </c>
    </row>
    <row r="74" spans="1:66">
      <c r="A74" s="70" t="s">
        <v>187</v>
      </c>
      <c r="B74" s="71" t="s">
        <v>188</v>
      </c>
      <c r="C74" s="100"/>
      <c r="E74" s="101">
        <v>26.760563380281688</v>
      </c>
      <c r="F74" t="e">
        <f t="shared" si="1"/>
        <v>#DIV/0!</v>
      </c>
      <c r="G74" t="e">
        <f t="shared" si="3"/>
        <v>#DIV/0!</v>
      </c>
      <c r="H74" t="e">
        <f t="shared" si="3"/>
        <v>#DIV/0!</v>
      </c>
      <c r="I74" t="e">
        <f t="shared" si="3"/>
        <v>#DIV/0!</v>
      </c>
      <c r="J74" t="e">
        <f t="shared" si="3"/>
        <v>#DIV/0!</v>
      </c>
      <c r="K74" t="e">
        <f t="shared" si="3"/>
        <v>#DIV/0!</v>
      </c>
      <c r="L74" t="e">
        <f t="shared" si="3"/>
        <v>#DIV/0!</v>
      </c>
      <c r="M74" t="e">
        <f t="shared" si="3"/>
        <v>#DIV/0!</v>
      </c>
      <c r="N74" t="e">
        <f t="shared" si="3"/>
        <v>#DIV/0!</v>
      </c>
      <c r="O74" t="e">
        <f t="shared" si="3"/>
        <v>#DIV/0!</v>
      </c>
      <c r="P74" t="e">
        <f t="shared" si="3"/>
        <v>#DIV/0!</v>
      </c>
      <c r="Q74" t="e">
        <f t="shared" si="3"/>
        <v>#DIV/0!</v>
      </c>
      <c r="R74" t="e">
        <f t="shared" si="3"/>
        <v>#DIV/0!</v>
      </c>
      <c r="S74" t="e">
        <f t="shared" si="3"/>
        <v>#DIV/0!</v>
      </c>
      <c r="T74" t="e">
        <f t="shared" si="3"/>
        <v>#DIV/0!</v>
      </c>
      <c r="U74" t="e">
        <f t="shared" si="3"/>
        <v>#DIV/0!</v>
      </c>
      <c r="V74" t="e">
        <f t="shared" si="3"/>
        <v>#DIV/0!</v>
      </c>
      <c r="W74" t="e">
        <f t="shared" si="3"/>
        <v>#DIV/0!</v>
      </c>
      <c r="X74" t="e">
        <f t="shared" si="3"/>
        <v>#DIV/0!</v>
      </c>
      <c r="Y74" t="e">
        <f t="shared" si="3"/>
        <v>#DIV/0!</v>
      </c>
      <c r="Z74" t="e">
        <f t="shared" si="3"/>
        <v>#DIV/0!</v>
      </c>
      <c r="AA74" t="e">
        <f t="shared" si="3"/>
        <v>#DIV/0!</v>
      </c>
      <c r="AB74" t="e">
        <f t="shared" si="3"/>
        <v>#DIV/0!</v>
      </c>
      <c r="AC74" t="e">
        <f t="shared" si="3"/>
        <v>#DIV/0!</v>
      </c>
      <c r="AD74" t="e">
        <f t="shared" si="3"/>
        <v>#DIV/0!</v>
      </c>
      <c r="AE74" t="e">
        <f t="shared" si="3"/>
        <v>#DIV/0!</v>
      </c>
      <c r="AF74" t="e">
        <f t="shared" si="3"/>
        <v>#DIV/0!</v>
      </c>
      <c r="AG74" s="82"/>
      <c r="AH74" s="244" t="s">
        <v>393</v>
      </c>
      <c r="AI74" s="244" t="s">
        <v>449</v>
      </c>
      <c r="AJ74" s="82"/>
      <c r="AK74" s="101">
        <f>$C$74</f>
        <v>0</v>
      </c>
      <c r="AL74" s="101">
        <f>$D$74</f>
        <v>0</v>
      </c>
      <c r="AM74" s="101">
        <f>$E$74</f>
        <v>26.760563380281688</v>
      </c>
      <c r="AN74" s="101" t="e">
        <f>$F$74</f>
        <v>#DIV/0!</v>
      </c>
      <c r="AO74" s="101" t="e">
        <f>$G$74</f>
        <v>#DIV/0!</v>
      </c>
      <c r="AP74" s="101" t="e">
        <f>$H$74</f>
        <v>#DIV/0!</v>
      </c>
      <c r="AQ74" s="101" t="e">
        <f>$I$74</f>
        <v>#DIV/0!</v>
      </c>
      <c r="AR74" s="101" t="e">
        <f>$J$74</f>
        <v>#DIV/0!</v>
      </c>
      <c r="AS74" s="101" t="e">
        <f>$K$74</f>
        <v>#DIV/0!</v>
      </c>
      <c r="AT74" s="101" t="e">
        <f>$L$74</f>
        <v>#DIV/0!</v>
      </c>
      <c r="AU74" s="101" t="e">
        <f>$M$74</f>
        <v>#DIV/0!</v>
      </c>
      <c r="AV74" s="101" t="e">
        <f>$N$74</f>
        <v>#DIV/0!</v>
      </c>
      <c r="AW74" s="101" t="e">
        <f>$O$74</f>
        <v>#DIV/0!</v>
      </c>
      <c r="AX74" s="101" t="e">
        <f>$P$74</f>
        <v>#DIV/0!</v>
      </c>
      <c r="AY74" s="101" t="e">
        <f>$Q$74</f>
        <v>#DIV/0!</v>
      </c>
      <c r="AZ74" s="101" t="e">
        <f>$R$74</f>
        <v>#DIV/0!</v>
      </c>
      <c r="BA74" s="101" t="e">
        <f>$S$74</f>
        <v>#DIV/0!</v>
      </c>
      <c r="BB74" s="101" t="e">
        <f>$T$74</f>
        <v>#DIV/0!</v>
      </c>
      <c r="BC74" s="101" t="e">
        <f>$U$74</f>
        <v>#DIV/0!</v>
      </c>
      <c r="BD74" s="101" t="e">
        <f>$V$74</f>
        <v>#DIV/0!</v>
      </c>
      <c r="BE74" s="101" t="e">
        <f>$W$74</f>
        <v>#DIV/0!</v>
      </c>
      <c r="BF74" s="101" t="e">
        <f>$X$74</f>
        <v>#DIV/0!</v>
      </c>
      <c r="BG74" s="101" t="e">
        <f>$Y$74</f>
        <v>#DIV/0!</v>
      </c>
      <c r="BH74" s="101" t="e">
        <f>$Z$74</f>
        <v>#DIV/0!</v>
      </c>
      <c r="BI74" s="101" t="e">
        <f>$AA$74</f>
        <v>#DIV/0!</v>
      </c>
      <c r="BJ74" s="101" t="e">
        <f>$AB$74</f>
        <v>#DIV/0!</v>
      </c>
      <c r="BK74" s="101" t="e">
        <f>$AC$74</f>
        <v>#DIV/0!</v>
      </c>
      <c r="BL74" s="101" t="e">
        <f>$AD$74</f>
        <v>#DIV/0!</v>
      </c>
      <c r="BM74" s="101" t="e">
        <f>$AE$74</f>
        <v>#DIV/0!</v>
      </c>
      <c r="BN74" s="101" t="e">
        <f>$AF$74</f>
        <v>#DIV/0!</v>
      </c>
    </row>
    <row r="75" spans="1:66">
      <c r="A75" s="69" t="s">
        <v>145</v>
      </c>
      <c r="B75" t="s">
        <v>153</v>
      </c>
      <c r="C75" s="100"/>
      <c r="E75" s="101">
        <v>22.413793103448278</v>
      </c>
      <c r="F75" t="e">
        <f t="shared" si="1"/>
        <v>#DIV/0!</v>
      </c>
      <c r="G75" t="e">
        <f t="shared" si="3"/>
        <v>#DIV/0!</v>
      </c>
      <c r="H75" t="e">
        <f t="shared" si="3"/>
        <v>#DIV/0!</v>
      </c>
      <c r="I75" t="e">
        <f t="shared" si="3"/>
        <v>#DIV/0!</v>
      </c>
      <c r="J75" t="e">
        <f t="shared" si="3"/>
        <v>#DIV/0!</v>
      </c>
      <c r="K75" t="e">
        <f t="shared" si="3"/>
        <v>#DIV/0!</v>
      </c>
      <c r="L75" t="e">
        <f t="shared" si="3"/>
        <v>#DIV/0!</v>
      </c>
      <c r="M75" t="e">
        <f t="shared" si="3"/>
        <v>#DIV/0!</v>
      </c>
      <c r="N75" t="e">
        <f t="shared" si="3"/>
        <v>#DIV/0!</v>
      </c>
      <c r="O75" t="e">
        <f t="shared" si="3"/>
        <v>#DIV/0!</v>
      </c>
      <c r="P75" t="e">
        <f t="shared" si="3"/>
        <v>#DIV/0!</v>
      </c>
      <c r="Q75" t="e">
        <f t="shared" si="3"/>
        <v>#DIV/0!</v>
      </c>
      <c r="R75" t="e">
        <f t="shared" si="3"/>
        <v>#DIV/0!</v>
      </c>
      <c r="S75" t="e">
        <f t="shared" si="3"/>
        <v>#DIV/0!</v>
      </c>
      <c r="T75" t="e">
        <f t="shared" si="3"/>
        <v>#DIV/0!</v>
      </c>
      <c r="U75" t="e">
        <f t="shared" si="3"/>
        <v>#DIV/0!</v>
      </c>
      <c r="V75" t="e">
        <f t="shared" si="3"/>
        <v>#DIV/0!</v>
      </c>
      <c r="W75" t="e">
        <f t="shared" si="3"/>
        <v>#DIV/0!</v>
      </c>
      <c r="X75" t="e">
        <f t="shared" si="3"/>
        <v>#DIV/0!</v>
      </c>
      <c r="Y75" t="e">
        <f t="shared" si="3"/>
        <v>#DIV/0!</v>
      </c>
      <c r="Z75" t="e">
        <f t="shared" si="3"/>
        <v>#DIV/0!</v>
      </c>
      <c r="AA75" t="e">
        <f t="shared" si="3"/>
        <v>#DIV/0!</v>
      </c>
      <c r="AB75" t="e">
        <f t="shared" si="3"/>
        <v>#DIV/0!</v>
      </c>
      <c r="AC75" t="e">
        <f t="shared" si="3"/>
        <v>#DIV/0!</v>
      </c>
      <c r="AD75" t="e">
        <f t="shared" si="3"/>
        <v>#DIV/0!</v>
      </c>
      <c r="AE75" t="e">
        <f t="shared" si="3"/>
        <v>#DIV/0!</v>
      </c>
      <c r="AF75" t="e">
        <f t="shared" si="3"/>
        <v>#DIV/0!</v>
      </c>
      <c r="AG75" s="82"/>
      <c r="AH75" s="244" t="s">
        <v>394</v>
      </c>
      <c r="AI75" s="244" t="s">
        <v>450</v>
      </c>
      <c r="AJ75" s="82"/>
      <c r="AK75" s="101">
        <f>$C$75</f>
        <v>0</v>
      </c>
      <c r="AL75" s="101">
        <f>$D$75</f>
        <v>0</v>
      </c>
      <c r="AM75" s="101">
        <f>$E$75</f>
        <v>22.413793103448278</v>
      </c>
      <c r="AN75" s="101" t="e">
        <f>$F$75</f>
        <v>#DIV/0!</v>
      </c>
      <c r="AO75" s="101" t="e">
        <f>$G$75</f>
        <v>#DIV/0!</v>
      </c>
      <c r="AP75" s="101" t="e">
        <f>$H$75</f>
        <v>#DIV/0!</v>
      </c>
      <c r="AQ75" s="101" t="e">
        <f>$I$75</f>
        <v>#DIV/0!</v>
      </c>
      <c r="AR75" s="101" t="e">
        <f>$J$75</f>
        <v>#DIV/0!</v>
      </c>
      <c r="AS75" s="101" t="e">
        <f>$K$75</f>
        <v>#DIV/0!</v>
      </c>
      <c r="AT75" s="101" t="e">
        <f>$L$75</f>
        <v>#DIV/0!</v>
      </c>
      <c r="AU75" s="101" t="e">
        <f>$M$75</f>
        <v>#DIV/0!</v>
      </c>
      <c r="AV75" s="101" t="e">
        <f>$N$75</f>
        <v>#DIV/0!</v>
      </c>
      <c r="AW75" s="101" t="e">
        <f>$O$75</f>
        <v>#DIV/0!</v>
      </c>
      <c r="AX75" s="101" t="e">
        <f>$P$75</f>
        <v>#DIV/0!</v>
      </c>
      <c r="AY75" s="101" t="e">
        <f>$Q$75</f>
        <v>#DIV/0!</v>
      </c>
      <c r="AZ75" s="101" t="e">
        <f>$R$75</f>
        <v>#DIV/0!</v>
      </c>
      <c r="BA75" s="101" t="e">
        <f>$S$75</f>
        <v>#DIV/0!</v>
      </c>
      <c r="BB75" s="101" t="e">
        <f>$T$75</f>
        <v>#DIV/0!</v>
      </c>
      <c r="BC75" s="101" t="e">
        <f>$U$75</f>
        <v>#DIV/0!</v>
      </c>
      <c r="BD75" s="101" t="e">
        <f>$V$75</f>
        <v>#DIV/0!</v>
      </c>
      <c r="BE75" s="101" t="e">
        <f>$W$75</f>
        <v>#DIV/0!</v>
      </c>
      <c r="BF75" s="101" t="e">
        <f>$X$75</f>
        <v>#DIV/0!</v>
      </c>
      <c r="BG75" s="101" t="e">
        <f>$Y$75</f>
        <v>#DIV/0!</v>
      </c>
      <c r="BH75" s="101" t="e">
        <f>$Z$75</f>
        <v>#DIV/0!</v>
      </c>
      <c r="BI75" s="101" t="e">
        <f>$AA$75</f>
        <v>#DIV/0!</v>
      </c>
      <c r="BJ75" s="101" t="e">
        <f>$AB$75</f>
        <v>#DIV/0!</v>
      </c>
      <c r="BK75" s="101" t="e">
        <f>$AC$75</f>
        <v>#DIV/0!</v>
      </c>
      <c r="BL75" s="101" t="e">
        <f>$AD$75</f>
        <v>#DIV/0!</v>
      </c>
      <c r="BM75" s="101" t="e">
        <f>$AE$75</f>
        <v>#DIV/0!</v>
      </c>
      <c r="BN75" s="101" t="e">
        <f>$AF$75</f>
        <v>#DIV/0!</v>
      </c>
    </row>
    <row r="76" spans="1:66">
      <c r="A76" s="69" t="s">
        <v>174</v>
      </c>
      <c r="B76" s="71" t="s">
        <v>178</v>
      </c>
      <c r="C76" s="101">
        <v>34</v>
      </c>
      <c r="D76" s="101">
        <v>21.568627450980394</v>
      </c>
      <c r="E76" s="101">
        <v>27.722772277227726</v>
      </c>
      <c r="F76" t="e">
        <f t="shared" si="1"/>
        <v>#DIV/0!</v>
      </c>
      <c r="G76" t="e">
        <f t="shared" si="3"/>
        <v>#DIV/0!</v>
      </c>
      <c r="H76" t="e">
        <f t="shared" si="3"/>
        <v>#DIV/0!</v>
      </c>
      <c r="I76" t="e">
        <f t="shared" si="3"/>
        <v>#DIV/0!</v>
      </c>
      <c r="J76" t="e">
        <f t="shared" si="3"/>
        <v>#DIV/0!</v>
      </c>
      <c r="K76" t="e">
        <f t="shared" si="3"/>
        <v>#DIV/0!</v>
      </c>
      <c r="L76" t="e">
        <f t="shared" si="3"/>
        <v>#DIV/0!</v>
      </c>
      <c r="M76" t="e">
        <f t="shared" si="3"/>
        <v>#DIV/0!</v>
      </c>
      <c r="N76" t="e">
        <f t="shared" si="3"/>
        <v>#DIV/0!</v>
      </c>
      <c r="O76" t="e">
        <f t="shared" si="3"/>
        <v>#DIV/0!</v>
      </c>
      <c r="P76" t="e">
        <f t="shared" si="3"/>
        <v>#DIV/0!</v>
      </c>
      <c r="Q76" t="e">
        <f t="shared" si="3"/>
        <v>#DIV/0!</v>
      </c>
      <c r="R76" t="e">
        <f t="shared" si="3"/>
        <v>#DIV/0!</v>
      </c>
      <c r="S76" t="e">
        <f t="shared" si="3"/>
        <v>#DIV/0!</v>
      </c>
      <c r="T76" t="e">
        <f t="shared" si="3"/>
        <v>#DIV/0!</v>
      </c>
      <c r="U76" t="e">
        <f t="shared" si="3"/>
        <v>#DIV/0!</v>
      </c>
      <c r="V76" t="e">
        <f t="shared" si="3"/>
        <v>#DIV/0!</v>
      </c>
      <c r="W76" t="e">
        <f t="shared" si="3"/>
        <v>#DIV/0!</v>
      </c>
      <c r="X76" t="e">
        <f t="shared" si="3"/>
        <v>#DIV/0!</v>
      </c>
      <c r="Y76" t="e">
        <f t="shared" si="3"/>
        <v>#DIV/0!</v>
      </c>
      <c r="Z76" t="e">
        <f t="shared" si="3"/>
        <v>#DIV/0!</v>
      </c>
      <c r="AA76" t="e">
        <f t="shared" si="3"/>
        <v>#DIV/0!</v>
      </c>
      <c r="AB76" t="e">
        <f t="shared" si="3"/>
        <v>#DIV/0!</v>
      </c>
      <c r="AC76" t="e">
        <f t="shared" si="3"/>
        <v>#DIV/0!</v>
      </c>
      <c r="AD76" t="e">
        <f t="shared" si="3"/>
        <v>#DIV/0!</v>
      </c>
      <c r="AE76" t="e">
        <f t="shared" si="3"/>
        <v>#DIV/0!</v>
      </c>
      <c r="AF76" t="e">
        <f t="shared" si="3"/>
        <v>#DIV/0!</v>
      </c>
      <c r="AG76" s="82"/>
      <c r="AH76" s="244" t="s">
        <v>434</v>
      </c>
      <c r="AI76" s="244" t="s">
        <v>451</v>
      </c>
      <c r="AJ76" s="82"/>
      <c r="AK76" s="101">
        <f>$C$76</f>
        <v>34</v>
      </c>
      <c r="AL76" s="101">
        <f>$D$76</f>
        <v>21.568627450980394</v>
      </c>
      <c r="AM76" s="101">
        <f>$E$76</f>
        <v>27.722772277227726</v>
      </c>
      <c r="AN76" s="101" t="e">
        <f>$F$76</f>
        <v>#DIV/0!</v>
      </c>
      <c r="AO76" s="101" t="e">
        <f>$G$76</f>
        <v>#DIV/0!</v>
      </c>
      <c r="AP76" s="101" t="e">
        <f>$H$76</f>
        <v>#DIV/0!</v>
      </c>
      <c r="AQ76" s="101" t="e">
        <f>$I$76</f>
        <v>#DIV/0!</v>
      </c>
      <c r="AR76" s="101" t="e">
        <f>$J$76</f>
        <v>#DIV/0!</v>
      </c>
      <c r="AS76" s="101" t="e">
        <f>$K$76</f>
        <v>#DIV/0!</v>
      </c>
      <c r="AT76" s="101" t="e">
        <f>$L$76</f>
        <v>#DIV/0!</v>
      </c>
      <c r="AU76" s="101" t="e">
        <f>$M$76</f>
        <v>#DIV/0!</v>
      </c>
      <c r="AV76" s="101" t="e">
        <f>$N$76</f>
        <v>#DIV/0!</v>
      </c>
      <c r="AW76" s="101" t="e">
        <f>$O$76</f>
        <v>#DIV/0!</v>
      </c>
      <c r="AX76" s="101" t="e">
        <f>$P$76</f>
        <v>#DIV/0!</v>
      </c>
      <c r="AY76" s="101" t="e">
        <f>$Q$76</f>
        <v>#DIV/0!</v>
      </c>
      <c r="AZ76" s="101" t="e">
        <f>$R$76</f>
        <v>#DIV/0!</v>
      </c>
      <c r="BA76" s="101" t="e">
        <f>$S$76</f>
        <v>#DIV/0!</v>
      </c>
      <c r="BB76" s="101" t="e">
        <f>$T$76</f>
        <v>#DIV/0!</v>
      </c>
      <c r="BC76" s="101" t="e">
        <f>$U$76</f>
        <v>#DIV/0!</v>
      </c>
      <c r="BD76" s="101" t="e">
        <f>$V$76</f>
        <v>#DIV/0!</v>
      </c>
      <c r="BE76" s="101" t="e">
        <f>$W$76</f>
        <v>#DIV/0!</v>
      </c>
      <c r="BF76" s="101" t="e">
        <f>$X$76</f>
        <v>#DIV/0!</v>
      </c>
      <c r="BG76" s="101" t="e">
        <f>$Y$76</f>
        <v>#DIV/0!</v>
      </c>
      <c r="BH76" s="101" t="e">
        <f>$Z$76</f>
        <v>#DIV/0!</v>
      </c>
      <c r="BI76" s="101" t="e">
        <f>$AA$76</f>
        <v>#DIV/0!</v>
      </c>
      <c r="BJ76" s="101" t="e">
        <f>$AB$76</f>
        <v>#DIV/0!</v>
      </c>
      <c r="BK76" s="101" t="e">
        <f>$AC$76</f>
        <v>#DIV/0!</v>
      </c>
      <c r="BL76" s="101" t="e">
        <f>$AD$76</f>
        <v>#DIV/0!</v>
      </c>
      <c r="BM76" s="101" t="e">
        <f>$AE$76</f>
        <v>#DIV/0!</v>
      </c>
      <c r="BN76" s="101" t="e">
        <f>$AF$76</f>
        <v>#DIV/0!</v>
      </c>
    </row>
    <row r="77" spans="1:66">
      <c r="A77" s="69" t="s">
        <v>175</v>
      </c>
      <c r="B77" s="71" t="s">
        <v>178</v>
      </c>
      <c r="C77" s="100"/>
      <c r="E77" s="101">
        <v>35.526315789473685</v>
      </c>
      <c r="F77" t="e">
        <f t="shared" si="1"/>
        <v>#DIV/0!</v>
      </c>
      <c r="G77" t="e">
        <f t="shared" ref="G77:AF86" si="4">1/0</f>
        <v>#DIV/0!</v>
      </c>
      <c r="H77" t="e">
        <f t="shared" si="4"/>
        <v>#DIV/0!</v>
      </c>
      <c r="I77" t="e">
        <f t="shared" si="4"/>
        <v>#DIV/0!</v>
      </c>
      <c r="J77" t="e">
        <f t="shared" si="4"/>
        <v>#DIV/0!</v>
      </c>
      <c r="K77" t="e">
        <f t="shared" si="4"/>
        <v>#DIV/0!</v>
      </c>
      <c r="L77" t="e">
        <f t="shared" si="4"/>
        <v>#DIV/0!</v>
      </c>
      <c r="M77" t="e">
        <f t="shared" si="4"/>
        <v>#DIV/0!</v>
      </c>
      <c r="N77" t="e">
        <f t="shared" si="4"/>
        <v>#DIV/0!</v>
      </c>
      <c r="O77" t="e">
        <f t="shared" si="4"/>
        <v>#DIV/0!</v>
      </c>
      <c r="P77" t="e">
        <f t="shared" si="4"/>
        <v>#DIV/0!</v>
      </c>
      <c r="Q77" t="e">
        <f t="shared" si="4"/>
        <v>#DIV/0!</v>
      </c>
      <c r="R77" t="e">
        <f t="shared" si="4"/>
        <v>#DIV/0!</v>
      </c>
      <c r="S77" t="e">
        <f t="shared" si="4"/>
        <v>#DIV/0!</v>
      </c>
      <c r="T77" t="e">
        <f t="shared" si="4"/>
        <v>#DIV/0!</v>
      </c>
      <c r="U77" t="e">
        <f t="shared" si="4"/>
        <v>#DIV/0!</v>
      </c>
      <c r="V77" t="e">
        <f t="shared" si="4"/>
        <v>#DIV/0!</v>
      </c>
      <c r="W77" t="e">
        <f t="shared" si="4"/>
        <v>#DIV/0!</v>
      </c>
      <c r="X77" t="e">
        <f t="shared" si="4"/>
        <v>#DIV/0!</v>
      </c>
      <c r="Y77" t="e">
        <f t="shared" si="4"/>
        <v>#DIV/0!</v>
      </c>
      <c r="Z77" t="e">
        <f t="shared" si="4"/>
        <v>#DIV/0!</v>
      </c>
      <c r="AA77" t="e">
        <f t="shared" si="4"/>
        <v>#DIV/0!</v>
      </c>
      <c r="AB77" t="e">
        <f t="shared" si="4"/>
        <v>#DIV/0!</v>
      </c>
      <c r="AC77" t="e">
        <f t="shared" si="4"/>
        <v>#DIV/0!</v>
      </c>
      <c r="AD77" t="e">
        <f t="shared" si="4"/>
        <v>#DIV/0!</v>
      </c>
      <c r="AE77" t="e">
        <f t="shared" si="4"/>
        <v>#DIV/0!</v>
      </c>
      <c r="AF77" t="e">
        <f t="shared" si="4"/>
        <v>#DIV/0!</v>
      </c>
      <c r="AG77" s="82"/>
      <c r="AH77" s="244" t="s">
        <v>435</v>
      </c>
      <c r="AI77" s="244" t="s">
        <v>452</v>
      </c>
      <c r="AJ77" s="82"/>
      <c r="AK77" s="101">
        <f>$C$77</f>
        <v>0</v>
      </c>
      <c r="AL77" s="101">
        <f>$D$77</f>
        <v>0</v>
      </c>
      <c r="AM77" s="101">
        <f>$E$77</f>
        <v>35.526315789473685</v>
      </c>
      <c r="AN77" s="101" t="e">
        <f>$F$77</f>
        <v>#DIV/0!</v>
      </c>
      <c r="AO77" s="101" t="e">
        <f>$G$77</f>
        <v>#DIV/0!</v>
      </c>
      <c r="AP77" s="101" t="e">
        <f>$H$77</f>
        <v>#DIV/0!</v>
      </c>
      <c r="AQ77" s="101" t="e">
        <f>$I$77</f>
        <v>#DIV/0!</v>
      </c>
      <c r="AR77" s="101" t="e">
        <f>$J$77</f>
        <v>#DIV/0!</v>
      </c>
      <c r="AS77" s="101" t="e">
        <f>$K$77</f>
        <v>#DIV/0!</v>
      </c>
      <c r="AT77" s="101" t="e">
        <f>$L$77</f>
        <v>#DIV/0!</v>
      </c>
      <c r="AU77" s="101" t="e">
        <f>$M$77</f>
        <v>#DIV/0!</v>
      </c>
      <c r="AV77" s="101" t="e">
        <f>$N$77</f>
        <v>#DIV/0!</v>
      </c>
      <c r="AW77" s="101" t="e">
        <f>$O$77</f>
        <v>#DIV/0!</v>
      </c>
      <c r="AX77" s="101" t="e">
        <f>$P$77</f>
        <v>#DIV/0!</v>
      </c>
      <c r="AY77" s="101" t="e">
        <f>$Q$77</f>
        <v>#DIV/0!</v>
      </c>
      <c r="AZ77" s="101" t="e">
        <f>$R$77</f>
        <v>#DIV/0!</v>
      </c>
      <c r="BA77" s="101" t="e">
        <f>$S$77</f>
        <v>#DIV/0!</v>
      </c>
      <c r="BB77" s="101" t="e">
        <f>$T$77</f>
        <v>#DIV/0!</v>
      </c>
      <c r="BC77" s="101" t="e">
        <f>$U$77</f>
        <v>#DIV/0!</v>
      </c>
      <c r="BD77" s="101" t="e">
        <f>$V$77</f>
        <v>#DIV/0!</v>
      </c>
      <c r="BE77" s="101" t="e">
        <f>$W$77</f>
        <v>#DIV/0!</v>
      </c>
      <c r="BF77" s="101" t="e">
        <f>$X$77</f>
        <v>#DIV/0!</v>
      </c>
      <c r="BG77" s="101" t="e">
        <f>$Y$77</f>
        <v>#DIV/0!</v>
      </c>
      <c r="BH77" s="101" t="e">
        <f>$Z$77</f>
        <v>#DIV/0!</v>
      </c>
      <c r="BI77" s="101" t="e">
        <f>$AA$77</f>
        <v>#DIV/0!</v>
      </c>
      <c r="BJ77" s="101" t="e">
        <f>$AB$77</f>
        <v>#DIV/0!</v>
      </c>
      <c r="BK77" s="101" t="e">
        <f>$AC$77</f>
        <v>#DIV/0!</v>
      </c>
      <c r="BL77" s="101" t="e">
        <f>$AD$77</f>
        <v>#DIV/0!</v>
      </c>
      <c r="BM77" s="101" t="e">
        <f>$AE$77</f>
        <v>#DIV/0!</v>
      </c>
      <c r="BN77" s="101" t="e">
        <f>$AF$77</f>
        <v>#DIV/0!</v>
      </c>
    </row>
    <row r="78" spans="1:66">
      <c r="A78" s="69" t="s">
        <v>161</v>
      </c>
      <c r="B78" s="71" t="s">
        <v>162</v>
      </c>
      <c r="C78" s="101">
        <v>44.444444444444443</v>
      </c>
      <c r="D78" s="101">
        <v>31.111111111111111</v>
      </c>
      <c r="E78" s="101">
        <v>37.362637362637365</v>
      </c>
      <c r="F78" t="e">
        <f t="shared" si="1"/>
        <v>#DIV/0!</v>
      </c>
      <c r="G78" t="e">
        <f t="shared" si="4"/>
        <v>#DIV/0!</v>
      </c>
      <c r="H78" t="e">
        <f t="shared" si="4"/>
        <v>#DIV/0!</v>
      </c>
      <c r="I78" t="e">
        <f t="shared" si="4"/>
        <v>#DIV/0!</v>
      </c>
      <c r="J78" t="e">
        <f t="shared" si="4"/>
        <v>#DIV/0!</v>
      </c>
      <c r="K78" t="e">
        <f t="shared" si="4"/>
        <v>#DIV/0!</v>
      </c>
      <c r="L78" t="e">
        <f t="shared" si="4"/>
        <v>#DIV/0!</v>
      </c>
      <c r="M78" t="e">
        <f t="shared" si="4"/>
        <v>#DIV/0!</v>
      </c>
      <c r="N78" t="e">
        <f t="shared" si="4"/>
        <v>#DIV/0!</v>
      </c>
      <c r="O78" t="e">
        <f t="shared" si="4"/>
        <v>#DIV/0!</v>
      </c>
      <c r="P78" t="e">
        <f t="shared" si="4"/>
        <v>#DIV/0!</v>
      </c>
      <c r="Q78" t="e">
        <f t="shared" si="4"/>
        <v>#DIV/0!</v>
      </c>
      <c r="R78" t="e">
        <f t="shared" si="4"/>
        <v>#DIV/0!</v>
      </c>
      <c r="S78" t="e">
        <f t="shared" si="4"/>
        <v>#DIV/0!</v>
      </c>
      <c r="T78" t="e">
        <f t="shared" si="4"/>
        <v>#DIV/0!</v>
      </c>
      <c r="U78" t="e">
        <f t="shared" si="4"/>
        <v>#DIV/0!</v>
      </c>
      <c r="V78" t="e">
        <f t="shared" si="4"/>
        <v>#DIV/0!</v>
      </c>
      <c r="W78" t="e">
        <f t="shared" si="4"/>
        <v>#DIV/0!</v>
      </c>
      <c r="X78" t="e">
        <f t="shared" si="4"/>
        <v>#DIV/0!</v>
      </c>
      <c r="Y78" t="e">
        <f t="shared" si="4"/>
        <v>#DIV/0!</v>
      </c>
      <c r="Z78" t="e">
        <f t="shared" si="4"/>
        <v>#DIV/0!</v>
      </c>
      <c r="AA78" t="e">
        <f t="shared" si="4"/>
        <v>#DIV/0!</v>
      </c>
      <c r="AB78" t="e">
        <f t="shared" si="4"/>
        <v>#DIV/0!</v>
      </c>
      <c r="AC78" t="e">
        <f t="shared" si="4"/>
        <v>#DIV/0!</v>
      </c>
      <c r="AD78" t="e">
        <f t="shared" si="4"/>
        <v>#DIV/0!</v>
      </c>
      <c r="AE78" t="e">
        <f t="shared" si="4"/>
        <v>#DIV/0!</v>
      </c>
      <c r="AF78" t="e">
        <f t="shared" si="4"/>
        <v>#DIV/0!</v>
      </c>
      <c r="AG78" s="82"/>
      <c r="AH78" s="244" t="s">
        <v>436</v>
      </c>
      <c r="AI78" s="244" t="s">
        <v>453</v>
      </c>
      <c r="AJ78" s="82"/>
      <c r="AK78" s="101">
        <f>$C$78</f>
        <v>44.444444444444443</v>
      </c>
      <c r="AL78" s="101">
        <f>$D$78</f>
        <v>31.111111111111111</v>
      </c>
      <c r="AM78" s="101">
        <f>$E$78</f>
        <v>37.362637362637365</v>
      </c>
      <c r="AN78" s="101" t="e">
        <f>$F$78</f>
        <v>#DIV/0!</v>
      </c>
      <c r="AO78" s="101" t="e">
        <f>$G$78</f>
        <v>#DIV/0!</v>
      </c>
      <c r="AP78" s="101" t="e">
        <f>$H$78</f>
        <v>#DIV/0!</v>
      </c>
      <c r="AQ78" s="101" t="e">
        <f>$I$78</f>
        <v>#DIV/0!</v>
      </c>
      <c r="AR78" s="101" t="e">
        <f>$J$78</f>
        <v>#DIV/0!</v>
      </c>
      <c r="AS78" s="101" t="e">
        <f>$K$78</f>
        <v>#DIV/0!</v>
      </c>
      <c r="AT78" s="101" t="e">
        <f>$L$78</f>
        <v>#DIV/0!</v>
      </c>
      <c r="AU78" s="101" t="e">
        <f>$M$78</f>
        <v>#DIV/0!</v>
      </c>
      <c r="AV78" s="101" t="e">
        <f>$N$78</f>
        <v>#DIV/0!</v>
      </c>
      <c r="AW78" s="101" t="e">
        <f>$O$78</f>
        <v>#DIV/0!</v>
      </c>
      <c r="AX78" s="101" t="e">
        <f>$P$78</f>
        <v>#DIV/0!</v>
      </c>
      <c r="AY78" s="101" t="e">
        <f>$Q$78</f>
        <v>#DIV/0!</v>
      </c>
      <c r="AZ78" s="101" t="e">
        <f>$R$78</f>
        <v>#DIV/0!</v>
      </c>
      <c r="BA78" s="101" t="e">
        <f>$S$78</f>
        <v>#DIV/0!</v>
      </c>
      <c r="BB78" s="101" t="e">
        <f>$T$78</f>
        <v>#DIV/0!</v>
      </c>
      <c r="BC78" s="101" t="e">
        <f>$U$78</f>
        <v>#DIV/0!</v>
      </c>
      <c r="BD78" s="101" t="e">
        <f>$V$78</f>
        <v>#DIV/0!</v>
      </c>
      <c r="BE78" s="101" t="e">
        <f>$W$78</f>
        <v>#DIV/0!</v>
      </c>
      <c r="BF78" s="101" t="e">
        <f>$X$78</f>
        <v>#DIV/0!</v>
      </c>
      <c r="BG78" s="101" t="e">
        <f>$Y$78</f>
        <v>#DIV/0!</v>
      </c>
      <c r="BH78" s="101" t="e">
        <f>$Z$78</f>
        <v>#DIV/0!</v>
      </c>
      <c r="BI78" s="101" t="e">
        <f>$AA$78</f>
        <v>#DIV/0!</v>
      </c>
      <c r="BJ78" s="101" t="e">
        <f>$AB$78</f>
        <v>#DIV/0!</v>
      </c>
      <c r="BK78" s="101" t="e">
        <f>$AC$78</f>
        <v>#DIV/0!</v>
      </c>
      <c r="BL78" s="101" t="e">
        <f>$AD$78</f>
        <v>#DIV/0!</v>
      </c>
      <c r="BM78" s="101" t="e">
        <f>$AE$78</f>
        <v>#DIV/0!</v>
      </c>
      <c r="BN78" s="101" t="e">
        <f>$AF$78</f>
        <v>#DIV/0!</v>
      </c>
    </row>
    <row r="79" spans="1:66">
      <c r="A79" s="69" t="s">
        <v>186</v>
      </c>
      <c r="B79" s="71" t="s">
        <v>188</v>
      </c>
      <c r="C79" s="100"/>
      <c r="E79" s="101">
        <v>27.659574468085108</v>
      </c>
      <c r="F79" t="e">
        <f t="shared" si="1"/>
        <v>#DIV/0!</v>
      </c>
      <c r="G79" t="e">
        <f t="shared" si="4"/>
        <v>#DIV/0!</v>
      </c>
      <c r="H79" t="e">
        <f t="shared" si="4"/>
        <v>#DIV/0!</v>
      </c>
      <c r="I79" t="e">
        <f t="shared" si="4"/>
        <v>#DIV/0!</v>
      </c>
      <c r="J79" t="e">
        <f t="shared" si="4"/>
        <v>#DIV/0!</v>
      </c>
      <c r="K79" t="e">
        <f t="shared" si="4"/>
        <v>#DIV/0!</v>
      </c>
      <c r="L79" t="e">
        <f t="shared" si="4"/>
        <v>#DIV/0!</v>
      </c>
      <c r="M79" t="e">
        <f t="shared" si="4"/>
        <v>#DIV/0!</v>
      </c>
      <c r="N79" t="e">
        <f t="shared" si="4"/>
        <v>#DIV/0!</v>
      </c>
      <c r="O79" t="e">
        <f t="shared" si="4"/>
        <v>#DIV/0!</v>
      </c>
      <c r="P79" t="e">
        <f t="shared" si="4"/>
        <v>#DIV/0!</v>
      </c>
      <c r="Q79" t="e">
        <f t="shared" si="4"/>
        <v>#DIV/0!</v>
      </c>
      <c r="R79" t="e">
        <f t="shared" si="4"/>
        <v>#DIV/0!</v>
      </c>
      <c r="S79" t="e">
        <f t="shared" si="4"/>
        <v>#DIV/0!</v>
      </c>
      <c r="T79" t="e">
        <f t="shared" si="4"/>
        <v>#DIV/0!</v>
      </c>
      <c r="U79" t="e">
        <f t="shared" si="4"/>
        <v>#DIV/0!</v>
      </c>
      <c r="V79" t="e">
        <f t="shared" si="4"/>
        <v>#DIV/0!</v>
      </c>
      <c r="W79" t="e">
        <f t="shared" si="4"/>
        <v>#DIV/0!</v>
      </c>
      <c r="X79" t="e">
        <f t="shared" si="4"/>
        <v>#DIV/0!</v>
      </c>
      <c r="Y79" t="e">
        <f t="shared" si="4"/>
        <v>#DIV/0!</v>
      </c>
      <c r="Z79" t="e">
        <f t="shared" si="4"/>
        <v>#DIV/0!</v>
      </c>
      <c r="AA79" t="e">
        <f t="shared" si="4"/>
        <v>#DIV/0!</v>
      </c>
      <c r="AB79" t="e">
        <f t="shared" si="4"/>
        <v>#DIV/0!</v>
      </c>
      <c r="AC79" t="e">
        <f t="shared" si="4"/>
        <v>#DIV/0!</v>
      </c>
      <c r="AD79" t="e">
        <f t="shared" si="4"/>
        <v>#DIV/0!</v>
      </c>
      <c r="AE79" t="e">
        <f t="shared" si="4"/>
        <v>#DIV/0!</v>
      </c>
      <c r="AF79" t="e">
        <f t="shared" si="4"/>
        <v>#DIV/0!</v>
      </c>
      <c r="AG79" s="82"/>
      <c r="AH79" s="244" t="s">
        <v>437</v>
      </c>
      <c r="AI79" s="245" t="s">
        <v>454</v>
      </c>
      <c r="AJ79" s="82"/>
      <c r="AK79" s="101">
        <f>$C$79</f>
        <v>0</v>
      </c>
      <c r="AL79" s="101">
        <f>$D$79</f>
        <v>0</v>
      </c>
      <c r="AM79" s="101">
        <f>$E$79</f>
        <v>27.659574468085108</v>
      </c>
      <c r="AN79" s="101" t="e">
        <f>$F$79</f>
        <v>#DIV/0!</v>
      </c>
      <c r="AO79" s="101" t="e">
        <f>$G$79</f>
        <v>#DIV/0!</v>
      </c>
      <c r="AP79" s="101" t="e">
        <f>$H$79</f>
        <v>#DIV/0!</v>
      </c>
      <c r="AQ79" s="101" t="e">
        <f>$I$79</f>
        <v>#DIV/0!</v>
      </c>
      <c r="AR79" s="101" t="e">
        <f>$J$79</f>
        <v>#DIV/0!</v>
      </c>
      <c r="AS79" s="101" t="e">
        <f>$K$79</f>
        <v>#DIV/0!</v>
      </c>
      <c r="AT79" s="101" t="e">
        <f>$L$79</f>
        <v>#DIV/0!</v>
      </c>
      <c r="AU79" s="101" t="e">
        <f>$M$79</f>
        <v>#DIV/0!</v>
      </c>
      <c r="AV79" s="101" t="e">
        <f>$N$79</f>
        <v>#DIV/0!</v>
      </c>
      <c r="AW79" s="101" t="e">
        <f>$O$79</f>
        <v>#DIV/0!</v>
      </c>
      <c r="AX79" s="101" t="e">
        <f>$P$79</f>
        <v>#DIV/0!</v>
      </c>
      <c r="AY79" s="101" t="e">
        <f>$Q$79</f>
        <v>#DIV/0!</v>
      </c>
      <c r="AZ79" s="101" t="e">
        <f>$R$79</f>
        <v>#DIV/0!</v>
      </c>
      <c r="BA79" s="101" t="e">
        <f>$S$79</f>
        <v>#DIV/0!</v>
      </c>
      <c r="BB79" s="101" t="e">
        <f>$T$79</f>
        <v>#DIV/0!</v>
      </c>
      <c r="BC79" s="101" t="e">
        <f>$U$79</f>
        <v>#DIV/0!</v>
      </c>
      <c r="BD79" s="101" t="e">
        <f>$V$79</f>
        <v>#DIV/0!</v>
      </c>
      <c r="BE79" s="101" t="e">
        <f>$W$79</f>
        <v>#DIV/0!</v>
      </c>
      <c r="BF79" s="101" t="e">
        <f>$X$79</f>
        <v>#DIV/0!</v>
      </c>
      <c r="BG79" s="101" t="e">
        <f>$Y$79</f>
        <v>#DIV/0!</v>
      </c>
      <c r="BH79" s="101" t="e">
        <f>$Z$79</f>
        <v>#DIV/0!</v>
      </c>
      <c r="BI79" s="101" t="e">
        <f>$AA$79</f>
        <v>#DIV/0!</v>
      </c>
      <c r="BJ79" s="101" t="e">
        <f>$AB$79</f>
        <v>#DIV/0!</v>
      </c>
      <c r="BK79" s="101" t="e">
        <f>$AC$79</f>
        <v>#DIV/0!</v>
      </c>
      <c r="BL79" s="101" t="e">
        <f>$AD$79</f>
        <v>#DIV/0!</v>
      </c>
      <c r="BM79" s="101" t="e">
        <f>$AE$79</f>
        <v>#DIV/0!</v>
      </c>
      <c r="BN79" s="101" t="e">
        <f>$AF$79</f>
        <v>#DIV/0!</v>
      </c>
    </row>
    <row r="80" spans="1:66">
      <c r="A80" s="68" t="s">
        <v>191</v>
      </c>
      <c r="B80" t="s">
        <v>153</v>
      </c>
      <c r="C80" s="101">
        <v>35.807860262008731</v>
      </c>
      <c r="D80" s="101">
        <v>23.076923076923077</v>
      </c>
      <c r="E80" s="101">
        <v>29.761904761904763</v>
      </c>
      <c r="F80" t="e">
        <f t="shared" si="1"/>
        <v>#DIV/0!</v>
      </c>
      <c r="G80" t="e">
        <f t="shared" si="4"/>
        <v>#DIV/0!</v>
      </c>
      <c r="H80" t="e">
        <f t="shared" si="4"/>
        <v>#DIV/0!</v>
      </c>
      <c r="I80" t="e">
        <f t="shared" si="4"/>
        <v>#DIV/0!</v>
      </c>
      <c r="J80" t="e">
        <f t="shared" si="4"/>
        <v>#DIV/0!</v>
      </c>
      <c r="K80" t="e">
        <f t="shared" si="4"/>
        <v>#DIV/0!</v>
      </c>
      <c r="L80" t="e">
        <f t="shared" si="4"/>
        <v>#DIV/0!</v>
      </c>
      <c r="M80" t="e">
        <f t="shared" si="4"/>
        <v>#DIV/0!</v>
      </c>
      <c r="N80" t="e">
        <f t="shared" si="4"/>
        <v>#DIV/0!</v>
      </c>
      <c r="O80" t="e">
        <f t="shared" si="4"/>
        <v>#DIV/0!</v>
      </c>
      <c r="P80" t="e">
        <f t="shared" si="4"/>
        <v>#DIV/0!</v>
      </c>
      <c r="Q80" t="e">
        <f t="shared" si="4"/>
        <v>#DIV/0!</v>
      </c>
      <c r="R80" t="e">
        <f t="shared" si="4"/>
        <v>#DIV/0!</v>
      </c>
      <c r="S80" t="e">
        <f t="shared" si="4"/>
        <v>#DIV/0!</v>
      </c>
      <c r="T80" t="e">
        <f t="shared" si="4"/>
        <v>#DIV/0!</v>
      </c>
      <c r="U80" t="e">
        <f t="shared" si="4"/>
        <v>#DIV/0!</v>
      </c>
      <c r="V80" t="e">
        <f t="shared" si="4"/>
        <v>#DIV/0!</v>
      </c>
      <c r="W80" t="e">
        <f t="shared" si="4"/>
        <v>#DIV/0!</v>
      </c>
      <c r="X80" t="e">
        <f t="shared" si="4"/>
        <v>#DIV/0!</v>
      </c>
      <c r="Y80" t="e">
        <f t="shared" si="4"/>
        <v>#DIV/0!</v>
      </c>
      <c r="Z80" t="e">
        <f t="shared" si="4"/>
        <v>#DIV/0!</v>
      </c>
      <c r="AA80" t="e">
        <f t="shared" si="4"/>
        <v>#DIV/0!</v>
      </c>
      <c r="AB80" t="e">
        <f t="shared" si="4"/>
        <v>#DIV/0!</v>
      </c>
      <c r="AC80" t="e">
        <f t="shared" si="4"/>
        <v>#DIV/0!</v>
      </c>
      <c r="AD80" t="e">
        <f t="shared" si="4"/>
        <v>#DIV/0!</v>
      </c>
      <c r="AE80" t="e">
        <f t="shared" si="4"/>
        <v>#DIV/0!</v>
      </c>
      <c r="AF80" t="e">
        <f t="shared" si="4"/>
        <v>#DIV/0!</v>
      </c>
      <c r="AG80" s="82"/>
      <c r="AH80" s="244" t="s">
        <v>438</v>
      </c>
      <c r="AI80" s="244" t="s">
        <v>455</v>
      </c>
      <c r="AJ80" s="82"/>
      <c r="AK80" s="101">
        <f>$C$80</f>
        <v>35.807860262008731</v>
      </c>
      <c r="AL80" s="101">
        <f>$D$80</f>
        <v>23.076923076923077</v>
      </c>
      <c r="AM80" s="101">
        <f>$E$80</f>
        <v>29.761904761904763</v>
      </c>
      <c r="AN80" s="101" t="e">
        <f>$F$80</f>
        <v>#DIV/0!</v>
      </c>
      <c r="AO80" s="101" t="e">
        <f>$G$80</f>
        <v>#DIV/0!</v>
      </c>
      <c r="AP80" s="101" t="e">
        <f>$H$80</f>
        <v>#DIV/0!</v>
      </c>
      <c r="AQ80" s="101" t="e">
        <f>$I$80</f>
        <v>#DIV/0!</v>
      </c>
      <c r="AR80" s="101" t="e">
        <f>$J$80</f>
        <v>#DIV/0!</v>
      </c>
      <c r="AS80" s="101" t="e">
        <f>$K$80</f>
        <v>#DIV/0!</v>
      </c>
      <c r="AT80" s="101" t="e">
        <f>$L$80</f>
        <v>#DIV/0!</v>
      </c>
      <c r="AU80" s="101" t="e">
        <f>$M$80</f>
        <v>#DIV/0!</v>
      </c>
      <c r="AV80" s="101" t="e">
        <f>$N$80</f>
        <v>#DIV/0!</v>
      </c>
      <c r="AW80" s="101" t="e">
        <f>$O$80</f>
        <v>#DIV/0!</v>
      </c>
      <c r="AX80" s="101" t="e">
        <f>$P$80</f>
        <v>#DIV/0!</v>
      </c>
      <c r="AY80" s="101" t="e">
        <f>$Q$80</f>
        <v>#DIV/0!</v>
      </c>
      <c r="AZ80" s="101" t="e">
        <f>$R$80</f>
        <v>#DIV/0!</v>
      </c>
      <c r="BA80" s="101" t="e">
        <f>$S$80</f>
        <v>#DIV/0!</v>
      </c>
      <c r="BB80" s="101" t="e">
        <f>$T$80</f>
        <v>#DIV/0!</v>
      </c>
      <c r="BC80" s="101" t="e">
        <f>$U$80</f>
        <v>#DIV/0!</v>
      </c>
      <c r="BD80" s="101" t="e">
        <f>$V$80</f>
        <v>#DIV/0!</v>
      </c>
      <c r="BE80" s="101" t="e">
        <f>$W$80</f>
        <v>#DIV/0!</v>
      </c>
      <c r="BF80" s="101" t="e">
        <f>$X$80</f>
        <v>#DIV/0!</v>
      </c>
      <c r="BG80" s="101" t="e">
        <f>$Y$80</f>
        <v>#DIV/0!</v>
      </c>
      <c r="BH80" s="101" t="e">
        <f>$Z$80</f>
        <v>#DIV/0!</v>
      </c>
      <c r="BI80" s="101" t="e">
        <f>$AA$80</f>
        <v>#DIV/0!</v>
      </c>
      <c r="BJ80" s="101" t="e">
        <f>$AB$80</f>
        <v>#DIV/0!</v>
      </c>
      <c r="BK80" s="101" t="e">
        <f>$AC$80</f>
        <v>#DIV/0!</v>
      </c>
      <c r="BL80" s="101" t="e">
        <f>$AD$80</f>
        <v>#DIV/0!</v>
      </c>
      <c r="BM80" s="101" t="e">
        <f>$AE$80</f>
        <v>#DIV/0!</v>
      </c>
      <c r="BN80" s="101" t="e">
        <f>$AF$80</f>
        <v>#DIV/0!</v>
      </c>
    </row>
    <row r="81" spans="1:66">
      <c r="A81" s="69" t="s">
        <v>176</v>
      </c>
      <c r="B81" s="71" t="s">
        <v>178</v>
      </c>
      <c r="C81" s="100"/>
      <c r="E81" s="101">
        <v>50</v>
      </c>
      <c r="F81" t="e">
        <f t="shared" si="1"/>
        <v>#DIV/0!</v>
      </c>
      <c r="G81" t="e">
        <f t="shared" si="4"/>
        <v>#DIV/0!</v>
      </c>
      <c r="H81" t="e">
        <f t="shared" si="4"/>
        <v>#DIV/0!</v>
      </c>
      <c r="I81" t="e">
        <f t="shared" si="4"/>
        <v>#DIV/0!</v>
      </c>
      <c r="J81" t="e">
        <f t="shared" si="4"/>
        <v>#DIV/0!</v>
      </c>
      <c r="K81" t="e">
        <f t="shared" si="4"/>
        <v>#DIV/0!</v>
      </c>
      <c r="L81" t="e">
        <f t="shared" si="4"/>
        <v>#DIV/0!</v>
      </c>
      <c r="M81" t="e">
        <f t="shared" si="4"/>
        <v>#DIV/0!</v>
      </c>
      <c r="N81" t="e">
        <f t="shared" si="4"/>
        <v>#DIV/0!</v>
      </c>
      <c r="O81" t="e">
        <f t="shared" si="4"/>
        <v>#DIV/0!</v>
      </c>
      <c r="P81" t="e">
        <f t="shared" si="4"/>
        <v>#DIV/0!</v>
      </c>
      <c r="Q81" t="e">
        <f t="shared" si="4"/>
        <v>#DIV/0!</v>
      </c>
      <c r="R81" t="e">
        <f t="shared" si="4"/>
        <v>#DIV/0!</v>
      </c>
      <c r="S81" t="e">
        <f t="shared" si="4"/>
        <v>#DIV/0!</v>
      </c>
      <c r="T81" t="e">
        <f t="shared" si="4"/>
        <v>#DIV/0!</v>
      </c>
      <c r="U81" t="e">
        <f t="shared" si="4"/>
        <v>#DIV/0!</v>
      </c>
      <c r="V81" t="e">
        <f t="shared" si="4"/>
        <v>#DIV/0!</v>
      </c>
      <c r="W81" t="e">
        <f t="shared" si="4"/>
        <v>#DIV/0!</v>
      </c>
      <c r="X81" t="e">
        <f t="shared" si="4"/>
        <v>#DIV/0!</v>
      </c>
      <c r="Y81" t="e">
        <f t="shared" si="4"/>
        <v>#DIV/0!</v>
      </c>
      <c r="Z81" t="e">
        <f t="shared" si="4"/>
        <v>#DIV/0!</v>
      </c>
      <c r="AA81" t="e">
        <f t="shared" si="4"/>
        <v>#DIV/0!</v>
      </c>
      <c r="AB81" t="e">
        <f t="shared" si="4"/>
        <v>#DIV/0!</v>
      </c>
      <c r="AC81" t="e">
        <f t="shared" si="4"/>
        <v>#DIV/0!</v>
      </c>
      <c r="AD81" t="e">
        <f t="shared" si="4"/>
        <v>#DIV/0!</v>
      </c>
      <c r="AE81" t="e">
        <f t="shared" si="4"/>
        <v>#DIV/0!</v>
      </c>
      <c r="AF81" t="e">
        <f t="shared" si="4"/>
        <v>#DIV/0!</v>
      </c>
      <c r="AG81" s="82"/>
      <c r="AH81" s="244" t="s">
        <v>439</v>
      </c>
      <c r="AI81" s="244" t="s">
        <v>456</v>
      </c>
      <c r="AJ81" s="82"/>
      <c r="AK81" s="101">
        <f>$C$81</f>
        <v>0</v>
      </c>
      <c r="AL81" s="101">
        <f>$D$81</f>
        <v>0</v>
      </c>
      <c r="AM81" s="101">
        <f>$E$81</f>
        <v>50</v>
      </c>
      <c r="AN81" s="101" t="e">
        <f>$F$81</f>
        <v>#DIV/0!</v>
      </c>
      <c r="AO81" s="101" t="e">
        <f>$G$81</f>
        <v>#DIV/0!</v>
      </c>
      <c r="AP81" s="101" t="e">
        <f>$H$81</f>
        <v>#DIV/0!</v>
      </c>
      <c r="AQ81" s="101" t="e">
        <f>$I$81</f>
        <v>#DIV/0!</v>
      </c>
      <c r="AR81" s="101" t="e">
        <f>$J$81</f>
        <v>#DIV/0!</v>
      </c>
      <c r="AS81" s="101" t="e">
        <f>$K$81</f>
        <v>#DIV/0!</v>
      </c>
      <c r="AT81" s="101" t="e">
        <f>$L$81</f>
        <v>#DIV/0!</v>
      </c>
      <c r="AU81" s="101" t="e">
        <f>$M$81</f>
        <v>#DIV/0!</v>
      </c>
      <c r="AV81" s="101" t="e">
        <f>$N$81</f>
        <v>#DIV/0!</v>
      </c>
      <c r="AW81" s="101" t="e">
        <f>$O$81</f>
        <v>#DIV/0!</v>
      </c>
      <c r="AX81" s="101" t="e">
        <f>$P$81</f>
        <v>#DIV/0!</v>
      </c>
      <c r="AY81" s="101" t="e">
        <f>$Q$81</f>
        <v>#DIV/0!</v>
      </c>
      <c r="AZ81" s="101" t="e">
        <f>$R$81</f>
        <v>#DIV/0!</v>
      </c>
      <c r="BA81" s="101" t="e">
        <f>$S$81</f>
        <v>#DIV/0!</v>
      </c>
      <c r="BB81" s="101" t="e">
        <f>$T$81</f>
        <v>#DIV/0!</v>
      </c>
      <c r="BC81" s="101" t="e">
        <f>$U$81</f>
        <v>#DIV/0!</v>
      </c>
      <c r="BD81" s="101" t="e">
        <f>$V$81</f>
        <v>#DIV/0!</v>
      </c>
      <c r="BE81" s="101" t="e">
        <f>$W$81</f>
        <v>#DIV/0!</v>
      </c>
      <c r="BF81" s="101" t="e">
        <f>$X$81</f>
        <v>#DIV/0!</v>
      </c>
      <c r="BG81" s="101" t="e">
        <f>$Y$81</f>
        <v>#DIV/0!</v>
      </c>
      <c r="BH81" s="101" t="e">
        <f>$Z$81</f>
        <v>#DIV/0!</v>
      </c>
      <c r="BI81" s="101" t="e">
        <f>$AA$81</f>
        <v>#DIV/0!</v>
      </c>
      <c r="BJ81" s="101" t="e">
        <f>$AB$81</f>
        <v>#DIV/0!</v>
      </c>
      <c r="BK81" s="101" t="e">
        <f>$AC$81</f>
        <v>#DIV/0!</v>
      </c>
      <c r="BL81" s="101" t="e">
        <f>$AD$81</f>
        <v>#DIV/0!</v>
      </c>
      <c r="BM81" s="101" t="e">
        <f>$AE$81</f>
        <v>#DIV/0!</v>
      </c>
      <c r="BN81" s="101" t="e">
        <f>$AF$81</f>
        <v>#DIV/0!</v>
      </c>
    </row>
    <row r="82" spans="1:66">
      <c r="A82" s="69" t="s">
        <v>150</v>
      </c>
      <c r="B82" t="s">
        <v>153</v>
      </c>
      <c r="C82" s="101">
        <v>28.28282828282828</v>
      </c>
      <c r="D82" s="101">
        <v>21.890547263681594</v>
      </c>
      <c r="E82" s="101">
        <v>25.061425061425062</v>
      </c>
      <c r="F82" t="e">
        <f t="shared" si="1"/>
        <v>#DIV/0!</v>
      </c>
      <c r="G82" t="e">
        <f t="shared" si="4"/>
        <v>#DIV/0!</v>
      </c>
      <c r="H82" t="e">
        <f t="shared" si="4"/>
        <v>#DIV/0!</v>
      </c>
      <c r="I82" t="e">
        <f t="shared" si="4"/>
        <v>#DIV/0!</v>
      </c>
      <c r="J82" t="e">
        <f t="shared" si="4"/>
        <v>#DIV/0!</v>
      </c>
      <c r="K82" t="e">
        <f t="shared" si="4"/>
        <v>#DIV/0!</v>
      </c>
      <c r="L82" t="e">
        <f t="shared" si="4"/>
        <v>#DIV/0!</v>
      </c>
      <c r="M82" t="e">
        <f t="shared" si="4"/>
        <v>#DIV/0!</v>
      </c>
      <c r="N82" t="e">
        <f t="shared" si="4"/>
        <v>#DIV/0!</v>
      </c>
      <c r="O82" t="e">
        <f t="shared" si="4"/>
        <v>#DIV/0!</v>
      </c>
      <c r="P82" t="e">
        <f t="shared" si="4"/>
        <v>#DIV/0!</v>
      </c>
      <c r="Q82" t="e">
        <f t="shared" si="4"/>
        <v>#DIV/0!</v>
      </c>
      <c r="R82" t="e">
        <f t="shared" si="4"/>
        <v>#DIV/0!</v>
      </c>
      <c r="S82" t="e">
        <f t="shared" si="4"/>
        <v>#DIV/0!</v>
      </c>
      <c r="T82" t="e">
        <f t="shared" si="4"/>
        <v>#DIV/0!</v>
      </c>
      <c r="U82" t="e">
        <f t="shared" si="4"/>
        <v>#DIV/0!</v>
      </c>
      <c r="V82" t="e">
        <f t="shared" si="4"/>
        <v>#DIV/0!</v>
      </c>
      <c r="W82" t="e">
        <f t="shared" si="4"/>
        <v>#DIV/0!</v>
      </c>
      <c r="X82" t="e">
        <f t="shared" si="4"/>
        <v>#DIV/0!</v>
      </c>
      <c r="Y82" t="e">
        <f t="shared" si="4"/>
        <v>#DIV/0!</v>
      </c>
      <c r="Z82" t="e">
        <f t="shared" si="4"/>
        <v>#DIV/0!</v>
      </c>
      <c r="AA82" t="e">
        <f t="shared" si="4"/>
        <v>#DIV/0!</v>
      </c>
      <c r="AB82" t="e">
        <f t="shared" si="4"/>
        <v>#DIV/0!</v>
      </c>
      <c r="AC82" t="e">
        <f t="shared" si="4"/>
        <v>#DIV/0!</v>
      </c>
      <c r="AD82" t="e">
        <f t="shared" si="4"/>
        <v>#DIV/0!</v>
      </c>
      <c r="AE82" t="e">
        <f t="shared" si="4"/>
        <v>#DIV/0!</v>
      </c>
      <c r="AF82" t="e">
        <f t="shared" si="4"/>
        <v>#DIV/0!</v>
      </c>
      <c r="AG82" s="82"/>
      <c r="AH82" s="244" t="s">
        <v>440</v>
      </c>
      <c r="AI82" s="244" t="s">
        <v>457</v>
      </c>
      <c r="AJ82" s="82"/>
      <c r="AK82" s="101">
        <f>$C$82</f>
        <v>28.28282828282828</v>
      </c>
      <c r="AL82" s="101">
        <f>$D$82</f>
        <v>21.890547263681594</v>
      </c>
      <c r="AM82" s="101">
        <f>$E$82</f>
        <v>25.061425061425062</v>
      </c>
      <c r="AN82" s="101" t="e">
        <f>$F$82</f>
        <v>#DIV/0!</v>
      </c>
      <c r="AO82" s="101" t="e">
        <f>$G$82</f>
        <v>#DIV/0!</v>
      </c>
      <c r="AP82" s="101" t="e">
        <f>$H$82</f>
        <v>#DIV/0!</v>
      </c>
      <c r="AQ82" s="101" t="e">
        <f>$I$82</f>
        <v>#DIV/0!</v>
      </c>
      <c r="AR82" s="101" t="e">
        <f>$J$82</f>
        <v>#DIV/0!</v>
      </c>
      <c r="AS82" s="101" t="e">
        <f>$K$82</f>
        <v>#DIV/0!</v>
      </c>
      <c r="AT82" s="101" t="e">
        <f>$L$82</f>
        <v>#DIV/0!</v>
      </c>
      <c r="AU82" s="101" t="e">
        <f>$M$82</f>
        <v>#DIV/0!</v>
      </c>
      <c r="AV82" s="101" t="e">
        <f>$N$82</f>
        <v>#DIV/0!</v>
      </c>
      <c r="AW82" s="101" t="e">
        <f>$O$82</f>
        <v>#DIV/0!</v>
      </c>
      <c r="AX82" s="101" t="e">
        <f>$P$82</f>
        <v>#DIV/0!</v>
      </c>
      <c r="AY82" s="101" t="e">
        <f>$Q$82</f>
        <v>#DIV/0!</v>
      </c>
      <c r="AZ82" s="101" t="e">
        <f>$R$82</f>
        <v>#DIV/0!</v>
      </c>
      <c r="BA82" s="101" t="e">
        <f>$S$82</f>
        <v>#DIV/0!</v>
      </c>
      <c r="BB82" s="101" t="e">
        <f>$T$82</f>
        <v>#DIV/0!</v>
      </c>
      <c r="BC82" s="101" t="e">
        <f>$U$82</f>
        <v>#DIV/0!</v>
      </c>
      <c r="BD82" s="101" t="e">
        <f>$V$82</f>
        <v>#DIV/0!</v>
      </c>
      <c r="BE82" s="101" t="e">
        <f>$W$82</f>
        <v>#DIV/0!</v>
      </c>
      <c r="BF82" s="101" t="e">
        <f>$X$82</f>
        <v>#DIV/0!</v>
      </c>
      <c r="BG82" s="101" t="e">
        <f>$Y$82</f>
        <v>#DIV/0!</v>
      </c>
      <c r="BH82" s="101" t="e">
        <f>$Z$82</f>
        <v>#DIV/0!</v>
      </c>
      <c r="BI82" s="101" t="e">
        <f>$AA$82</f>
        <v>#DIV/0!</v>
      </c>
      <c r="BJ82" s="101" t="e">
        <f>$AB$82</f>
        <v>#DIV/0!</v>
      </c>
      <c r="BK82" s="101" t="e">
        <f>$AC$82</f>
        <v>#DIV/0!</v>
      </c>
      <c r="BL82" s="101" t="e">
        <f>$AD$82</f>
        <v>#DIV/0!</v>
      </c>
      <c r="BM82" s="101" t="e">
        <f>$AE$82</f>
        <v>#DIV/0!</v>
      </c>
      <c r="BN82" s="101" t="e">
        <f>$AF$82</f>
        <v>#DIV/0!</v>
      </c>
    </row>
    <row r="83" spans="1:66">
      <c r="A83" s="69" t="s">
        <v>183</v>
      </c>
      <c r="B83" s="71" t="s">
        <v>188</v>
      </c>
      <c r="C83" s="100"/>
      <c r="E83" s="101">
        <v>24.183006535947712</v>
      </c>
      <c r="F83" t="e">
        <f t="shared" si="1"/>
        <v>#DIV/0!</v>
      </c>
      <c r="G83" t="e">
        <f t="shared" si="4"/>
        <v>#DIV/0!</v>
      </c>
      <c r="H83" t="e">
        <f t="shared" si="4"/>
        <v>#DIV/0!</v>
      </c>
      <c r="I83" t="e">
        <f t="shared" si="4"/>
        <v>#DIV/0!</v>
      </c>
      <c r="J83" t="e">
        <f t="shared" si="4"/>
        <v>#DIV/0!</v>
      </c>
      <c r="K83" t="e">
        <f t="shared" si="4"/>
        <v>#DIV/0!</v>
      </c>
      <c r="L83" t="e">
        <f t="shared" si="4"/>
        <v>#DIV/0!</v>
      </c>
      <c r="M83" t="e">
        <f t="shared" si="4"/>
        <v>#DIV/0!</v>
      </c>
      <c r="N83" t="e">
        <f t="shared" si="4"/>
        <v>#DIV/0!</v>
      </c>
      <c r="O83" t="e">
        <f t="shared" si="4"/>
        <v>#DIV/0!</v>
      </c>
      <c r="P83" t="e">
        <f t="shared" si="4"/>
        <v>#DIV/0!</v>
      </c>
      <c r="Q83" t="e">
        <f t="shared" si="4"/>
        <v>#DIV/0!</v>
      </c>
      <c r="R83" t="e">
        <f t="shared" si="4"/>
        <v>#DIV/0!</v>
      </c>
      <c r="S83" t="e">
        <f t="shared" si="4"/>
        <v>#DIV/0!</v>
      </c>
      <c r="T83" t="e">
        <f t="shared" si="4"/>
        <v>#DIV/0!</v>
      </c>
      <c r="U83" t="e">
        <f t="shared" si="4"/>
        <v>#DIV/0!</v>
      </c>
      <c r="V83" t="e">
        <f t="shared" si="4"/>
        <v>#DIV/0!</v>
      </c>
      <c r="W83" t="e">
        <f t="shared" si="4"/>
        <v>#DIV/0!</v>
      </c>
      <c r="X83" t="e">
        <f t="shared" si="4"/>
        <v>#DIV/0!</v>
      </c>
      <c r="Y83" t="e">
        <f t="shared" si="4"/>
        <v>#DIV/0!</v>
      </c>
      <c r="Z83" t="e">
        <f t="shared" si="4"/>
        <v>#DIV/0!</v>
      </c>
      <c r="AA83" t="e">
        <f t="shared" si="4"/>
        <v>#DIV/0!</v>
      </c>
      <c r="AB83" t="e">
        <f t="shared" si="4"/>
        <v>#DIV/0!</v>
      </c>
      <c r="AC83" t="e">
        <f t="shared" si="4"/>
        <v>#DIV/0!</v>
      </c>
      <c r="AD83" t="e">
        <f t="shared" si="4"/>
        <v>#DIV/0!</v>
      </c>
      <c r="AE83" t="e">
        <f t="shared" si="4"/>
        <v>#DIV/0!</v>
      </c>
      <c r="AF83" t="e">
        <f t="shared" si="4"/>
        <v>#DIV/0!</v>
      </c>
      <c r="AG83" s="96"/>
      <c r="AH83" s="244" t="s">
        <v>441</v>
      </c>
      <c r="AI83" s="244" t="s">
        <v>458</v>
      </c>
      <c r="AJ83" s="96"/>
      <c r="AK83" s="101">
        <f>$C$83</f>
        <v>0</v>
      </c>
      <c r="AL83" s="101">
        <f>$D$83</f>
        <v>0</v>
      </c>
      <c r="AM83" s="101">
        <f>$E$83</f>
        <v>24.183006535947712</v>
      </c>
      <c r="AN83" s="101" t="e">
        <f>$F$83</f>
        <v>#DIV/0!</v>
      </c>
      <c r="AO83" s="101" t="e">
        <f>$G$83</f>
        <v>#DIV/0!</v>
      </c>
      <c r="AP83" s="101" t="e">
        <f>$H$83</f>
        <v>#DIV/0!</v>
      </c>
      <c r="AQ83" s="101" t="e">
        <f>$I$83</f>
        <v>#DIV/0!</v>
      </c>
      <c r="AR83" s="101" t="e">
        <f>$J$83</f>
        <v>#DIV/0!</v>
      </c>
      <c r="AS83" s="101" t="e">
        <f>$K$83</f>
        <v>#DIV/0!</v>
      </c>
      <c r="AT83" s="101" t="e">
        <f>$L$83</f>
        <v>#DIV/0!</v>
      </c>
      <c r="AU83" s="101" t="e">
        <f>$M$83</f>
        <v>#DIV/0!</v>
      </c>
      <c r="AV83" s="101" t="e">
        <f>$N$83</f>
        <v>#DIV/0!</v>
      </c>
      <c r="AW83" s="101" t="e">
        <f>$O$83</f>
        <v>#DIV/0!</v>
      </c>
      <c r="AX83" s="101" t="e">
        <f>$P$83</f>
        <v>#DIV/0!</v>
      </c>
      <c r="AY83" s="101" t="e">
        <f>$Q$83</f>
        <v>#DIV/0!</v>
      </c>
      <c r="AZ83" s="101" t="e">
        <f>$R$83</f>
        <v>#DIV/0!</v>
      </c>
      <c r="BA83" s="101" t="e">
        <f>$S$83</f>
        <v>#DIV/0!</v>
      </c>
      <c r="BB83" s="101" t="e">
        <f>$T$83</f>
        <v>#DIV/0!</v>
      </c>
      <c r="BC83" s="101" t="e">
        <f>$U$83</f>
        <v>#DIV/0!</v>
      </c>
      <c r="BD83" s="101" t="e">
        <f>$V$83</f>
        <v>#DIV/0!</v>
      </c>
      <c r="BE83" s="101" t="e">
        <f>$W$83</f>
        <v>#DIV/0!</v>
      </c>
      <c r="BF83" s="101" t="e">
        <f>$X$83</f>
        <v>#DIV/0!</v>
      </c>
      <c r="BG83" s="101" t="e">
        <f>$Y$83</f>
        <v>#DIV/0!</v>
      </c>
      <c r="BH83" s="101" t="e">
        <f>$Z$83</f>
        <v>#DIV/0!</v>
      </c>
      <c r="BI83" s="101" t="e">
        <f>$AA$83</f>
        <v>#DIV/0!</v>
      </c>
      <c r="BJ83" s="101" t="e">
        <f>$AB$83</f>
        <v>#DIV/0!</v>
      </c>
      <c r="BK83" s="101" t="e">
        <f>$AC$83</f>
        <v>#DIV/0!</v>
      </c>
      <c r="BL83" s="101" t="e">
        <f>$AD$83</f>
        <v>#DIV/0!</v>
      </c>
      <c r="BM83" s="101" t="e">
        <f>$AE$83</f>
        <v>#DIV/0!</v>
      </c>
      <c r="BN83" s="101" t="e">
        <f>$AF$83</f>
        <v>#DIV/0!</v>
      </c>
    </row>
    <row r="84" spans="1:66">
      <c r="A84" s="69" t="s">
        <v>177</v>
      </c>
      <c r="B84" s="71" t="s">
        <v>178</v>
      </c>
      <c r="C84" s="101">
        <v>44.444444444444443</v>
      </c>
      <c r="D84" s="101">
        <v>35.714285714285715</v>
      </c>
      <c r="E84" s="101">
        <v>40.310077519379846</v>
      </c>
      <c r="F84" t="e">
        <f t="shared" si="1"/>
        <v>#DIV/0!</v>
      </c>
      <c r="G84" t="e">
        <f t="shared" si="4"/>
        <v>#DIV/0!</v>
      </c>
      <c r="H84" t="e">
        <f t="shared" si="4"/>
        <v>#DIV/0!</v>
      </c>
      <c r="I84" t="e">
        <f t="shared" si="4"/>
        <v>#DIV/0!</v>
      </c>
      <c r="J84" t="e">
        <f t="shared" si="4"/>
        <v>#DIV/0!</v>
      </c>
      <c r="K84" t="e">
        <f t="shared" si="4"/>
        <v>#DIV/0!</v>
      </c>
      <c r="L84" t="e">
        <f t="shared" si="4"/>
        <v>#DIV/0!</v>
      </c>
      <c r="M84" t="e">
        <f t="shared" si="4"/>
        <v>#DIV/0!</v>
      </c>
      <c r="N84" t="e">
        <f t="shared" si="4"/>
        <v>#DIV/0!</v>
      </c>
      <c r="O84" t="e">
        <f t="shared" si="4"/>
        <v>#DIV/0!</v>
      </c>
      <c r="P84" t="e">
        <f t="shared" si="4"/>
        <v>#DIV/0!</v>
      </c>
      <c r="Q84" t="e">
        <f t="shared" si="4"/>
        <v>#DIV/0!</v>
      </c>
      <c r="R84" t="e">
        <f t="shared" si="4"/>
        <v>#DIV/0!</v>
      </c>
      <c r="S84" t="e">
        <f t="shared" si="4"/>
        <v>#DIV/0!</v>
      </c>
      <c r="T84" t="e">
        <f t="shared" si="4"/>
        <v>#DIV/0!</v>
      </c>
      <c r="U84" t="e">
        <f t="shared" si="4"/>
        <v>#DIV/0!</v>
      </c>
      <c r="V84" t="e">
        <f t="shared" si="4"/>
        <v>#DIV/0!</v>
      </c>
      <c r="W84" t="e">
        <f t="shared" si="4"/>
        <v>#DIV/0!</v>
      </c>
      <c r="X84" t="e">
        <f t="shared" si="4"/>
        <v>#DIV/0!</v>
      </c>
      <c r="Y84" t="e">
        <f t="shared" si="4"/>
        <v>#DIV/0!</v>
      </c>
      <c r="Z84" t="e">
        <f t="shared" si="4"/>
        <v>#DIV/0!</v>
      </c>
      <c r="AA84" t="e">
        <f t="shared" si="4"/>
        <v>#DIV/0!</v>
      </c>
      <c r="AB84" t="e">
        <f t="shared" si="4"/>
        <v>#DIV/0!</v>
      </c>
      <c r="AC84" t="e">
        <f t="shared" si="4"/>
        <v>#DIV/0!</v>
      </c>
      <c r="AD84" t="e">
        <f t="shared" si="4"/>
        <v>#DIV/0!</v>
      </c>
      <c r="AE84" t="e">
        <f t="shared" si="4"/>
        <v>#DIV/0!</v>
      </c>
      <c r="AF84" t="e">
        <f t="shared" si="4"/>
        <v>#DIV/0!</v>
      </c>
      <c r="AG84" s="96"/>
      <c r="AH84" s="244" t="s">
        <v>442</v>
      </c>
      <c r="AI84" s="244" t="s">
        <v>459</v>
      </c>
      <c r="AJ84" s="96"/>
      <c r="AK84" s="101">
        <f>$C$84</f>
        <v>44.444444444444443</v>
      </c>
      <c r="AL84" s="101">
        <f>$D$84</f>
        <v>35.714285714285715</v>
      </c>
      <c r="AM84" s="101">
        <f>$E$84</f>
        <v>40.310077519379846</v>
      </c>
      <c r="AN84" s="101" t="e">
        <f>$F$84</f>
        <v>#DIV/0!</v>
      </c>
      <c r="AO84" s="101" t="e">
        <f>$G$84</f>
        <v>#DIV/0!</v>
      </c>
      <c r="AP84" s="101" t="e">
        <f>$H$84</f>
        <v>#DIV/0!</v>
      </c>
      <c r="AQ84" s="101" t="e">
        <f>$I$84</f>
        <v>#DIV/0!</v>
      </c>
      <c r="AR84" s="101" t="e">
        <f>$J$84</f>
        <v>#DIV/0!</v>
      </c>
      <c r="AS84" s="101" t="e">
        <f>$K$84</f>
        <v>#DIV/0!</v>
      </c>
      <c r="AT84" s="101" t="e">
        <f>$L$84</f>
        <v>#DIV/0!</v>
      </c>
      <c r="AU84" s="101" t="e">
        <f>$M$84</f>
        <v>#DIV/0!</v>
      </c>
      <c r="AV84" s="101" t="e">
        <f>$N$84</f>
        <v>#DIV/0!</v>
      </c>
      <c r="AW84" s="101" t="e">
        <f>$O$84</f>
        <v>#DIV/0!</v>
      </c>
      <c r="AX84" s="101" t="e">
        <f>$P$84</f>
        <v>#DIV/0!</v>
      </c>
      <c r="AY84" s="101" t="e">
        <f>$Q$84</f>
        <v>#DIV/0!</v>
      </c>
      <c r="AZ84" s="101" t="e">
        <f>$R$84</f>
        <v>#DIV/0!</v>
      </c>
      <c r="BA84" s="101" t="e">
        <f>$S$84</f>
        <v>#DIV/0!</v>
      </c>
      <c r="BB84" s="101" t="e">
        <f>$T$84</f>
        <v>#DIV/0!</v>
      </c>
      <c r="BC84" s="101" t="e">
        <f>$U$84</f>
        <v>#DIV/0!</v>
      </c>
      <c r="BD84" s="101" t="e">
        <f>$V$84</f>
        <v>#DIV/0!</v>
      </c>
      <c r="BE84" s="101" t="e">
        <f>$W$84</f>
        <v>#DIV/0!</v>
      </c>
      <c r="BF84" s="101" t="e">
        <f>$X$84</f>
        <v>#DIV/0!</v>
      </c>
      <c r="BG84" s="101" t="e">
        <f>$Y$84</f>
        <v>#DIV/0!</v>
      </c>
      <c r="BH84" s="101" t="e">
        <f>$Z$84</f>
        <v>#DIV/0!</v>
      </c>
      <c r="BI84" s="101" t="e">
        <f>$AA$84</f>
        <v>#DIV/0!</v>
      </c>
      <c r="BJ84" s="101" t="e">
        <f>$AB$84</f>
        <v>#DIV/0!</v>
      </c>
      <c r="BK84" s="101" t="e">
        <f>$AC$84</f>
        <v>#DIV/0!</v>
      </c>
      <c r="BL84" s="101" t="e">
        <f>$AD$84</f>
        <v>#DIV/0!</v>
      </c>
      <c r="BM84" s="101" t="e">
        <f>$AE$84</f>
        <v>#DIV/0!</v>
      </c>
      <c r="BN84" s="101" t="e">
        <f>$AF$84</f>
        <v>#DIV/0!</v>
      </c>
    </row>
    <row r="85" spans="1:66">
      <c r="A85" s="69" t="s">
        <v>180</v>
      </c>
      <c r="B85" s="71" t="s">
        <v>188</v>
      </c>
      <c r="C85" s="100"/>
      <c r="E85" s="102">
        <v>20.408163265306122</v>
      </c>
      <c r="F85" t="e">
        <f t="shared" si="1"/>
        <v>#DIV/0!</v>
      </c>
      <c r="G85" t="e">
        <f t="shared" si="4"/>
        <v>#DIV/0!</v>
      </c>
      <c r="H85" t="e">
        <f t="shared" si="4"/>
        <v>#DIV/0!</v>
      </c>
      <c r="I85" t="e">
        <f t="shared" si="4"/>
        <v>#DIV/0!</v>
      </c>
      <c r="J85" t="e">
        <f t="shared" si="4"/>
        <v>#DIV/0!</v>
      </c>
      <c r="K85" t="e">
        <f t="shared" si="4"/>
        <v>#DIV/0!</v>
      </c>
      <c r="L85" t="e">
        <f t="shared" si="4"/>
        <v>#DIV/0!</v>
      </c>
      <c r="M85" t="e">
        <f t="shared" si="4"/>
        <v>#DIV/0!</v>
      </c>
      <c r="N85" t="e">
        <f t="shared" si="4"/>
        <v>#DIV/0!</v>
      </c>
      <c r="O85" t="e">
        <f t="shared" si="4"/>
        <v>#DIV/0!</v>
      </c>
      <c r="P85" t="e">
        <f t="shared" si="4"/>
        <v>#DIV/0!</v>
      </c>
      <c r="Q85" t="e">
        <f t="shared" si="4"/>
        <v>#DIV/0!</v>
      </c>
      <c r="R85" t="e">
        <f t="shared" si="4"/>
        <v>#DIV/0!</v>
      </c>
      <c r="S85" t="e">
        <f t="shared" si="4"/>
        <v>#DIV/0!</v>
      </c>
      <c r="T85" t="e">
        <f t="shared" si="4"/>
        <v>#DIV/0!</v>
      </c>
      <c r="U85" t="e">
        <f t="shared" si="4"/>
        <v>#DIV/0!</v>
      </c>
      <c r="V85" t="e">
        <f t="shared" si="4"/>
        <v>#DIV/0!</v>
      </c>
      <c r="W85" t="e">
        <f t="shared" si="4"/>
        <v>#DIV/0!</v>
      </c>
      <c r="X85" t="e">
        <f t="shared" si="4"/>
        <v>#DIV/0!</v>
      </c>
      <c r="Y85" t="e">
        <f t="shared" si="4"/>
        <v>#DIV/0!</v>
      </c>
      <c r="Z85" t="e">
        <f t="shared" si="4"/>
        <v>#DIV/0!</v>
      </c>
      <c r="AA85" t="e">
        <f t="shared" si="4"/>
        <v>#DIV/0!</v>
      </c>
      <c r="AB85" t="e">
        <f t="shared" si="4"/>
        <v>#DIV/0!</v>
      </c>
      <c r="AC85" t="e">
        <f t="shared" si="4"/>
        <v>#DIV/0!</v>
      </c>
      <c r="AD85" t="e">
        <f t="shared" si="4"/>
        <v>#DIV/0!</v>
      </c>
      <c r="AE85" t="e">
        <f t="shared" si="4"/>
        <v>#DIV/0!</v>
      </c>
      <c r="AF85" t="e">
        <f t="shared" si="4"/>
        <v>#DIV/0!</v>
      </c>
      <c r="AG85" s="96"/>
      <c r="AH85" s="244" t="s">
        <v>443</v>
      </c>
      <c r="AI85" s="244" t="s">
        <v>460</v>
      </c>
      <c r="AJ85" s="96"/>
      <c r="AK85" s="101">
        <f>$C$85</f>
        <v>0</v>
      </c>
      <c r="AL85" s="101">
        <f>$D$85</f>
        <v>0</v>
      </c>
      <c r="AM85" s="101">
        <f>$E$85</f>
        <v>20.408163265306122</v>
      </c>
      <c r="AN85" s="101" t="e">
        <f>$F$85</f>
        <v>#DIV/0!</v>
      </c>
      <c r="AO85" s="101" t="e">
        <f>$G$85</f>
        <v>#DIV/0!</v>
      </c>
      <c r="AP85" s="101" t="e">
        <f>$H$85</f>
        <v>#DIV/0!</v>
      </c>
      <c r="AQ85" s="101" t="e">
        <f>$I$85</f>
        <v>#DIV/0!</v>
      </c>
      <c r="AR85" s="101" t="e">
        <f>$J$85</f>
        <v>#DIV/0!</v>
      </c>
      <c r="AS85" s="101" t="e">
        <f>$K$85</f>
        <v>#DIV/0!</v>
      </c>
      <c r="AT85" s="101" t="e">
        <f>$L$85</f>
        <v>#DIV/0!</v>
      </c>
      <c r="AU85" s="101" t="e">
        <f>$M$85</f>
        <v>#DIV/0!</v>
      </c>
      <c r="AV85" s="101" t="e">
        <f>$N$85</f>
        <v>#DIV/0!</v>
      </c>
      <c r="AW85" s="101" t="e">
        <f>$O$85</f>
        <v>#DIV/0!</v>
      </c>
      <c r="AX85" s="101" t="e">
        <f>$P$85</f>
        <v>#DIV/0!</v>
      </c>
      <c r="AY85" s="101" t="e">
        <f>$Q$85</f>
        <v>#DIV/0!</v>
      </c>
      <c r="AZ85" s="101" t="e">
        <f>$R$85</f>
        <v>#DIV/0!</v>
      </c>
      <c r="BA85" s="101" t="e">
        <f>$S$85</f>
        <v>#DIV/0!</v>
      </c>
      <c r="BB85" s="101" t="e">
        <f>$T$85</f>
        <v>#DIV/0!</v>
      </c>
      <c r="BC85" s="101" t="e">
        <f>$U$85</f>
        <v>#DIV/0!</v>
      </c>
      <c r="BD85" s="101" t="e">
        <f>$V$85</f>
        <v>#DIV/0!</v>
      </c>
      <c r="BE85" s="101" t="e">
        <f>$W$85</f>
        <v>#DIV/0!</v>
      </c>
      <c r="BF85" s="101" t="e">
        <f>$X$85</f>
        <v>#DIV/0!</v>
      </c>
      <c r="BG85" s="101" t="e">
        <f>$Y$85</f>
        <v>#DIV/0!</v>
      </c>
      <c r="BH85" s="101" t="e">
        <f>$Z$85</f>
        <v>#DIV/0!</v>
      </c>
      <c r="BI85" s="101" t="e">
        <f>$AA$85</f>
        <v>#DIV/0!</v>
      </c>
      <c r="BJ85" s="101" t="e">
        <f>$AB$85</f>
        <v>#DIV/0!</v>
      </c>
      <c r="BK85" s="101" t="e">
        <f>$AC$85</f>
        <v>#DIV/0!</v>
      </c>
      <c r="BL85" s="101" t="e">
        <f>$AD$85</f>
        <v>#DIV/0!</v>
      </c>
      <c r="BM85" s="101" t="e">
        <f>$AE$85</f>
        <v>#DIV/0!</v>
      </c>
      <c r="BN85" s="101" t="e">
        <f>$AF$85</f>
        <v>#DIV/0!</v>
      </c>
    </row>
    <row r="86" spans="1:66">
      <c r="A86" s="69" t="s">
        <v>151</v>
      </c>
      <c r="B86" t="s">
        <v>153</v>
      </c>
      <c r="C86" s="101">
        <v>21.333333333333336</v>
      </c>
      <c r="D86" s="101">
        <v>23.008849557522122</v>
      </c>
      <c r="E86" s="101">
        <v>21.886792452830189</v>
      </c>
      <c r="F86" t="e">
        <f t="shared" si="1"/>
        <v>#DIV/0!</v>
      </c>
      <c r="G86" t="e">
        <f t="shared" si="4"/>
        <v>#DIV/0!</v>
      </c>
      <c r="H86" t="e">
        <f t="shared" si="4"/>
        <v>#DIV/0!</v>
      </c>
      <c r="I86" t="e">
        <f t="shared" si="4"/>
        <v>#DIV/0!</v>
      </c>
      <c r="J86" t="e">
        <f t="shared" si="4"/>
        <v>#DIV/0!</v>
      </c>
      <c r="K86" t="e">
        <f t="shared" si="4"/>
        <v>#DIV/0!</v>
      </c>
      <c r="L86" t="e">
        <f t="shared" si="4"/>
        <v>#DIV/0!</v>
      </c>
      <c r="M86" t="e">
        <f t="shared" si="4"/>
        <v>#DIV/0!</v>
      </c>
      <c r="N86" t="e">
        <f t="shared" si="4"/>
        <v>#DIV/0!</v>
      </c>
      <c r="O86" t="e">
        <f t="shared" si="4"/>
        <v>#DIV/0!</v>
      </c>
      <c r="P86" t="e">
        <f t="shared" si="4"/>
        <v>#DIV/0!</v>
      </c>
      <c r="Q86" t="e">
        <f t="shared" si="4"/>
        <v>#DIV/0!</v>
      </c>
      <c r="R86" t="e">
        <f t="shared" si="4"/>
        <v>#DIV/0!</v>
      </c>
      <c r="S86" t="e">
        <f t="shared" si="4"/>
        <v>#DIV/0!</v>
      </c>
      <c r="T86" t="e">
        <f t="shared" si="4"/>
        <v>#DIV/0!</v>
      </c>
      <c r="U86" t="e">
        <f t="shared" si="4"/>
        <v>#DIV/0!</v>
      </c>
      <c r="V86" t="e">
        <f t="shared" si="4"/>
        <v>#DIV/0!</v>
      </c>
      <c r="W86" t="e">
        <f t="shared" si="4"/>
        <v>#DIV/0!</v>
      </c>
      <c r="X86" t="e">
        <f t="shared" si="4"/>
        <v>#DIV/0!</v>
      </c>
      <c r="Y86" t="e">
        <f t="shared" si="4"/>
        <v>#DIV/0!</v>
      </c>
      <c r="Z86" t="e">
        <f t="shared" si="4"/>
        <v>#DIV/0!</v>
      </c>
      <c r="AA86" t="e">
        <f t="shared" si="4"/>
        <v>#DIV/0!</v>
      </c>
      <c r="AB86" t="e">
        <f t="shared" ref="G86:AF88" si="5">1/0</f>
        <v>#DIV/0!</v>
      </c>
      <c r="AC86" t="e">
        <f t="shared" si="5"/>
        <v>#DIV/0!</v>
      </c>
      <c r="AD86" t="e">
        <f t="shared" si="5"/>
        <v>#DIV/0!</v>
      </c>
      <c r="AE86" t="e">
        <f t="shared" si="5"/>
        <v>#DIV/0!</v>
      </c>
      <c r="AF86" t="e">
        <f t="shared" si="5"/>
        <v>#DIV/0!</v>
      </c>
      <c r="AG86" s="96"/>
      <c r="AH86" s="244" t="s">
        <v>444</v>
      </c>
      <c r="AI86" s="245" t="s">
        <v>461</v>
      </c>
      <c r="AJ86" s="96"/>
      <c r="AK86" s="101">
        <f>$C$86</f>
        <v>21.333333333333336</v>
      </c>
      <c r="AL86" s="101">
        <f>$D$86</f>
        <v>23.008849557522122</v>
      </c>
      <c r="AM86" s="101">
        <f>$E$86</f>
        <v>21.886792452830189</v>
      </c>
      <c r="AN86" s="101" t="e">
        <f>$F$86</f>
        <v>#DIV/0!</v>
      </c>
      <c r="AO86" s="101" t="e">
        <f>$G$86</f>
        <v>#DIV/0!</v>
      </c>
      <c r="AP86" s="101" t="e">
        <f>$H$86</f>
        <v>#DIV/0!</v>
      </c>
      <c r="AQ86" s="101" t="e">
        <f>$I$86</f>
        <v>#DIV/0!</v>
      </c>
      <c r="AR86" s="101" t="e">
        <f>$J$86</f>
        <v>#DIV/0!</v>
      </c>
      <c r="AS86" s="101" t="e">
        <f>$K$86</f>
        <v>#DIV/0!</v>
      </c>
      <c r="AT86" s="101" t="e">
        <f>$L$86</f>
        <v>#DIV/0!</v>
      </c>
      <c r="AU86" s="101" t="e">
        <f>$M$86</f>
        <v>#DIV/0!</v>
      </c>
      <c r="AV86" s="101" t="e">
        <f>$N$86</f>
        <v>#DIV/0!</v>
      </c>
      <c r="AW86" s="101" t="e">
        <f>$O$86</f>
        <v>#DIV/0!</v>
      </c>
      <c r="AX86" s="101" t="e">
        <f>$P$86</f>
        <v>#DIV/0!</v>
      </c>
      <c r="AY86" s="101" t="e">
        <f>$Q$86</f>
        <v>#DIV/0!</v>
      </c>
      <c r="AZ86" s="101" t="e">
        <f>$R$86</f>
        <v>#DIV/0!</v>
      </c>
      <c r="BA86" s="101" t="e">
        <f>$S$86</f>
        <v>#DIV/0!</v>
      </c>
      <c r="BB86" s="101" t="e">
        <f>$T$86</f>
        <v>#DIV/0!</v>
      </c>
      <c r="BC86" s="101" t="e">
        <f>$U$86</f>
        <v>#DIV/0!</v>
      </c>
      <c r="BD86" s="101" t="e">
        <f>$V$86</f>
        <v>#DIV/0!</v>
      </c>
      <c r="BE86" s="101" t="e">
        <f>$W$86</f>
        <v>#DIV/0!</v>
      </c>
      <c r="BF86" s="101" t="e">
        <f>$X$86</f>
        <v>#DIV/0!</v>
      </c>
      <c r="BG86" s="101" t="e">
        <f>$Y$86</f>
        <v>#DIV/0!</v>
      </c>
      <c r="BH86" s="101" t="e">
        <f>$Z$86</f>
        <v>#DIV/0!</v>
      </c>
      <c r="BI86" s="101" t="e">
        <f>$AA$86</f>
        <v>#DIV/0!</v>
      </c>
      <c r="BJ86" s="101" t="e">
        <f>$AB$86</f>
        <v>#DIV/0!</v>
      </c>
      <c r="BK86" s="101" t="e">
        <f>$AC$86</f>
        <v>#DIV/0!</v>
      </c>
      <c r="BL86" s="101" t="e">
        <f>$AD$86</f>
        <v>#DIV/0!</v>
      </c>
      <c r="BM86" s="101" t="e">
        <f>$AE$86</f>
        <v>#DIV/0!</v>
      </c>
      <c r="BN86" s="101" t="e">
        <f>$AF$86</f>
        <v>#DIV/0!</v>
      </c>
    </row>
    <row r="87" spans="1:66">
      <c r="A87" s="69" t="s">
        <v>144</v>
      </c>
      <c r="B87" t="s">
        <v>153</v>
      </c>
      <c r="C87" s="100"/>
      <c r="E87" s="101">
        <v>27.27272727272727</v>
      </c>
      <c r="F87" t="e">
        <f t="shared" si="1"/>
        <v>#DIV/0!</v>
      </c>
      <c r="G87" t="e">
        <f t="shared" si="5"/>
        <v>#DIV/0!</v>
      </c>
      <c r="H87" t="e">
        <f t="shared" si="5"/>
        <v>#DIV/0!</v>
      </c>
      <c r="I87" t="e">
        <f t="shared" si="5"/>
        <v>#DIV/0!</v>
      </c>
      <c r="J87" t="e">
        <f t="shared" si="5"/>
        <v>#DIV/0!</v>
      </c>
      <c r="K87" t="e">
        <f t="shared" si="5"/>
        <v>#DIV/0!</v>
      </c>
      <c r="L87" t="e">
        <f t="shared" si="5"/>
        <v>#DIV/0!</v>
      </c>
      <c r="M87" t="e">
        <f t="shared" si="5"/>
        <v>#DIV/0!</v>
      </c>
      <c r="N87" t="e">
        <f t="shared" si="5"/>
        <v>#DIV/0!</v>
      </c>
      <c r="O87" t="e">
        <f t="shared" si="5"/>
        <v>#DIV/0!</v>
      </c>
      <c r="P87" t="e">
        <f t="shared" si="5"/>
        <v>#DIV/0!</v>
      </c>
      <c r="Q87" t="e">
        <f t="shared" si="5"/>
        <v>#DIV/0!</v>
      </c>
      <c r="R87" t="e">
        <f t="shared" si="5"/>
        <v>#DIV/0!</v>
      </c>
      <c r="S87" t="e">
        <f t="shared" si="5"/>
        <v>#DIV/0!</v>
      </c>
      <c r="T87" t="e">
        <f t="shared" si="5"/>
        <v>#DIV/0!</v>
      </c>
      <c r="U87" t="e">
        <f t="shared" si="5"/>
        <v>#DIV/0!</v>
      </c>
      <c r="V87" t="e">
        <f t="shared" si="5"/>
        <v>#DIV/0!</v>
      </c>
      <c r="W87" t="e">
        <f t="shared" si="5"/>
        <v>#DIV/0!</v>
      </c>
      <c r="X87" t="e">
        <f t="shared" si="5"/>
        <v>#DIV/0!</v>
      </c>
      <c r="Y87" t="e">
        <f t="shared" si="5"/>
        <v>#DIV/0!</v>
      </c>
      <c r="Z87" t="e">
        <f t="shared" si="5"/>
        <v>#DIV/0!</v>
      </c>
      <c r="AA87" t="e">
        <f t="shared" si="5"/>
        <v>#DIV/0!</v>
      </c>
      <c r="AB87" t="e">
        <f t="shared" si="5"/>
        <v>#DIV/0!</v>
      </c>
      <c r="AC87" t="e">
        <f t="shared" si="5"/>
        <v>#DIV/0!</v>
      </c>
      <c r="AD87" t="e">
        <f t="shared" si="5"/>
        <v>#DIV/0!</v>
      </c>
      <c r="AE87" t="e">
        <f t="shared" si="5"/>
        <v>#DIV/0!</v>
      </c>
      <c r="AF87" t="e">
        <f t="shared" si="5"/>
        <v>#DIV/0!</v>
      </c>
      <c r="AG87" s="96"/>
      <c r="AH87" s="244" t="s">
        <v>445</v>
      </c>
      <c r="AI87" s="244" t="s">
        <v>462</v>
      </c>
      <c r="AJ87" s="96"/>
      <c r="AK87" s="101">
        <f>$C$87</f>
        <v>0</v>
      </c>
      <c r="AL87" s="101">
        <f>$D$87</f>
        <v>0</v>
      </c>
      <c r="AM87" s="101">
        <f>$E$87</f>
        <v>27.27272727272727</v>
      </c>
      <c r="AN87" s="101" t="e">
        <f>$F$87</f>
        <v>#DIV/0!</v>
      </c>
      <c r="AO87" s="101" t="e">
        <f>$G$87</f>
        <v>#DIV/0!</v>
      </c>
      <c r="AP87" s="101" t="e">
        <f>$H$87</f>
        <v>#DIV/0!</v>
      </c>
      <c r="AQ87" s="101" t="e">
        <f>$I$87</f>
        <v>#DIV/0!</v>
      </c>
      <c r="AR87" s="101" t="e">
        <f>$J$87</f>
        <v>#DIV/0!</v>
      </c>
      <c r="AS87" s="101" t="e">
        <f>$K$87</f>
        <v>#DIV/0!</v>
      </c>
      <c r="AT87" s="101" t="e">
        <f>$L$87</f>
        <v>#DIV/0!</v>
      </c>
      <c r="AU87" s="101" t="e">
        <f>$M$87</f>
        <v>#DIV/0!</v>
      </c>
      <c r="AV87" s="101" t="e">
        <f>$N$87</f>
        <v>#DIV/0!</v>
      </c>
      <c r="AW87" s="101" t="e">
        <f>$O$87</f>
        <v>#DIV/0!</v>
      </c>
      <c r="AX87" s="101" t="e">
        <f>$P$87</f>
        <v>#DIV/0!</v>
      </c>
      <c r="AY87" s="101" t="e">
        <f>$Q$87</f>
        <v>#DIV/0!</v>
      </c>
      <c r="AZ87" s="101" t="e">
        <f>$R$87</f>
        <v>#DIV/0!</v>
      </c>
      <c r="BA87" s="101" t="e">
        <f>$S$87</f>
        <v>#DIV/0!</v>
      </c>
      <c r="BB87" s="101" t="e">
        <f>$T$87</f>
        <v>#DIV/0!</v>
      </c>
      <c r="BC87" s="101" t="e">
        <f>$U$87</f>
        <v>#DIV/0!</v>
      </c>
      <c r="BD87" s="101" t="e">
        <f>$V$87</f>
        <v>#DIV/0!</v>
      </c>
      <c r="BE87" s="101" t="e">
        <f>$W$87</f>
        <v>#DIV/0!</v>
      </c>
      <c r="BF87" s="101" t="e">
        <f>$X$87</f>
        <v>#DIV/0!</v>
      </c>
      <c r="BG87" s="101" t="e">
        <f>$Y$87</f>
        <v>#DIV/0!</v>
      </c>
      <c r="BH87" s="101" t="e">
        <f>$Z$87</f>
        <v>#DIV/0!</v>
      </c>
      <c r="BI87" s="101" t="e">
        <f>$AA$87</f>
        <v>#DIV/0!</v>
      </c>
      <c r="BJ87" s="101" t="e">
        <f>$AB$87</f>
        <v>#DIV/0!</v>
      </c>
      <c r="BK87" s="101" t="e">
        <f>$AC$87</f>
        <v>#DIV/0!</v>
      </c>
      <c r="BL87" s="101" t="e">
        <f>$AD$87</f>
        <v>#DIV/0!</v>
      </c>
      <c r="BM87" s="101" t="e">
        <f>$AE$87</f>
        <v>#DIV/0!</v>
      </c>
      <c r="BN87" s="101" t="e">
        <f>$AF$87</f>
        <v>#DIV/0!</v>
      </c>
    </row>
    <row r="88" spans="1:66">
      <c r="A88" s="68" t="s">
        <v>192</v>
      </c>
      <c r="B88" s="71" t="s">
        <v>158</v>
      </c>
      <c r="C88" s="100"/>
      <c r="E88" s="101">
        <v>30.337078651685395</v>
      </c>
      <c r="F88" t="e">
        <f t="shared" si="1"/>
        <v>#DIV/0!</v>
      </c>
      <c r="G88" t="e">
        <f t="shared" si="5"/>
        <v>#DIV/0!</v>
      </c>
      <c r="H88" t="e">
        <f t="shared" si="5"/>
        <v>#DIV/0!</v>
      </c>
      <c r="I88" t="e">
        <f t="shared" si="5"/>
        <v>#DIV/0!</v>
      </c>
      <c r="J88" t="e">
        <f t="shared" si="5"/>
        <v>#DIV/0!</v>
      </c>
      <c r="K88" t="e">
        <f t="shared" si="5"/>
        <v>#DIV/0!</v>
      </c>
      <c r="L88" t="e">
        <f t="shared" si="5"/>
        <v>#DIV/0!</v>
      </c>
      <c r="M88" t="e">
        <f t="shared" si="5"/>
        <v>#DIV/0!</v>
      </c>
      <c r="N88" t="e">
        <f t="shared" si="5"/>
        <v>#DIV/0!</v>
      </c>
      <c r="O88" t="e">
        <f t="shared" si="5"/>
        <v>#DIV/0!</v>
      </c>
      <c r="P88" t="e">
        <f t="shared" si="5"/>
        <v>#DIV/0!</v>
      </c>
      <c r="Q88" t="e">
        <f t="shared" si="5"/>
        <v>#DIV/0!</v>
      </c>
      <c r="R88" t="e">
        <f t="shared" si="5"/>
        <v>#DIV/0!</v>
      </c>
      <c r="S88" t="e">
        <f t="shared" si="5"/>
        <v>#DIV/0!</v>
      </c>
      <c r="T88" t="e">
        <f t="shared" si="5"/>
        <v>#DIV/0!</v>
      </c>
      <c r="U88" t="e">
        <f t="shared" si="5"/>
        <v>#DIV/0!</v>
      </c>
      <c r="V88" t="e">
        <f t="shared" si="5"/>
        <v>#DIV/0!</v>
      </c>
      <c r="W88" t="e">
        <f t="shared" si="5"/>
        <v>#DIV/0!</v>
      </c>
      <c r="X88" t="e">
        <f t="shared" si="5"/>
        <v>#DIV/0!</v>
      </c>
      <c r="Y88" t="e">
        <f t="shared" si="5"/>
        <v>#DIV/0!</v>
      </c>
      <c r="Z88" t="e">
        <f t="shared" si="5"/>
        <v>#DIV/0!</v>
      </c>
      <c r="AA88" t="e">
        <f t="shared" si="5"/>
        <v>#DIV/0!</v>
      </c>
      <c r="AB88" t="e">
        <f t="shared" si="5"/>
        <v>#DIV/0!</v>
      </c>
      <c r="AC88" t="e">
        <f t="shared" si="5"/>
        <v>#DIV/0!</v>
      </c>
      <c r="AD88" t="e">
        <f t="shared" si="5"/>
        <v>#DIV/0!</v>
      </c>
      <c r="AE88" t="e">
        <f t="shared" si="5"/>
        <v>#DIV/0!</v>
      </c>
      <c r="AF88" t="e">
        <f t="shared" si="5"/>
        <v>#DIV/0!</v>
      </c>
      <c r="AG88" s="96"/>
      <c r="AH88" s="246" t="s">
        <v>446</v>
      </c>
      <c r="AI88" s="244" t="s">
        <v>463</v>
      </c>
      <c r="AJ88" s="96"/>
      <c r="AK88" s="101">
        <f>$C$88</f>
        <v>0</v>
      </c>
      <c r="AL88" s="101">
        <f>$D$88</f>
        <v>0</v>
      </c>
      <c r="AM88" s="101">
        <f>$E$88</f>
        <v>30.337078651685395</v>
      </c>
      <c r="AN88" s="101" t="e">
        <f>$F$88</f>
        <v>#DIV/0!</v>
      </c>
      <c r="AO88" s="101" t="e">
        <f>$G$88</f>
        <v>#DIV/0!</v>
      </c>
      <c r="AP88" s="101" t="e">
        <f>$H$88</f>
        <v>#DIV/0!</v>
      </c>
      <c r="AQ88" s="101" t="e">
        <f>$I$88</f>
        <v>#DIV/0!</v>
      </c>
      <c r="AR88" s="101" t="e">
        <f>$J$88</f>
        <v>#DIV/0!</v>
      </c>
      <c r="AS88" s="101" t="e">
        <f>$K$88</f>
        <v>#DIV/0!</v>
      </c>
      <c r="AT88" s="101" t="e">
        <f>$L$88</f>
        <v>#DIV/0!</v>
      </c>
      <c r="AU88" s="101" t="e">
        <f>$M$88</f>
        <v>#DIV/0!</v>
      </c>
      <c r="AV88" s="101" t="e">
        <f>$N$88</f>
        <v>#DIV/0!</v>
      </c>
      <c r="AW88" s="101" t="e">
        <f>$O$88</f>
        <v>#DIV/0!</v>
      </c>
      <c r="AX88" s="101" t="e">
        <f>$P$88</f>
        <v>#DIV/0!</v>
      </c>
      <c r="AY88" s="101" t="e">
        <f>$Q$88</f>
        <v>#DIV/0!</v>
      </c>
      <c r="AZ88" s="101" t="e">
        <f>$R$88</f>
        <v>#DIV/0!</v>
      </c>
      <c r="BA88" s="101" t="e">
        <f>$S$88</f>
        <v>#DIV/0!</v>
      </c>
      <c r="BB88" s="101" t="e">
        <f>$T$88</f>
        <v>#DIV/0!</v>
      </c>
      <c r="BC88" s="101" t="e">
        <f>$U$88</f>
        <v>#DIV/0!</v>
      </c>
      <c r="BD88" s="101" t="e">
        <f>$V$88</f>
        <v>#DIV/0!</v>
      </c>
      <c r="BE88" s="101" t="e">
        <f>$W$88</f>
        <v>#DIV/0!</v>
      </c>
      <c r="BF88" s="101" t="e">
        <f>$X$88</f>
        <v>#DIV/0!</v>
      </c>
      <c r="BG88" s="101" t="e">
        <f>$Y$88</f>
        <v>#DIV/0!</v>
      </c>
      <c r="BH88" s="101" t="e">
        <f>$Z$88</f>
        <v>#DIV/0!</v>
      </c>
      <c r="BI88" s="101" t="e">
        <f>$AA$88</f>
        <v>#DIV/0!</v>
      </c>
      <c r="BJ88" s="101" t="e">
        <f>$AB$88</f>
        <v>#DIV/0!</v>
      </c>
      <c r="BK88" s="101" t="e">
        <f>$AC$88</f>
        <v>#DIV/0!</v>
      </c>
      <c r="BL88" s="101" t="e">
        <f>$AD$88</f>
        <v>#DIV/0!</v>
      </c>
      <c r="BM88" s="101" t="e">
        <f>$AE$88</f>
        <v>#DIV/0!</v>
      </c>
      <c r="BN88" s="101" t="e">
        <f>$AF$88</f>
        <v>#DIV/0!</v>
      </c>
    </row>
    <row r="89" spans="1:66">
      <c r="A89" s="68"/>
      <c r="B89" s="71"/>
      <c r="C89" s="100"/>
      <c r="E89" s="101"/>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96"/>
      <c r="AH89" s="247" t="s">
        <v>447</v>
      </c>
      <c r="AI89" s="244" t="s">
        <v>464</v>
      </c>
      <c r="AJ89" s="96"/>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row>
    <row r="90" spans="1:66">
      <c r="A90" s="69" t="s">
        <v>268</v>
      </c>
      <c r="C90" s="101">
        <v>31.137088204038253</v>
      </c>
      <c r="D90" s="101">
        <v>24.550898203592812</v>
      </c>
      <c r="E90" s="101">
        <v>27.980132450331123</v>
      </c>
      <c r="F90" t="e">
        <f t="shared" si="1"/>
        <v>#DIV/0!</v>
      </c>
      <c r="G90" t="e">
        <f t="shared" si="1"/>
        <v>#DIV/0!</v>
      </c>
      <c r="H90" t="e">
        <f t="shared" si="1"/>
        <v>#DIV/0!</v>
      </c>
      <c r="I90" t="e">
        <f t="shared" si="1"/>
        <v>#DIV/0!</v>
      </c>
      <c r="J90" t="e">
        <f t="shared" si="1"/>
        <v>#DIV/0!</v>
      </c>
      <c r="K90" t="e">
        <f t="shared" si="1"/>
        <v>#DIV/0!</v>
      </c>
      <c r="L90" t="e">
        <f t="shared" si="1"/>
        <v>#DIV/0!</v>
      </c>
      <c r="M90" t="e">
        <f t="shared" si="1"/>
        <v>#DIV/0!</v>
      </c>
      <c r="N90" t="e">
        <f t="shared" si="1"/>
        <v>#DIV/0!</v>
      </c>
      <c r="O90" t="e">
        <f t="shared" si="1"/>
        <v>#DIV/0!</v>
      </c>
      <c r="P90" t="e">
        <f t="shared" si="1"/>
        <v>#DIV/0!</v>
      </c>
      <c r="Q90" t="e">
        <f t="shared" si="1"/>
        <v>#DIV/0!</v>
      </c>
      <c r="R90" t="e">
        <f t="shared" si="1"/>
        <v>#DIV/0!</v>
      </c>
      <c r="S90" t="e">
        <f t="shared" si="1"/>
        <v>#DIV/0!</v>
      </c>
      <c r="T90" t="e">
        <f t="shared" si="1"/>
        <v>#DIV/0!</v>
      </c>
      <c r="U90" t="e">
        <f t="shared" si="1"/>
        <v>#DIV/0!</v>
      </c>
      <c r="V90" t="e">
        <f t="shared" ref="K90:AF94" si="6">1/0</f>
        <v>#DIV/0!</v>
      </c>
      <c r="W90" t="e">
        <f t="shared" si="6"/>
        <v>#DIV/0!</v>
      </c>
      <c r="X90" t="e">
        <f t="shared" si="6"/>
        <v>#DIV/0!</v>
      </c>
      <c r="Y90" t="e">
        <f t="shared" si="6"/>
        <v>#DIV/0!</v>
      </c>
      <c r="Z90" t="e">
        <f t="shared" si="6"/>
        <v>#DIV/0!</v>
      </c>
      <c r="AA90" t="e">
        <f t="shared" si="6"/>
        <v>#DIV/0!</v>
      </c>
      <c r="AB90" t="e">
        <f t="shared" si="6"/>
        <v>#DIV/0!</v>
      </c>
      <c r="AC90" t="e">
        <f t="shared" si="6"/>
        <v>#DIV/0!</v>
      </c>
      <c r="AD90" t="e">
        <f t="shared" si="6"/>
        <v>#DIV/0!</v>
      </c>
      <c r="AE90" t="e">
        <f t="shared" si="6"/>
        <v>#DIV/0!</v>
      </c>
      <c r="AF90" t="e">
        <f t="shared" si="6"/>
        <v>#DIV/0!</v>
      </c>
      <c r="AG90" s="96"/>
      <c r="AH90" s="284"/>
      <c r="AI90" s="244" t="s">
        <v>465</v>
      </c>
      <c r="AJ90" s="96"/>
      <c r="AK90" s="101">
        <f>$C$90</f>
        <v>31.137088204038253</v>
      </c>
      <c r="AL90" s="101">
        <f>$D$90</f>
        <v>24.550898203592812</v>
      </c>
      <c r="AM90" s="101">
        <f>$E$90</f>
        <v>27.980132450331123</v>
      </c>
      <c r="AN90" s="101" t="e">
        <f>$F$90</f>
        <v>#DIV/0!</v>
      </c>
      <c r="AO90" s="101" t="e">
        <f>$G$90</f>
        <v>#DIV/0!</v>
      </c>
      <c r="AP90" s="101" t="e">
        <f>$H$90</f>
        <v>#DIV/0!</v>
      </c>
      <c r="AQ90" s="101" t="e">
        <f>$I$90</f>
        <v>#DIV/0!</v>
      </c>
      <c r="AR90" s="101" t="e">
        <f>$J$90</f>
        <v>#DIV/0!</v>
      </c>
      <c r="AS90" s="101" t="e">
        <f>$K$90</f>
        <v>#DIV/0!</v>
      </c>
      <c r="AT90" s="101" t="e">
        <f>$L$90</f>
        <v>#DIV/0!</v>
      </c>
      <c r="AU90" s="101" t="e">
        <f>$M$90</f>
        <v>#DIV/0!</v>
      </c>
      <c r="AV90" s="101" t="e">
        <f>$N$90</f>
        <v>#DIV/0!</v>
      </c>
      <c r="AW90" s="101" t="e">
        <f>$O$90</f>
        <v>#DIV/0!</v>
      </c>
      <c r="AX90" s="101" t="e">
        <f>$P$90</f>
        <v>#DIV/0!</v>
      </c>
      <c r="AY90" s="101" t="e">
        <f>$Q$90</f>
        <v>#DIV/0!</v>
      </c>
      <c r="AZ90" s="101" t="e">
        <f>$R$90</f>
        <v>#DIV/0!</v>
      </c>
      <c r="BA90" s="101" t="e">
        <f>$S$90</f>
        <v>#DIV/0!</v>
      </c>
      <c r="BB90" s="101" t="e">
        <f>$T$90</f>
        <v>#DIV/0!</v>
      </c>
      <c r="BC90" s="101" t="e">
        <f>$U$90</f>
        <v>#DIV/0!</v>
      </c>
      <c r="BD90" s="101" t="e">
        <f>$V$90</f>
        <v>#DIV/0!</v>
      </c>
      <c r="BE90" s="101" t="e">
        <f>$W$90</f>
        <v>#DIV/0!</v>
      </c>
      <c r="BF90" s="101" t="e">
        <f>$X$90</f>
        <v>#DIV/0!</v>
      </c>
      <c r="BG90" s="101" t="e">
        <f>$Y$90</f>
        <v>#DIV/0!</v>
      </c>
      <c r="BH90" s="101" t="e">
        <f>$Z$90</f>
        <v>#DIV/0!</v>
      </c>
      <c r="BI90" s="101" t="e">
        <f>$AA$90</f>
        <v>#DIV/0!</v>
      </c>
      <c r="BJ90" s="101" t="e">
        <f>$AB$90</f>
        <v>#DIV/0!</v>
      </c>
      <c r="BK90" s="101" t="e">
        <f>$AC$90</f>
        <v>#DIV/0!</v>
      </c>
      <c r="BL90" s="101" t="e">
        <f>$AD$90</f>
        <v>#DIV/0!</v>
      </c>
      <c r="BM90" s="101" t="e">
        <f>$AE$90</f>
        <v>#DIV/0!</v>
      </c>
      <c r="BN90" s="101" t="e">
        <f>$AF$90</f>
        <v>#DIV/0!</v>
      </c>
    </row>
    <row r="91" spans="1:66">
      <c r="A91" s="69" t="s">
        <v>269</v>
      </c>
      <c r="C91" s="101">
        <v>30.328820116054157</v>
      </c>
      <c r="D91" s="101">
        <v>24.732461355529132</v>
      </c>
      <c r="E91" s="101">
        <v>27.719163629388067</v>
      </c>
      <c r="F91" t="e">
        <f t="shared" si="1"/>
        <v>#DIV/0!</v>
      </c>
      <c r="G91" t="e">
        <f t="shared" si="1"/>
        <v>#DIV/0!</v>
      </c>
      <c r="H91" t="e">
        <f t="shared" si="1"/>
        <v>#DIV/0!</v>
      </c>
      <c r="I91" t="e">
        <f t="shared" si="1"/>
        <v>#DIV/0!</v>
      </c>
      <c r="J91" t="e">
        <f t="shared" si="1"/>
        <v>#DIV/0!</v>
      </c>
      <c r="K91" t="e">
        <f t="shared" si="6"/>
        <v>#DIV/0!</v>
      </c>
      <c r="L91" t="e">
        <f t="shared" si="6"/>
        <v>#DIV/0!</v>
      </c>
      <c r="M91" t="e">
        <f t="shared" si="6"/>
        <v>#DIV/0!</v>
      </c>
      <c r="N91" t="e">
        <f t="shared" si="6"/>
        <v>#DIV/0!</v>
      </c>
      <c r="O91" t="e">
        <f t="shared" si="6"/>
        <v>#DIV/0!</v>
      </c>
      <c r="P91" t="e">
        <f t="shared" si="6"/>
        <v>#DIV/0!</v>
      </c>
      <c r="Q91" t="e">
        <f t="shared" si="6"/>
        <v>#DIV/0!</v>
      </c>
      <c r="R91" t="e">
        <f t="shared" si="6"/>
        <v>#DIV/0!</v>
      </c>
      <c r="S91" t="e">
        <f t="shared" si="6"/>
        <v>#DIV/0!</v>
      </c>
      <c r="T91" t="e">
        <f t="shared" si="6"/>
        <v>#DIV/0!</v>
      </c>
      <c r="U91" t="e">
        <f t="shared" si="6"/>
        <v>#DIV/0!</v>
      </c>
      <c r="V91" t="e">
        <f t="shared" si="6"/>
        <v>#DIV/0!</v>
      </c>
      <c r="W91" t="e">
        <f t="shared" si="6"/>
        <v>#DIV/0!</v>
      </c>
      <c r="X91" t="e">
        <f t="shared" si="6"/>
        <v>#DIV/0!</v>
      </c>
      <c r="Y91" t="e">
        <f t="shared" si="6"/>
        <v>#DIV/0!</v>
      </c>
      <c r="Z91" t="e">
        <f t="shared" si="6"/>
        <v>#DIV/0!</v>
      </c>
      <c r="AA91" t="e">
        <f t="shared" si="6"/>
        <v>#DIV/0!</v>
      </c>
      <c r="AB91" t="e">
        <f t="shared" si="6"/>
        <v>#DIV/0!</v>
      </c>
      <c r="AC91" t="e">
        <f t="shared" si="6"/>
        <v>#DIV/0!</v>
      </c>
      <c r="AD91" t="e">
        <f t="shared" si="6"/>
        <v>#DIV/0!</v>
      </c>
      <c r="AE91" t="e">
        <f t="shared" si="6"/>
        <v>#DIV/0!</v>
      </c>
      <c r="AF91" t="e">
        <f t="shared" si="6"/>
        <v>#DIV/0!</v>
      </c>
      <c r="AG91" s="96"/>
      <c r="AH91" s="257"/>
      <c r="AI91" s="258" t="s">
        <v>466</v>
      </c>
      <c r="AJ91" s="96"/>
      <c r="AK91" s="101">
        <f>$C$91</f>
        <v>30.328820116054157</v>
      </c>
      <c r="AL91" s="101">
        <f>$D$91</f>
        <v>24.732461355529132</v>
      </c>
      <c r="AM91" s="101">
        <f>$E$91</f>
        <v>27.719163629388067</v>
      </c>
      <c r="AN91" s="101" t="e">
        <f>$F$91</f>
        <v>#DIV/0!</v>
      </c>
      <c r="AO91" s="101" t="e">
        <f>$G$91</f>
        <v>#DIV/0!</v>
      </c>
      <c r="AP91" s="101" t="e">
        <f>$H$91</f>
        <v>#DIV/0!</v>
      </c>
      <c r="AQ91" s="101" t="e">
        <f>$I$91</f>
        <v>#DIV/0!</v>
      </c>
      <c r="AR91" s="101" t="e">
        <f>$J$91</f>
        <v>#DIV/0!</v>
      </c>
      <c r="AS91" s="101" t="e">
        <f>$K$91</f>
        <v>#DIV/0!</v>
      </c>
      <c r="AT91" s="101" t="e">
        <f>$L$91</f>
        <v>#DIV/0!</v>
      </c>
      <c r="AU91" s="101" t="e">
        <f>$M$91</f>
        <v>#DIV/0!</v>
      </c>
      <c r="AV91" s="101" t="e">
        <f>$N$91</f>
        <v>#DIV/0!</v>
      </c>
      <c r="AW91" s="101" t="e">
        <f>$O$91</f>
        <v>#DIV/0!</v>
      </c>
      <c r="AX91" s="101" t="e">
        <f>$P$91</f>
        <v>#DIV/0!</v>
      </c>
      <c r="AY91" s="101" t="e">
        <f>$Q$91</f>
        <v>#DIV/0!</v>
      </c>
      <c r="AZ91" s="101" t="e">
        <f>$R$91</f>
        <v>#DIV/0!</v>
      </c>
      <c r="BA91" s="101" t="e">
        <f>$S$91</f>
        <v>#DIV/0!</v>
      </c>
      <c r="BB91" s="101" t="e">
        <f>$T$91</f>
        <v>#DIV/0!</v>
      </c>
      <c r="BC91" s="101" t="e">
        <f>$U$91</f>
        <v>#DIV/0!</v>
      </c>
      <c r="BD91" s="101" t="e">
        <f>$V$91</f>
        <v>#DIV/0!</v>
      </c>
      <c r="BE91" s="101" t="e">
        <f>$W$91</f>
        <v>#DIV/0!</v>
      </c>
      <c r="BF91" s="101" t="e">
        <f>$X$91</f>
        <v>#DIV/0!</v>
      </c>
      <c r="BG91" s="101" t="e">
        <f>$Y$91</f>
        <v>#DIV/0!</v>
      </c>
      <c r="BH91" s="101" t="e">
        <f>$Z$91</f>
        <v>#DIV/0!</v>
      </c>
      <c r="BI91" s="101" t="e">
        <f>$AA$91</f>
        <v>#DIV/0!</v>
      </c>
      <c r="BJ91" s="101" t="e">
        <f>$AB$91</f>
        <v>#DIV/0!</v>
      </c>
      <c r="BK91" s="101" t="e">
        <f>$AC$91</f>
        <v>#DIV/0!</v>
      </c>
      <c r="BL91" s="101" t="e">
        <f>$AD$91</f>
        <v>#DIV/0!</v>
      </c>
      <c r="BM91" s="101" t="e">
        <f>$AE$91</f>
        <v>#DIV/0!</v>
      </c>
      <c r="BN91" s="101" t="e">
        <f>$AF$91</f>
        <v>#DIV/0!</v>
      </c>
    </row>
    <row r="92" spans="1:66">
      <c r="A92" s="69" t="s">
        <v>270</v>
      </c>
      <c r="C92" s="101">
        <v>33.333333333333329</v>
      </c>
      <c r="D92" s="101">
        <v>27.087794432548179</v>
      </c>
      <c r="E92" s="101">
        <v>30.324909747292416</v>
      </c>
      <c r="F92" t="e">
        <f t="shared" si="1"/>
        <v>#DIV/0!</v>
      </c>
      <c r="G92" t="e">
        <f t="shared" si="1"/>
        <v>#DIV/0!</v>
      </c>
      <c r="H92" t="e">
        <f t="shared" si="1"/>
        <v>#DIV/0!</v>
      </c>
      <c r="I92" t="e">
        <f t="shared" si="1"/>
        <v>#DIV/0!</v>
      </c>
      <c r="J92" t="e">
        <f t="shared" si="1"/>
        <v>#DIV/0!</v>
      </c>
      <c r="K92" t="e">
        <f t="shared" si="6"/>
        <v>#DIV/0!</v>
      </c>
      <c r="L92" t="e">
        <f t="shared" si="6"/>
        <v>#DIV/0!</v>
      </c>
      <c r="M92" t="e">
        <f t="shared" si="6"/>
        <v>#DIV/0!</v>
      </c>
      <c r="N92" t="e">
        <f t="shared" si="6"/>
        <v>#DIV/0!</v>
      </c>
      <c r="O92" t="e">
        <f t="shared" si="6"/>
        <v>#DIV/0!</v>
      </c>
      <c r="P92" t="e">
        <f t="shared" si="6"/>
        <v>#DIV/0!</v>
      </c>
      <c r="Q92" t="e">
        <f t="shared" si="6"/>
        <v>#DIV/0!</v>
      </c>
      <c r="R92" t="e">
        <f t="shared" si="6"/>
        <v>#DIV/0!</v>
      </c>
      <c r="S92" t="e">
        <f t="shared" si="6"/>
        <v>#DIV/0!</v>
      </c>
      <c r="T92" t="e">
        <f t="shared" si="6"/>
        <v>#DIV/0!</v>
      </c>
      <c r="U92" t="e">
        <f t="shared" si="6"/>
        <v>#DIV/0!</v>
      </c>
      <c r="V92" t="e">
        <f t="shared" si="6"/>
        <v>#DIV/0!</v>
      </c>
      <c r="W92" t="e">
        <f t="shared" si="6"/>
        <v>#DIV/0!</v>
      </c>
      <c r="X92" t="e">
        <f t="shared" si="6"/>
        <v>#DIV/0!</v>
      </c>
      <c r="Y92" t="e">
        <f t="shared" si="6"/>
        <v>#DIV/0!</v>
      </c>
      <c r="Z92" t="e">
        <f t="shared" si="6"/>
        <v>#DIV/0!</v>
      </c>
      <c r="AA92" t="e">
        <f t="shared" si="6"/>
        <v>#DIV/0!</v>
      </c>
      <c r="AB92" t="e">
        <f t="shared" si="6"/>
        <v>#DIV/0!</v>
      </c>
      <c r="AC92" t="e">
        <f t="shared" si="6"/>
        <v>#DIV/0!</v>
      </c>
      <c r="AD92" t="e">
        <f t="shared" si="6"/>
        <v>#DIV/0!</v>
      </c>
      <c r="AE92" t="e">
        <f t="shared" si="6"/>
        <v>#DIV/0!</v>
      </c>
      <c r="AF92" t="e">
        <f t="shared" si="6"/>
        <v>#DIV/0!</v>
      </c>
      <c r="AG92" s="96"/>
      <c r="AH92" s="256"/>
      <c r="AI92" s="254"/>
      <c r="AJ92" s="96"/>
      <c r="AK92" s="101">
        <f>$C$92</f>
        <v>33.333333333333329</v>
      </c>
      <c r="AL92" s="101">
        <f>$D$92</f>
        <v>27.087794432548179</v>
      </c>
      <c r="AM92" s="101">
        <f>$E$92</f>
        <v>30.324909747292416</v>
      </c>
      <c r="AN92" s="101" t="e">
        <f>$F$92</f>
        <v>#DIV/0!</v>
      </c>
      <c r="AO92" s="101" t="e">
        <f>$G$92</f>
        <v>#DIV/0!</v>
      </c>
      <c r="AP92" s="101" t="e">
        <f>$H$92</f>
        <v>#DIV/0!</v>
      </c>
      <c r="AQ92" s="101" t="e">
        <f>$I$92</f>
        <v>#DIV/0!</v>
      </c>
      <c r="AR92" s="101" t="e">
        <f>$J$92</f>
        <v>#DIV/0!</v>
      </c>
      <c r="AS92" s="101" t="e">
        <f>$K$92</f>
        <v>#DIV/0!</v>
      </c>
      <c r="AT92" s="101" t="e">
        <f>$L$92</f>
        <v>#DIV/0!</v>
      </c>
      <c r="AU92" s="101" t="e">
        <f>$M$92</f>
        <v>#DIV/0!</v>
      </c>
      <c r="AV92" s="101" t="e">
        <f>$N$92</f>
        <v>#DIV/0!</v>
      </c>
      <c r="AW92" s="101" t="e">
        <f>$O$92</f>
        <v>#DIV/0!</v>
      </c>
      <c r="AX92" s="101" t="e">
        <f>$P$92</f>
        <v>#DIV/0!</v>
      </c>
      <c r="AY92" s="101" t="e">
        <f>$Q$92</f>
        <v>#DIV/0!</v>
      </c>
      <c r="AZ92" s="101" t="e">
        <f>$R$92</f>
        <v>#DIV/0!</v>
      </c>
      <c r="BA92" s="101" t="e">
        <f>$S$92</f>
        <v>#DIV/0!</v>
      </c>
      <c r="BB92" s="101" t="e">
        <f>$T$92</f>
        <v>#DIV/0!</v>
      </c>
      <c r="BC92" s="101" t="e">
        <f>$U$92</f>
        <v>#DIV/0!</v>
      </c>
      <c r="BD92" s="101" t="e">
        <f>$V$92</f>
        <v>#DIV/0!</v>
      </c>
      <c r="BE92" s="101" t="e">
        <f>$W$92</f>
        <v>#DIV/0!</v>
      </c>
      <c r="BF92" s="101" t="e">
        <f>$X$92</f>
        <v>#DIV/0!</v>
      </c>
      <c r="BG92" s="101" t="e">
        <f>$Y$92</f>
        <v>#DIV/0!</v>
      </c>
      <c r="BH92" s="101" t="e">
        <f>$Z$92</f>
        <v>#DIV/0!</v>
      </c>
      <c r="BI92" s="101" t="e">
        <f>$AA$92</f>
        <v>#DIV/0!</v>
      </c>
      <c r="BJ92" s="101" t="e">
        <f>$AB$92</f>
        <v>#DIV/0!</v>
      </c>
      <c r="BK92" s="101" t="e">
        <f>$AC$92</f>
        <v>#DIV/0!</v>
      </c>
      <c r="BL92" s="101" t="e">
        <f>$AD$92</f>
        <v>#DIV/0!</v>
      </c>
      <c r="BM92" s="101" t="e">
        <f>$AE$92</f>
        <v>#DIV/0!</v>
      </c>
      <c r="BN92" s="101" t="e">
        <f>$AF$92</f>
        <v>#DIV/0!</v>
      </c>
    </row>
    <row r="93" spans="1:66">
      <c r="A93" s="69" t="s">
        <v>271</v>
      </c>
      <c r="C93" s="101">
        <v>27.851458885941643</v>
      </c>
      <c r="D93" s="101">
        <v>21.813403416557161</v>
      </c>
      <c r="E93" s="101">
        <v>24.853990914990266</v>
      </c>
      <c r="F93" t="e">
        <f t="shared" si="1"/>
        <v>#DIV/0!</v>
      </c>
      <c r="G93" t="e">
        <f t="shared" si="1"/>
        <v>#DIV/0!</v>
      </c>
      <c r="H93" t="e">
        <f t="shared" si="1"/>
        <v>#DIV/0!</v>
      </c>
      <c r="I93" t="e">
        <f t="shared" si="1"/>
        <v>#DIV/0!</v>
      </c>
      <c r="J93" t="e">
        <f t="shared" si="1"/>
        <v>#DIV/0!</v>
      </c>
      <c r="K93" t="e">
        <f t="shared" si="6"/>
        <v>#DIV/0!</v>
      </c>
      <c r="L93" t="e">
        <f t="shared" si="6"/>
        <v>#DIV/0!</v>
      </c>
      <c r="M93" t="e">
        <f t="shared" si="6"/>
        <v>#DIV/0!</v>
      </c>
      <c r="N93" t="e">
        <f t="shared" si="6"/>
        <v>#DIV/0!</v>
      </c>
      <c r="O93" t="e">
        <f t="shared" si="6"/>
        <v>#DIV/0!</v>
      </c>
      <c r="P93" t="e">
        <f t="shared" si="6"/>
        <v>#DIV/0!</v>
      </c>
      <c r="Q93" t="e">
        <f t="shared" si="6"/>
        <v>#DIV/0!</v>
      </c>
      <c r="R93" t="e">
        <f t="shared" si="6"/>
        <v>#DIV/0!</v>
      </c>
      <c r="S93" t="e">
        <f t="shared" si="6"/>
        <v>#DIV/0!</v>
      </c>
      <c r="T93" t="e">
        <f t="shared" si="6"/>
        <v>#DIV/0!</v>
      </c>
      <c r="U93" t="e">
        <f t="shared" si="6"/>
        <v>#DIV/0!</v>
      </c>
      <c r="V93" t="e">
        <f t="shared" si="6"/>
        <v>#DIV/0!</v>
      </c>
      <c r="W93" t="e">
        <f t="shared" si="6"/>
        <v>#DIV/0!</v>
      </c>
      <c r="X93" t="e">
        <f t="shared" si="6"/>
        <v>#DIV/0!</v>
      </c>
      <c r="Y93" t="e">
        <f t="shared" si="6"/>
        <v>#DIV/0!</v>
      </c>
      <c r="Z93" t="e">
        <f t="shared" si="6"/>
        <v>#DIV/0!</v>
      </c>
      <c r="AA93" t="e">
        <f t="shared" si="6"/>
        <v>#DIV/0!</v>
      </c>
      <c r="AB93" t="e">
        <f t="shared" si="6"/>
        <v>#DIV/0!</v>
      </c>
      <c r="AC93" t="e">
        <f t="shared" si="6"/>
        <v>#DIV/0!</v>
      </c>
      <c r="AD93" t="e">
        <f t="shared" si="6"/>
        <v>#DIV/0!</v>
      </c>
      <c r="AE93" t="e">
        <f t="shared" si="6"/>
        <v>#DIV/0!</v>
      </c>
      <c r="AF93" t="e">
        <f t="shared" si="6"/>
        <v>#DIV/0!</v>
      </c>
      <c r="AG93" s="96"/>
      <c r="AH93" s="242"/>
      <c r="AI93" s="254"/>
      <c r="AJ93" s="96"/>
      <c r="AK93" s="101">
        <f>$C$93</f>
        <v>27.851458885941643</v>
      </c>
      <c r="AL93" s="101">
        <f>$D$93</f>
        <v>21.813403416557161</v>
      </c>
      <c r="AM93" s="101">
        <f>$E$93</f>
        <v>24.853990914990266</v>
      </c>
      <c r="AN93" s="101" t="e">
        <f>$F$93</f>
        <v>#DIV/0!</v>
      </c>
      <c r="AO93" s="101" t="e">
        <f>$G$93</f>
        <v>#DIV/0!</v>
      </c>
      <c r="AP93" s="101" t="e">
        <f>$H$93</f>
        <v>#DIV/0!</v>
      </c>
      <c r="AQ93" s="101" t="e">
        <f>$I$93</f>
        <v>#DIV/0!</v>
      </c>
      <c r="AR93" s="101" t="e">
        <f>$J$93</f>
        <v>#DIV/0!</v>
      </c>
      <c r="AS93" s="101" t="e">
        <f>$K$93</f>
        <v>#DIV/0!</v>
      </c>
      <c r="AT93" s="101" t="e">
        <f>$L$93</f>
        <v>#DIV/0!</v>
      </c>
      <c r="AU93" s="101" t="e">
        <f>$M$93</f>
        <v>#DIV/0!</v>
      </c>
      <c r="AV93" s="101" t="e">
        <f>$N$93</f>
        <v>#DIV/0!</v>
      </c>
      <c r="AW93" s="101" t="e">
        <f>$O$93</f>
        <v>#DIV/0!</v>
      </c>
      <c r="AX93" s="101" t="e">
        <f>$P$93</f>
        <v>#DIV/0!</v>
      </c>
      <c r="AY93" s="101" t="e">
        <f>$Q$93</f>
        <v>#DIV/0!</v>
      </c>
      <c r="AZ93" s="101" t="e">
        <f>$R$93</f>
        <v>#DIV/0!</v>
      </c>
      <c r="BA93" s="101" t="e">
        <f>$S$93</f>
        <v>#DIV/0!</v>
      </c>
      <c r="BB93" s="101" t="e">
        <f>$T$93</f>
        <v>#DIV/0!</v>
      </c>
      <c r="BC93" s="101" t="e">
        <f>$U$93</f>
        <v>#DIV/0!</v>
      </c>
      <c r="BD93" s="101" t="e">
        <f>$V$93</f>
        <v>#DIV/0!</v>
      </c>
      <c r="BE93" s="101" t="e">
        <f>$W$93</f>
        <v>#DIV/0!</v>
      </c>
      <c r="BF93" s="101" t="e">
        <f>$X$93</f>
        <v>#DIV/0!</v>
      </c>
      <c r="BG93" s="101" t="e">
        <f>$Y$93</f>
        <v>#DIV/0!</v>
      </c>
      <c r="BH93" s="101" t="e">
        <f>$Z$93</f>
        <v>#DIV/0!</v>
      </c>
      <c r="BI93" s="101" t="e">
        <f>$AA$93</f>
        <v>#DIV/0!</v>
      </c>
      <c r="BJ93" s="101" t="e">
        <f>$AB$93</f>
        <v>#DIV/0!</v>
      </c>
      <c r="BK93" s="101" t="e">
        <f>$AC$93</f>
        <v>#DIV/0!</v>
      </c>
      <c r="BL93" s="101" t="e">
        <f>$AD$93</f>
        <v>#DIV/0!</v>
      </c>
      <c r="BM93" s="101" t="e">
        <f>$AE$93</f>
        <v>#DIV/0!</v>
      </c>
      <c r="BN93" s="101" t="e">
        <f>$AF$93</f>
        <v>#DIV/0!</v>
      </c>
    </row>
    <row r="94" spans="1:66">
      <c r="A94" s="69" t="s">
        <v>209</v>
      </c>
      <c r="C94" s="103">
        <v>30.716279069767445</v>
      </c>
      <c r="D94" s="101">
        <v>24.903772132409546</v>
      </c>
      <c r="E94" s="103">
        <v>27.945408968526596</v>
      </c>
      <c r="F94" t="e">
        <f t="shared" si="1"/>
        <v>#DIV/0!</v>
      </c>
      <c r="G94" t="e">
        <f t="shared" si="1"/>
        <v>#DIV/0!</v>
      </c>
      <c r="H94" t="e">
        <f t="shared" si="1"/>
        <v>#DIV/0!</v>
      </c>
      <c r="I94" t="e">
        <f t="shared" si="1"/>
        <v>#DIV/0!</v>
      </c>
      <c r="J94" t="e">
        <f t="shared" si="1"/>
        <v>#DIV/0!</v>
      </c>
      <c r="K94" t="e">
        <f t="shared" si="6"/>
        <v>#DIV/0!</v>
      </c>
      <c r="L94" t="e">
        <f t="shared" si="6"/>
        <v>#DIV/0!</v>
      </c>
      <c r="M94" t="e">
        <f t="shared" si="6"/>
        <v>#DIV/0!</v>
      </c>
      <c r="N94" t="e">
        <f t="shared" si="6"/>
        <v>#DIV/0!</v>
      </c>
      <c r="O94" t="e">
        <f t="shared" si="6"/>
        <v>#DIV/0!</v>
      </c>
      <c r="P94" t="e">
        <f t="shared" si="6"/>
        <v>#DIV/0!</v>
      </c>
      <c r="Q94" t="e">
        <f t="shared" si="6"/>
        <v>#DIV/0!</v>
      </c>
      <c r="R94" t="e">
        <f t="shared" si="6"/>
        <v>#DIV/0!</v>
      </c>
      <c r="S94" t="e">
        <f t="shared" si="6"/>
        <v>#DIV/0!</v>
      </c>
      <c r="T94" t="e">
        <f t="shared" si="6"/>
        <v>#DIV/0!</v>
      </c>
      <c r="U94" t="e">
        <f t="shared" si="6"/>
        <v>#DIV/0!</v>
      </c>
      <c r="V94" t="e">
        <f t="shared" si="6"/>
        <v>#DIV/0!</v>
      </c>
      <c r="W94" t="e">
        <f t="shared" si="6"/>
        <v>#DIV/0!</v>
      </c>
      <c r="X94" t="e">
        <f t="shared" si="6"/>
        <v>#DIV/0!</v>
      </c>
      <c r="Y94" t="e">
        <f t="shared" si="6"/>
        <v>#DIV/0!</v>
      </c>
      <c r="Z94" t="e">
        <f t="shared" si="6"/>
        <v>#DIV/0!</v>
      </c>
      <c r="AA94" t="e">
        <f t="shared" si="6"/>
        <v>#DIV/0!</v>
      </c>
      <c r="AB94" t="e">
        <f t="shared" si="6"/>
        <v>#DIV/0!</v>
      </c>
      <c r="AC94" t="e">
        <f t="shared" si="6"/>
        <v>#DIV/0!</v>
      </c>
      <c r="AD94" t="e">
        <f t="shared" si="6"/>
        <v>#DIV/0!</v>
      </c>
      <c r="AE94" t="e">
        <f t="shared" si="6"/>
        <v>#DIV/0!</v>
      </c>
      <c r="AF94" t="e">
        <f t="shared" si="6"/>
        <v>#DIV/0!</v>
      </c>
      <c r="AG94" s="96"/>
      <c r="AH94" s="96"/>
      <c r="AI94" s="96"/>
      <c r="AJ94" s="96"/>
      <c r="AK94" s="101">
        <f>$C$94</f>
        <v>30.716279069767445</v>
      </c>
      <c r="AL94" s="101">
        <f>$D$94</f>
        <v>24.903772132409546</v>
      </c>
      <c r="AM94" s="101">
        <f>$E$94</f>
        <v>27.945408968526596</v>
      </c>
      <c r="AN94" s="101" t="e">
        <f>$F$94</f>
        <v>#DIV/0!</v>
      </c>
      <c r="AO94" s="101" t="e">
        <f>$G$94</f>
        <v>#DIV/0!</v>
      </c>
      <c r="AP94" s="101" t="e">
        <f>$H$94</f>
        <v>#DIV/0!</v>
      </c>
      <c r="AQ94" s="101" t="e">
        <f>$I$94</f>
        <v>#DIV/0!</v>
      </c>
      <c r="AR94" s="101" t="e">
        <f>$J$94</f>
        <v>#DIV/0!</v>
      </c>
      <c r="AS94" s="101" t="e">
        <f>$K$94</f>
        <v>#DIV/0!</v>
      </c>
      <c r="AT94" s="101" t="e">
        <f>$L$94</f>
        <v>#DIV/0!</v>
      </c>
      <c r="AU94" s="101" t="e">
        <f>$M$94</f>
        <v>#DIV/0!</v>
      </c>
      <c r="AV94" s="101" t="e">
        <f>$N$94</f>
        <v>#DIV/0!</v>
      </c>
      <c r="AW94" s="101" t="e">
        <f>$O$94</f>
        <v>#DIV/0!</v>
      </c>
      <c r="AX94" s="101" t="e">
        <f>$P$94</f>
        <v>#DIV/0!</v>
      </c>
      <c r="AY94" s="101" t="e">
        <f>$Q$94</f>
        <v>#DIV/0!</v>
      </c>
      <c r="AZ94" s="101" t="e">
        <f>$R$94</f>
        <v>#DIV/0!</v>
      </c>
      <c r="BA94" s="101" t="e">
        <f>$S$94</f>
        <v>#DIV/0!</v>
      </c>
      <c r="BB94" s="101" t="e">
        <f>$T$94</f>
        <v>#DIV/0!</v>
      </c>
      <c r="BC94" s="101" t="e">
        <f>$U$94</f>
        <v>#DIV/0!</v>
      </c>
      <c r="BD94" s="101" t="e">
        <f>$V$94</f>
        <v>#DIV/0!</v>
      </c>
      <c r="BE94" s="101" t="e">
        <f>$W$94</f>
        <v>#DIV/0!</v>
      </c>
      <c r="BF94" s="101" t="e">
        <f>$X$94</f>
        <v>#DIV/0!</v>
      </c>
      <c r="BG94" s="101" t="e">
        <f>$Y$94</f>
        <v>#DIV/0!</v>
      </c>
      <c r="BH94" s="101" t="e">
        <f>$Z$94</f>
        <v>#DIV/0!</v>
      </c>
      <c r="BI94" s="101" t="e">
        <f>$AA$94</f>
        <v>#DIV/0!</v>
      </c>
      <c r="BJ94" s="101" t="e">
        <f>$AB$94</f>
        <v>#DIV/0!</v>
      </c>
      <c r="BK94" s="101" t="e">
        <f>$AC$94</f>
        <v>#DIV/0!</v>
      </c>
      <c r="BL94" s="101" t="e">
        <f>$AD$94</f>
        <v>#DIV/0!</v>
      </c>
      <c r="BM94" s="101" t="e">
        <f>$AE$94</f>
        <v>#DIV/0!</v>
      </c>
      <c r="BN94" s="101" t="e">
        <f>$AF$94</f>
        <v>#DIV/0!</v>
      </c>
    </row>
    <row r="95" spans="1:66">
      <c r="B95" s="8"/>
      <c r="C95" s="167"/>
      <c r="D95" s="8"/>
      <c r="E95" s="167"/>
      <c r="F95" s="8"/>
      <c r="G95" s="8"/>
      <c r="H95" s="8"/>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165"/>
      <c r="AL95" s="165"/>
      <c r="AM95" s="165"/>
      <c r="AN95" s="165"/>
      <c r="AO95" s="165"/>
      <c r="AP95" s="165"/>
      <c r="AQ95" s="165"/>
      <c r="AR95" s="165"/>
      <c r="AS95" s="165"/>
      <c r="AT95" s="165"/>
      <c r="AU95" s="165"/>
      <c r="AV95" s="165"/>
      <c r="AW95" s="165"/>
      <c r="AX95" s="165"/>
      <c r="AY95" s="165"/>
      <c r="AZ95" s="165"/>
      <c r="BA95" s="8"/>
    </row>
    <row r="96" spans="1:66">
      <c r="B96" s="8"/>
      <c r="C96" s="167"/>
      <c r="D96" s="8"/>
      <c r="E96" s="167"/>
      <c r="F96" s="8"/>
      <c r="G96" s="8"/>
      <c r="H96" s="8"/>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165"/>
      <c r="AL96" s="165"/>
      <c r="AM96" s="165"/>
      <c r="AN96" s="165"/>
      <c r="AO96" s="165"/>
      <c r="AP96" s="165"/>
      <c r="AQ96" s="165"/>
      <c r="AR96" s="165"/>
      <c r="AS96" s="165"/>
      <c r="AT96" s="165"/>
      <c r="AU96" s="165"/>
      <c r="AV96" s="165"/>
      <c r="AW96" s="165"/>
      <c r="AX96" s="165"/>
      <c r="AY96" s="165"/>
      <c r="AZ96" s="165"/>
      <c r="BA96" s="8"/>
    </row>
    <row r="97" spans="1:53">
      <c r="B97" s="8"/>
      <c r="C97" s="167"/>
      <c r="D97" s="82"/>
      <c r="E97" s="167"/>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165"/>
      <c r="AL97" s="165"/>
      <c r="AM97" s="165"/>
      <c r="AN97" s="165"/>
      <c r="AO97" s="165"/>
      <c r="AP97" s="165"/>
      <c r="AQ97" s="165"/>
      <c r="AR97" s="165"/>
      <c r="AS97" s="165"/>
      <c r="AT97" s="165"/>
      <c r="AU97" s="165"/>
      <c r="AV97" s="165"/>
      <c r="AW97" s="165"/>
      <c r="AX97" s="165"/>
      <c r="AY97" s="165"/>
      <c r="AZ97" s="165"/>
      <c r="BA97" s="8"/>
    </row>
    <row r="98" spans="1:53">
      <c r="A98" s="116" t="s">
        <v>266</v>
      </c>
      <c r="B98" s="168" t="s">
        <v>274</v>
      </c>
      <c r="C98" s="175"/>
      <c r="D98" s="176"/>
      <c r="E98" s="175"/>
      <c r="F98" s="176"/>
      <c r="G98" s="176"/>
      <c r="H98" s="176"/>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165"/>
      <c r="AL98" s="165"/>
      <c r="AM98" s="165"/>
      <c r="AN98" s="165"/>
      <c r="AO98" s="165"/>
      <c r="AP98" s="165"/>
      <c r="AQ98" s="165"/>
      <c r="AR98" s="165"/>
      <c r="AS98" s="165"/>
      <c r="AT98" s="165"/>
      <c r="AU98" s="165"/>
      <c r="AV98" s="165"/>
      <c r="AW98" s="165"/>
      <c r="AX98" s="165"/>
      <c r="AY98" s="165"/>
      <c r="AZ98" s="165"/>
      <c r="BA98" s="8"/>
    </row>
    <row r="99" spans="1:53">
      <c r="B99" s="8"/>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
      <c r="AJ99" s="8"/>
      <c r="AK99" s="8"/>
      <c r="AL99" s="8"/>
      <c r="AM99" s="8"/>
      <c r="AN99" s="8"/>
      <c r="AO99" s="8"/>
      <c r="AP99" s="8"/>
      <c r="AQ99" s="8"/>
      <c r="AR99" s="8"/>
      <c r="AS99" s="8"/>
      <c r="AT99" s="8"/>
      <c r="AU99" s="8"/>
      <c r="AV99" s="8"/>
      <c r="AW99" s="8"/>
      <c r="AX99" s="8"/>
      <c r="AY99" s="8"/>
      <c r="AZ99" s="8"/>
      <c r="BA99" s="8"/>
    </row>
    <row r="100" spans="1:53">
      <c r="B100" s="8"/>
      <c r="C100" s="8"/>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
      <c r="AJ100" s="8"/>
      <c r="AK100" s="8"/>
      <c r="AL100" s="8"/>
      <c r="AM100" s="8"/>
      <c r="AN100" s="8"/>
      <c r="AO100" s="8"/>
      <c r="AP100" s="8"/>
      <c r="AQ100" s="8"/>
      <c r="AR100" s="8"/>
      <c r="AS100" s="8"/>
      <c r="AT100" s="8"/>
      <c r="AU100" s="8"/>
      <c r="AV100" s="8"/>
      <c r="AW100" s="8"/>
      <c r="AX100" s="8"/>
      <c r="AY100" s="8"/>
      <c r="AZ100" s="8"/>
      <c r="BA100" s="8"/>
    </row>
    <row r="101" spans="1:53">
      <c r="B101" s="8"/>
      <c r="C101" s="8"/>
      <c r="D101" s="8"/>
      <c r="E101" s="8"/>
      <c r="F101" s="8"/>
      <c r="G101" s="82"/>
      <c r="H101" s="8"/>
      <c r="I101" s="8"/>
      <c r="J101" s="8"/>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
      <c r="AJ101" s="8"/>
      <c r="AK101" s="8"/>
      <c r="AL101" s="8"/>
      <c r="AM101" s="8"/>
      <c r="AN101" s="8"/>
      <c r="AO101" s="8"/>
      <c r="AP101" s="8"/>
      <c r="AQ101" s="8"/>
      <c r="AR101" s="8"/>
      <c r="AS101" s="8"/>
      <c r="AT101" s="8"/>
      <c r="AU101" s="8"/>
      <c r="AV101" s="8"/>
      <c r="AW101" s="8"/>
      <c r="AX101" s="8"/>
      <c r="AY101" s="8"/>
      <c r="AZ101" s="8"/>
      <c r="BA101" s="8"/>
    </row>
    <row r="102" spans="1:53">
      <c r="B102" s="8"/>
      <c r="C102" s="8"/>
      <c r="D102" s="8"/>
      <c r="E102" s="8"/>
      <c r="F102" s="8"/>
      <c r="G102" s="82"/>
      <c r="H102" s="8"/>
      <c r="I102" s="8"/>
      <c r="J102" s="8"/>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row>
    <row r="103" spans="1:53">
      <c r="B103" s="8"/>
      <c r="C103" s="8"/>
      <c r="D103" s="8"/>
      <c r="E103" s="8"/>
      <c r="F103" s="8"/>
      <c r="G103" s="82"/>
      <c r="H103" s="8"/>
      <c r="I103" s="8"/>
      <c r="J103" s="8"/>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row>
    <row r="104" spans="1:53">
      <c r="B104" s="8"/>
      <c r="C104" s="8"/>
      <c r="D104" s="8"/>
      <c r="E104" s="8"/>
      <c r="F104" s="8"/>
      <c r="G104" s="82"/>
      <c r="H104" s="8"/>
      <c r="I104" s="8"/>
      <c r="J104" s="8"/>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row>
    <row r="105" spans="1:53">
      <c r="B105" s="8"/>
      <c r="C105" s="8"/>
      <c r="D105" s="8"/>
      <c r="E105" s="8"/>
      <c r="F105" s="8"/>
      <c r="G105" s="82"/>
      <c r="H105" s="8"/>
      <c r="I105" s="8"/>
      <c r="J105" s="8"/>
      <c r="K105" s="82"/>
      <c r="L105" s="82"/>
      <c r="M105" s="82"/>
      <c r="N105" s="82"/>
      <c r="O105" s="82"/>
      <c r="P105" s="82"/>
      <c r="Q105" s="82"/>
      <c r="R105" s="82"/>
      <c r="S105" s="82"/>
      <c r="T105" s="82"/>
      <c r="U105" s="82"/>
      <c r="V105" s="82"/>
      <c r="W105" s="82"/>
      <c r="X105" s="82"/>
      <c r="Y105" s="82"/>
      <c r="Z105" s="82"/>
      <c r="AA105" s="82"/>
      <c r="AB105" s="82"/>
      <c r="AC105" s="82"/>
      <c r="AD105" s="8"/>
      <c r="AE105" s="8"/>
      <c r="AF105" s="8"/>
      <c r="AG105" s="8"/>
    </row>
    <row r="106" spans="1:53">
      <c r="B106" s="8"/>
      <c r="C106" s="8"/>
      <c r="D106" s="8"/>
      <c r="E106" s="8"/>
      <c r="F106" s="8"/>
      <c r="G106" s="82"/>
      <c r="H106" s="8"/>
      <c r="I106" s="8"/>
      <c r="J106" s="8"/>
      <c r="K106" s="8"/>
      <c r="L106" s="8"/>
      <c r="M106" s="8"/>
      <c r="N106" s="8"/>
      <c r="O106" s="8"/>
      <c r="P106" s="8"/>
      <c r="Q106" s="8"/>
      <c r="R106" s="8"/>
      <c r="S106" s="82"/>
      <c r="T106" s="82"/>
      <c r="U106" s="82"/>
      <c r="V106" s="82"/>
      <c r="W106" s="82"/>
      <c r="X106" s="82"/>
      <c r="Y106" s="82"/>
      <c r="Z106" s="82"/>
      <c r="AA106" s="82"/>
      <c r="AB106" s="82"/>
      <c r="AC106" s="82"/>
      <c r="AD106" s="8"/>
      <c r="AE106" s="8"/>
      <c r="AF106" s="8"/>
      <c r="AG106" s="8"/>
    </row>
    <row r="107" spans="1:53">
      <c r="B107" s="8"/>
      <c r="C107" s="8"/>
      <c r="D107" s="8"/>
      <c r="E107" s="8"/>
      <c r="F107" s="8"/>
      <c r="G107" s="8"/>
      <c r="H107" s="8"/>
      <c r="I107" s="8"/>
      <c r="J107" s="8"/>
      <c r="K107" s="8"/>
      <c r="L107" s="8"/>
      <c r="M107" s="8"/>
      <c r="N107" s="8"/>
      <c r="O107" s="8"/>
      <c r="P107" s="8"/>
      <c r="Q107" s="8"/>
      <c r="R107" s="8"/>
      <c r="S107" s="82"/>
      <c r="T107" s="82"/>
      <c r="U107" s="82"/>
      <c r="V107" s="82"/>
      <c r="W107" s="82"/>
      <c r="X107" s="82"/>
      <c r="Y107" s="82"/>
      <c r="Z107" s="82"/>
      <c r="AA107" s="82"/>
      <c r="AB107" s="82"/>
      <c r="AC107" s="82"/>
      <c r="AD107" s="8"/>
      <c r="AE107" s="8"/>
      <c r="AF107" s="8"/>
      <c r="AG107" s="8"/>
    </row>
    <row r="108" spans="1:53">
      <c r="I108" s="8"/>
      <c r="J108" s="8"/>
      <c r="K108" s="8"/>
      <c r="L108" s="8"/>
      <c r="M108" s="8"/>
      <c r="N108" s="8"/>
      <c r="O108" s="8"/>
      <c r="P108" s="8"/>
      <c r="Q108" s="8"/>
      <c r="R108" s="8"/>
      <c r="S108" s="82"/>
      <c r="T108" s="82"/>
      <c r="U108" s="82"/>
      <c r="V108" s="82"/>
      <c r="W108" s="82"/>
      <c r="X108" s="82"/>
      <c r="Y108" s="82"/>
      <c r="Z108" s="82"/>
      <c r="AA108" s="82"/>
      <c r="AB108" s="82"/>
      <c r="AC108" s="82"/>
      <c r="AD108" s="8"/>
      <c r="AE108" s="8"/>
      <c r="AF108" s="8"/>
      <c r="AG108" s="8"/>
    </row>
    <row r="109" spans="1:53">
      <c r="I109" s="8"/>
      <c r="J109" s="8"/>
      <c r="K109" s="8"/>
      <c r="L109" s="8"/>
      <c r="M109" s="8"/>
      <c r="N109" s="8"/>
      <c r="O109" s="8"/>
      <c r="P109" s="8"/>
      <c r="Q109" s="8"/>
      <c r="R109" s="8"/>
      <c r="S109" s="82"/>
      <c r="T109" s="82"/>
      <c r="U109" s="82"/>
      <c r="V109" s="82"/>
      <c r="W109" s="82"/>
      <c r="X109" s="82"/>
      <c r="Y109" s="82"/>
      <c r="Z109" s="82"/>
      <c r="AA109" s="82"/>
      <c r="AB109" s="82"/>
      <c r="AC109" s="82"/>
      <c r="AD109" s="8"/>
      <c r="AE109" s="8"/>
      <c r="AF109" s="8"/>
      <c r="AG109" s="8"/>
    </row>
    <row r="110" spans="1:53">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53">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row>
    <row r="112" spans="1:53">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row>
    <row r="113" spans="9:33">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row>
    <row r="114" spans="9:33">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row>
    <row r="115" spans="9:33">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row>
    <row r="116" spans="9:33">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row>
    <row r="117" spans="9:33">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row>
    <row r="118" spans="9:33">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row>
    <row r="119" spans="9:33">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row>
    <row r="120" spans="9:33">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row>
    <row r="121" spans="9:33">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row>
    <row r="122" spans="9:33">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row>
    <row r="123" spans="9:33">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row>
    <row r="124" spans="9:33">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row>
    <row r="125" spans="9:33">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row>
    <row r="126" spans="9:33">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row>
    <row r="127" spans="9:33">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row>
    <row r="128" spans="9:33">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row>
    <row r="129" spans="9:33">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row>
    <row r="130" spans="9:33">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row>
    <row r="131" spans="9:33">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row>
    <row r="132" spans="9:33">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row>
    <row r="133" spans="9:33">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row>
    <row r="134" spans="9:33">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row>
    <row r="135" spans="9:33">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row>
    <row r="136" spans="9:33">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row>
    <row r="137" spans="9:33">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row>
    <row r="138" spans="9:33">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row>
    <row r="139" spans="9:33">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row>
    <row r="140" spans="9:33">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row>
    <row r="141" spans="9:33">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row>
    <row r="142" spans="9:33">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row>
    <row r="143" spans="9:33">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row>
    <row r="144" spans="9:33">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row>
    <row r="145" spans="9:33">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row>
    <row r="146" spans="9:33">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row>
    <row r="147" spans="9:33">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row>
    <row r="148" spans="9:33">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row>
    <row r="149" spans="9:33">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row>
    <row r="150" spans="9:33">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row>
    <row r="151" spans="9:33">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row>
    <row r="152" spans="9:33">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row>
    <row r="153" spans="9:33">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row>
    <row r="154" spans="9:33">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row>
    <row r="155" spans="9:33">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row>
    <row r="156" spans="9:33">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row>
    <row r="157" spans="9:33">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row>
    <row r="158" spans="9:33">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row>
    <row r="159" spans="9:33">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row>
    <row r="160" spans="9:33">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row>
    <row r="161" spans="9:33">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row>
    <row r="162" spans="9:33">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row>
    <row r="163" spans="9:33">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row>
    <row r="164" spans="9:33">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row>
    <row r="165" spans="9:33">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row>
    <row r="166" spans="9:33">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row>
    <row r="167" spans="9:33">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row>
    <row r="168" spans="9:33">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row>
    <row r="169" spans="9:33">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row>
    <row r="170" spans="9:33">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row>
    <row r="171" spans="9:33">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row>
    <row r="172" spans="9:33">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row>
    <row r="173" spans="9:33">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row>
    <row r="174" spans="9:33">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row>
    <row r="175" spans="9:33">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row>
    <row r="176" spans="9:33">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row>
    <row r="177" spans="9:33">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row>
    <row r="178" spans="9:33">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row>
    <row r="179" spans="9:33">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row>
    <row r="180" spans="9:33">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row>
    <row r="181" spans="9:33">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row>
    <row r="182" spans="9:33">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row>
    <row r="183" spans="9:33">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row>
    <row r="184" spans="9:33">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row>
    <row r="185" spans="9:33">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row>
    <row r="186" spans="9:33">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row>
    <row r="187" spans="9:33">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row>
    <row r="188" spans="9:33">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row>
    <row r="189" spans="9:33">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row>
    <row r="190" spans="9:33">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row>
    <row r="191" spans="9:33">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row>
    <row r="192" spans="9:33">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row>
    <row r="193" spans="9:33">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row>
    <row r="194" spans="9:33">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row>
    <row r="195" spans="9:33">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row>
    <row r="196" spans="9:33">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row>
    <row r="197" spans="9:33">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row>
    <row r="198" spans="9:33">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row>
    <row r="199" spans="9:33">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row>
    <row r="200" spans="9:33">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row>
    <row r="201" spans="9:33">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row>
    <row r="202" spans="9:33">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row>
    <row r="203" spans="9:33">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row>
    <row r="204" spans="9:33">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row>
    <row r="205" spans="9:33">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row>
    <row r="206" spans="9:33">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row>
    <row r="207" spans="9:33">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row>
    <row r="208" spans="9:33">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row>
    <row r="209" spans="9:33">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row>
    <row r="210" spans="9:33">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row>
    <row r="211" spans="9:33">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row>
    <row r="212" spans="9:33">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row>
    <row r="213" spans="9:33">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row>
    <row r="214" spans="9:33">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row>
    <row r="215" spans="9:33">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row>
    <row r="216" spans="9:33">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row>
    <row r="217" spans="9:33">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row>
    <row r="218" spans="9:33">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row>
    <row r="219" spans="9:33">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row>
    <row r="220" spans="9:33">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row>
    <row r="221" spans="9:33">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row>
    <row r="222" spans="9:33">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row>
    <row r="223" spans="9:33">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row>
    <row r="224" spans="9:33">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row>
    <row r="225" spans="9:33">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row>
    <row r="226" spans="9:33">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row>
    <row r="227" spans="9:33">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row>
    <row r="228" spans="9:33">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row>
    <row r="229" spans="9:33">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row>
    <row r="230" spans="9:33">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row>
    <row r="231" spans="9:33">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row>
    <row r="232" spans="9:33">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row>
    <row r="233" spans="9:33">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row>
    <row r="234" spans="9:33">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row>
    <row r="235" spans="9:33">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row>
    <row r="236" spans="9:33">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row>
    <row r="237" spans="9:33">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row>
    <row r="238" spans="9:33">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row>
    <row r="239" spans="9:33">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row>
    <row r="240" spans="9:33">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row>
    <row r="241" spans="9:33">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row>
    <row r="242" spans="9:33">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row>
    <row r="243" spans="9:33">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row>
    <row r="244" spans="9:33">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row>
    <row r="245" spans="9:33">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row>
    <row r="246" spans="9:33">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row>
    <row r="247" spans="9:33">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row>
    <row r="248" spans="9:33">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row>
    <row r="249" spans="9:33">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row>
    <row r="250" spans="9:33">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row>
    <row r="251" spans="9:33">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row>
    <row r="252" spans="9:33">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row>
    <row r="253" spans="9:33">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row>
    <row r="254" spans="9:33">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row>
    <row r="255" spans="9:33">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row>
    <row r="256" spans="9:33">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row>
    <row r="257" spans="9:33">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row>
    <row r="258" spans="9:33">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row>
    <row r="259" spans="9:33">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row>
    <row r="260" spans="9:33">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row>
    <row r="261" spans="9:33">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row>
    <row r="262" spans="9:33">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row>
    <row r="263" spans="9:33">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row>
    <row r="264" spans="9:33">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row>
    <row r="265" spans="9:33">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row>
    <row r="266" spans="9:33">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row>
    <row r="267" spans="9:33">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row>
    <row r="268" spans="9:33">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row>
    <row r="269" spans="9:33">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row>
    <row r="270" spans="9:33">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row>
    <row r="271" spans="9:33">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row>
    <row r="272" spans="9:33">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row>
    <row r="273" spans="9:33">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row>
    <row r="274" spans="9:33">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row>
    <row r="275" spans="9:33">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row>
    <row r="276" spans="9:33">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row>
    <row r="277" spans="9:33">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row>
    <row r="278" spans="9:33">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row>
    <row r="279" spans="9:33">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row>
    <row r="280" spans="9:33">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row>
    <row r="281" spans="9:33">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row>
    <row r="282" spans="9:33">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row>
    <row r="283" spans="9:33">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row>
    <row r="284" spans="9:33">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row>
    <row r="285" spans="9:33">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row>
    <row r="286" spans="9:33">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row>
    <row r="287" spans="9:33">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row>
    <row r="288" spans="9:33">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row>
    <row r="289" spans="9:33">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row>
    <row r="290" spans="9:33">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row>
    <row r="291" spans="9:33">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row>
    <row r="292" spans="9:33">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row>
    <row r="293" spans="9:33">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row>
    <row r="294" spans="9:33">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row>
    <row r="295" spans="9:33">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row>
    <row r="296" spans="9:33">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row>
    <row r="297" spans="9:33">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row>
    <row r="298" spans="9:33">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row>
    <row r="299" spans="9:33">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row>
    <row r="300" spans="9:33">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row>
    <row r="301" spans="9:33">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row>
    <row r="302" spans="9:33">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row>
    <row r="303" spans="9:33">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row>
    <row r="304" spans="9:33">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row>
    <row r="305" spans="9:33">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row>
    <row r="306" spans="9:33">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row>
    <row r="307" spans="9:33">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row>
    <row r="308" spans="9:33">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row>
    <row r="309" spans="9:33">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row>
    <row r="310" spans="9:33">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row>
    <row r="311" spans="9:33">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row>
    <row r="312" spans="9:33">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row>
    <row r="313" spans="9:33">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row>
    <row r="314" spans="9:33">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row>
    <row r="315" spans="9:33">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row>
    <row r="316" spans="9:33">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row>
    <row r="317" spans="9:33">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row>
    <row r="318" spans="9:33">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row>
    <row r="319" spans="9:33">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row>
    <row r="320" spans="9:33">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row>
    <row r="321" spans="9:33">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row>
    <row r="322" spans="9:33">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row>
    <row r="323" spans="9:33">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row>
    <row r="324" spans="9:33">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row>
    <row r="325" spans="9:33">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row>
    <row r="326" spans="9:33">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row>
    <row r="327" spans="9:33">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row>
    <row r="328" spans="9:33">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row>
    <row r="329" spans="9:33">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row>
    <row r="330" spans="9:33">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row>
    <row r="331" spans="9:33">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row>
    <row r="332" spans="9:33">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row>
    <row r="333" spans="9:33">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row>
    <row r="334" spans="9:33">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row>
    <row r="335" spans="9:33">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row>
    <row r="336" spans="9:33">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row>
    <row r="337" spans="9:33">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row>
    <row r="338" spans="9:33">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row>
    <row r="339" spans="9:33">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row>
    <row r="340" spans="9:33">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row>
    <row r="341" spans="9:33">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row>
    <row r="342" spans="9:33">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row>
    <row r="343" spans="9:33">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row>
    <row r="344" spans="9:33">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row>
    <row r="345" spans="9:33">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row>
    <row r="346" spans="9:33">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row>
    <row r="347" spans="9:33">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row>
    <row r="348" spans="9:33">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row>
    <row r="349" spans="9:33">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row>
    <row r="350" spans="9:33">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row>
    <row r="351" spans="9:33">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row>
    <row r="352" spans="9:33">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row>
    <row r="353" spans="9:33">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row>
    <row r="354" spans="9:33">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row>
    <row r="355" spans="9:33">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row>
    <row r="356" spans="9:33">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row>
    <row r="357" spans="9:33">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row>
    <row r="358" spans="9:33">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row>
    <row r="359" spans="9:33">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row>
    <row r="360" spans="9:33">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row>
    <row r="361" spans="9:33">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row>
    <row r="362" spans="9:33">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row>
    <row r="363" spans="9:33">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row>
    <row r="364" spans="9:33">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row>
    <row r="365" spans="9:33">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row>
    <row r="366" spans="9:33">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row>
    <row r="367" spans="9:33">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row>
    <row r="368" spans="9:33">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row>
    <row r="369" spans="9:33">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row>
    <row r="370" spans="9:33">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row>
    <row r="371" spans="9:33">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row>
    <row r="372" spans="9:33">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row>
    <row r="373" spans="9:33">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row>
    <row r="374" spans="9:33">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row>
    <row r="375" spans="9:33">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row>
    <row r="376" spans="9:33">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row>
    <row r="377" spans="9:33">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row>
    <row r="378" spans="9:33">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row>
    <row r="379" spans="9:33">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row>
    <row r="380" spans="9:33">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row>
    <row r="381" spans="9:33">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row>
    <row r="382" spans="9:33">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row>
    <row r="383" spans="9:33">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row>
    <row r="384" spans="9:33">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row>
    <row r="385" spans="9:33">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row>
    <row r="386" spans="9:33">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row>
    <row r="387" spans="9:33">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row>
    <row r="388" spans="9:33">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row>
    <row r="389" spans="9:33">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row>
    <row r="390" spans="9:33">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row>
    <row r="391" spans="9:33">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row>
    <row r="392" spans="9:33">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row>
    <row r="393" spans="9:33">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row>
    <row r="394" spans="9:33">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row>
    <row r="395" spans="9:33">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row>
    <row r="396" spans="9:33">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row>
    <row r="397" spans="9:33">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row>
    <row r="398" spans="9:33">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row>
    <row r="399" spans="9:33">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row>
    <row r="400" spans="9:33">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row>
    <row r="401" spans="9:33">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row>
    <row r="402" spans="9:33">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row>
    <row r="403" spans="9:33">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row>
    <row r="404" spans="9:33">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row>
    <row r="405" spans="9:33">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row>
    <row r="406" spans="9:33">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row>
    <row r="407" spans="9:33">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row>
    <row r="408" spans="9:33">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row>
    <row r="409" spans="9:33">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row>
    <row r="410" spans="9:33">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row>
    <row r="411" spans="9:33">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row>
    <row r="412" spans="9:33">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row>
    <row r="413" spans="9:33">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row>
    <row r="414" spans="9:33">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row>
    <row r="415" spans="9:33">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row>
    <row r="416" spans="9:33">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row>
    <row r="417" spans="9:33">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row>
    <row r="418" spans="9:33">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row>
    <row r="419" spans="9:33">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row>
    <row r="420" spans="9:33">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row>
    <row r="421" spans="9:33">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row>
    <row r="422" spans="9:33">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row>
    <row r="423" spans="9:33">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row>
    <row r="424" spans="9:33">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row>
    <row r="425" spans="9:33">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row>
    <row r="426" spans="9:33">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row>
    <row r="427" spans="9:33">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row>
    <row r="428" spans="9:33">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row>
    <row r="429" spans="9:33">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row>
    <row r="430" spans="9:33">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row>
    <row r="431" spans="9:33">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row>
    <row r="432" spans="9:33">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row>
    <row r="433" spans="9:33">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row>
    <row r="434" spans="9:33">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row>
    <row r="435" spans="9:33">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row>
    <row r="436" spans="9:33">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row>
    <row r="437" spans="9:33">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row>
    <row r="438" spans="9:33">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row>
    <row r="439" spans="9:33">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row>
    <row r="440" spans="9:33">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row>
    <row r="441" spans="9:33">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row>
    <row r="442" spans="9:33">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row>
    <row r="443" spans="9:33">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row>
    <row r="444" spans="9:33">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row>
    <row r="445" spans="9:33">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row>
    <row r="446" spans="9:33">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row>
    <row r="447" spans="9:33">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row>
    <row r="448" spans="9:33">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row>
    <row r="449" spans="9:33">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row>
    <row r="450" spans="9:33">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row>
    <row r="451" spans="9:33">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row>
    <row r="452" spans="9:33">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row>
    <row r="453" spans="9:33">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row>
    <row r="454" spans="9:33">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row>
    <row r="455" spans="9:33">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row>
    <row r="456" spans="9:33">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row>
    <row r="457" spans="9:33">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row>
    <row r="458" spans="9:33">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row>
    <row r="459" spans="9:33">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row>
    <row r="460" spans="9:33">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row>
    <row r="461" spans="9:33">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row>
    <row r="462" spans="9:33">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row>
    <row r="463" spans="9:33">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row>
    <row r="464" spans="9:33">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row>
    <row r="465" spans="9:33">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row>
    <row r="466" spans="9:33">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row>
    <row r="467" spans="9:33">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row>
    <row r="468" spans="9:33">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row>
    <row r="469" spans="9:33">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row>
    <row r="470" spans="9:33">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row>
    <row r="471" spans="9:33">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row>
    <row r="472" spans="9:33">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row>
    <row r="473" spans="9:33">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row>
    <row r="474" spans="9:33">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row>
    <row r="475" spans="9:33">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row>
    <row r="476" spans="9:33">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row>
    <row r="477" spans="9:33">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row>
    <row r="478" spans="9:33">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row>
    <row r="479" spans="9:33">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row>
    <row r="480" spans="9:33">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row>
    <row r="481" spans="9:33">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row>
    <row r="482" spans="9:33">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row>
    <row r="483" spans="9:33">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row>
    <row r="484" spans="9:33">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row>
    <row r="485" spans="9:33">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row>
    <row r="486" spans="9:33">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row>
    <row r="487" spans="9:33">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row>
    <row r="488" spans="9:33">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row>
    <row r="489" spans="9:33">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row>
  </sheetData>
  <mergeCells count="33">
    <mergeCell ref="O45:Q45"/>
    <mergeCell ref="A45:B45"/>
    <mergeCell ref="C45:E45"/>
    <mergeCell ref="F45:H45"/>
    <mergeCell ref="I45:K45"/>
    <mergeCell ref="L45:N45"/>
    <mergeCell ref="BC46:BE46"/>
    <mergeCell ref="BF46:BH46"/>
    <mergeCell ref="BI46:BK46"/>
    <mergeCell ref="BL46:BN46"/>
    <mergeCell ref="AK45:BN45"/>
    <mergeCell ref="AK46:AM46"/>
    <mergeCell ref="AN46:AP46"/>
    <mergeCell ref="AQ46:AS46"/>
    <mergeCell ref="AT46:AV46"/>
    <mergeCell ref="AW46:AY46"/>
    <mergeCell ref="AZ46:BB46"/>
    <mergeCell ref="B9:L9"/>
    <mergeCell ref="K2:M2"/>
    <mergeCell ref="AH70:AI70"/>
    <mergeCell ref="AH71:AI71"/>
    <mergeCell ref="A3:H3"/>
    <mergeCell ref="B5:L5"/>
    <mergeCell ref="B6:L6"/>
    <mergeCell ref="B7:L7"/>
    <mergeCell ref="B8:L8"/>
    <mergeCell ref="AH46:AI46"/>
    <mergeCell ref="R45:T45"/>
    <mergeCell ref="U45:W45"/>
    <mergeCell ref="X45:Z45"/>
    <mergeCell ref="AA45:AC45"/>
    <mergeCell ref="AD45:AF45"/>
    <mergeCell ref="AH45:AI45"/>
  </mergeCells>
  <conditionalFormatting sqref="D42:I43">
    <cfRule type="expression" dxfId="39" priority="4">
      <formula>ISERROR(D42)</formula>
    </cfRule>
  </conditionalFormatting>
  <conditionalFormatting sqref="C47:AF94">
    <cfRule type="expression" dxfId="38" priority="3">
      <formula>ISERROR(C47)</formula>
    </cfRule>
  </conditionalFormatting>
  <conditionalFormatting sqref="AK47:BN94">
    <cfRule type="expression" dxfId="37" priority="2">
      <formula>ISERROR(AK47)</formula>
    </cfRule>
  </conditionalFormatting>
  <conditionalFormatting sqref="C12:AW41">
    <cfRule type="expression" dxfId="36" priority="1">
      <formula>ISERROR(C12)</formula>
    </cfRule>
  </conditionalFormatting>
  <hyperlinks>
    <hyperlink ref="K2" location="'Information och Innehåll'!A1" display="Tillbaka till Information och Innehåll"/>
    <hyperlink ref="AH48" location="V1.1.1!A1" display="V1.1.1"/>
    <hyperlink ref="AH49" location="V1.1.2!A1" display="V1.1.2"/>
    <hyperlink ref="AH50" location="V1.1.3!A1" display="V1.1.3"/>
    <hyperlink ref="AH51" location="V2.1.1!A1" display="V2.1.1"/>
    <hyperlink ref="AH52" location="V2.1.2!A1" display="V2.1.2"/>
    <hyperlink ref="AH54" location="V3.1.2!A1" display="V3.1.2"/>
    <hyperlink ref="AH53" location="V3.1.1!A1" display="V3.1.1"/>
    <hyperlink ref="AH55" location="V3.1.3!A1" display="V3.1.3"/>
    <hyperlink ref="AH57" location="V4.1.1!A1" display="V4.1.1"/>
    <hyperlink ref="AH58" location="V4.2.1!A1" display="V4.2.1"/>
    <hyperlink ref="AH59" location="V4.2.2!A1" display="V4.2.2"/>
    <hyperlink ref="AH60" location="V4.2.3!A1" display="V4.2.3"/>
    <hyperlink ref="AH61" location="V4.2.4!A1" display="V4.2.4"/>
    <hyperlink ref="AH62" location="V5.1.1!A1" display="V5.1.1"/>
    <hyperlink ref="AH63" location="V5.1.2!A1" display="V5.1.2"/>
    <hyperlink ref="AI48" location="B1.1.1!A1" display="B1.1.1"/>
    <hyperlink ref="AI49" location="B1.1.2!A1" display="B1.1.2"/>
    <hyperlink ref="AI50" location="B1.2.1!A1" display="B1.2.1"/>
    <hyperlink ref="AI51" location="B1.2.2!A1" display="B1.2.2"/>
    <hyperlink ref="AI52" location="B1.2.3!A1" display="B1.2.3"/>
    <hyperlink ref="AI53" location="V2.1.1!A1" display="B2.1.1"/>
    <hyperlink ref="AI55" location="B2.2.1!A1" display="B2.2.1"/>
    <hyperlink ref="AI56" location="B2.2.2!A1" display="B2.2.2"/>
    <hyperlink ref="AI57" location="B2.2.3!A1" display="B2.2.3"/>
    <hyperlink ref="AI58" location="B2.2.4!A1" display="B2.2.4"/>
    <hyperlink ref="AI59" location="B3.1.1!A1" display="B3.1.1"/>
    <hyperlink ref="AI60" location="B3.1.2!A1" display="B3.1.2"/>
    <hyperlink ref="AI63" location="B4.1.1!A1" display="B4.1.1"/>
    <hyperlink ref="AI64" location="B5.1.1!A1" display="B5.1.1"/>
    <hyperlink ref="AI65" location="B5.1.2!A1" display="B5.1.2"/>
    <hyperlink ref="AI66" location="B5.1.3!A1" display="B5.1.3"/>
    <hyperlink ref="AI61" location="B3.1.3!A1" display="B3.1.3"/>
    <hyperlink ref="AI54" location="B2.1.2!A1" display="B2.1.2"/>
    <hyperlink ref="AH64" location="V5.1.3!A1" display="V5.1.3"/>
    <hyperlink ref="AI62" location="B3.2.1!A1" display="B3.2.1"/>
    <hyperlink ref="AH56" location="B3.2.1!A1" display="V3.2.1"/>
    <hyperlink ref="AH73" location="'V1.1.1 DATA'!A1" display="V1.1.1"/>
    <hyperlink ref="AH74" location="'V1.1.2 DATA'!A1" display="V1.1.2"/>
    <hyperlink ref="AH75" location="'V1.1.3 Data'!A1" display="V1.1.3"/>
    <hyperlink ref="AH76" location="'V2.1.1 DATA'!A1" display="V2.1.1"/>
    <hyperlink ref="AH77" location="'V2.1.2 DATA'!A1" display="V2.1.2"/>
    <hyperlink ref="AH79" location="'V3.1.2 DATA'!A1" display="V3.1.2"/>
    <hyperlink ref="AH78" location="'V3.1.1 DATA'!A1" display="V3.1.1"/>
    <hyperlink ref="AH80" location="'V3.1.3 DATA'!A1" display="V3.1.3"/>
    <hyperlink ref="AH81" location="'V3.2.1 DATA'!A1" display="V3.2.1"/>
    <hyperlink ref="AH82" location="'V4.1.1 DATA'!A1" display="V4.1.1"/>
    <hyperlink ref="AH83" location="'V4.2.1 DATA'!A1" display="V4.2.1"/>
    <hyperlink ref="AH85" location="'V4.2.3 DATA'!A1" display="V4.2.3"/>
    <hyperlink ref="AH86" location="'V4.2.4 DATA'!A1" display="V4.2.4"/>
    <hyperlink ref="AH87" location="'V5.1.1 DATA'!A1" display="V5.1.1"/>
    <hyperlink ref="AH88" location="'V5.1.2 DATA'!A1" display="V5.1.2"/>
    <hyperlink ref="AI73" location="'B1.1.1 DATA'!A1" display="B1.1.1"/>
    <hyperlink ref="AI74" location="'B1.2.1 DATA'!A1" display="B1.1.2"/>
    <hyperlink ref="AI75" location="'B1.2.1 DATA'!A1" display="B1.2.1"/>
    <hyperlink ref="AI76" location="'B1.2.2 DATA'!A1" display="B1.2.2"/>
    <hyperlink ref="AI77" location="'B1.2.3 DATA'!A1" display="B1.2.3"/>
    <hyperlink ref="AI78" location="'B2.1.1 DATA'!A1" display="B2.1.1"/>
    <hyperlink ref="AI80" location="'B2.2.1 DATA'!A1" display="B2.2.1"/>
    <hyperlink ref="AI81" location="'B2.2.2 DATA'!A1" display="B2.2.2"/>
    <hyperlink ref="AI82" location="'B2.2.3 DATA'!A1" display="B2.2.3"/>
    <hyperlink ref="AI83" location="'B2.2.4 DATA'!A1" display="B2.2.4"/>
    <hyperlink ref="AI84" location="'B3.1.1 DATA'!A1" display="B3.1.1"/>
    <hyperlink ref="AI85" location="'B3.1.2 DATA'!A1" display="B3.1.2"/>
    <hyperlink ref="AI87" location="'B3.2.1 DATA'!A1" display="B3.2.1"/>
    <hyperlink ref="AI88" location="'B4.1.1 DATA'!A1" display="B4.1.1"/>
    <hyperlink ref="AI89" location="'B5.1.1 DATA'!A1" display="B5.1.1"/>
    <hyperlink ref="AI90" location="'B5.1.2 DATA'!A1" display="B5.1.2"/>
    <hyperlink ref="AI91" location="'B5.1.3 DATA'!A1" display="B5.1.3"/>
    <hyperlink ref="AI79" location="'B2.1.2 DATA'!A1" display="B2.1.2"/>
    <hyperlink ref="AH89" location="'V5.1.3 DATA'!A1" display="V5.1.3"/>
    <hyperlink ref="AI86" location="'B3.1.3 DATA'!A1" display="B3.1.3"/>
    <hyperlink ref="AH84" location="'V4.2.2 DATA'!A1" display="V4.2.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18366"/>
  </sheetPr>
  <dimension ref="A2:AA55"/>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1" ht="21">
      <c r="P2" s="10"/>
      <c r="Q2" s="11"/>
      <c r="R2" s="11"/>
    </row>
    <row r="3" spans="1:21" ht="23.25">
      <c r="B3" s="338" t="s">
        <v>404</v>
      </c>
      <c r="C3" s="338"/>
      <c r="D3" s="338"/>
      <c r="E3" s="338"/>
      <c r="F3" s="338"/>
      <c r="G3" s="338"/>
      <c r="H3" s="338"/>
      <c r="I3" s="338"/>
      <c r="J3" s="338"/>
      <c r="K3" s="338"/>
      <c r="L3" s="338"/>
      <c r="M3" s="338"/>
      <c r="N3" s="338"/>
      <c r="O3" s="338"/>
      <c r="P3" s="338"/>
      <c r="Q3" s="338"/>
      <c r="R3" s="338"/>
      <c r="S3" s="338"/>
      <c r="T3" s="338"/>
    </row>
    <row r="4" spans="1:21" ht="30.75">
      <c r="B4" s="366" t="s">
        <v>497</v>
      </c>
      <c r="C4" s="366"/>
      <c r="D4" s="366"/>
      <c r="E4" s="366"/>
      <c r="F4" s="366"/>
      <c r="G4" s="366"/>
      <c r="H4" s="366"/>
      <c r="I4" s="366"/>
      <c r="J4" s="366"/>
      <c r="K4" s="366"/>
      <c r="L4" s="366"/>
      <c r="M4" s="366"/>
      <c r="N4" s="366"/>
      <c r="O4" s="366"/>
      <c r="P4" s="366"/>
      <c r="Q4" s="366"/>
      <c r="R4" s="366"/>
      <c r="S4" s="366"/>
      <c r="T4" s="366"/>
    </row>
    <row r="5" spans="1:21" ht="18">
      <c r="B5" s="340" t="s">
        <v>313</v>
      </c>
      <c r="C5" s="340"/>
      <c r="D5" s="340"/>
      <c r="E5" s="340"/>
      <c r="F5" s="340"/>
      <c r="G5" s="340"/>
      <c r="H5" s="340"/>
      <c r="I5" s="340"/>
      <c r="J5" s="340"/>
      <c r="K5" s="340"/>
      <c r="L5" s="340"/>
      <c r="M5" s="340"/>
      <c r="N5" s="340"/>
      <c r="O5" s="340"/>
      <c r="P5" s="340"/>
      <c r="Q5" s="340"/>
      <c r="R5" s="340"/>
      <c r="S5" s="340"/>
      <c r="T5" s="340"/>
    </row>
    <row r="6" spans="1:21">
      <c r="P6" s="11"/>
      <c r="Q6" s="11"/>
      <c r="R6" s="11"/>
    </row>
    <row r="7" spans="1:21" ht="15.75">
      <c r="B7" s="26" t="s">
        <v>35</v>
      </c>
      <c r="E7" s="27">
        <v>42977</v>
      </c>
      <c r="I7" s="114"/>
      <c r="P7" s="11"/>
      <c r="Q7" s="11"/>
      <c r="R7" s="342" t="s">
        <v>44</v>
      </c>
      <c r="S7" s="342"/>
      <c r="T7" s="342"/>
    </row>
    <row r="8" spans="1:21">
      <c r="P8" s="11"/>
      <c r="Q8" s="11"/>
      <c r="R8" s="11"/>
    </row>
    <row r="9" spans="1:21" ht="23.65" thickBot="1">
      <c r="B9" s="341" t="s">
        <v>7</v>
      </c>
      <c r="C9" s="341"/>
      <c r="D9" s="341"/>
      <c r="E9" s="341"/>
      <c r="F9" s="341"/>
      <c r="G9" s="341"/>
      <c r="H9" s="341"/>
      <c r="I9" s="341"/>
      <c r="J9" s="341"/>
      <c r="K9" s="341"/>
      <c r="L9" s="341"/>
      <c r="N9" s="331" t="s">
        <v>38</v>
      </c>
      <c r="O9" s="331"/>
      <c r="P9" s="331"/>
      <c r="Q9" s="331"/>
      <c r="R9" s="331"/>
      <c r="S9" s="331"/>
      <c r="T9" s="331"/>
    </row>
    <row r="10" spans="1:21" ht="23.25">
      <c r="B10" s="33"/>
      <c r="C10" s="33"/>
      <c r="D10" s="33"/>
      <c r="E10" s="33"/>
      <c r="F10" s="33"/>
      <c r="G10" s="33"/>
      <c r="H10" s="33"/>
      <c r="I10" s="33"/>
      <c r="J10" s="33"/>
      <c r="K10" s="33"/>
      <c r="L10" s="33"/>
      <c r="N10" s="31"/>
      <c r="O10" s="31"/>
      <c r="P10" s="31"/>
      <c r="Q10" s="31"/>
      <c r="R10" s="31"/>
      <c r="S10" s="31"/>
      <c r="T10" s="31"/>
    </row>
    <row r="11" spans="1:21">
      <c r="B11" s="336" t="s">
        <v>40</v>
      </c>
      <c r="C11" s="336"/>
      <c r="D11" s="336"/>
      <c r="E11" s="336"/>
      <c r="F11" s="336"/>
      <c r="G11" s="336"/>
      <c r="H11" s="336"/>
      <c r="I11" s="336"/>
      <c r="J11" s="336"/>
      <c r="K11" s="336"/>
      <c r="L11" s="336"/>
      <c r="N11" s="87" t="s">
        <v>211</v>
      </c>
      <c r="O11" s="87" t="s">
        <v>286</v>
      </c>
      <c r="P11" s="86"/>
      <c r="Q11" s="86"/>
    </row>
    <row r="12" spans="1:21">
      <c r="B12" s="1"/>
      <c r="C12" s="337" t="s">
        <v>604</v>
      </c>
      <c r="D12" s="337"/>
      <c r="E12" s="337"/>
      <c r="F12" s="337"/>
      <c r="G12" s="337"/>
      <c r="H12" s="337"/>
      <c r="I12" s="337"/>
      <c r="J12" s="337"/>
      <c r="K12" s="337"/>
      <c r="L12" s="337"/>
      <c r="N12" s="87" t="s">
        <v>287</v>
      </c>
      <c r="O12" s="86" t="s">
        <v>42</v>
      </c>
      <c r="P12" s="86" t="s">
        <v>6</v>
      </c>
      <c r="Q12" s="86" t="s">
        <v>5</v>
      </c>
    </row>
    <row r="13" spans="1:21">
      <c r="B13" s="32"/>
      <c r="C13" s="332" t="s">
        <v>605</v>
      </c>
      <c r="D13" s="332"/>
      <c r="E13" s="332"/>
      <c r="F13" s="332"/>
      <c r="G13" s="332"/>
      <c r="H13" s="332"/>
      <c r="I13" s="332"/>
      <c r="J13" s="332"/>
      <c r="K13" s="332"/>
      <c r="L13" s="332"/>
      <c r="N13" s="88">
        <v>2016</v>
      </c>
      <c r="O13" s="86">
        <v>5.6240553655238251E-2</v>
      </c>
      <c r="P13" s="86">
        <v>5.0348698758292225E-2</v>
      </c>
      <c r="Q13" s="86">
        <v>5.7476635514018694E-2</v>
      </c>
    </row>
    <row r="14" spans="1:21">
      <c r="B14" s="32"/>
      <c r="C14" s="333" t="s">
        <v>292</v>
      </c>
      <c r="D14" s="333"/>
      <c r="E14" s="333"/>
      <c r="F14" s="333"/>
      <c r="G14" s="333"/>
      <c r="H14" s="333"/>
      <c r="I14" s="333"/>
      <c r="J14" s="333"/>
      <c r="K14" s="333"/>
      <c r="L14" s="333"/>
      <c r="N14" s="88">
        <v>2017</v>
      </c>
      <c r="O14" s="86"/>
      <c r="P14" s="86"/>
      <c r="Q14" s="86"/>
      <c r="U14" s="2"/>
    </row>
    <row r="15" spans="1:21">
      <c r="B15" s="32"/>
      <c r="C15" s="333" t="s">
        <v>603</v>
      </c>
      <c r="D15" s="333"/>
      <c r="E15" s="333"/>
      <c r="F15" s="333"/>
      <c r="G15" s="333"/>
      <c r="H15" s="333"/>
      <c r="I15" s="333"/>
      <c r="J15" s="333"/>
      <c r="K15" s="333"/>
      <c r="L15" s="333"/>
      <c r="N15" s="88">
        <v>2018</v>
      </c>
      <c r="O15" s="86"/>
      <c r="P15" s="86"/>
      <c r="Q15" s="86"/>
      <c r="U15" s="2"/>
    </row>
    <row r="16" spans="1:21">
      <c r="A16" s="3"/>
      <c r="B16" s="32"/>
      <c r="C16" s="47"/>
      <c r="D16" s="47"/>
      <c r="E16" s="47"/>
      <c r="F16" s="47"/>
      <c r="G16" s="47"/>
      <c r="H16" s="47"/>
      <c r="I16" s="47"/>
      <c r="J16" s="47"/>
      <c r="K16" s="47"/>
      <c r="L16" s="32"/>
      <c r="N16" s="88">
        <v>2019</v>
      </c>
      <c r="O16" s="86"/>
      <c r="P16" s="86"/>
      <c r="Q16" s="86"/>
      <c r="U16" s="2"/>
    </row>
    <row r="17" spans="1:26" ht="14.45" customHeight="1">
      <c r="A17" s="3"/>
      <c r="B17" s="336" t="s">
        <v>41</v>
      </c>
      <c r="C17" s="336"/>
      <c r="D17" s="336"/>
      <c r="E17" s="336"/>
      <c r="F17" s="336"/>
      <c r="G17" s="336"/>
      <c r="H17" s="336"/>
      <c r="I17" s="336"/>
      <c r="J17" s="336"/>
      <c r="K17" s="336"/>
      <c r="L17" s="336"/>
      <c r="N17" s="88">
        <v>2020</v>
      </c>
      <c r="O17" s="86"/>
      <c r="P17" s="86"/>
      <c r="Q17" s="86"/>
      <c r="U17" s="2"/>
    </row>
    <row r="18" spans="1:26" ht="14.45" customHeight="1">
      <c r="A18" s="3"/>
      <c r="B18" s="119"/>
      <c r="C18" s="333" t="s">
        <v>295</v>
      </c>
      <c r="D18" s="333"/>
      <c r="E18" s="333"/>
      <c r="F18" s="333"/>
      <c r="G18" s="333"/>
      <c r="H18" s="333"/>
      <c r="I18" s="333"/>
      <c r="J18" s="333"/>
      <c r="K18" s="333"/>
      <c r="L18" s="333"/>
      <c r="N18" s="88">
        <v>2021</v>
      </c>
      <c r="O18" s="86"/>
      <c r="P18" s="86"/>
      <c r="Q18" s="86"/>
      <c r="U18" s="2"/>
    </row>
    <row r="19" spans="1:26" ht="14.45" customHeight="1">
      <c r="A19" s="3"/>
      <c r="B19" s="117"/>
      <c r="C19" s="333" t="s">
        <v>359</v>
      </c>
      <c r="D19" s="333"/>
      <c r="E19" s="333"/>
      <c r="F19" s="333"/>
      <c r="G19" s="333"/>
      <c r="H19" s="333"/>
      <c r="I19" s="333"/>
      <c r="J19" s="333"/>
      <c r="K19" s="333"/>
      <c r="L19" s="333"/>
      <c r="N19" s="88">
        <v>2022</v>
      </c>
      <c r="O19" s="86"/>
      <c r="P19" s="86"/>
      <c r="Q19" s="86"/>
      <c r="U19" s="2"/>
    </row>
    <row r="20" spans="1:26" ht="14.45" customHeight="1">
      <c r="A20" s="3"/>
      <c r="B20" s="117"/>
      <c r="C20" s="333" t="s">
        <v>369</v>
      </c>
      <c r="D20" s="333"/>
      <c r="E20" s="333"/>
      <c r="F20" s="333"/>
      <c r="G20" s="333"/>
      <c r="H20" s="333"/>
      <c r="I20" s="333"/>
      <c r="J20" s="333"/>
      <c r="K20" s="333"/>
      <c r="L20" s="333"/>
      <c r="N20" s="88">
        <v>2023</v>
      </c>
      <c r="O20" s="86"/>
      <c r="P20" s="86"/>
      <c r="Q20" s="86"/>
      <c r="U20" s="2"/>
    </row>
    <row r="21" spans="1:26" ht="14.45" customHeight="1">
      <c r="A21" s="3"/>
      <c r="B21" s="117"/>
      <c r="C21" s="58" t="str">
        <f>"--&gt;"</f>
        <v>--&gt;</v>
      </c>
      <c r="D21" s="334" t="s">
        <v>285</v>
      </c>
      <c r="E21" s="334"/>
      <c r="F21" s="334"/>
      <c r="G21" s="334"/>
      <c r="H21" s="334"/>
      <c r="I21" s="334"/>
      <c r="J21" s="334"/>
      <c r="K21" s="334"/>
      <c r="L21" s="334"/>
      <c r="N21" s="88">
        <v>2024</v>
      </c>
      <c r="O21" s="86"/>
      <c r="P21" s="86"/>
      <c r="Q21" s="86"/>
      <c r="U21" s="2"/>
    </row>
    <row r="22" spans="1:26">
      <c r="A22" s="3"/>
      <c r="B22" s="117"/>
      <c r="C22" s="117"/>
      <c r="D22" s="334"/>
      <c r="E22" s="334"/>
      <c r="F22" s="334"/>
      <c r="G22" s="334"/>
      <c r="H22" s="334"/>
      <c r="I22" s="334"/>
      <c r="J22" s="334"/>
      <c r="K22" s="334"/>
      <c r="L22" s="334"/>
      <c r="N22" s="88">
        <v>2025</v>
      </c>
      <c r="O22" s="86"/>
      <c r="P22" s="86"/>
      <c r="Q22" s="86"/>
      <c r="U22" s="2"/>
    </row>
    <row r="23" spans="1:26" ht="14.45" customHeight="1">
      <c r="A23" s="3"/>
      <c r="B23" s="117"/>
      <c r="C23" s="333" t="s">
        <v>356</v>
      </c>
      <c r="D23" s="333"/>
      <c r="E23" s="333"/>
      <c r="F23" s="333"/>
      <c r="G23" s="333"/>
      <c r="H23" s="333"/>
      <c r="I23" s="333"/>
      <c r="J23" s="333"/>
      <c r="K23" s="333"/>
      <c r="L23" s="333"/>
      <c r="U23" s="2"/>
    </row>
    <row r="24" spans="1:26">
      <c r="A24" s="3"/>
      <c r="B24" s="117"/>
      <c r="C24" s="333"/>
      <c r="D24" s="333"/>
      <c r="E24" s="333"/>
      <c r="F24" s="333"/>
      <c r="G24" s="333"/>
      <c r="H24" s="333"/>
      <c r="I24" s="333"/>
      <c r="J24" s="333"/>
      <c r="K24" s="333"/>
      <c r="L24" s="333"/>
      <c r="Q24" s="2"/>
      <c r="R24" s="2"/>
      <c r="S24" s="2"/>
      <c r="T24" s="2"/>
      <c r="U24" s="2"/>
    </row>
    <row r="25" spans="1:26">
      <c r="A25" s="3"/>
      <c r="B25" s="117"/>
      <c r="C25" s="333"/>
      <c r="D25" s="333"/>
      <c r="E25" s="333"/>
      <c r="F25" s="333"/>
      <c r="G25" s="333"/>
      <c r="H25" s="333"/>
      <c r="I25" s="333"/>
      <c r="J25" s="333"/>
      <c r="K25" s="333"/>
      <c r="L25" s="333"/>
      <c r="S25" s="11"/>
      <c r="T25" s="11"/>
    </row>
    <row r="26" spans="1:26" ht="14.45" customHeight="1">
      <c r="A26" s="3"/>
      <c r="B26" s="117"/>
      <c r="C26" s="335" t="s">
        <v>298</v>
      </c>
      <c r="D26" s="335"/>
      <c r="E26" s="335"/>
      <c r="F26" s="335"/>
      <c r="G26" s="335"/>
      <c r="H26" s="335"/>
      <c r="I26" s="335"/>
      <c r="J26" s="335"/>
      <c r="K26" s="335"/>
      <c r="L26" s="335"/>
      <c r="S26" s="11"/>
      <c r="T26" s="11"/>
    </row>
    <row r="27" spans="1:26">
      <c r="B27" s="118"/>
      <c r="C27" s="335"/>
      <c r="D27" s="335"/>
      <c r="E27" s="335"/>
      <c r="F27" s="335"/>
      <c r="G27" s="335"/>
      <c r="H27" s="335"/>
      <c r="I27" s="335"/>
      <c r="J27" s="335"/>
      <c r="K27" s="335"/>
      <c r="L27" s="335"/>
      <c r="Q27" s="2"/>
      <c r="S27" s="11"/>
      <c r="T27" s="11"/>
    </row>
    <row r="28" spans="1:26">
      <c r="B28" s="118"/>
      <c r="C28" s="335"/>
      <c r="D28" s="335"/>
      <c r="E28" s="335"/>
      <c r="F28" s="335"/>
      <c r="G28" s="335"/>
      <c r="H28" s="335"/>
      <c r="I28" s="335"/>
      <c r="J28" s="335"/>
      <c r="K28" s="335"/>
      <c r="L28" s="335"/>
      <c r="Q28" s="2"/>
      <c r="S28" s="11"/>
      <c r="T28" s="11"/>
    </row>
    <row r="29" spans="1:26">
      <c r="B29" s="83"/>
      <c r="C29" s="351"/>
      <c r="D29" s="351"/>
      <c r="E29" s="351"/>
      <c r="F29" s="351"/>
      <c r="G29" s="351"/>
      <c r="H29" s="351"/>
      <c r="I29" s="351"/>
      <c r="J29" s="351"/>
      <c r="K29" s="351"/>
      <c r="L29" s="351"/>
      <c r="S29" s="11"/>
      <c r="T29" s="11"/>
    </row>
    <row r="30" spans="1:26">
      <c r="B30" s="122"/>
      <c r="C30" s="351"/>
      <c r="D30" s="351"/>
      <c r="E30" s="351"/>
      <c r="F30" s="351"/>
      <c r="G30" s="351"/>
      <c r="H30" s="351"/>
      <c r="I30" s="351"/>
      <c r="J30" s="351"/>
      <c r="K30" s="351"/>
      <c r="L30" s="351"/>
      <c r="M30" s="9"/>
      <c r="N30" s="31"/>
      <c r="O30" s="34"/>
      <c r="P30" s="35"/>
      <c r="Q30" s="35"/>
      <c r="R30" s="35"/>
      <c r="S30" s="35"/>
      <c r="T30" s="31"/>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7">
      <c r="B34" s="1"/>
      <c r="C34" s="1"/>
      <c r="D34" s="1"/>
      <c r="E34" s="1"/>
      <c r="F34" s="1"/>
      <c r="G34" s="1"/>
      <c r="H34" s="1"/>
      <c r="I34" s="1"/>
      <c r="J34" s="1"/>
      <c r="K34" s="1"/>
      <c r="L34" s="1"/>
      <c r="M34" s="1"/>
      <c r="N34" s="1"/>
      <c r="O34" s="1"/>
      <c r="P34" s="1"/>
      <c r="Q34" s="1"/>
      <c r="R34" s="1"/>
      <c r="S34" s="1"/>
      <c r="T34" s="1"/>
      <c r="V34" s="56" t="s">
        <v>61</v>
      </c>
      <c r="W34" s="56" t="s">
        <v>62</v>
      </c>
      <c r="X34" s="11"/>
      <c r="Y34" s="56" t="s">
        <v>61</v>
      </c>
      <c r="Z34" s="56" t="s">
        <v>62</v>
      </c>
    </row>
    <row r="35" spans="1:27">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7">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7">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7">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7">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7">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7">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7">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7">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7">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7">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7">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row>
    <row r="47" spans="1:27">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c r="AA47" s="9"/>
    </row>
    <row r="48" spans="1:27">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c r="AA48" s="9"/>
    </row>
    <row r="49" spans="2:27">
      <c r="B49" s="1"/>
      <c r="C49" s="1"/>
      <c r="D49" s="1"/>
      <c r="E49" s="1"/>
      <c r="F49" s="1"/>
      <c r="G49" s="1"/>
      <c r="H49" s="1"/>
      <c r="I49" s="1"/>
      <c r="J49" s="1"/>
      <c r="K49" s="1"/>
      <c r="L49" s="1"/>
      <c r="M49" s="1"/>
      <c r="N49" s="1"/>
      <c r="O49" s="1"/>
      <c r="P49" s="1"/>
      <c r="Q49" s="1"/>
      <c r="R49" s="1"/>
      <c r="S49" s="1"/>
      <c r="T49" s="1"/>
      <c r="V49" s="244" t="s">
        <v>445</v>
      </c>
      <c r="W49" s="244" t="s">
        <v>462</v>
      </c>
      <c r="X49" s="9"/>
      <c r="Y49" s="244" t="s">
        <v>445</v>
      </c>
      <c r="Z49" s="244" t="s">
        <v>462</v>
      </c>
      <c r="AA49" s="9"/>
    </row>
    <row r="50" spans="2:27">
      <c r="B50" s="1"/>
      <c r="C50" s="1"/>
      <c r="D50" s="1"/>
      <c r="E50" s="1"/>
      <c r="F50" s="1"/>
      <c r="G50" s="1"/>
      <c r="H50" s="1"/>
      <c r="I50" s="1"/>
      <c r="J50" s="1"/>
      <c r="K50" s="1"/>
      <c r="L50" s="1"/>
      <c r="M50" s="1"/>
      <c r="N50" s="1"/>
      <c r="O50" s="1"/>
      <c r="P50" s="1"/>
      <c r="Q50" s="1"/>
      <c r="R50" s="1"/>
      <c r="S50" s="1"/>
      <c r="T50" s="1"/>
      <c r="V50" s="246" t="s">
        <v>446</v>
      </c>
      <c r="W50" s="244" t="s">
        <v>463</v>
      </c>
      <c r="X50" s="9"/>
      <c r="Y50" s="246" t="s">
        <v>446</v>
      </c>
      <c r="Z50" s="244" t="s">
        <v>463</v>
      </c>
      <c r="AA50" s="9"/>
    </row>
    <row r="51" spans="2:27">
      <c r="B51" s="1"/>
      <c r="C51" s="1"/>
      <c r="D51" s="1"/>
      <c r="E51" s="1"/>
      <c r="F51" s="1"/>
      <c r="G51" s="1"/>
      <c r="H51" s="1"/>
      <c r="I51" s="1"/>
      <c r="J51" s="1"/>
      <c r="K51" s="1"/>
      <c r="L51" s="1"/>
      <c r="M51" s="1"/>
      <c r="N51" s="1"/>
      <c r="O51" s="1"/>
      <c r="P51" s="1"/>
      <c r="Q51" s="1"/>
      <c r="R51" s="1"/>
      <c r="S51" s="1"/>
      <c r="T51" s="1"/>
      <c r="V51" s="247" t="s">
        <v>447</v>
      </c>
      <c r="W51" s="244" t="s">
        <v>464</v>
      </c>
      <c r="X51" s="9"/>
      <c r="Y51" s="247" t="s">
        <v>447</v>
      </c>
      <c r="Z51" s="244" t="s">
        <v>464</v>
      </c>
      <c r="AA51" s="9"/>
    </row>
    <row r="52" spans="2:27">
      <c r="B52" s="1"/>
      <c r="C52" s="1"/>
      <c r="D52" s="1"/>
      <c r="E52" s="1"/>
      <c r="F52" s="1"/>
      <c r="G52" s="1"/>
      <c r="H52" s="1"/>
      <c r="I52" s="1"/>
      <c r="J52" s="1"/>
      <c r="K52" s="1"/>
      <c r="L52" s="1"/>
      <c r="M52" s="1"/>
      <c r="N52" s="1"/>
      <c r="O52" s="1"/>
      <c r="P52" s="1"/>
      <c r="Q52" s="1"/>
      <c r="R52" s="1"/>
      <c r="S52" s="1"/>
      <c r="T52" s="1"/>
      <c r="V52" s="295"/>
      <c r="W52" s="244" t="s">
        <v>465</v>
      </c>
      <c r="X52" s="9"/>
      <c r="Y52" s="284"/>
      <c r="Z52" s="244" t="s">
        <v>465</v>
      </c>
      <c r="AA52" s="9"/>
    </row>
    <row r="53" spans="2:27">
      <c r="B53" s="1"/>
      <c r="C53" s="1"/>
      <c r="D53" s="1"/>
      <c r="E53" s="1"/>
      <c r="F53" s="1"/>
      <c r="G53" s="1"/>
      <c r="H53" s="1"/>
      <c r="I53" s="1"/>
      <c r="J53" s="1"/>
      <c r="K53" s="1"/>
      <c r="L53" s="1"/>
      <c r="M53" s="1"/>
      <c r="N53" s="1"/>
      <c r="O53" s="1"/>
      <c r="P53" s="1"/>
      <c r="Q53" s="1"/>
      <c r="R53" s="1"/>
      <c r="S53" s="1"/>
      <c r="T53" s="1"/>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sheetData>
  <mergeCells count="24">
    <mergeCell ref="B11:L11"/>
    <mergeCell ref="C12:L12"/>
    <mergeCell ref="C13:L13"/>
    <mergeCell ref="C14:L14"/>
    <mergeCell ref="B3:T3"/>
    <mergeCell ref="B4:T4"/>
    <mergeCell ref="B5:T5"/>
    <mergeCell ref="R7:T7"/>
    <mergeCell ref="B9:L9"/>
    <mergeCell ref="N9:T9"/>
    <mergeCell ref="Y32:Z32"/>
    <mergeCell ref="Y33:Z33"/>
    <mergeCell ref="V33:W33"/>
    <mergeCell ref="C15:L15"/>
    <mergeCell ref="B17:L17"/>
    <mergeCell ref="C18:L18"/>
    <mergeCell ref="C19:L19"/>
    <mergeCell ref="C20:L20"/>
    <mergeCell ref="D21:L22"/>
    <mergeCell ref="C23:L25"/>
    <mergeCell ref="C26:L28"/>
    <mergeCell ref="C29:L30"/>
    <mergeCell ref="B32:T32"/>
    <mergeCell ref="V32:W32"/>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B49073"/>
  </sheetPr>
  <dimension ref="A1:BN114"/>
  <sheetViews>
    <sheetView showGridLines="0" showRowColHeaders="0" zoomScale="70" zoomScaleNormal="70" workbookViewId="0"/>
  </sheetViews>
  <sheetFormatPr defaultRowHeight="14.25"/>
  <cols>
    <col min="1" max="1" width="15.796875" customWidth="1"/>
    <col min="2" max="2" width="26.796875" customWidth="1"/>
    <col min="3" max="32" width="15.796875" customWidth="1"/>
    <col min="34" max="35" width="12.796875" customWidth="1"/>
  </cols>
  <sheetData>
    <row r="1" spans="1:60" ht="15.75">
      <c r="A1" s="16" t="s">
        <v>275</v>
      </c>
      <c r="B1" s="84"/>
      <c r="C1" s="84"/>
      <c r="D1" s="84"/>
      <c r="E1" s="84"/>
      <c r="F1" s="84"/>
      <c r="G1" s="84"/>
      <c r="H1" s="84"/>
      <c r="J1" s="114" t="s">
        <v>272</v>
      </c>
    </row>
    <row r="2" spans="1:60" ht="15.75">
      <c r="A2" s="26" t="s">
        <v>34</v>
      </c>
      <c r="D2" s="27">
        <v>42977</v>
      </c>
      <c r="K2" s="342" t="s">
        <v>44</v>
      </c>
      <c r="L2" s="342"/>
      <c r="M2" s="342"/>
    </row>
    <row r="3" spans="1:60" ht="23.25">
      <c r="A3" s="354" t="s">
        <v>7</v>
      </c>
      <c r="B3" s="354"/>
      <c r="C3" s="354"/>
      <c r="D3" s="354"/>
      <c r="E3" s="354"/>
      <c r="F3" s="354"/>
      <c r="G3" s="354"/>
      <c r="H3" s="354"/>
      <c r="I3" s="198"/>
      <c r="J3" s="198"/>
      <c r="K3" s="198"/>
      <c r="L3" s="198"/>
      <c r="M3" s="198"/>
    </row>
    <row r="4" spans="1:60">
      <c r="A4" s="119"/>
      <c r="B4" s="119"/>
      <c r="C4" s="119"/>
      <c r="D4" s="119"/>
      <c r="E4" s="119"/>
      <c r="F4" s="119"/>
      <c r="G4" s="119"/>
      <c r="H4" s="119"/>
      <c r="I4" s="119"/>
      <c r="J4" s="119"/>
      <c r="K4" s="119"/>
      <c r="L4" s="119"/>
      <c r="M4" s="119"/>
    </row>
    <row r="5" spans="1:60">
      <c r="A5" s="119"/>
      <c r="B5" s="352" t="s">
        <v>374</v>
      </c>
      <c r="C5" s="352"/>
      <c r="D5" s="352"/>
      <c r="E5" s="352"/>
      <c r="F5" s="352"/>
      <c r="G5" s="352"/>
      <c r="H5" s="352"/>
      <c r="I5" s="352"/>
      <c r="J5" s="352"/>
      <c r="K5" s="352"/>
      <c r="L5" s="352"/>
      <c r="M5" s="119"/>
    </row>
    <row r="6" spans="1:60">
      <c r="A6" s="119"/>
      <c r="B6" s="352" t="s">
        <v>360</v>
      </c>
      <c r="C6" s="352"/>
      <c r="D6" s="352"/>
      <c r="E6" s="352"/>
      <c r="F6" s="352"/>
      <c r="G6" s="352"/>
      <c r="H6" s="352"/>
      <c r="I6" s="352"/>
      <c r="J6" s="352"/>
      <c r="K6" s="352"/>
      <c r="L6" s="352"/>
      <c r="M6" s="119"/>
    </row>
    <row r="7" spans="1:60">
      <c r="A7" s="119"/>
      <c r="B7" s="353" t="s">
        <v>606</v>
      </c>
      <c r="C7" s="353"/>
      <c r="D7" s="353"/>
      <c r="E7" s="353"/>
      <c r="F7" s="353"/>
      <c r="G7" s="353"/>
      <c r="H7" s="353"/>
      <c r="I7" s="353"/>
      <c r="J7" s="353"/>
      <c r="K7" s="353"/>
      <c r="L7" s="353"/>
      <c r="M7" s="119"/>
    </row>
    <row r="8" spans="1:60">
      <c r="A8" s="119"/>
      <c r="B8" s="353" t="s">
        <v>607</v>
      </c>
      <c r="C8" s="353"/>
      <c r="D8" s="353"/>
      <c r="E8" s="353"/>
      <c r="F8" s="353"/>
      <c r="G8" s="353"/>
      <c r="H8" s="353"/>
      <c r="I8" s="353"/>
      <c r="J8" s="353"/>
      <c r="K8" s="353"/>
      <c r="L8" s="353"/>
      <c r="M8" s="119"/>
    </row>
    <row r="9" spans="1:60">
      <c r="A9" s="119"/>
      <c r="B9" s="374"/>
      <c r="C9" s="374"/>
      <c r="D9" s="374"/>
      <c r="E9" s="374"/>
      <c r="F9" s="374"/>
      <c r="G9" s="374"/>
      <c r="H9" s="374"/>
      <c r="I9" s="374"/>
      <c r="J9" s="374"/>
      <c r="K9" s="374"/>
      <c r="L9" s="374"/>
      <c r="M9" s="119"/>
    </row>
    <row r="10" spans="1:60" ht="15.75">
      <c r="A10" s="26"/>
      <c r="D10" s="27"/>
    </row>
    <row r="11" spans="1:60">
      <c r="A11" s="133" t="s">
        <v>2</v>
      </c>
      <c r="B11" s="133" t="s">
        <v>3</v>
      </c>
      <c r="C11" s="133" t="s">
        <v>159</v>
      </c>
      <c r="D11" s="133" t="s">
        <v>194</v>
      </c>
      <c r="E11" s="133" t="s">
        <v>189</v>
      </c>
      <c r="F11" s="133" t="s">
        <v>184</v>
      </c>
      <c r="G11" s="133" t="s">
        <v>182</v>
      </c>
      <c r="H11" s="133" t="s">
        <v>163</v>
      </c>
      <c r="I11" s="133" t="s">
        <v>164</v>
      </c>
      <c r="J11" s="133" t="s">
        <v>143</v>
      </c>
      <c r="K11" s="133" t="s">
        <v>165</v>
      </c>
      <c r="L11" s="133" t="s">
        <v>154</v>
      </c>
      <c r="M11" s="133" t="s">
        <v>167</v>
      </c>
      <c r="N11" s="133" t="s">
        <v>181</v>
      </c>
      <c r="O11" s="133" t="s">
        <v>168</v>
      </c>
      <c r="P11" s="133" t="s">
        <v>169</v>
      </c>
      <c r="Q11" s="133" t="s">
        <v>160</v>
      </c>
      <c r="R11" s="133" t="s">
        <v>179</v>
      </c>
      <c r="S11" s="133" t="s">
        <v>170</v>
      </c>
      <c r="T11" s="133" t="s">
        <v>152</v>
      </c>
      <c r="U11" s="133" t="s">
        <v>146</v>
      </c>
      <c r="V11" s="133" t="s">
        <v>171</v>
      </c>
      <c r="W11" s="133" t="s">
        <v>185</v>
      </c>
      <c r="X11" s="133" t="s">
        <v>142</v>
      </c>
      <c r="Y11" s="133" t="s">
        <v>148</v>
      </c>
      <c r="Z11" s="133" t="s">
        <v>156</v>
      </c>
      <c r="AA11" s="133" t="s">
        <v>149</v>
      </c>
      <c r="AB11" s="133" t="s">
        <v>157</v>
      </c>
      <c r="AC11" s="133" t="s">
        <v>172</v>
      </c>
      <c r="AD11" s="133" t="s">
        <v>173</v>
      </c>
      <c r="AE11" s="133" t="s">
        <v>147</v>
      </c>
      <c r="AF11" s="133" t="s">
        <v>193</v>
      </c>
      <c r="AG11" s="133" t="s">
        <v>190</v>
      </c>
      <c r="AH11" s="133" t="s">
        <v>187</v>
      </c>
      <c r="AI11" s="133" t="s">
        <v>145</v>
      </c>
      <c r="AJ11" s="133" t="s">
        <v>174</v>
      </c>
      <c r="AK11" s="133" t="s">
        <v>175</v>
      </c>
      <c r="AL11" s="133" t="s">
        <v>161</v>
      </c>
      <c r="AM11" s="133" t="s">
        <v>186</v>
      </c>
      <c r="AN11" s="133" t="s">
        <v>191</v>
      </c>
      <c r="AO11" s="133" t="s">
        <v>176</v>
      </c>
      <c r="AP11" s="133" t="s">
        <v>150</v>
      </c>
      <c r="AQ11" s="133" t="s">
        <v>183</v>
      </c>
      <c r="AR11" s="133" t="s">
        <v>177</v>
      </c>
      <c r="AS11" s="133" t="s">
        <v>180</v>
      </c>
      <c r="AT11" s="133" t="s">
        <v>151</v>
      </c>
      <c r="AU11" s="133" t="s">
        <v>144</v>
      </c>
      <c r="AV11" s="133" t="s">
        <v>192</v>
      </c>
      <c r="AW11" s="133" t="s">
        <v>268</v>
      </c>
      <c r="AX11" s="133" t="s">
        <v>269</v>
      </c>
      <c r="AY11" s="133" t="s">
        <v>270</v>
      </c>
      <c r="AZ11" s="133" t="s">
        <v>271</v>
      </c>
      <c r="BA11" s="133" t="s">
        <v>209</v>
      </c>
      <c r="BB11" s="43"/>
      <c r="BC11" s="43"/>
      <c r="BD11" s="43"/>
      <c r="BE11" s="43"/>
      <c r="BF11" s="43"/>
      <c r="BG11" s="9"/>
      <c r="BH11" s="9"/>
    </row>
    <row r="12" spans="1:60">
      <c r="A12" s="2">
        <v>2016</v>
      </c>
      <c r="B12" t="s">
        <v>5</v>
      </c>
      <c r="C12" s="199">
        <f>0.01*$C$47</f>
        <v>5.6962025316455701E-2</v>
      </c>
      <c r="D12" s="199">
        <f>0.01*$C$48</f>
        <v>3.8043478260869568E-2</v>
      </c>
      <c r="E12" s="199">
        <f>0.01*$C$49</f>
        <v>0</v>
      </c>
      <c r="F12" s="199">
        <f>0.01*$C$50</f>
        <v>0</v>
      </c>
      <c r="G12" s="199">
        <f>0.01*$C$51</f>
        <v>6.6489361702127658E-2</v>
      </c>
      <c r="H12" s="199">
        <f>0.01*$C$52</f>
        <v>0</v>
      </c>
      <c r="I12" s="199">
        <f>0.01*$C$53</f>
        <v>4.2253521126760563E-2</v>
      </c>
      <c r="J12" s="199">
        <f>0.01*$C$54</f>
        <v>0</v>
      </c>
      <c r="K12" s="199">
        <f>0.01*$C$55</f>
        <v>0</v>
      </c>
      <c r="L12" s="199">
        <f>0.01*$C$56</f>
        <v>6.5537957400327695E-2</v>
      </c>
      <c r="M12" s="199">
        <f>0.01*$C$57</f>
        <v>5.6603773584905669E-2</v>
      </c>
      <c r="N12" s="199">
        <f>0.01*$C$58</f>
        <v>0</v>
      </c>
      <c r="O12" s="199">
        <f>0.01*$C$59</f>
        <v>0</v>
      </c>
      <c r="P12" s="199">
        <f>0.01*$C$60</f>
        <v>0</v>
      </c>
      <c r="Q12" s="199">
        <f>0.01*$C$61</f>
        <v>5.8823529411764705E-2</v>
      </c>
      <c r="R12" s="199">
        <f>0.01*$C$62</f>
        <v>9.3023255813953501E-2</v>
      </c>
      <c r="S12" s="199">
        <f>0.01*$C$63</f>
        <v>5.5214723926380369E-2</v>
      </c>
      <c r="T12" s="199">
        <f>0.01*$C$64</f>
        <v>4.4444444444444446E-2</v>
      </c>
      <c r="U12" s="199">
        <f>0.01*$C$65</f>
        <v>0</v>
      </c>
      <c r="V12" s="199">
        <f>0.01*$C$66</f>
        <v>0.1111111111111111</v>
      </c>
      <c r="W12" s="199">
        <f>0.01*$C$67</f>
        <v>2.4539877300613498E-2</v>
      </c>
      <c r="X12" s="199">
        <f>0.01*$C$68</f>
        <v>0</v>
      </c>
      <c r="Y12" s="199">
        <f>0.01*$C$69</f>
        <v>0</v>
      </c>
      <c r="Z12" s="199">
        <f>0.01*$C$70</f>
        <v>5.3846153846153849E-2</v>
      </c>
      <c r="AA12" s="199">
        <f>0.01*$C$71</f>
        <v>6.5573770491803282E-2</v>
      </c>
      <c r="AB12" s="199">
        <f>0.01*$C$72</f>
        <v>3.2085561497326207E-2</v>
      </c>
      <c r="AC12" s="199">
        <f>0.01*$C$73</f>
        <v>1.2345679012345678E-2</v>
      </c>
      <c r="AD12" s="199">
        <f>0.01*$C$74</f>
        <v>5.5045871559633038E-2</v>
      </c>
      <c r="AE12" s="199">
        <f>0.01*$C$75</f>
        <v>0</v>
      </c>
      <c r="AF12" s="199">
        <f>0.01*$C$76</f>
        <v>7.43801652892562E-2</v>
      </c>
      <c r="AG12" s="199">
        <f>0.01*$C$77</f>
        <v>0</v>
      </c>
      <c r="AH12" s="199">
        <f>0.01*$C$78</f>
        <v>0</v>
      </c>
      <c r="AI12" s="199">
        <f>0.01*$C$79</f>
        <v>4.2553191489361701E-2</v>
      </c>
      <c r="AJ12" s="199">
        <f>0.01*$C$80</f>
        <v>0</v>
      </c>
      <c r="AK12" s="199">
        <f>0.01*$C$81</f>
        <v>0</v>
      </c>
      <c r="AL12" s="199">
        <f>0.01*$C$82</f>
        <v>5.1724137931034482E-2</v>
      </c>
      <c r="AM12" s="199">
        <f>0.01*$C$83</f>
        <v>2.0408163265306124E-2</v>
      </c>
      <c r="AN12" s="199">
        <f>0.01*$C$84</f>
        <v>5.9040590405904057E-2</v>
      </c>
      <c r="AO12" s="199">
        <f>0.01*$C$85</f>
        <v>0</v>
      </c>
      <c r="AP12" s="199">
        <f>0.01*$C$86</f>
        <v>4.633204633204633E-2</v>
      </c>
      <c r="AQ12" s="199">
        <f>0.01*$C$87</f>
        <v>4.3859649122807015E-2</v>
      </c>
      <c r="AR12" s="199">
        <f>0.01*$C$88</f>
        <v>4.6153846153846156E-2</v>
      </c>
      <c r="AS12" s="199">
        <f>0.01*$C$89</f>
        <v>0</v>
      </c>
      <c r="AT12" s="199">
        <f>0.01*$C$90</f>
        <v>6.2146892655367235E-2</v>
      </c>
      <c r="AU12" s="199">
        <f>0.01*$C$91</f>
        <v>1.4925373134328358E-2</v>
      </c>
      <c r="AV12" s="199">
        <f>0.01*$C$92</f>
        <v>6.6666666666666666E-2</v>
      </c>
      <c r="AW12" s="199">
        <f>0.01*$C$94</f>
        <v>5.4276315789473693E-2</v>
      </c>
      <c r="AX12" s="199">
        <f>0.01*$C$95</f>
        <v>6.1509785647716683E-2</v>
      </c>
      <c r="AY12" s="199">
        <f>0.01*$C$96</f>
        <v>5.4377880184331796E-2</v>
      </c>
      <c r="AZ12" s="199">
        <f>0.01*$C$97</f>
        <v>4.6538024971623154E-2</v>
      </c>
      <c r="BA12" s="199">
        <f>0.01*$C$98</f>
        <v>5.7476635514018694E-2</v>
      </c>
      <c r="BB12" s="174"/>
      <c r="BC12" s="174"/>
      <c r="BD12" s="174"/>
      <c r="BE12" s="174"/>
      <c r="BF12" s="174"/>
      <c r="BG12" s="9"/>
      <c r="BH12" s="9"/>
    </row>
    <row r="13" spans="1:60">
      <c r="A13">
        <v>2016</v>
      </c>
      <c r="B13" t="s">
        <v>6</v>
      </c>
      <c r="C13" s="199">
        <f>0.01*$D$47</f>
        <v>7.9136690647482008E-2</v>
      </c>
      <c r="D13" s="199">
        <f>0.01*$D$48</f>
        <v>3.5714285714285712E-2</v>
      </c>
      <c r="E13" s="199">
        <f>0.01*$D$49</f>
        <v>0</v>
      </c>
      <c r="F13" s="199">
        <f>0.01*$D$50</f>
        <v>0</v>
      </c>
      <c r="G13" s="199">
        <f>0.01*$D$51</f>
        <v>5.0377833753148624E-2</v>
      </c>
      <c r="H13" s="199">
        <f>0.01*$D$52</f>
        <v>0</v>
      </c>
      <c r="I13" s="199">
        <f>0.01*$D$53</f>
        <v>4.5161290322580643E-2</v>
      </c>
      <c r="J13" s="199">
        <f>0.01*$D$54</f>
        <v>0</v>
      </c>
      <c r="K13" s="199">
        <f>0.01*$D$55</f>
        <v>0</v>
      </c>
      <c r="L13" s="199">
        <f>0.01*$D$56</f>
        <v>5.9168131224370243E-2</v>
      </c>
      <c r="M13" s="199">
        <f>0.01*$D$57</f>
        <v>0</v>
      </c>
      <c r="N13" s="199">
        <f>0.01*$D$58</f>
        <v>0</v>
      </c>
      <c r="O13" s="199">
        <f>0.01*$D$59</f>
        <v>0</v>
      </c>
      <c r="P13" s="199">
        <f>0.01*$D$60</f>
        <v>0</v>
      </c>
      <c r="Q13" s="199">
        <f>0.01*$D$61</f>
        <v>6.0150375939849621E-2</v>
      </c>
      <c r="R13" s="199">
        <f>0.01*$D$62</f>
        <v>5.6250000000000001E-2</v>
      </c>
      <c r="S13" s="199">
        <f>0.01*$D$63</f>
        <v>1.4285714285714287E-2</v>
      </c>
      <c r="T13" s="199">
        <f>0.01*$D$64</f>
        <v>0.25</v>
      </c>
      <c r="U13" s="199">
        <f>0.01*$D$65</f>
        <v>0</v>
      </c>
      <c r="V13" s="199">
        <f>0.01*$D$66</f>
        <v>4.651162790697675E-2</v>
      </c>
      <c r="W13" s="199">
        <f>0.01*$D$67</f>
        <v>2.7397260273972601E-2</v>
      </c>
      <c r="X13" s="199">
        <f>0.01*$D$68</f>
        <v>0</v>
      </c>
      <c r="Y13" s="199">
        <f>0.01*$D$69</f>
        <v>0</v>
      </c>
      <c r="Z13" s="199">
        <f>0.01*$D$70</f>
        <v>4.296875E-2</v>
      </c>
      <c r="AA13" s="199">
        <f>0.01*$D$71</f>
        <v>3.7735849056603772E-2</v>
      </c>
      <c r="AB13" s="199">
        <f>0.01*$D$72</f>
        <v>3.5502958579881658E-2</v>
      </c>
      <c r="AC13" s="199">
        <f>0.01*$D$73</f>
        <v>1.1363636363636366E-2</v>
      </c>
      <c r="AD13" s="199">
        <f>0.01*$D$74</f>
        <v>3.5897435897435895E-2</v>
      </c>
      <c r="AE13" s="199">
        <f>0.01*$D$75</f>
        <v>0</v>
      </c>
      <c r="AF13" s="199">
        <f>0.01*$D$76</f>
        <v>9.5238095238095233E-2</v>
      </c>
      <c r="AG13" s="199">
        <f>0.01*$D$77</f>
        <v>0</v>
      </c>
      <c r="AH13" s="199">
        <f>0.01*$D$78</f>
        <v>0</v>
      </c>
      <c r="AI13" s="199">
        <f>0.01*$D$79</f>
        <v>4.1666666666666664E-2</v>
      </c>
      <c r="AJ13" s="199">
        <f>0.01*$D$80</f>
        <v>0</v>
      </c>
      <c r="AK13" s="199">
        <f>0.01*$D$81</f>
        <v>9.0909090909090925E-2</v>
      </c>
      <c r="AL13" s="199">
        <f>0.01*$D$82</f>
        <v>8.1632653061224497E-2</v>
      </c>
      <c r="AM13" s="199">
        <f>0.01*$D$83</f>
        <v>0</v>
      </c>
      <c r="AN13" s="199">
        <f>0.01*$D$84</f>
        <v>4.3269230769230768E-2</v>
      </c>
      <c r="AO13" s="199">
        <f>0.01*$D$85</f>
        <v>0</v>
      </c>
      <c r="AP13" s="199">
        <f>0.01*$D$86</f>
        <v>6.6666666666666666E-2</v>
      </c>
      <c r="AQ13" s="199">
        <f>0.01*$D$87</f>
        <v>0.09</v>
      </c>
      <c r="AR13" s="199">
        <f>0.01*$D$88</f>
        <v>0.02</v>
      </c>
      <c r="AS13" s="199">
        <f>0.01*$D$89</f>
        <v>0</v>
      </c>
      <c r="AT13" s="199">
        <f>0.01*$D$90</f>
        <v>3.0120481927710847E-2</v>
      </c>
      <c r="AU13" s="199">
        <f>0.01*$D$91</f>
        <v>0.02</v>
      </c>
      <c r="AV13" s="199">
        <f>0.01*$D$92</f>
        <v>2.1276595744680851E-2</v>
      </c>
      <c r="AW13" s="199">
        <f>0.01*$D$94</f>
        <v>4.0674603174603176E-2</v>
      </c>
      <c r="AX13" s="199">
        <f>0.01*$D$95</f>
        <v>6.1197041022192339E-2</v>
      </c>
      <c r="AY13" s="199">
        <f>0.01*$D$96</f>
        <v>3.7145650048875857E-2</v>
      </c>
      <c r="AZ13" s="199">
        <f>0.01*$D$97</f>
        <v>4.1079812206572773E-2</v>
      </c>
      <c r="BA13" s="199">
        <f>0.01*$D$98</f>
        <v>5.0348698758292225E-2</v>
      </c>
      <c r="BB13" s="174"/>
      <c r="BC13" s="174"/>
      <c r="BD13" s="174"/>
      <c r="BE13" s="174"/>
      <c r="BF13" s="174"/>
      <c r="BG13" s="9"/>
      <c r="BH13" s="9"/>
    </row>
    <row r="14" spans="1:60">
      <c r="A14" s="2">
        <v>2016</v>
      </c>
      <c r="B14" t="s">
        <v>42</v>
      </c>
      <c r="C14" s="199">
        <f>0.01*$E$47</f>
        <v>6.8627450980392163E-2</v>
      </c>
      <c r="D14" s="199">
        <f>0.01*$E$48</f>
        <v>3.669724770642202E-2</v>
      </c>
      <c r="E14" s="199">
        <f>0.01*$E$49</f>
        <v>3.5294117647058823E-2</v>
      </c>
      <c r="F14" s="199">
        <f>0.01*$E$50</f>
        <v>3.8461538461538464E-2</v>
      </c>
      <c r="G14" s="199">
        <f>0.01*$E$51</f>
        <v>5.9343434343434344E-2</v>
      </c>
      <c r="H14" s="199">
        <f>0.01*$E$52</f>
        <v>9.6153846153846173E-2</v>
      </c>
      <c r="I14" s="199">
        <f>0.01*$E$53</f>
        <v>4.3333333333333342E-2</v>
      </c>
      <c r="J14" s="199">
        <f>0.01*$E$54</f>
        <v>5.3571428571428568E-2</v>
      </c>
      <c r="K14" s="199">
        <f>0.01*$E$55</f>
        <v>0</v>
      </c>
      <c r="L14" s="199">
        <f>0.01*$E$56</f>
        <v>6.5121412803532008E-2</v>
      </c>
      <c r="M14" s="199">
        <f>0.01*$E$57</f>
        <v>2.7027027027027029E-2</v>
      </c>
      <c r="N14" s="199">
        <f>0.01*$E$58</f>
        <v>2.7397260273972601E-2</v>
      </c>
      <c r="O14" s="199">
        <f>0.01*$E$59</f>
        <v>6.6666666666666666E-2</v>
      </c>
      <c r="P14" s="199">
        <f>0.01*$E$60</f>
        <v>7.6923076923076927E-2</v>
      </c>
      <c r="Q14" s="199">
        <f>0.01*$E$61</f>
        <v>5.8419243986254296E-2</v>
      </c>
      <c r="R14" s="199">
        <f>0.01*$E$62</f>
        <v>7.6246334310850442E-2</v>
      </c>
      <c r="S14" s="199">
        <f>0.01*$E$63</f>
        <v>3.9087947882736153E-2</v>
      </c>
      <c r="T14" s="199">
        <f>0.01*$E$64</f>
        <v>0.15887850467289719</v>
      </c>
      <c r="U14" s="199">
        <f>0.01*$E$65</f>
        <v>5.3191489361702128E-2</v>
      </c>
      <c r="V14" s="199">
        <f>0.01*$E$66</f>
        <v>9.0909090909090925E-2</v>
      </c>
      <c r="W14" s="199">
        <f>0.01*$E$67</f>
        <v>2.4922118380062305E-2</v>
      </c>
      <c r="X14" s="199">
        <f>0.01*$E$68</f>
        <v>0.10666666666666669</v>
      </c>
      <c r="Y14" s="199">
        <f>0.01*$E$69</f>
        <v>3.0927835051546393E-2</v>
      </c>
      <c r="Z14" s="199">
        <f>0.01*$E$70</f>
        <v>5.1625239005736144E-2</v>
      </c>
      <c r="AA14" s="199">
        <f>0.01*$E$71</f>
        <v>5.128205128205128E-2</v>
      </c>
      <c r="AB14" s="199">
        <f>0.01*$E$72</f>
        <v>3.2786885245901641E-2</v>
      </c>
      <c r="AC14" s="199">
        <f>0.01*$E$73</f>
        <v>1.1627906976744188E-2</v>
      </c>
      <c r="AD14" s="199">
        <f>0.01*$E$74</f>
        <v>4.5454545454545463E-2</v>
      </c>
      <c r="AE14" s="199">
        <f>0.01*$E$75</f>
        <v>1.5625E-2</v>
      </c>
      <c r="AF14" s="199">
        <f>0.01*$E$76</f>
        <v>8.5106382978723402E-2</v>
      </c>
      <c r="AG14" s="199">
        <f>0.01*$E$77</f>
        <v>5.6074766355140186E-2</v>
      </c>
      <c r="AH14" s="199">
        <f>0.01*$E$78</f>
        <v>2.0618556701030927E-2</v>
      </c>
      <c r="AI14" s="199">
        <f>0.01*$E$79</f>
        <v>4.1666666666666664E-2</v>
      </c>
      <c r="AJ14" s="199">
        <f>0.01*$E$80</f>
        <v>4.4776119402985072E-2</v>
      </c>
      <c r="AK14" s="199">
        <f>0.01*$E$81</f>
        <v>4.3859649122807015E-2</v>
      </c>
      <c r="AL14" s="199">
        <f>0.01*$E$82</f>
        <v>6.9565217391304349E-2</v>
      </c>
      <c r="AM14" s="199">
        <f>0.01*$E$83</f>
        <v>1.9801980198019802E-2</v>
      </c>
      <c r="AN14" s="199">
        <f>0.01*$E$84</f>
        <v>5.7026476578411409E-2</v>
      </c>
      <c r="AO14" s="199">
        <f>0.01*$E$85</f>
        <v>7.6923076923076927E-2</v>
      </c>
      <c r="AP14" s="199">
        <f>0.01*$E$86</f>
        <v>5.8823529411764705E-2</v>
      </c>
      <c r="AQ14" s="199">
        <f>0.01*$E$87</f>
        <v>7.3394495412844041E-2</v>
      </c>
      <c r="AR14" s="199">
        <f>0.01*$E$88</f>
        <v>4.2735042735042736E-2</v>
      </c>
      <c r="AS14" s="199">
        <f>0.01*$E$89</f>
        <v>0.01</v>
      </c>
      <c r="AT14" s="199">
        <f>0.01*$E$90</f>
        <v>4.9275362318840589E-2</v>
      </c>
      <c r="AU14" s="199">
        <f>0.01*$E$91</f>
        <v>1.6949152542372881E-2</v>
      </c>
      <c r="AV14" s="199">
        <f>0.01*$E$92</f>
        <v>5.1546391752577317E-2</v>
      </c>
      <c r="AW14" s="199">
        <f>0.01*$E$94</f>
        <v>5.1236749116607777E-2</v>
      </c>
      <c r="AX14" s="199">
        <f>0.01*$E$95</f>
        <v>6.334699023006618E-2</v>
      </c>
      <c r="AY14" s="199">
        <f>0.01*$E$96</f>
        <v>4.7685834502103785E-2</v>
      </c>
      <c r="AZ14" s="199">
        <f>0.01*$E$97</f>
        <v>4.5505617977528091E-2</v>
      </c>
      <c r="BA14" s="199">
        <f>0.01*$E$98</f>
        <v>5.6240553655238251E-2</v>
      </c>
      <c r="BB14" s="174"/>
      <c r="BC14" s="174"/>
      <c r="BD14" s="174"/>
      <c r="BE14" s="174"/>
      <c r="BF14" s="174"/>
      <c r="BG14" s="9"/>
      <c r="BH14" s="9"/>
    </row>
    <row r="15" spans="1:60">
      <c r="A15">
        <v>2017</v>
      </c>
      <c r="B15" t="s">
        <v>5</v>
      </c>
      <c r="C15" s="199" t="e">
        <f>0.01*$F$47</f>
        <v>#DIV/0!</v>
      </c>
      <c r="D15" s="199" t="e">
        <f>0.01*$F$48</f>
        <v>#DIV/0!</v>
      </c>
      <c r="E15" s="199" t="e">
        <f>0.01*$F$49</f>
        <v>#DIV/0!</v>
      </c>
      <c r="F15" s="199" t="e">
        <f>0.01*$F$50</f>
        <v>#DIV/0!</v>
      </c>
      <c r="G15" s="199" t="e">
        <f>0.01*$F$51</f>
        <v>#DIV/0!</v>
      </c>
      <c r="H15" s="199" t="e">
        <f>0.01*$F$52</f>
        <v>#DIV/0!</v>
      </c>
      <c r="I15" s="199" t="e">
        <f>0.01*$F$53</f>
        <v>#DIV/0!</v>
      </c>
      <c r="J15" s="199" t="e">
        <f>0.01*$F$54</f>
        <v>#DIV/0!</v>
      </c>
      <c r="K15" s="199" t="e">
        <f>0.01*$F$55</f>
        <v>#DIV/0!</v>
      </c>
      <c r="L15" s="199" t="e">
        <f>0.01*$F$56</f>
        <v>#DIV/0!</v>
      </c>
      <c r="M15" s="199" t="e">
        <f>0.01*$F$57</f>
        <v>#DIV/0!</v>
      </c>
      <c r="N15" s="199" t="e">
        <f>0.01*$F$58</f>
        <v>#DIV/0!</v>
      </c>
      <c r="O15" s="199" t="e">
        <f>0.01*$F$59</f>
        <v>#DIV/0!</v>
      </c>
      <c r="P15" s="199" t="e">
        <f>0.01*$F$60</f>
        <v>#DIV/0!</v>
      </c>
      <c r="Q15" s="199" t="e">
        <f>0.01*$F$61</f>
        <v>#DIV/0!</v>
      </c>
      <c r="R15" s="199" t="e">
        <f>0.01*$F$62</f>
        <v>#DIV/0!</v>
      </c>
      <c r="S15" s="199" t="e">
        <f>0.01*$F$63</f>
        <v>#DIV/0!</v>
      </c>
      <c r="T15" s="199" t="e">
        <f>0.01*$F$64</f>
        <v>#DIV/0!</v>
      </c>
      <c r="U15" s="199" t="e">
        <f>0.01*$F$65</f>
        <v>#DIV/0!</v>
      </c>
      <c r="V15" s="199" t="e">
        <f>0.01*$F$66</f>
        <v>#DIV/0!</v>
      </c>
      <c r="W15" s="199" t="e">
        <f>0.01*$F$67</f>
        <v>#DIV/0!</v>
      </c>
      <c r="X15" s="199" t="e">
        <f>0.01*$F$68</f>
        <v>#DIV/0!</v>
      </c>
      <c r="Y15" s="199" t="e">
        <f>0.01*$F$69</f>
        <v>#DIV/0!</v>
      </c>
      <c r="Z15" s="199" t="e">
        <f>0.01*$F$70</f>
        <v>#DIV/0!</v>
      </c>
      <c r="AA15" s="199" t="e">
        <f>0.01*$F$71</f>
        <v>#DIV/0!</v>
      </c>
      <c r="AB15" s="199" t="e">
        <f>0.01*$F$72</f>
        <v>#DIV/0!</v>
      </c>
      <c r="AC15" s="199" t="e">
        <f>0.01*$F$73</f>
        <v>#DIV/0!</v>
      </c>
      <c r="AD15" s="199" t="e">
        <f>0.01*$F$74</f>
        <v>#DIV/0!</v>
      </c>
      <c r="AE15" s="199" t="e">
        <f>0.01*$F$75</f>
        <v>#DIV/0!</v>
      </c>
      <c r="AF15" s="199" t="e">
        <f>0.01*$F$76</f>
        <v>#DIV/0!</v>
      </c>
      <c r="AG15" s="199" t="e">
        <f>0.01*$F$77</f>
        <v>#DIV/0!</v>
      </c>
      <c r="AH15" s="199" t="e">
        <f>0.01*$F$78</f>
        <v>#DIV/0!</v>
      </c>
      <c r="AI15" s="199" t="e">
        <f>0.01*$F$79</f>
        <v>#DIV/0!</v>
      </c>
      <c r="AJ15" s="199" t="e">
        <f>0.01*$F$80</f>
        <v>#DIV/0!</v>
      </c>
      <c r="AK15" s="199" t="e">
        <f>0.01*$F$81</f>
        <v>#DIV/0!</v>
      </c>
      <c r="AL15" s="199" t="e">
        <f>0.01*$F$82</f>
        <v>#DIV/0!</v>
      </c>
      <c r="AM15" s="199" t="e">
        <f>0.01*$F$83</f>
        <v>#DIV/0!</v>
      </c>
      <c r="AN15" s="199" t="e">
        <f>0.01*$F$84</f>
        <v>#DIV/0!</v>
      </c>
      <c r="AO15" s="199" t="e">
        <f>0.01*$F$85</f>
        <v>#DIV/0!</v>
      </c>
      <c r="AP15" s="199" t="e">
        <f>0.01*$F$86</f>
        <v>#DIV/0!</v>
      </c>
      <c r="AQ15" s="199" t="e">
        <f>0.01*$F$87</f>
        <v>#DIV/0!</v>
      </c>
      <c r="AR15" s="199" t="e">
        <f>0.01*$F$88</f>
        <v>#DIV/0!</v>
      </c>
      <c r="AS15" s="199" t="e">
        <f>0.01*$F$89</f>
        <v>#DIV/0!</v>
      </c>
      <c r="AT15" s="199" t="e">
        <f>0.01*$F$90</f>
        <v>#DIV/0!</v>
      </c>
      <c r="AU15" s="199" t="e">
        <f>0.01*$F$91</f>
        <v>#DIV/0!</v>
      </c>
      <c r="AV15" s="199" t="e">
        <f>0.01*$F$92</f>
        <v>#DIV/0!</v>
      </c>
      <c r="AW15" s="199" t="e">
        <f>0.01*$F$94</f>
        <v>#DIV/0!</v>
      </c>
      <c r="AX15" s="199" t="e">
        <f>0.01*$F$95</f>
        <v>#DIV/0!</v>
      </c>
      <c r="AY15" s="199" t="e">
        <f>0.01*$F$96</f>
        <v>#DIV/0!</v>
      </c>
      <c r="AZ15" s="199" t="e">
        <f>0.01*$F$97</f>
        <v>#DIV/0!</v>
      </c>
      <c r="BA15" s="199" t="e">
        <f>0.01*$F$98</f>
        <v>#DIV/0!</v>
      </c>
      <c r="BB15" s="174"/>
      <c r="BC15" s="174"/>
      <c r="BD15" s="174"/>
      <c r="BE15" s="174"/>
      <c r="BF15" s="174"/>
      <c r="BG15" s="9"/>
      <c r="BH15" s="9"/>
    </row>
    <row r="16" spans="1:60">
      <c r="A16" s="2">
        <v>2017</v>
      </c>
      <c r="B16" t="s">
        <v>6</v>
      </c>
      <c r="C16" s="199" t="e">
        <f>0.01*$G$47</f>
        <v>#DIV/0!</v>
      </c>
      <c r="D16" s="199" t="e">
        <f>0.01*$G$48</f>
        <v>#DIV/0!</v>
      </c>
      <c r="E16" s="199" t="e">
        <f>0.01*$G$49</f>
        <v>#DIV/0!</v>
      </c>
      <c r="F16" s="199" t="e">
        <f>0.01*$G$50</f>
        <v>#DIV/0!</v>
      </c>
      <c r="G16" s="199" t="e">
        <f>0.01*$G$51</f>
        <v>#DIV/0!</v>
      </c>
      <c r="H16" s="199" t="e">
        <f>0.01*$G$52</f>
        <v>#DIV/0!</v>
      </c>
      <c r="I16" s="199" t="e">
        <f>0.01*$G$53</f>
        <v>#DIV/0!</v>
      </c>
      <c r="J16" s="199" t="e">
        <f>0.01*$G$54</f>
        <v>#DIV/0!</v>
      </c>
      <c r="K16" s="199" t="e">
        <f>0.01*$G$55</f>
        <v>#DIV/0!</v>
      </c>
      <c r="L16" s="199" t="e">
        <f>0.01*$G$56</f>
        <v>#DIV/0!</v>
      </c>
      <c r="M16" s="199" t="e">
        <f>0.01*$G$57</f>
        <v>#DIV/0!</v>
      </c>
      <c r="N16" s="199" t="e">
        <f>0.01*$G$58</f>
        <v>#DIV/0!</v>
      </c>
      <c r="O16" s="199" t="e">
        <f>0.01*$G$59</f>
        <v>#DIV/0!</v>
      </c>
      <c r="P16" s="199" t="e">
        <f>0.01*$G$60</f>
        <v>#DIV/0!</v>
      </c>
      <c r="Q16" s="199" t="e">
        <f>0.01*$G$61</f>
        <v>#DIV/0!</v>
      </c>
      <c r="R16" s="199" t="e">
        <f>0.01*$G$62</f>
        <v>#DIV/0!</v>
      </c>
      <c r="S16" s="199" t="e">
        <f>0.01*$G$63</f>
        <v>#DIV/0!</v>
      </c>
      <c r="T16" s="199" t="e">
        <f>0.01*$G$64</f>
        <v>#DIV/0!</v>
      </c>
      <c r="U16" s="199" t="e">
        <f>0.01*$G$65</f>
        <v>#DIV/0!</v>
      </c>
      <c r="V16" s="199" t="e">
        <f>0.01*$G$66</f>
        <v>#DIV/0!</v>
      </c>
      <c r="W16" s="199" t="e">
        <f>0.01*$G$67</f>
        <v>#DIV/0!</v>
      </c>
      <c r="X16" s="199" t="e">
        <f>0.01*$G$68</f>
        <v>#DIV/0!</v>
      </c>
      <c r="Y16" s="199" t="e">
        <f>0.01*$G$69</f>
        <v>#DIV/0!</v>
      </c>
      <c r="Z16" s="199" t="e">
        <f>0.01*$G$70</f>
        <v>#DIV/0!</v>
      </c>
      <c r="AA16" s="199" t="e">
        <f>0.01*$G$71</f>
        <v>#DIV/0!</v>
      </c>
      <c r="AB16" s="199" t="e">
        <f>0.01*$G$72</f>
        <v>#DIV/0!</v>
      </c>
      <c r="AC16" s="199" t="e">
        <f>0.01*$G$73</f>
        <v>#DIV/0!</v>
      </c>
      <c r="AD16" s="199" t="e">
        <f>0.01*$G$74</f>
        <v>#DIV/0!</v>
      </c>
      <c r="AE16" s="199" t="e">
        <f>0.01*$G$75</f>
        <v>#DIV/0!</v>
      </c>
      <c r="AF16" s="199" t="e">
        <f>0.01*$G$76</f>
        <v>#DIV/0!</v>
      </c>
      <c r="AG16" s="199" t="e">
        <f>0.01*$G$77</f>
        <v>#DIV/0!</v>
      </c>
      <c r="AH16" s="199" t="e">
        <f>0.01*$G$78</f>
        <v>#DIV/0!</v>
      </c>
      <c r="AI16" s="199" t="e">
        <f>0.01*$G$79</f>
        <v>#DIV/0!</v>
      </c>
      <c r="AJ16" s="199" t="e">
        <f>0.01*$G$80</f>
        <v>#DIV/0!</v>
      </c>
      <c r="AK16" s="199" t="e">
        <f>0.01*$G$81</f>
        <v>#DIV/0!</v>
      </c>
      <c r="AL16" s="199" t="e">
        <f>0.01*$G$82</f>
        <v>#DIV/0!</v>
      </c>
      <c r="AM16" s="199" t="e">
        <f>0.01*$G$83</f>
        <v>#DIV/0!</v>
      </c>
      <c r="AN16" s="199" t="e">
        <f>0.01*$G$84</f>
        <v>#DIV/0!</v>
      </c>
      <c r="AO16" s="199" t="e">
        <f>0.01*$G$85</f>
        <v>#DIV/0!</v>
      </c>
      <c r="AP16" s="199" t="e">
        <f>0.01*$G$86</f>
        <v>#DIV/0!</v>
      </c>
      <c r="AQ16" s="199" t="e">
        <f>0.01*$G$87</f>
        <v>#DIV/0!</v>
      </c>
      <c r="AR16" s="199" t="e">
        <f>0.01*$G$88</f>
        <v>#DIV/0!</v>
      </c>
      <c r="AS16" s="199" t="e">
        <f>0.01*$G$89</f>
        <v>#DIV/0!</v>
      </c>
      <c r="AT16" s="199" t="e">
        <f>0.01*$G$90</f>
        <v>#DIV/0!</v>
      </c>
      <c r="AU16" s="199" t="e">
        <f>0.01*$G$91</f>
        <v>#DIV/0!</v>
      </c>
      <c r="AV16" s="199" t="e">
        <f>0.01*$G$92</f>
        <v>#DIV/0!</v>
      </c>
      <c r="AW16" s="199" t="e">
        <f>0.01*$G$94</f>
        <v>#DIV/0!</v>
      </c>
      <c r="AX16" s="199" t="e">
        <f>0.01*$G$95</f>
        <v>#DIV/0!</v>
      </c>
      <c r="AY16" s="199" t="e">
        <f>0.01*$G$96</f>
        <v>#DIV/0!</v>
      </c>
      <c r="AZ16" s="199" t="e">
        <f>0.01*$G$97</f>
        <v>#DIV/0!</v>
      </c>
      <c r="BA16" s="199" t="e">
        <f>0.01*$G$98</f>
        <v>#DIV/0!</v>
      </c>
      <c r="BB16" s="174"/>
      <c r="BC16" s="174"/>
      <c r="BD16" s="174"/>
      <c r="BE16" s="174"/>
      <c r="BF16" s="174"/>
      <c r="BG16" s="9"/>
      <c r="BH16" s="9"/>
    </row>
    <row r="17" spans="1:60">
      <c r="A17">
        <v>2017</v>
      </c>
      <c r="B17" t="s">
        <v>42</v>
      </c>
      <c r="C17" s="199" t="e">
        <f>0.01*$H$47</f>
        <v>#DIV/0!</v>
      </c>
      <c r="D17" s="199" t="e">
        <f>0.01*$H$48</f>
        <v>#DIV/0!</v>
      </c>
      <c r="E17" s="199" t="e">
        <f>0.01*$H$49</f>
        <v>#DIV/0!</v>
      </c>
      <c r="F17" s="199" t="e">
        <f>0.01*$H$50</f>
        <v>#DIV/0!</v>
      </c>
      <c r="G17" s="199" t="e">
        <f>0.01*$H$51</f>
        <v>#DIV/0!</v>
      </c>
      <c r="H17" s="199" t="e">
        <f>0.01*$H$52</f>
        <v>#DIV/0!</v>
      </c>
      <c r="I17" s="199" t="e">
        <f>0.01*$H$53</f>
        <v>#DIV/0!</v>
      </c>
      <c r="J17" s="199" t="e">
        <f>0.01*$H$54</f>
        <v>#DIV/0!</v>
      </c>
      <c r="K17" s="199" t="e">
        <f>0.01*$H$55</f>
        <v>#DIV/0!</v>
      </c>
      <c r="L17" s="199" t="e">
        <f>0.01*$H$56</f>
        <v>#DIV/0!</v>
      </c>
      <c r="M17" s="199" t="e">
        <f>0.01*$H$57</f>
        <v>#DIV/0!</v>
      </c>
      <c r="N17" s="199" t="e">
        <f>0.01*$H$58</f>
        <v>#DIV/0!</v>
      </c>
      <c r="O17" s="199" t="e">
        <f>0.01*$H$59</f>
        <v>#DIV/0!</v>
      </c>
      <c r="P17" s="199" t="e">
        <f>0.01*$H$60</f>
        <v>#DIV/0!</v>
      </c>
      <c r="Q17" s="199" t="e">
        <f>0.01*$H$61</f>
        <v>#DIV/0!</v>
      </c>
      <c r="R17" s="199" t="e">
        <f>0.01*$H$62</f>
        <v>#DIV/0!</v>
      </c>
      <c r="S17" s="199" t="e">
        <f>0.01*$H$63</f>
        <v>#DIV/0!</v>
      </c>
      <c r="T17" s="199" t="e">
        <f>0.01*$H$64</f>
        <v>#DIV/0!</v>
      </c>
      <c r="U17" s="199" t="e">
        <f>0.01*$H$65</f>
        <v>#DIV/0!</v>
      </c>
      <c r="V17" s="199" t="e">
        <f>0.01*$H$66</f>
        <v>#DIV/0!</v>
      </c>
      <c r="W17" s="199" t="e">
        <f>0.01*$H$67</f>
        <v>#DIV/0!</v>
      </c>
      <c r="X17" s="199" t="e">
        <f>0.01*$H$68</f>
        <v>#DIV/0!</v>
      </c>
      <c r="Y17" s="199" t="e">
        <f>0.01*$H$69</f>
        <v>#DIV/0!</v>
      </c>
      <c r="Z17" s="199" t="e">
        <f>0.01*$H$70</f>
        <v>#DIV/0!</v>
      </c>
      <c r="AA17" s="199" t="e">
        <f>0.01*$H$71</f>
        <v>#DIV/0!</v>
      </c>
      <c r="AB17" s="199" t="e">
        <f>0.01*$H$72</f>
        <v>#DIV/0!</v>
      </c>
      <c r="AC17" s="199" t="e">
        <f>0.01*$H$73</f>
        <v>#DIV/0!</v>
      </c>
      <c r="AD17" s="199" t="e">
        <f>0.01*$H$74</f>
        <v>#DIV/0!</v>
      </c>
      <c r="AE17" s="199" t="e">
        <f>0.01*$H$75</f>
        <v>#DIV/0!</v>
      </c>
      <c r="AF17" s="199" t="e">
        <f>0.01*$H$76</f>
        <v>#DIV/0!</v>
      </c>
      <c r="AG17" s="199" t="e">
        <f>0.01*$H$77</f>
        <v>#DIV/0!</v>
      </c>
      <c r="AH17" s="199" t="e">
        <f>0.01*$H$78</f>
        <v>#DIV/0!</v>
      </c>
      <c r="AI17" s="199" t="e">
        <f>0.01*$H$79</f>
        <v>#DIV/0!</v>
      </c>
      <c r="AJ17" s="199" t="e">
        <f>0.01*$H$80</f>
        <v>#DIV/0!</v>
      </c>
      <c r="AK17" s="199" t="e">
        <f>0.01*$H$81</f>
        <v>#DIV/0!</v>
      </c>
      <c r="AL17" s="199" t="e">
        <f>0.01*$H$82</f>
        <v>#DIV/0!</v>
      </c>
      <c r="AM17" s="199" t="e">
        <f>0.01*$H$83</f>
        <v>#DIV/0!</v>
      </c>
      <c r="AN17" s="199" t="e">
        <f>0.01*$H$84</f>
        <v>#DIV/0!</v>
      </c>
      <c r="AO17" s="199" t="e">
        <f>0.01*$H$85</f>
        <v>#DIV/0!</v>
      </c>
      <c r="AP17" s="199" t="e">
        <f>0.01*$H$86</f>
        <v>#DIV/0!</v>
      </c>
      <c r="AQ17" s="199" t="e">
        <f>0.01*$H$87</f>
        <v>#DIV/0!</v>
      </c>
      <c r="AR17" s="199" t="e">
        <f>0.01*$H$88</f>
        <v>#DIV/0!</v>
      </c>
      <c r="AS17" s="199" t="e">
        <f>0.01*$H$89</f>
        <v>#DIV/0!</v>
      </c>
      <c r="AT17" s="199" t="e">
        <f>0.01*$H$90</f>
        <v>#DIV/0!</v>
      </c>
      <c r="AU17" s="199" t="e">
        <f>0.01*$H$91</f>
        <v>#DIV/0!</v>
      </c>
      <c r="AV17" s="199" t="e">
        <f>0.01*$H$92</f>
        <v>#DIV/0!</v>
      </c>
      <c r="AW17" s="199" t="e">
        <f>0.01*$H$94</f>
        <v>#DIV/0!</v>
      </c>
      <c r="AX17" s="199" t="e">
        <f>0.01*$H$95</f>
        <v>#DIV/0!</v>
      </c>
      <c r="AY17" s="199" t="e">
        <f>0.01*$H$96</f>
        <v>#DIV/0!</v>
      </c>
      <c r="AZ17" s="199" t="e">
        <f>0.01*$H$97</f>
        <v>#DIV/0!</v>
      </c>
      <c r="BA17" s="199" t="e">
        <f>0.01*$H$98</f>
        <v>#DIV/0!</v>
      </c>
      <c r="BB17" s="174"/>
      <c r="BC17" s="174"/>
      <c r="BD17" s="174"/>
      <c r="BE17" s="174"/>
      <c r="BF17" s="174"/>
      <c r="BG17" s="9"/>
      <c r="BH17" s="9"/>
    </row>
    <row r="18" spans="1:60">
      <c r="A18" s="2">
        <v>2018</v>
      </c>
      <c r="B18" t="s">
        <v>5</v>
      </c>
      <c r="C18" s="199" t="e">
        <f>0.01*$I$47</f>
        <v>#DIV/0!</v>
      </c>
      <c r="D18" s="199" t="e">
        <f>0.01*$I$48</f>
        <v>#DIV/0!</v>
      </c>
      <c r="E18" s="199" t="e">
        <f>0.01*$I$49</f>
        <v>#DIV/0!</v>
      </c>
      <c r="F18" s="199" t="e">
        <f>0.01*$I$50</f>
        <v>#DIV/0!</v>
      </c>
      <c r="G18" s="199" t="e">
        <f>0.01*$I$51</f>
        <v>#DIV/0!</v>
      </c>
      <c r="H18" s="199" t="e">
        <f>0.01*$I$52</f>
        <v>#DIV/0!</v>
      </c>
      <c r="I18" s="199" t="e">
        <f>0.01*$I$53</f>
        <v>#DIV/0!</v>
      </c>
      <c r="J18" s="199" t="e">
        <f>0.01*$I$54</f>
        <v>#DIV/0!</v>
      </c>
      <c r="K18" s="199" t="e">
        <f>0.01*$I$55</f>
        <v>#DIV/0!</v>
      </c>
      <c r="L18" s="199" t="e">
        <f>0.01*$I$56</f>
        <v>#DIV/0!</v>
      </c>
      <c r="M18" s="199" t="e">
        <f>0.01*$I$57</f>
        <v>#DIV/0!</v>
      </c>
      <c r="N18" s="199" t="e">
        <f>0.01*$I$58</f>
        <v>#DIV/0!</v>
      </c>
      <c r="O18" s="199" t="e">
        <f>0.01*$I$59</f>
        <v>#DIV/0!</v>
      </c>
      <c r="P18" s="199" t="e">
        <f>0.01*$I$60</f>
        <v>#DIV/0!</v>
      </c>
      <c r="Q18" s="199" t="e">
        <f>0.01*$I$61</f>
        <v>#DIV/0!</v>
      </c>
      <c r="R18" s="199" t="e">
        <f>0.01*$I$62</f>
        <v>#DIV/0!</v>
      </c>
      <c r="S18" s="199" t="e">
        <f>0.01*$I$63</f>
        <v>#DIV/0!</v>
      </c>
      <c r="T18" s="199" t="e">
        <f>0.01*$I$64</f>
        <v>#DIV/0!</v>
      </c>
      <c r="U18" s="199" t="e">
        <f>0.01*$I$65</f>
        <v>#DIV/0!</v>
      </c>
      <c r="V18" s="199" t="e">
        <f>0.01*$I$66</f>
        <v>#DIV/0!</v>
      </c>
      <c r="W18" s="199" t="e">
        <f>0.01*$I$67</f>
        <v>#DIV/0!</v>
      </c>
      <c r="X18" s="199" t="e">
        <f>0.01*$I$68</f>
        <v>#DIV/0!</v>
      </c>
      <c r="Y18" s="199" t="e">
        <f>0.01*$I$69</f>
        <v>#DIV/0!</v>
      </c>
      <c r="Z18" s="199" t="e">
        <f>0.01*$I$70</f>
        <v>#DIV/0!</v>
      </c>
      <c r="AA18" s="199" t="e">
        <f>0.01*$I$71</f>
        <v>#DIV/0!</v>
      </c>
      <c r="AB18" s="199" t="e">
        <f>0.01*$I$72</f>
        <v>#DIV/0!</v>
      </c>
      <c r="AC18" s="199" t="e">
        <f>0.01*$I$73</f>
        <v>#DIV/0!</v>
      </c>
      <c r="AD18" s="199" t="e">
        <f>0.01*$I$74</f>
        <v>#DIV/0!</v>
      </c>
      <c r="AE18" s="199" t="e">
        <f>0.01*$I$75</f>
        <v>#DIV/0!</v>
      </c>
      <c r="AF18" s="199" t="e">
        <f>0.01*$I$76</f>
        <v>#DIV/0!</v>
      </c>
      <c r="AG18" s="199" t="e">
        <f>0.01*$I$77</f>
        <v>#DIV/0!</v>
      </c>
      <c r="AH18" s="199" t="e">
        <f>0.01*$I$78</f>
        <v>#DIV/0!</v>
      </c>
      <c r="AI18" s="199" t="e">
        <f>0.01*$I$79</f>
        <v>#DIV/0!</v>
      </c>
      <c r="AJ18" s="199" t="e">
        <f>0.01*$I$80</f>
        <v>#DIV/0!</v>
      </c>
      <c r="AK18" s="199" t="e">
        <f>0.01*$I$81</f>
        <v>#DIV/0!</v>
      </c>
      <c r="AL18" s="199" t="e">
        <f>0.01*$I$82</f>
        <v>#DIV/0!</v>
      </c>
      <c r="AM18" s="199" t="e">
        <f>0.01*$I$83</f>
        <v>#DIV/0!</v>
      </c>
      <c r="AN18" s="199" t="e">
        <f>0.01*$I$84</f>
        <v>#DIV/0!</v>
      </c>
      <c r="AO18" s="199" t="e">
        <f>0.01*$I$85</f>
        <v>#DIV/0!</v>
      </c>
      <c r="AP18" s="199" t="e">
        <f>0.01*$I$86</f>
        <v>#DIV/0!</v>
      </c>
      <c r="AQ18" s="199" t="e">
        <f>0.01*$I$87</f>
        <v>#DIV/0!</v>
      </c>
      <c r="AR18" s="199" t="e">
        <f>0.01*$I$88</f>
        <v>#DIV/0!</v>
      </c>
      <c r="AS18" s="199" t="e">
        <f>0.01*$I$89</f>
        <v>#DIV/0!</v>
      </c>
      <c r="AT18" s="199" t="e">
        <f>0.01*$I$90</f>
        <v>#DIV/0!</v>
      </c>
      <c r="AU18" s="199" t="e">
        <f>0.01*$I$91</f>
        <v>#DIV/0!</v>
      </c>
      <c r="AV18" s="199" t="e">
        <f>0.01*$I$92</f>
        <v>#DIV/0!</v>
      </c>
      <c r="AW18" s="199" t="e">
        <f>0.01*$I$94</f>
        <v>#DIV/0!</v>
      </c>
      <c r="AX18" s="199" t="e">
        <f>0.01*$I$95</f>
        <v>#DIV/0!</v>
      </c>
      <c r="AY18" s="199" t="e">
        <f>0.01*$I$96</f>
        <v>#DIV/0!</v>
      </c>
      <c r="AZ18" s="199" t="e">
        <f>0.01*$I$97</f>
        <v>#DIV/0!</v>
      </c>
      <c r="BA18" s="199" t="e">
        <f>0.01*$I$98</f>
        <v>#DIV/0!</v>
      </c>
      <c r="BB18" s="174"/>
      <c r="BC18" s="174"/>
      <c r="BD18" s="174"/>
      <c r="BE18" s="174"/>
      <c r="BF18" s="174"/>
      <c r="BG18" s="9"/>
      <c r="BH18" s="9"/>
    </row>
    <row r="19" spans="1:60">
      <c r="A19">
        <v>2018</v>
      </c>
      <c r="B19" t="s">
        <v>6</v>
      </c>
      <c r="C19" s="199" t="e">
        <f>0.01*$J$47</f>
        <v>#DIV/0!</v>
      </c>
      <c r="D19" s="199" t="e">
        <f>0.01*$J$48</f>
        <v>#DIV/0!</v>
      </c>
      <c r="E19" s="199" t="e">
        <f>0.01*$J$49</f>
        <v>#DIV/0!</v>
      </c>
      <c r="F19" s="199" t="e">
        <f>0.01*$J$50</f>
        <v>#DIV/0!</v>
      </c>
      <c r="G19" s="199" t="e">
        <f>0.01*$J$51</f>
        <v>#DIV/0!</v>
      </c>
      <c r="H19" s="199" t="e">
        <f>0.01*$J$52</f>
        <v>#DIV/0!</v>
      </c>
      <c r="I19" s="199" t="e">
        <f>0.01*$J$53</f>
        <v>#DIV/0!</v>
      </c>
      <c r="J19" s="199" t="e">
        <f>0.01*$J$54</f>
        <v>#DIV/0!</v>
      </c>
      <c r="K19" s="199" t="e">
        <f>0.01*$J$55</f>
        <v>#DIV/0!</v>
      </c>
      <c r="L19" s="199" t="e">
        <f>0.01*$J$56</f>
        <v>#DIV/0!</v>
      </c>
      <c r="M19" s="199" t="e">
        <f>0.01*$J$57</f>
        <v>#DIV/0!</v>
      </c>
      <c r="N19" s="199" t="e">
        <f>0.01*$J$58</f>
        <v>#DIV/0!</v>
      </c>
      <c r="O19" s="199" t="e">
        <f>0.01*$J$59</f>
        <v>#DIV/0!</v>
      </c>
      <c r="P19" s="199" t="e">
        <f>0.01*$J$60</f>
        <v>#DIV/0!</v>
      </c>
      <c r="Q19" s="199" t="e">
        <f>0.01*$J$61</f>
        <v>#DIV/0!</v>
      </c>
      <c r="R19" s="199" t="e">
        <f>0.01*$J$62</f>
        <v>#DIV/0!</v>
      </c>
      <c r="S19" s="199" t="e">
        <f>0.01*$J$63</f>
        <v>#DIV/0!</v>
      </c>
      <c r="T19" s="199" t="e">
        <f>0.01*$J$64</f>
        <v>#DIV/0!</v>
      </c>
      <c r="U19" s="199" t="e">
        <f>0.01*$J$65</f>
        <v>#DIV/0!</v>
      </c>
      <c r="V19" s="199" t="e">
        <f>0.01*$J$66</f>
        <v>#DIV/0!</v>
      </c>
      <c r="W19" s="199" t="e">
        <f>0.01*$J$67</f>
        <v>#DIV/0!</v>
      </c>
      <c r="X19" s="199" t="e">
        <f>0.01*$J$68</f>
        <v>#DIV/0!</v>
      </c>
      <c r="Y19" s="199" t="e">
        <f>0.01*$J$69</f>
        <v>#DIV/0!</v>
      </c>
      <c r="Z19" s="199" t="e">
        <f>0.01*$J$70</f>
        <v>#DIV/0!</v>
      </c>
      <c r="AA19" s="199" t="e">
        <f>0.01*$J$71</f>
        <v>#DIV/0!</v>
      </c>
      <c r="AB19" s="199" t="e">
        <f>0.01*$J$72</f>
        <v>#DIV/0!</v>
      </c>
      <c r="AC19" s="199" t="e">
        <f>0.01*$J$73</f>
        <v>#DIV/0!</v>
      </c>
      <c r="AD19" s="199" t="e">
        <f>0.01*$J$74</f>
        <v>#DIV/0!</v>
      </c>
      <c r="AE19" s="199" t="e">
        <f>0.01*$J$75</f>
        <v>#DIV/0!</v>
      </c>
      <c r="AF19" s="199" t="e">
        <f>0.01*$J$76</f>
        <v>#DIV/0!</v>
      </c>
      <c r="AG19" s="199" t="e">
        <f>0.01*$J$77</f>
        <v>#DIV/0!</v>
      </c>
      <c r="AH19" s="199" t="e">
        <f>0.01*$J$78</f>
        <v>#DIV/0!</v>
      </c>
      <c r="AI19" s="199" t="e">
        <f>0.01*$J$79</f>
        <v>#DIV/0!</v>
      </c>
      <c r="AJ19" s="199" t="e">
        <f>0.01*$J$80</f>
        <v>#DIV/0!</v>
      </c>
      <c r="AK19" s="199" t="e">
        <f>0.01*$J$81</f>
        <v>#DIV/0!</v>
      </c>
      <c r="AL19" s="199" t="e">
        <f>0.01*$J$82</f>
        <v>#DIV/0!</v>
      </c>
      <c r="AM19" s="199" t="e">
        <f>0.01*$J$83</f>
        <v>#DIV/0!</v>
      </c>
      <c r="AN19" s="199" t="e">
        <f>0.01*$J$84</f>
        <v>#DIV/0!</v>
      </c>
      <c r="AO19" s="199" t="e">
        <f>0.01*$J$85</f>
        <v>#DIV/0!</v>
      </c>
      <c r="AP19" s="199" t="e">
        <f>0.01*$J$86</f>
        <v>#DIV/0!</v>
      </c>
      <c r="AQ19" s="199" t="e">
        <f>0.01*$J$87</f>
        <v>#DIV/0!</v>
      </c>
      <c r="AR19" s="199" t="e">
        <f>0.01*$J$88</f>
        <v>#DIV/0!</v>
      </c>
      <c r="AS19" s="199" t="e">
        <f>0.01*$J$89</f>
        <v>#DIV/0!</v>
      </c>
      <c r="AT19" s="199" t="e">
        <f>0.01*$J$90</f>
        <v>#DIV/0!</v>
      </c>
      <c r="AU19" s="199" t="e">
        <f>0.01*$J$91</f>
        <v>#DIV/0!</v>
      </c>
      <c r="AV19" s="199" t="e">
        <f>0.01*$J$92</f>
        <v>#DIV/0!</v>
      </c>
      <c r="AW19" s="199" t="e">
        <f>0.01*$J$94</f>
        <v>#DIV/0!</v>
      </c>
      <c r="AX19" s="199" t="e">
        <f>0.01*$J$95</f>
        <v>#DIV/0!</v>
      </c>
      <c r="AY19" s="199" t="e">
        <f>0.01*$J$96</f>
        <v>#DIV/0!</v>
      </c>
      <c r="AZ19" s="199" t="e">
        <f>0.01*$J$97</f>
        <v>#DIV/0!</v>
      </c>
      <c r="BA19" s="199" t="e">
        <f>0.01*$J$98</f>
        <v>#DIV/0!</v>
      </c>
      <c r="BB19" s="174"/>
      <c r="BC19" s="174"/>
      <c r="BD19" s="174"/>
      <c r="BE19" s="174"/>
      <c r="BF19" s="174"/>
      <c r="BG19" s="9"/>
      <c r="BH19" s="9"/>
    </row>
    <row r="20" spans="1:60">
      <c r="A20" s="2">
        <v>2018</v>
      </c>
      <c r="B20" t="s">
        <v>42</v>
      </c>
      <c r="C20" s="199" t="e">
        <f>0.01*$K$47</f>
        <v>#DIV/0!</v>
      </c>
      <c r="D20" s="199" t="e">
        <f>0.01*$K$48</f>
        <v>#DIV/0!</v>
      </c>
      <c r="E20" s="199" t="e">
        <f>0.01*$K$49</f>
        <v>#DIV/0!</v>
      </c>
      <c r="F20" s="199" t="e">
        <f>0.01*$K$50</f>
        <v>#DIV/0!</v>
      </c>
      <c r="G20" s="199" t="e">
        <f>0.01*$K$51</f>
        <v>#DIV/0!</v>
      </c>
      <c r="H20" s="199" t="e">
        <f>0.01*$K$52</f>
        <v>#DIV/0!</v>
      </c>
      <c r="I20" s="199" t="e">
        <f>0.01*$K$53</f>
        <v>#DIV/0!</v>
      </c>
      <c r="J20" s="199" t="e">
        <f>0.01*$K$54</f>
        <v>#DIV/0!</v>
      </c>
      <c r="K20" s="199" t="e">
        <f>0.01*$K$55</f>
        <v>#DIV/0!</v>
      </c>
      <c r="L20" s="199" t="e">
        <f>0.01*$K$56</f>
        <v>#DIV/0!</v>
      </c>
      <c r="M20" s="199" t="e">
        <f>0.01*$K$57</f>
        <v>#DIV/0!</v>
      </c>
      <c r="N20" s="199" t="e">
        <f>0.01*$K$58</f>
        <v>#DIV/0!</v>
      </c>
      <c r="O20" s="199" t="e">
        <f>0.01*$K$59</f>
        <v>#DIV/0!</v>
      </c>
      <c r="P20" s="199" t="e">
        <f>0.01*$K$60</f>
        <v>#DIV/0!</v>
      </c>
      <c r="Q20" s="199" t="e">
        <f>0.01*$K$61</f>
        <v>#DIV/0!</v>
      </c>
      <c r="R20" s="199" t="e">
        <f>0.01*$K$62</f>
        <v>#DIV/0!</v>
      </c>
      <c r="S20" s="199" t="e">
        <f>0.01*$K$63</f>
        <v>#DIV/0!</v>
      </c>
      <c r="T20" s="199" t="e">
        <f>0.01*$K$64</f>
        <v>#DIV/0!</v>
      </c>
      <c r="U20" s="199" t="e">
        <f>0.01*$K$65</f>
        <v>#DIV/0!</v>
      </c>
      <c r="V20" s="199" t="e">
        <f>0.01*$K$66</f>
        <v>#DIV/0!</v>
      </c>
      <c r="W20" s="199" t="e">
        <f>0.01*$K$67</f>
        <v>#DIV/0!</v>
      </c>
      <c r="X20" s="199" t="e">
        <f>0.01*$K$68</f>
        <v>#DIV/0!</v>
      </c>
      <c r="Y20" s="199" t="e">
        <f>0.01*$K$69</f>
        <v>#DIV/0!</v>
      </c>
      <c r="Z20" s="199" t="e">
        <f>0.01*$K$70</f>
        <v>#DIV/0!</v>
      </c>
      <c r="AA20" s="199" t="e">
        <f>0.01*$K$71</f>
        <v>#DIV/0!</v>
      </c>
      <c r="AB20" s="199" t="e">
        <f>0.01*$K$72</f>
        <v>#DIV/0!</v>
      </c>
      <c r="AC20" s="199" t="e">
        <f>0.01*$K$73</f>
        <v>#DIV/0!</v>
      </c>
      <c r="AD20" s="199" t="e">
        <f>0.01*$K$74</f>
        <v>#DIV/0!</v>
      </c>
      <c r="AE20" s="199" t="e">
        <f>0.01*$K$75</f>
        <v>#DIV/0!</v>
      </c>
      <c r="AF20" s="199" t="e">
        <f>0.01*$K$76</f>
        <v>#DIV/0!</v>
      </c>
      <c r="AG20" s="199" t="e">
        <f>0.01*$K$77</f>
        <v>#DIV/0!</v>
      </c>
      <c r="AH20" s="199" t="e">
        <f>0.01*$K$78</f>
        <v>#DIV/0!</v>
      </c>
      <c r="AI20" s="199" t="e">
        <f>0.01*$K$79</f>
        <v>#DIV/0!</v>
      </c>
      <c r="AJ20" s="199" t="e">
        <f>0.01*$K$80</f>
        <v>#DIV/0!</v>
      </c>
      <c r="AK20" s="199" t="e">
        <f>0.01*$K$81</f>
        <v>#DIV/0!</v>
      </c>
      <c r="AL20" s="199" t="e">
        <f>0.01*$K$82</f>
        <v>#DIV/0!</v>
      </c>
      <c r="AM20" s="199" t="e">
        <f>0.01*$K$83</f>
        <v>#DIV/0!</v>
      </c>
      <c r="AN20" s="199" t="e">
        <f>0.01*$K$84</f>
        <v>#DIV/0!</v>
      </c>
      <c r="AO20" s="199" t="e">
        <f>0.01*$K$85</f>
        <v>#DIV/0!</v>
      </c>
      <c r="AP20" s="199" t="e">
        <f>0.01*$K$86</f>
        <v>#DIV/0!</v>
      </c>
      <c r="AQ20" s="199" t="e">
        <f>0.01*$K$87</f>
        <v>#DIV/0!</v>
      </c>
      <c r="AR20" s="199" t="e">
        <f>0.01*$K$88</f>
        <v>#DIV/0!</v>
      </c>
      <c r="AS20" s="199" t="e">
        <f>0.01*$K$89</f>
        <v>#DIV/0!</v>
      </c>
      <c r="AT20" s="199" t="e">
        <f>0.01*$K$90</f>
        <v>#DIV/0!</v>
      </c>
      <c r="AU20" s="199" t="e">
        <f>0.01*$K$91</f>
        <v>#DIV/0!</v>
      </c>
      <c r="AV20" s="199" t="e">
        <f>0.01*$K$92</f>
        <v>#DIV/0!</v>
      </c>
      <c r="AW20" s="199" t="e">
        <f>0.01*$K$94</f>
        <v>#DIV/0!</v>
      </c>
      <c r="AX20" s="199" t="e">
        <f>0.01*$K$95</f>
        <v>#DIV/0!</v>
      </c>
      <c r="AY20" s="199" t="e">
        <f>0.01*$K$96</f>
        <v>#DIV/0!</v>
      </c>
      <c r="AZ20" s="199" t="e">
        <f>0.01*$K$97</f>
        <v>#DIV/0!</v>
      </c>
      <c r="BA20" s="199" t="e">
        <f>0.01*$K$98</f>
        <v>#DIV/0!</v>
      </c>
      <c r="BB20" s="174"/>
      <c r="BC20" s="174"/>
      <c r="BD20" s="174"/>
      <c r="BE20" s="174"/>
      <c r="BF20" s="174"/>
      <c r="BG20" s="9"/>
      <c r="BH20" s="9"/>
    </row>
    <row r="21" spans="1:60">
      <c r="A21">
        <v>2019</v>
      </c>
      <c r="B21" t="s">
        <v>5</v>
      </c>
      <c r="C21" s="199" t="e">
        <f>0.01*$L$47</f>
        <v>#DIV/0!</v>
      </c>
      <c r="D21" s="199" t="e">
        <f>0.01*$L$48</f>
        <v>#DIV/0!</v>
      </c>
      <c r="E21" s="199" t="e">
        <f>0.01*$L$49</f>
        <v>#DIV/0!</v>
      </c>
      <c r="F21" s="199" t="e">
        <f>0.01*$L$50</f>
        <v>#DIV/0!</v>
      </c>
      <c r="G21" s="199" t="e">
        <f>0.01*$L$51</f>
        <v>#DIV/0!</v>
      </c>
      <c r="H21" s="199" t="e">
        <f>0.01*$L$52</f>
        <v>#DIV/0!</v>
      </c>
      <c r="I21" s="199" t="e">
        <f>0.01*$L$53</f>
        <v>#DIV/0!</v>
      </c>
      <c r="J21" s="199" t="e">
        <f>0.01*$L$54</f>
        <v>#DIV/0!</v>
      </c>
      <c r="K21" s="199" t="e">
        <f>0.01*$L$55</f>
        <v>#DIV/0!</v>
      </c>
      <c r="L21" s="199" t="e">
        <f>0.01*$L$56</f>
        <v>#DIV/0!</v>
      </c>
      <c r="M21" s="199" t="e">
        <f>0.01*$L$57</f>
        <v>#DIV/0!</v>
      </c>
      <c r="N21" s="199" t="e">
        <f>0.01*$L$58</f>
        <v>#DIV/0!</v>
      </c>
      <c r="O21" s="199" t="e">
        <f>0.01*$L$59</f>
        <v>#DIV/0!</v>
      </c>
      <c r="P21" s="199" t="e">
        <f>0.01*$L$60</f>
        <v>#DIV/0!</v>
      </c>
      <c r="Q21" s="199" t="e">
        <f>0.01*$L$61</f>
        <v>#DIV/0!</v>
      </c>
      <c r="R21" s="199" t="e">
        <f>0.01*$L$62</f>
        <v>#DIV/0!</v>
      </c>
      <c r="S21" s="199" t="e">
        <f>0.01*$L$63</f>
        <v>#DIV/0!</v>
      </c>
      <c r="T21" s="199" t="e">
        <f>0.01*$L$64</f>
        <v>#DIV/0!</v>
      </c>
      <c r="U21" s="199" t="e">
        <f>0.01*$L$65</f>
        <v>#DIV/0!</v>
      </c>
      <c r="V21" s="199" t="e">
        <f>0.01*$L$66</f>
        <v>#DIV/0!</v>
      </c>
      <c r="W21" s="199" t="e">
        <f>0.01*$L$67</f>
        <v>#DIV/0!</v>
      </c>
      <c r="X21" s="199" t="e">
        <f>0.01*$L$68</f>
        <v>#DIV/0!</v>
      </c>
      <c r="Y21" s="199" t="e">
        <f>0.01*$L$69</f>
        <v>#DIV/0!</v>
      </c>
      <c r="Z21" s="199" t="e">
        <f>0.01*$L$70</f>
        <v>#DIV/0!</v>
      </c>
      <c r="AA21" s="199" t="e">
        <f>0.01*$L$71</f>
        <v>#DIV/0!</v>
      </c>
      <c r="AB21" s="199" t="e">
        <f>0.01*$L$72</f>
        <v>#DIV/0!</v>
      </c>
      <c r="AC21" s="199" t="e">
        <f>0.01*$L$73</f>
        <v>#DIV/0!</v>
      </c>
      <c r="AD21" s="199" t="e">
        <f>0.01*$L$74</f>
        <v>#DIV/0!</v>
      </c>
      <c r="AE21" s="199" t="e">
        <f>0.01*$L$75</f>
        <v>#DIV/0!</v>
      </c>
      <c r="AF21" s="199" t="e">
        <f>0.01*$L$76</f>
        <v>#DIV/0!</v>
      </c>
      <c r="AG21" s="199" t="e">
        <f>0.01*$L$77</f>
        <v>#DIV/0!</v>
      </c>
      <c r="AH21" s="199" t="e">
        <f>0.01*$L$78</f>
        <v>#DIV/0!</v>
      </c>
      <c r="AI21" s="199" t="e">
        <f>0.01*$L$79</f>
        <v>#DIV/0!</v>
      </c>
      <c r="AJ21" s="199" t="e">
        <f>0.01*$L$80</f>
        <v>#DIV/0!</v>
      </c>
      <c r="AK21" s="199" t="e">
        <f>0.01*$L$81</f>
        <v>#DIV/0!</v>
      </c>
      <c r="AL21" s="199" t="e">
        <f>0.01*$L$82</f>
        <v>#DIV/0!</v>
      </c>
      <c r="AM21" s="199" t="e">
        <f>0.01*$L$83</f>
        <v>#DIV/0!</v>
      </c>
      <c r="AN21" s="199" t="e">
        <f>0.01*$L$84</f>
        <v>#DIV/0!</v>
      </c>
      <c r="AO21" s="199" t="e">
        <f>0.01*$L$85</f>
        <v>#DIV/0!</v>
      </c>
      <c r="AP21" s="199" t="e">
        <f>0.01*$L$86</f>
        <v>#DIV/0!</v>
      </c>
      <c r="AQ21" s="199" t="e">
        <f>0.01*$L$87</f>
        <v>#DIV/0!</v>
      </c>
      <c r="AR21" s="199" t="e">
        <f>0.01*$L$88</f>
        <v>#DIV/0!</v>
      </c>
      <c r="AS21" s="199" t="e">
        <f>0.01*$L$89</f>
        <v>#DIV/0!</v>
      </c>
      <c r="AT21" s="199" t="e">
        <f>0.01*$L$90</f>
        <v>#DIV/0!</v>
      </c>
      <c r="AU21" s="199" t="e">
        <f>0.01*$L$91</f>
        <v>#DIV/0!</v>
      </c>
      <c r="AV21" s="199" t="e">
        <f>0.01*$L$92</f>
        <v>#DIV/0!</v>
      </c>
      <c r="AW21" s="199" t="e">
        <f>0.01*$L$94</f>
        <v>#DIV/0!</v>
      </c>
      <c r="AX21" s="199" t="e">
        <f>0.01*$L$95</f>
        <v>#DIV/0!</v>
      </c>
      <c r="AY21" s="199" t="e">
        <f>0.01*$L$96</f>
        <v>#DIV/0!</v>
      </c>
      <c r="AZ21" s="199" t="e">
        <f>0.01*$L$97</f>
        <v>#DIV/0!</v>
      </c>
      <c r="BA21" s="199" t="e">
        <f>0.01*$L$98</f>
        <v>#DIV/0!</v>
      </c>
      <c r="BB21" s="174"/>
      <c r="BC21" s="174"/>
      <c r="BD21" s="174"/>
      <c r="BE21" s="174"/>
      <c r="BF21" s="174"/>
      <c r="BG21" s="9"/>
      <c r="BH21" s="9"/>
    </row>
    <row r="22" spans="1:60">
      <c r="A22" s="2">
        <v>2019</v>
      </c>
      <c r="B22" t="s">
        <v>6</v>
      </c>
      <c r="C22" s="199" t="e">
        <f>0.01*$M$47</f>
        <v>#DIV/0!</v>
      </c>
      <c r="D22" s="199" t="e">
        <f>0.01*$M$48</f>
        <v>#DIV/0!</v>
      </c>
      <c r="E22" s="199" t="e">
        <f>0.01*$M$49</f>
        <v>#DIV/0!</v>
      </c>
      <c r="F22" s="199" t="e">
        <f>0.01*$M$50</f>
        <v>#DIV/0!</v>
      </c>
      <c r="G22" s="199" t="e">
        <f>0.01*$M$51</f>
        <v>#DIV/0!</v>
      </c>
      <c r="H22" s="199" t="e">
        <f>0.01*$M$52</f>
        <v>#DIV/0!</v>
      </c>
      <c r="I22" s="199" t="e">
        <f>0.01*$M$53</f>
        <v>#DIV/0!</v>
      </c>
      <c r="J22" s="199" t="e">
        <f>0.01*$M$54</f>
        <v>#DIV/0!</v>
      </c>
      <c r="K22" s="199" t="e">
        <f>0.01*$M$55</f>
        <v>#DIV/0!</v>
      </c>
      <c r="L22" s="199" t="e">
        <f>0.01*$M$56</f>
        <v>#DIV/0!</v>
      </c>
      <c r="M22" s="199" t="e">
        <f>0.01*$M$57</f>
        <v>#DIV/0!</v>
      </c>
      <c r="N22" s="199" t="e">
        <f>0.01*$M$58</f>
        <v>#DIV/0!</v>
      </c>
      <c r="O22" s="199" t="e">
        <f>0.01*$M$59</f>
        <v>#DIV/0!</v>
      </c>
      <c r="P22" s="199" t="e">
        <f>0.01*$M$60</f>
        <v>#DIV/0!</v>
      </c>
      <c r="Q22" s="199" t="e">
        <f>0.01*$M$61</f>
        <v>#DIV/0!</v>
      </c>
      <c r="R22" s="199" t="e">
        <f>0.01*$M$62</f>
        <v>#DIV/0!</v>
      </c>
      <c r="S22" s="199" t="e">
        <f>0.01*$M$63</f>
        <v>#DIV/0!</v>
      </c>
      <c r="T22" s="199" t="e">
        <f>0.01*$M$64</f>
        <v>#DIV/0!</v>
      </c>
      <c r="U22" s="199" t="e">
        <f>0.01*$M$65</f>
        <v>#DIV/0!</v>
      </c>
      <c r="V22" s="199" t="e">
        <f>0.01*$M$66</f>
        <v>#DIV/0!</v>
      </c>
      <c r="W22" s="199" t="e">
        <f>0.01*$M$67</f>
        <v>#DIV/0!</v>
      </c>
      <c r="X22" s="199" t="e">
        <f>0.01*$M$68</f>
        <v>#DIV/0!</v>
      </c>
      <c r="Y22" s="199" t="e">
        <f>0.01*$M$69</f>
        <v>#DIV/0!</v>
      </c>
      <c r="Z22" s="199" t="e">
        <f>0.01*$M$70</f>
        <v>#DIV/0!</v>
      </c>
      <c r="AA22" s="199" t="e">
        <f>0.01*$M$71</f>
        <v>#DIV/0!</v>
      </c>
      <c r="AB22" s="199" t="e">
        <f>0.01*$M$72</f>
        <v>#DIV/0!</v>
      </c>
      <c r="AC22" s="199" t="e">
        <f>0.01*$M$73</f>
        <v>#DIV/0!</v>
      </c>
      <c r="AD22" s="199" t="e">
        <f>0.01*$M$74</f>
        <v>#DIV/0!</v>
      </c>
      <c r="AE22" s="199" t="e">
        <f>0.01*$M$75</f>
        <v>#DIV/0!</v>
      </c>
      <c r="AF22" s="199" t="e">
        <f>0.01*$M$76</f>
        <v>#DIV/0!</v>
      </c>
      <c r="AG22" s="199" t="e">
        <f>0.01*$M$77</f>
        <v>#DIV/0!</v>
      </c>
      <c r="AH22" s="199" t="e">
        <f>0.01*$M$78</f>
        <v>#DIV/0!</v>
      </c>
      <c r="AI22" s="199" t="e">
        <f>0.01*$M$79</f>
        <v>#DIV/0!</v>
      </c>
      <c r="AJ22" s="199" t="e">
        <f>0.01*$M$80</f>
        <v>#DIV/0!</v>
      </c>
      <c r="AK22" s="199" t="e">
        <f>0.01*$M$81</f>
        <v>#DIV/0!</v>
      </c>
      <c r="AL22" s="199" t="e">
        <f>0.01*$M$82</f>
        <v>#DIV/0!</v>
      </c>
      <c r="AM22" s="199" t="e">
        <f>0.01*$M$83</f>
        <v>#DIV/0!</v>
      </c>
      <c r="AN22" s="199" t="e">
        <f>0.01*$M$84</f>
        <v>#DIV/0!</v>
      </c>
      <c r="AO22" s="199" t="e">
        <f>0.01*$M$85</f>
        <v>#DIV/0!</v>
      </c>
      <c r="AP22" s="199" t="e">
        <f>0.01*$M$86</f>
        <v>#DIV/0!</v>
      </c>
      <c r="AQ22" s="199" t="e">
        <f>0.01*$M$87</f>
        <v>#DIV/0!</v>
      </c>
      <c r="AR22" s="199" t="e">
        <f>0.01*$M$88</f>
        <v>#DIV/0!</v>
      </c>
      <c r="AS22" s="199" t="e">
        <f>0.01*$M$89</f>
        <v>#DIV/0!</v>
      </c>
      <c r="AT22" s="199" t="e">
        <f>0.01*$M$90</f>
        <v>#DIV/0!</v>
      </c>
      <c r="AU22" s="199" t="e">
        <f>0.01*$M$91</f>
        <v>#DIV/0!</v>
      </c>
      <c r="AV22" s="199" t="e">
        <f>0.01*$M$92</f>
        <v>#DIV/0!</v>
      </c>
      <c r="AW22" s="199" t="e">
        <f>0.01*$M$94</f>
        <v>#DIV/0!</v>
      </c>
      <c r="AX22" s="199" t="e">
        <f>0.01*$M$95</f>
        <v>#DIV/0!</v>
      </c>
      <c r="AY22" s="199" t="e">
        <f>0.01*$M$96</f>
        <v>#DIV/0!</v>
      </c>
      <c r="AZ22" s="199" t="e">
        <f>0.01*$M$97</f>
        <v>#DIV/0!</v>
      </c>
      <c r="BA22" s="199" t="e">
        <f>0.01*$M$98</f>
        <v>#DIV/0!</v>
      </c>
      <c r="BB22" s="174"/>
      <c r="BC22" s="174"/>
      <c r="BD22" s="174"/>
      <c r="BE22" s="174"/>
      <c r="BF22" s="174"/>
      <c r="BG22" s="9"/>
      <c r="BH22" s="9"/>
    </row>
    <row r="23" spans="1:60">
      <c r="A23">
        <v>2019</v>
      </c>
      <c r="B23" t="s">
        <v>42</v>
      </c>
      <c r="C23" s="199" t="e">
        <f>0.01*$N$47</f>
        <v>#DIV/0!</v>
      </c>
      <c r="D23" s="199" t="e">
        <f>0.01*$N$48</f>
        <v>#DIV/0!</v>
      </c>
      <c r="E23" s="199" t="e">
        <f>0.01*$N$49</f>
        <v>#DIV/0!</v>
      </c>
      <c r="F23" s="199" t="e">
        <f>0.01*$N$50</f>
        <v>#DIV/0!</v>
      </c>
      <c r="G23" s="199" t="e">
        <f>0.01*$N$51</f>
        <v>#DIV/0!</v>
      </c>
      <c r="H23" s="199" t="e">
        <f>0.01*$N$52</f>
        <v>#DIV/0!</v>
      </c>
      <c r="I23" s="199" t="e">
        <f>0.01*$N$53</f>
        <v>#DIV/0!</v>
      </c>
      <c r="J23" s="199" t="e">
        <f>0.01*$N$54</f>
        <v>#DIV/0!</v>
      </c>
      <c r="K23" s="199" t="e">
        <f>0.01*$N$55</f>
        <v>#DIV/0!</v>
      </c>
      <c r="L23" s="199" t="e">
        <f>0.01*$N$56</f>
        <v>#DIV/0!</v>
      </c>
      <c r="M23" s="199" t="e">
        <f>0.01*$N$57</f>
        <v>#DIV/0!</v>
      </c>
      <c r="N23" s="199" t="e">
        <f>0.01*$N$58</f>
        <v>#DIV/0!</v>
      </c>
      <c r="O23" s="199" t="e">
        <f>0.01*$N$59</f>
        <v>#DIV/0!</v>
      </c>
      <c r="P23" s="199" t="e">
        <f>0.01*$N$60</f>
        <v>#DIV/0!</v>
      </c>
      <c r="Q23" s="199" t="e">
        <f>0.01*$N$61</f>
        <v>#DIV/0!</v>
      </c>
      <c r="R23" s="199" t="e">
        <f>0.01*$N$62</f>
        <v>#DIV/0!</v>
      </c>
      <c r="S23" s="199" t="e">
        <f>0.01*$N$63</f>
        <v>#DIV/0!</v>
      </c>
      <c r="T23" s="199" t="e">
        <f>0.01*$N$64</f>
        <v>#DIV/0!</v>
      </c>
      <c r="U23" s="199" t="e">
        <f>0.01*$N$65</f>
        <v>#DIV/0!</v>
      </c>
      <c r="V23" s="199" t="e">
        <f>0.01*$N$66</f>
        <v>#DIV/0!</v>
      </c>
      <c r="W23" s="199" t="e">
        <f>0.01*$N$67</f>
        <v>#DIV/0!</v>
      </c>
      <c r="X23" s="199" t="e">
        <f>0.01*$N$68</f>
        <v>#DIV/0!</v>
      </c>
      <c r="Y23" s="199" t="e">
        <f>0.01*$N$69</f>
        <v>#DIV/0!</v>
      </c>
      <c r="Z23" s="199" t="e">
        <f>0.01*$N$70</f>
        <v>#DIV/0!</v>
      </c>
      <c r="AA23" s="199" t="e">
        <f>0.01*$N$71</f>
        <v>#DIV/0!</v>
      </c>
      <c r="AB23" s="199" t="e">
        <f>0.01*$N$72</f>
        <v>#DIV/0!</v>
      </c>
      <c r="AC23" s="199" t="e">
        <f>0.01*$N$73</f>
        <v>#DIV/0!</v>
      </c>
      <c r="AD23" s="199" t="e">
        <f>0.01*$N$74</f>
        <v>#DIV/0!</v>
      </c>
      <c r="AE23" s="199" t="e">
        <f>0.01*$N$75</f>
        <v>#DIV/0!</v>
      </c>
      <c r="AF23" s="199" t="e">
        <f>0.01*$N$76</f>
        <v>#DIV/0!</v>
      </c>
      <c r="AG23" s="199" t="e">
        <f>0.01*$N$77</f>
        <v>#DIV/0!</v>
      </c>
      <c r="AH23" s="199" t="e">
        <f>0.01*$N$78</f>
        <v>#DIV/0!</v>
      </c>
      <c r="AI23" s="199" t="e">
        <f>0.01*$N$79</f>
        <v>#DIV/0!</v>
      </c>
      <c r="AJ23" s="199" t="e">
        <f>0.01*$N$80</f>
        <v>#DIV/0!</v>
      </c>
      <c r="AK23" s="199" t="e">
        <f>0.01*$N$81</f>
        <v>#DIV/0!</v>
      </c>
      <c r="AL23" s="199" t="e">
        <f>0.01*$N$82</f>
        <v>#DIV/0!</v>
      </c>
      <c r="AM23" s="199" t="e">
        <f>0.01*$N$83</f>
        <v>#DIV/0!</v>
      </c>
      <c r="AN23" s="199" t="e">
        <f>0.01*$N$84</f>
        <v>#DIV/0!</v>
      </c>
      <c r="AO23" s="199" t="e">
        <f>0.01*$N$85</f>
        <v>#DIV/0!</v>
      </c>
      <c r="AP23" s="199" t="e">
        <f>0.01*$N$86</f>
        <v>#DIV/0!</v>
      </c>
      <c r="AQ23" s="199" t="e">
        <f>0.01*$N$87</f>
        <v>#DIV/0!</v>
      </c>
      <c r="AR23" s="199" t="e">
        <f>0.01*$N$88</f>
        <v>#DIV/0!</v>
      </c>
      <c r="AS23" s="199" t="e">
        <f>0.01*$N$89</f>
        <v>#DIV/0!</v>
      </c>
      <c r="AT23" s="199" t="e">
        <f>0.01*$N$90</f>
        <v>#DIV/0!</v>
      </c>
      <c r="AU23" s="199" t="e">
        <f>0.01*$N$91</f>
        <v>#DIV/0!</v>
      </c>
      <c r="AV23" s="199" t="e">
        <f>0.01*$N$92</f>
        <v>#DIV/0!</v>
      </c>
      <c r="AW23" s="199" t="e">
        <f>0.01*$N$94</f>
        <v>#DIV/0!</v>
      </c>
      <c r="AX23" s="199" t="e">
        <f>0.01*$N$95</f>
        <v>#DIV/0!</v>
      </c>
      <c r="AY23" s="199" t="e">
        <f>0.01*$N$96</f>
        <v>#DIV/0!</v>
      </c>
      <c r="AZ23" s="199" t="e">
        <f>0.01*$N$97</f>
        <v>#DIV/0!</v>
      </c>
      <c r="BA23" s="199" t="e">
        <f>0.01*$N$98</f>
        <v>#DIV/0!</v>
      </c>
      <c r="BB23" s="174"/>
      <c r="BC23" s="174"/>
      <c r="BD23" s="174"/>
      <c r="BE23" s="174"/>
      <c r="BF23" s="174"/>
      <c r="BG23" s="9"/>
      <c r="BH23" s="9"/>
    </row>
    <row r="24" spans="1:60">
      <c r="A24" s="2">
        <v>2020</v>
      </c>
      <c r="B24" t="s">
        <v>5</v>
      </c>
      <c r="C24" s="199" t="e">
        <f>0.01*$O$47</f>
        <v>#DIV/0!</v>
      </c>
      <c r="D24" s="199" t="e">
        <f>0.01*$O$48</f>
        <v>#DIV/0!</v>
      </c>
      <c r="E24" s="199" t="e">
        <f>0.01*$O$49</f>
        <v>#DIV/0!</v>
      </c>
      <c r="F24" s="199" t="e">
        <f>0.01*$O$50</f>
        <v>#DIV/0!</v>
      </c>
      <c r="G24" s="199" t="e">
        <f>0.01*$O$51</f>
        <v>#DIV/0!</v>
      </c>
      <c r="H24" s="199" t="e">
        <f>0.01*$O$52</f>
        <v>#DIV/0!</v>
      </c>
      <c r="I24" s="199" t="e">
        <f>0.01*$O$53</f>
        <v>#DIV/0!</v>
      </c>
      <c r="J24" s="199" t="e">
        <f>0.01*$O$54</f>
        <v>#DIV/0!</v>
      </c>
      <c r="K24" s="199" t="e">
        <f>0.01*$O$55</f>
        <v>#DIV/0!</v>
      </c>
      <c r="L24" s="199" t="e">
        <f>0.01*$O$56</f>
        <v>#DIV/0!</v>
      </c>
      <c r="M24" s="199" t="e">
        <f>0.01*$O$57</f>
        <v>#DIV/0!</v>
      </c>
      <c r="N24" s="199" t="e">
        <f>0.01*$O$58</f>
        <v>#DIV/0!</v>
      </c>
      <c r="O24" s="199" t="e">
        <f>0.01*$O$59</f>
        <v>#DIV/0!</v>
      </c>
      <c r="P24" s="199" t="e">
        <f>0.01*$O$60</f>
        <v>#DIV/0!</v>
      </c>
      <c r="Q24" s="199" t="e">
        <f>0.01*$O$61</f>
        <v>#DIV/0!</v>
      </c>
      <c r="R24" s="199" t="e">
        <f>0.01*$O$62</f>
        <v>#DIV/0!</v>
      </c>
      <c r="S24" s="199" t="e">
        <f>0.01*$O$63</f>
        <v>#DIV/0!</v>
      </c>
      <c r="T24" s="199" t="e">
        <f>0.01*$O$64</f>
        <v>#DIV/0!</v>
      </c>
      <c r="U24" s="199" t="e">
        <f>0.01*$O$65</f>
        <v>#DIV/0!</v>
      </c>
      <c r="V24" s="199" t="e">
        <f>0.01*$O$66</f>
        <v>#DIV/0!</v>
      </c>
      <c r="W24" s="199" t="e">
        <f>0.01*$O$67</f>
        <v>#DIV/0!</v>
      </c>
      <c r="X24" s="199" t="e">
        <f>0.01*$O$68</f>
        <v>#DIV/0!</v>
      </c>
      <c r="Y24" s="199" t="e">
        <f>0.01*$O$69</f>
        <v>#DIV/0!</v>
      </c>
      <c r="Z24" s="199" t="e">
        <f>0.01*$O$70</f>
        <v>#DIV/0!</v>
      </c>
      <c r="AA24" s="199" t="e">
        <f>0.01*$O$71</f>
        <v>#DIV/0!</v>
      </c>
      <c r="AB24" s="199" t="e">
        <f>0.01*$O$72</f>
        <v>#DIV/0!</v>
      </c>
      <c r="AC24" s="199" t="e">
        <f>0.01*$O$73</f>
        <v>#DIV/0!</v>
      </c>
      <c r="AD24" s="199" t="e">
        <f>0.01*$O$74</f>
        <v>#DIV/0!</v>
      </c>
      <c r="AE24" s="199" t="e">
        <f>0.01*$O$75</f>
        <v>#DIV/0!</v>
      </c>
      <c r="AF24" s="199" t="e">
        <f>0.01*$O$76</f>
        <v>#DIV/0!</v>
      </c>
      <c r="AG24" s="199" t="e">
        <f>0.01*$O$77</f>
        <v>#DIV/0!</v>
      </c>
      <c r="AH24" s="199" t="e">
        <f>0.01*$O$78</f>
        <v>#DIV/0!</v>
      </c>
      <c r="AI24" s="199" t="e">
        <f>0.01*$O$79</f>
        <v>#DIV/0!</v>
      </c>
      <c r="AJ24" s="199" t="e">
        <f>0.01*$O$80</f>
        <v>#DIV/0!</v>
      </c>
      <c r="AK24" s="199" t="e">
        <f>0.01*$O$81</f>
        <v>#DIV/0!</v>
      </c>
      <c r="AL24" s="199" t="e">
        <f>0.01*$O$82</f>
        <v>#DIV/0!</v>
      </c>
      <c r="AM24" s="199" t="e">
        <f>0.01*$O$83</f>
        <v>#DIV/0!</v>
      </c>
      <c r="AN24" s="199" t="e">
        <f>0.01*$O$84</f>
        <v>#DIV/0!</v>
      </c>
      <c r="AO24" s="199" t="e">
        <f>0.01*$O$85</f>
        <v>#DIV/0!</v>
      </c>
      <c r="AP24" s="199" t="e">
        <f>0.01*$O$86</f>
        <v>#DIV/0!</v>
      </c>
      <c r="AQ24" s="199" t="e">
        <f>0.01*$O$87</f>
        <v>#DIV/0!</v>
      </c>
      <c r="AR24" s="199" t="e">
        <f>0.01*$O$88</f>
        <v>#DIV/0!</v>
      </c>
      <c r="AS24" s="199" t="e">
        <f>0.01*$O$89</f>
        <v>#DIV/0!</v>
      </c>
      <c r="AT24" s="199" t="e">
        <f>0.01*$O$90</f>
        <v>#DIV/0!</v>
      </c>
      <c r="AU24" s="199" t="e">
        <f>0.01*$O$91</f>
        <v>#DIV/0!</v>
      </c>
      <c r="AV24" s="199" t="e">
        <f>0.01*$O$92</f>
        <v>#DIV/0!</v>
      </c>
      <c r="AW24" s="199" t="e">
        <f>0.01*$O$94</f>
        <v>#DIV/0!</v>
      </c>
      <c r="AX24" s="199" t="e">
        <f>0.01*$O$95</f>
        <v>#DIV/0!</v>
      </c>
      <c r="AY24" s="199" t="e">
        <f>0.01*$O$96</f>
        <v>#DIV/0!</v>
      </c>
      <c r="AZ24" s="199" t="e">
        <f>0.01*$O$97</f>
        <v>#DIV/0!</v>
      </c>
      <c r="BA24" s="199" t="e">
        <f>0.01*$O$98</f>
        <v>#DIV/0!</v>
      </c>
      <c r="BB24" s="174"/>
      <c r="BC24" s="174"/>
      <c r="BD24" s="174"/>
      <c r="BE24" s="174"/>
      <c r="BF24" s="174"/>
      <c r="BG24" s="9"/>
      <c r="BH24" s="9"/>
    </row>
    <row r="25" spans="1:60">
      <c r="A25">
        <v>2020</v>
      </c>
      <c r="B25" t="s">
        <v>6</v>
      </c>
      <c r="C25" s="199" t="e">
        <f>0.01*$P$47</f>
        <v>#DIV/0!</v>
      </c>
      <c r="D25" s="199" t="e">
        <f>0.01*$P$48</f>
        <v>#DIV/0!</v>
      </c>
      <c r="E25" s="199" t="e">
        <f>0.01*$P$49</f>
        <v>#DIV/0!</v>
      </c>
      <c r="F25" s="199" t="e">
        <f>0.01*$P$50</f>
        <v>#DIV/0!</v>
      </c>
      <c r="G25" s="199" t="e">
        <f>0.01*$P$51</f>
        <v>#DIV/0!</v>
      </c>
      <c r="H25" s="199" t="e">
        <f>0.01*$P$52</f>
        <v>#DIV/0!</v>
      </c>
      <c r="I25" s="199" t="e">
        <f>0.01*$P$53</f>
        <v>#DIV/0!</v>
      </c>
      <c r="J25" s="199" t="e">
        <f>0.01*$P$54</f>
        <v>#DIV/0!</v>
      </c>
      <c r="K25" s="199" t="e">
        <f>0.01*$P$55</f>
        <v>#DIV/0!</v>
      </c>
      <c r="L25" s="199" t="e">
        <f>0.01*$P$56</f>
        <v>#DIV/0!</v>
      </c>
      <c r="M25" s="199" t="e">
        <f>0.01*$P$57</f>
        <v>#DIV/0!</v>
      </c>
      <c r="N25" s="199" t="e">
        <f>0.01*$P$58</f>
        <v>#DIV/0!</v>
      </c>
      <c r="O25" s="199" t="e">
        <f>0.01*$P$59</f>
        <v>#DIV/0!</v>
      </c>
      <c r="P25" s="199" t="e">
        <f>0.01*$P$60</f>
        <v>#DIV/0!</v>
      </c>
      <c r="Q25" s="199" t="e">
        <f>0.01*$P$61</f>
        <v>#DIV/0!</v>
      </c>
      <c r="R25" s="199" t="e">
        <f>0.01*$P$62</f>
        <v>#DIV/0!</v>
      </c>
      <c r="S25" s="199" t="e">
        <f>0.01*$P$63</f>
        <v>#DIV/0!</v>
      </c>
      <c r="T25" s="199" t="e">
        <f>0.01*$P$64</f>
        <v>#DIV/0!</v>
      </c>
      <c r="U25" s="199" t="e">
        <f>0.01*$P$65</f>
        <v>#DIV/0!</v>
      </c>
      <c r="V25" s="199" t="e">
        <f>0.01*$P$66</f>
        <v>#DIV/0!</v>
      </c>
      <c r="W25" s="199" t="e">
        <f>0.01*$P$67</f>
        <v>#DIV/0!</v>
      </c>
      <c r="X25" s="199" t="e">
        <f>0.01*$P$68</f>
        <v>#DIV/0!</v>
      </c>
      <c r="Y25" s="199" t="e">
        <f>0.01*$P$69</f>
        <v>#DIV/0!</v>
      </c>
      <c r="Z25" s="199" t="e">
        <f>0.01*$P$70</f>
        <v>#DIV/0!</v>
      </c>
      <c r="AA25" s="199" t="e">
        <f>0.01*$P$71</f>
        <v>#DIV/0!</v>
      </c>
      <c r="AB25" s="199" t="e">
        <f>0.01*$P$72</f>
        <v>#DIV/0!</v>
      </c>
      <c r="AC25" s="199" t="e">
        <f>0.01*$P$73</f>
        <v>#DIV/0!</v>
      </c>
      <c r="AD25" s="199" t="e">
        <f>0.01*$P$74</f>
        <v>#DIV/0!</v>
      </c>
      <c r="AE25" s="199" t="e">
        <f>0.01*$P$75</f>
        <v>#DIV/0!</v>
      </c>
      <c r="AF25" s="199" t="e">
        <f>0.01*$P$76</f>
        <v>#DIV/0!</v>
      </c>
      <c r="AG25" s="199" t="e">
        <f>0.01*$P$77</f>
        <v>#DIV/0!</v>
      </c>
      <c r="AH25" s="199" t="e">
        <f>0.01*$P$78</f>
        <v>#DIV/0!</v>
      </c>
      <c r="AI25" s="199" t="e">
        <f>0.01*$P$79</f>
        <v>#DIV/0!</v>
      </c>
      <c r="AJ25" s="199" t="e">
        <f>0.01*$P$80</f>
        <v>#DIV/0!</v>
      </c>
      <c r="AK25" s="199" t="e">
        <f>0.01*$P$81</f>
        <v>#DIV/0!</v>
      </c>
      <c r="AL25" s="199" t="e">
        <f>0.01*$P$82</f>
        <v>#DIV/0!</v>
      </c>
      <c r="AM25" s="199" t="e">
        <f>0.01*$P$83</f>
        <v>#DIV/0!</v>
      </c>
      <c r="AN25" s="199" t="e">
        <f>0.01*$P$84</f>
        <v>#DIV/0!</v>
      </c>
      <c r="AO25" s="199" t="e">
        <f>0.01*$P$85</f>
        <v>#DIV/0!</v>
      </c>
      <c r="AP25" s="199" t="e">
        <f>0.01*$P$86</f>
        <v>#DIV/0!</v>
      </c>
      <c r="AQ25" s="199" t="e">
        <f>0.01*$P$87</f>
        <v>#DIV/0!</v>
      </c>
      <c r="AR25" s="199" t="e">
        <f>0.01*$P$88</f>
        <v>#DIV/0!</v>
      </c>
      <c r="AS25" s="199" t="e">
        <f>0.01*$P$89</f>
        <v>#DIV/0!</v>
      </c>
      <c r="AT25" s="199" t="e">
        <f>0.01*$P$90</f>
        <v>#DIV/0!</v>
      </c>
      <c r="AU25" s="199" t="e">
        <f>0.01*$P$91</f>
        <v>#DIV/0!</v>
      </c>
      <c r="AV25" s="199" t="e">
        <f>0.01*$P$92</f>
        <v>#DIV/0!</v>
      </c>
      <c r="AW25" s="199" t="e">
        <f>0.01*$P$94</f>
        <v>#DIV/0!</v>
      </c>
      <c r="AX25" s="199" t="e">
        <f>0.01*$P$95</f>
        <v>#DIV/0!</v>
      </c>
      <c r="AY25" s="199" t="e">
        <f>0.01*$P$96</f>
        <v>#DIV/0!</v>
      </c>
      <c r="AZ25" s="199" t="e">
        <f>0.01*$P$97</f>
        <v>#DIV/0!</v>
      </c>
      <c r="BA25" s="199" t="e">
        <f>0.01*$P$98</f>
        <v>#DIV/0!</v>
      </c>
      <c r="BB25" s="174"/>
      <c r="BC25" s="174"/>
      <c r="BD25" s="174"/>
      <c r="BE25" s="174"/>
      <c r="BF25" s="174"/>
      <c r="BG25" s="9"/>
      <c r="BH25" s="9"/>
    </row>
    <row r="26" spans="1:60">
      <c r="A26" s="2">
        <v>2020</v>
      </c>
      <c r="B26" t="s">
        <v>42</v>
      </c>
      <c r="C26" s="199" t="e">
        <f>0.01*$Q$47</f>
        <v>#DIV/0!</v>
      </c>
      <c r="D26" s="199" t="e">
        <f>0.01*$Q$48</f>
        <v>#DIV/0!</v>
      </c>
      <c r="E26" s="199" t="e">
        <f>0.01*$Q$49</f>
        <v>#DIV/0!</v>
      </c>
      <c r="F26" s="199" t="e">
        <f>0.01*$Q$50</f>
        <v>#DIV/0!</v>
      </c>
      <c r="G26" s="199" t="e">
        <f>0.01*$Q$51</f>
        <v>#DIV/0!</v>
      </c>
      <c r="H26" s="199" t="e">
        <f>0.01*$Q$52</f>
        <v>#DIV/0!</v>
      </c>
      <c r="I26" s="199" t="e">
        <f>0.01*$Q$53</f>
        <v>#DIV/0!</v>
      </c>
      <c r="J26" s="199" t="e">
        <f>0.01*$Q$54</f>
        <v>#DIV/0!</v>
      </c>
      <c r="K26" s="199" t="e">
        <f>0.01*$Q$55</f>
        <v>#DIV/0!</v>
      </c>
      <c r="L26" s="199" t="e">
        <f>0.01*$Q$56</f>
        <v>#DIV/0!</v>
      </c>
      <c r="M26" s="199" t="e">
        <f>0.01*$Q$57</f>
        <v>#DIV/0!</v>
      </c>
      <c r="N26" s="199" t="e">
        <f>0.01*$Q$58</f>
        <v>#DIV/0!</v>
      </c>
      <c r="O26" s="199" t="e">
        <f>0.01*$Q$59</f>
        <v>#DIV/0!</v>
      </c>
      <c r="P26" s="199" t="e">
        <f>0.01*$Q$60</f>
        <v>#DIV/0!</v>
      </c>
      <c r="Q26" s="199" t="e">
        <f>0.01*$Q$61</f>
        <v>#DIV/0!</v>
      </c>
      <c r="R26" s="199" t="e">
        <f>0.01*$Q$62</f>
        <v>#DIV/0!</v>
      </c>
      <c r="S26" s="199" t="e">
        <f>0.01*$Q$63</f>
        <v>#DIV/0!</v>
      </c>
      <c r="T26" s="199" t="e">
        <f>0.01*$Q$64</f>
        <v>#DIV/0!</v>
      </c>
      <c r="U26" s="199" t="e">
        <f>0.01*$Q$65</f>
        <v>#DIV/0!</v>
      </c>
      <c r="V26" s="199" t="e">
        <f>0.01*$Q$66</f>
        <v>#DIV/0!</v>
      </c>
      <c r="W26" s="199" t="e">
        <f>0.01*$Q$67</f>
        <v>#DIV/0!</v>
      </c>
      <c r="X26" s="199" t="e">
        <f>0.01*$Q$68</f>
        <v>#DIV/0!</v>
      </c>
      <c r="Y26" s="199" t="e">
        <f>0.01*$Q$69</f>
        <v>#DIV/0!</v>
      </c>
      <c r="Z26" s="199" t="e">
        <f>0.01*$Q$70</f>
        <v>#DIV/0!</v>
      </c>
      <c r="AA26" s="199" t="e">
        <f>0.01*$Q$71</f>
        <v>#DIV/0!</v>
      </c>
      <c r="AB26" s="199" t="e">
        <f>0.01*$Q$72</f>
        <v>#DIV/0!</v>
      </c>
      <c r="AC26" s="199" t="e">
        <f>0.01*$Q$73</f>
        <v>#DIV/0!</v>
      </c>
      <c r="AD26" s="199" t="e">
        <f>0.01*$Q$74</f>
        <v>#DIV/0!</v>
      </c>
      <c r="AE26" s="199" t="e">
        <f>0.01*$Q$75</f>
        <v>#DIV/0!</v>
      </c>
      <c r="AF26" s="199" t="e">
        <f>0.01*$Q$76</f>
        <v>#DIV/0!</v>
      </c>
      <c r="AG26" s="199" t="e">
        <f>0.01*$Q$77</f>
        <v>#DIV/0!</v>
      </c>
      <c r="AH26" s="199" t="e">
        <f>0.01*$Q$78</f>
        <v>#DIV/0!</v>
      </c>
      <c r="AI26" s="199" t="e">
        <f>0.01*$Q$79</f>
        <v>#DIV/0!</v>
      </c>
      <c r="AJ26" s="199" t="e">
        <f>0.01*$Q$80</f>
        <v>#DIV/0!</v>
      </c>
      <c r="AK26" s="199" t="e">
        <f>0.01*$Q$81</f>
        <v>#DIV/0!</v>
      </c>
      <c r="AL26" s="199" t="e">
        <f>0.01*$Q$82</f>
        <v>#DIV/0!</v>
      </c>
      <c r="AM26" s="199" t="e">
        <f>0.01*$Q$83</f>
        <v>#DIV/0!</v>
      </c>
      <c r="AN26" s="199" t="e">
        <f>0.01*$Q$84</f>
        <v>#DIV/0!</v>
      </c>
      <c r="AO26" s="199" t="e">
        <f>0.01*$Q$85</f>
        <v>#DIV/0!</v>
      </c>
      <c r="AP26" s="199" t="e">
        <f>0.01*$Q$86</f>
        <v>#DIV/0!</v>
      </c>
      <c r="AQ26" s="199" t="e">
        <f>0.01*$Q$87</f>
        <v>#DIV/0!</v>
      </c>
      <c r="AR26" s="199" t="e">
        <f>0.01*$Q$88</f>
        <v>#DIV/0!</v>
      </c>
      <c r="AS26" s="199" t="e">
        <f>0.01*$Q$89</f>
        <v>#DIV/0!</v>
      </c>
      <c r="AT26" s="199" t="e">
        <f>0.01*$Q$90</f>
        <v>#DIV/0!</v>
      </c>
      <c r="AU26" s="199" t="e">
        <f>0.01*$Q$91</f>
        <v>#DIV/0!</v>
      </c>
      <c r="AV26" s="199" t="e">
        <f>0.01*$Q$92</f>
        <v>#DIV/0!</v>
      </c>
      <c r="AW26" s="199" t="e">
        <f>0.01*$Q$94</f>
        <v>#DIV/0!</v>
      </c>
      <c r="AX26" s="199" t="e">
        <f>0.01*$Q$95</f>
        <v>#DIV/0!</v>
      </c>
      <c r="AY26" s="199" t="e">
        <f>0.01*$Q$96</f>
        <v>#DIV/0!</v>
      </c>
      <c r="AZ26" s="199" t="e">
        <f>0.01*$Q$97</f>
        <v>#DIV/0!</v>
      </c>
      <c r="BA26" s="199" t="e">
        <f>0.01*$Q$98</f>
        <v>#DIV/0!</v>
      </c>
      <c r="BB26" s="174"/>
      <c r="BC26" s="174"/>
      <c r="BD26" s="174"/>
      <c r="BE26" s="174"/>
      <c r="BF26" s="174"/>
      <c r="BG26" s="9"/>
      <c r="BH26" s="9"/>
    </row>
    <row r="27" spans="1:60">
      <c r="A27">
        <v>2021</v>
      </c>
      <c r="B27" t="s">
        <v>5</v>
      </c>
      <c r="C27" s="199" t="e">
        <f>0.01*$R$47</f>
        <v>#DIV/0!</v>
      </c>
      <c r="D27" s="199" t="e">
        <f>0.01*$R$48</f>
        <v>#DIV/0!</v>
      </c>
      <c r="E27" s="199" t="e">
        <f>0.01*$R$49</f>
        <v>#DIV/0!</v>
      </c>
      <c r="F27" s="199" t="e">
        <f>0.01*$R$50</f>
        <v>#DIV/0!</v>
      </c>
      <c r="G27" s="199" t="e">
        <f>0.01*$R$51</f>
        <v>#DIV/0!</v>
      </c>
      <c r="H27" s="199" t="e">
        <f>0.01*$R$52</f>
        <v>#DIV/0!</v>
      </c>
      <c r="I27" s="199" t="e">
        <f>0.01*$R$53</f>
        <v>#DIV/0!</v>
      </c>
      <c r="J27" s="199" t="e">
        <f>0.01*$R$54</f>
        <v>#DIV/0!</v>
      </c>
      <c r="K27" s="199" t="e">
        <f>0.01*$R$55</f>
        <v>#DIV/0!</v>
      </c>
      <c r="L27" s="199" t="e">
        <f>0.01*$R$56</f>
        <v>#DIV/0!</v>
      </c>
      <c r="M27" s="199" t="e">
        <f>0.01*$R$57</f>
        <v>#DIV/0!</v>
      </c>
      <c r="N27" s="199" t="e">
        <f>0.01*$R$58</f>
        <v>#DIV/0!</v>
      </c>
      <c r="O27" s="199" t="e">
        <f>0.01*$R$59</f>
        <v>#DIV/0!</v>
      </c>
      <c r="P27" s="199" t="e">
        <f>0.01*$R$60</f>
        <v>#DIV/0!</v>
      </c>
      <c r="Q27" s="199" t="e">
        <f>0.01*$R$61</f>
        <v>#DIV/0!</v>
      </c>
      <c r="R27" s="199" t="e">
        <f>0.01*$R$62</f>
        <v>#DIV/0!</v>
      </c>
      <c r="S27" s="199" t="e">
        <f>0.01*$R$63</f>
        <v>#DIV/0!</v>
      </c>
      <c r="T27" s="199" t="e">
        <f>0.01*$R$64</f>
        <v>#DIV/0!</v>
      </c>
      <c r="U27" s="199" t="e">
        <f>0.01*$R$65</f>
        <v>#DIV/0!</v>
      </c>
      <c r="V27" s="199" t="e">
        <f>0.01*$R$66</f>
        <v>#DIV/0!</v>
      </c>
      <c r="W27" s="199" t="e">
        <f>0.01*$R$67</f>
        <v>#DIV/0!</v>
      </c>
      <c r="X27" s="199" t="e">
        <f>0.01*$R$68</f>
        <v>#DIV/0!</v>
      </c>
      <c r="Y27" s="199" t="e">
        <f>0.01*$R$69</f>
        <v>#DIV/0!</v>
      </c>
      <c r="Z27" s="199" t="e">
        <f>0.01*$R$70</f>
        <v>#DIV/0!</v>
      </c>
      <c r="AA27" s="199" t="e">
        <f>0.01*$R$71</f>
        <v>#DIV/0!</v>
      </c>
      <c r="AB27" s="199" t="e">
        <f>0.01*$R$72</f>
        <v>#DIV/0!</v>
      </c>
      <c r="AC27" s="199" t="e">
        <f>0.01*$R$73</f>
        <v>#DIV/0!</v>
      </c>
      <c r="AD27" s="199" t="e">
        <f>0.01*$R$74</f>
        <v>#DIV/0!</v>
      </c>
      <c r="AE27" s="199" t="e">
        <f>0.01*$R$75</f>
        <v>#DIV/0!</v>
      </c>
      <c r="AF27" s="199" t="e">
        <f>0.01*$R$76</f>
        <v>#DIV/0!</v>
      </c>
      <c r="AG27" s="199" t="e">
        <f>0.01*$R$77</f>
        <v>#DIV/0!</v>
      </c>
      <c r="AH27" s="199" t="e">
        <f>0.01*$R$78</f>
        <v>#DIV/0!</v>
      </c>
      <c r="AI27" s="199" t="e">
        <f>0.01*$R$79</f>
        <v>#DIV/0!</v>
      </c>
      <c r="AJ27" s="199" t="e">
        <f>0.01*$R$80</f>
        <v>#DIV/0!</v>
      </c>
      <c r="AK27" s="199" t="e">
        <f>0.01*$R$81</f>
        <v>#DIV/0!</v>
      </c>
      <c r="AL27" s="199" t="e">
        <f>0.01*$R$82</f>
        <v>#DIV/0!</v>
      </c>
      <c r="AM27" s="199" t="e">
        <f>0.01*$R$83</f>
        <v>#DIV/0!</v>
      </c>
      <c r="AN27" s="199" t="e">
        <f>0.01*$R$84</f>
        <v>#DIV/0!</v>
      </c>
      <c r="AO27" s="199" t="e">
        <f>0.01*$R$85</f>
        <v>#DIV/0!</v>
      </c>
      <c r="AP27" s="199" t="e">
        <f>0.01*$R$86</f>
        <v>#DIV/0!</v>
      </c>
      <c r="AQ27" s="199" t="e">
        <f>0.01*$R$87</f>
        <v>#DIV/0!</v>
      </c>
      <c r="AR27" s="199" t="e">
        <f>0.01*$R$88</f>
        <v>#DIV/0!</v>
      </c>
      <c r="AS27" s="199" t="e">
        <f>0.01*$R$89</f>
        <v>#DIV/0!</v>
      </c>
      <c r="AT27" s="199" t="e">
        <f>0.01*$R$90</f>
        <v>#DIV/0!</v>
      </c>
      <c r="AU27" s="199" t="e">
        <f>0.01*$R$91</f>
        <v>#DIV/0!</v>
      </c>
      <c r="AV27" s="199" t="e">
        <f>0.01*$R$92</f>
        <v>#DIV/0!</v>
      </c>
      <c r="AW27" s="199" t="e">
        <f>0.01*$R$94</f>
        <v>#DIV/0!</v>
      </c>
      <c r="AX27" s="199" t="e">
        <f>0.01*$R$95</f>
        <v>#DIV/0!</v>
      </c>
      <c r="AY27" s="199" t="e">
        <f>0.01*$R$96</f>
        <v>#DIV/0!</v>
      </c>
      <c r="AZ27" s="199" t="e">
        <f>0.01*$R$97</f>
        <v>#DIV/0!</v>
      </c>
      <c r="BA27" s="199" t="e">
        <f>0.01*$R$98</f>
        <v>#DIV/0!</v>
      </c>
      <c r="BB27" s="174"/>
      <c r="BC27" s="174"/>
      <c r="BD27" s="174"/>
      <c r="BE27" s="174"/>
      <c r="BF27" s="174"/>
      <c r="BG27" s="9"/>
      <c r="BH27" s="9"/>
    </row>
    <row r="28" spans="1:60">
      <c r="A28" s="2">
        <v>2021</v>
      </c>
      <c r="B28" t="s">
        <v>6</v>
      </c>
      <c r="C28" s="199" t="e">
        <f>$S$47</f>
        <v>#DIV/0!</v>
      </c>
      <c r="D28" s="199" t="e">
        <f>$S$48</f>
        <v>#DIV/0!</v>
      </c>
      <c r="E28" s="199" t="e">
        <f>$S$49</f>
        <v>#DIV/0!</v>
      </c>
      <c r="F28" s="199" t="e">
        <f>$S$50</f>
        <v>#DIV/0!</v>
      </c>
      <c r="G28" s="199" t="e">
        <f>$S$51</f>
        <v>#DIV/0!</v>
      </c>
      <c r="H28" s="199" t="e">
        <f>$S$52</f>
        <v>#DIV/0!</v>
      </c>
      <c r="I28" s="199" t="e">
        <f>$S$53</f>
        <v>#DIV/0!</v>
      </c>
      <c r="J28" s="199" t="e">
        <f>$S$54</f>
        <v>#DIV/0!</v>
      </c>
      <c r="K28" s="199" t="e">
        <f>$S$55</f>
        <v>#DIV/0!</v>
      </c>
      <c r="L28" s="199" t="e">
        <f>$S$56</f>
        <v>#DIV/0!</v>
      </c>
      <c r="M28" s="199" t="e">
        <f>$S$57</f>
        <v>#DIV/0!</v>
      </c>
      <c r="N28" s="199" t="e">
        <f>$S$58</f>
        <v>#DIV/0!</v>
      </c>
      <c r="O28" s="199" t="e">
        <f>$S$59</f>
        <v>#DIV/0!</v>
      </c>
      <c r="P28" s="199" t="e">
        <f>$S$60</f>
        <v>#DIV/0!</v>
      </c>
      <c r="Q28" s="199" t="e">
        <f>$S$61</f>
        <v>#DIV/0!</v>
      </c>
      <c r="R28" s="199" t="e">
        <f>$S$62</f>
        <v>#DIV/0!</v>
      </c>
      <c r="S28" s="199" t="e">
        <f>$S$63</f>
        <v>#DIV/0!</v>
      </c>
      <c r="T28" s="199" t="e">
        <f>$S$64</f>
        <v>#DIV/0!</v>
      </c>
      <c r="U28" s="199" t="e">
        <f>$S$65</f>
        <v>#DIV/0!</v>
      </c>
      <c r="V28" s="199" t="e">
        <f>$S$66</f>
        <v>#DIV/0!</v>
      </c>
      <c r="W28" s="199" t="e">
        <f>$S$67</f>
        <v>#DIV/0!</v>
      </c>
      <c r="X28" s="199" t="e">
        <f>$S$68</f>
        <v>#DIV/0!</v>
      </c>
      <c r="Y28" s="199" t="e">
        <f>$S$69</f>
        <v>#DIV/0!</v>
      </c>
      <c r="Z28" s="199" t="e">
        <f>$S$70</f>
        <v>#DIV/0!</v>
      </c>
      <c r="AA28" s="199" t="e">
        <f>$S$71</f>
        <v>#DIV/0!</v>
      </c>
      <c r="AB28" s="199" t="e">
        <f>$S$72</f>
        <v>#DIV/0!</v>
      </c>
      <c r="AC28" s="199" t="e">
        <f>$S$73</f>
        <v>#DIV/0!</v>
      </c>
      <c r="AD28" s="199" t="e">
        <f>$S$74</f>
        <v>#DIV/0!</v>
      </c>
      <c r="AE28" s="199" t="e">
        <f>$S$75</f>
        <v>#DIV/0!</v>
      </c>
      <c r="AF28" s="199" t="e">
        <f>$S$76</f>
        <v>#DIV/0!</v>
      </c>
      <c r="AG28" s="199" t="e">
        <f>$S$77</f>
        <v>#DIV/0!</v>
      </c>
      <c r="AH28" s="199" t="e">
        <f>$S$78</f>
        <v>#DIV/0!</v>
      </c>
      <c r="AI28" s="199" t="e">
        <f>$S$79</f>
        <v>#DIV/0!</v>
      </c>
      <c r="AJ28" s="199" t="e">
        <f>$S$80</f>
        <v>#DIV/0!</v>
      </c>
      <c r="AK28" s="199" t="e">
        <f>$S$81</f>
        <v>#DIV/0!</v>
      </c>
      <c r="AL28" s="199" t="e">
        <f>$S$82</f>
        <v>#DIV/0!</v>
      </c>
      <c r="AM28" s="199" t="e">
        <f>$S$83</f>
        <v>#DIV/0!</v>
      </c>
      <c r="AN28" s="199" t="e">
        <f>$S$84</f>
        <v>#DIV/0!</v>
      </c>
      <c r="AO28" s="199" t="e">
        <f>$S$85</f>
        <v>#DIV/0!</v>
      </c>
      <c r="AP28" s="199" t="e">
        <f>$S$86</f>
        <v>#DIV/0!</v>
      </c>
      <c r="AQ28" s="199" t="e">
        <f>$S$87</f>
        <v>#DIV/0!</v>
      </c>
      <c r="AR28" s="199" t="e">
        <f>$S$88</f>
        <v>#DIV/0!</v>
      </c>
      <c r="AS28" s="199" t="e">
        <f>$S$89</f>
        <v>#DIV/0!</v>
      </c>
      <c r="AT28" s="199" t="e">
        <f>$S$90</f>
        <v>#DIV/0!</v>
      </c>
      <c r="AU28" s="199" t="e">
        <f>$S$91</f>
        <v>#DIV/0!</v>
      </c>
      <c r="AV28" s="199" t="e">
        <f>$S$92</f>
        <v>#DIV/0!</v>
      </c>
      <c r="AW28" s="199" t="e">
        <f>$S$94</f>
        <v>#DIV/0!</v>
      </c>
      <c r="AX28" s="199" t="e">
        <f>$S$95</f>
        <v>#DIV/0!</v>
      </c>
      <c r="AY28" s="199" t="e">
        <f>$S$96</f>
        <v>#DIV/0!</v>
      </c>
      <c r="AZ28" s="199" t="e">
        <f>$S$97</f>
        <v>#DIV/0!</v>
      </c>
      <c r="BA28" s="199" t="e">
        <f>$S$98</f>
        <v>#DIV/0!</v>
      </c>
      <c r="BB28" s="9"/>
      <c r="BC28" s="9"/>
      <c r="BD28" s="9"/>
      <c r="BE28" s="9"/>
      <c r="BF28" s="9"/>
      <c r="BG28" s="9"/>
      <c r="BH28" s="9"/>
    </row>
    <row r="29" spans="1:60">
      <c r="A29" s="2">
        <v>2021</v>
      </c>
      <c r="B29" t="s">
        <v>42</v>
      </c>
      <c r="C29" s="199" t="e">
        <f>$T$47</f>
        <v>#DIV/0!</v>
      </c>
      <c r="D29" s="199" t="e">
        <f>$T$48</f>
        <v>#DIV/0!</v>
      </c>
      <c r="E29" s="199" t="e">
        <f>$T$49</f>
        <v>#DIV/0!</v>
      </c>
      <c r="F29" s="199" t="e">
        <f>$T$50</f>
        <v>#DIV/0!</v>
      </c>
      <c r="G29" s="199" t="e">
        <f>$T$51</f>
        <v>#DIV/0!</v>
      </c>
      <c r="H29" s="199" t="e">
        <f>$T$52</f>
        <v>#DIV/0!</v>
      </c>
      <c r="I29" s="199" t="e">
        <f>$T$53</f>
        <v>#DIV/0!</v>
      </c>
      <c r="J29" s="199" t="e">
        <f>$T$54</f>
        <v>#DIV/0!</v>
      </c>
      <c r="K29" s="199" t="e">
        <f>$T$55</f>
        <v>#DIV/0!</v>
      </c>
      <c r="L29" s="199" t="e">
        <f>$T$56</f>
        <v>#DIV/0!</v>
      </c>
      <c r="M29" s="199" t="e">
        <f>$T$57</f>
        <v>#DIV/0!</v>
      </c>
      <c r="N29" s="199" t="e">
        <f>$T$58</f>
        <v>#DIV/0!</v>
      </c>
      <c r="O29" s="199" t="e">
        <f>$T$59</f>
        <v>#DIV/0!</v>
      </c>
      <c r="P29" s="199" t="e">
        <f>$T$60</f>
        <v>#DIV/0!</v>
      </c>
      <c r="Q29" s="199" t="e">
        <f>$T$61</f>
        <v>#DIV/0!</v>
      </c>
      <c r="R29" s="199" t="e">
        <f>$T$62</f>
        <v>#DIV/0!</v>
      </c>
      <c r="S29" s="199" t="e">
        <f>$T$63</f>
        <v>#DIV/0!</v>
      </c>
      <c r="T29" s="199" t="e">
        <f>$T$64</f>
        <v>#DIV/0!</v>
      </c>
      <c r="U29" s="199" t="e">
        <f>$T$65</f>
        <v>#DIV/0!</v>
      </c>
      <c r="V29" s="199" t="e">
        <f>$T$66</f>
        <v>#DIV/0!</v>
      </c>
      <c r="W29" s="199" t="e">
        <f>$T$67</f>
        <v>#DIV/0!</v>
      </c>
      <c r="X29" s="199" t="e">
        <f>$T$68</f>
        <v>#DIV/0!</v>
      </c>
      <c r="Y29" s="199" t="e">
        <f>$T$69</f>
        <v>#DIV/0!</v>
      </c>
      <c r="Z29" s="199" t="e">
        <f>$T$70</f>
        <v>#DIV/0!</v>
      </c>
      <c r="AA29" s="199" t="e">
        <f>$T$71</f>
        <v>#DIV/0!</v>
      </c>
      <c r="AB29" s="199" t="e">
        <f>$T$72</f>
        <v>#DIV/0!</v>
      </c>
      <c r="AC29" s="199" t="e">
        <f>$T$73</f>
        <v>#DIV/0!</v>
      </c>
      <c r="AD29" s="199" t="e">
        <f>$T$74</f>
        <v>#DIV/0!</v>
      </c>
      <c r="AE29" s="199" t="e">
        <f>$T$75</f>
        <v>#DIV/0!</v>
      </c>
      <c r="AF29" s="199" t="e">
        <f>$T$76</f>
        <v>#DIV/0!</v>
      </c>
      <c r="AG29" s="199" t="e">
        <f>$T$77</f>
        <v>#DIV/0!</v>
      </c>
      <c r="AH29" s="199" t="e">
        <f>$T$78</f>
        <v>#DIV/0!</v>
      </c>
      <c r="AI29" s="199" t="e">
        <f>$T$79</f>
        <v>#DIV/0!</v>
      </c>
      <c r="AJ29" s="199" t="e">
        <f>$T$80</f>
        <v>#DIV/0!</v>
      </c>
      <c r="AK29" s="199" t="e">
        <f>$T$81</f>
        <v>#DIV/0!</v>
      </c>
      <c r="AL29" s="199" t="e">
        <f>$T$82</f>
        <v>#DIV/0!</v>
      </c>
      <c r="AM29" s="199" t="e">
        <f>$T$83</f>
        <v>#DIV/0!</v>
      </c>
      <c r="AN29" s="199" t="e">
        <f>$T$84</f>
        <v>#DIV/0!</v>
      </c>
      <c r="AO29" s="199" t="e">
        <f>$T$85</f>
        <v>#DIV/0!</v>
      </c>
      <c r="AP29" s="199" t="e">
        <f>$T$86</f>
        <v>#DIV/0!</v>
      </c>
      <c r="AQ29" s="199" t="e">
        <f>$T$87</f>
        <v>#DIV/0!</v>
      </c>
      <c r="AR29" s="199" t="e">
        <f>$T$88</f>
        <v>#DIV/0!</v>
      </c>
      <c r="AS29" s="199" t="e">
        <f>$T$89</f>
        <v>#DIV/0!</v>
      </c>
      <c r="AT29" s="199" t="e">
        <f>$T$90</f>
        <v>#DIV/0!</v>
      </c>
      <c r="AU29" s="199" t="e">
        <f>$T$91</f>
        <v>#DIV/0!</v>
      </c>
      <c r="AV29" s="199" t="e">
        <f>$T$92</f>
        <v>#DIV/0!</v>
      </c>
      <c r="AW29" s="199" t="e">
        <f>$T$94</f>
        <v>#DIV/0!</v>
      </c>
      <c r="AX29" s="199" t="e">
        <f>$T$95</f>
        <v>#DIV/0!</v>
      </c>
      <c r="AY29" s="199" t="e">
        <f>$T$96</f>
        <v>#DIV/0!</v>
      </c>
      <c r="AZ29" s="199" t="e">
        <f>$T$97</f>
        <v>#DIV/0!</v>
      </c>
      <c r="BA29" s="199" t="e">
        <f>$T$98</f>
        <v>#DIV/0!</v>
      </c>
      <c r="BB29" s="9"/>
      <c r="BC29" s="9"/>
      <c r="BD29" s="9"/>
      <c r="BE29" s="9"/>
      <c r="BF29" s="9"/>
      <c r="BG29" s="9"/>
      <c r="BH29" s="9"/>
    </row>
    <row r="30" spans="1:60">
      <c r="A30" s="2">
        <v>2022</v>
      </c>
      <c r="B30" t="s">
        <v>5</v>
      </c>
      <c r="C30" s="199" t="e">
        <f>$U$47</f>
        <v>#DIV/0!</v>
      </c>
      <c r="D30" s="199" t="e">
        <f>$U$48</f>
        <v>#DIV/0!</v>
      </c>
      <c r="E30" s="199" t="e">
        <f>$U$49</f>
        <v>#DIV/0!</v>
      </c>
      <c r="F30" s="199" t="e">
        <f>$U$50</f>
        <v>#DIV/0!</v>
      </c>
      <c r="G30" s="199" t="e">
        <f>$U$51</f>
        <v>#DIV/0!</v>
      </c>
      <c r="H30" s="199" t="e">
        <f>$U$52</f>
        <v>#DIV/0!</v>
      </c>
      <c r="I30" s="199" t="e">
        <f>$U$53</f>
        <v>#DIV/0!</v>
      </c>
      <c r="J30" s="199" t="e">
        <f>$U$54</f>
        <v>#DIV/0!</v>
      </c>
      <c r="K30" s="199" t="e">
        <f>$U$55</f>
        <v>#DIV/0!</v>
      </c>
      <c r="L30" s="199" t="e">
        <f>$U$56</f>
        <v>#DIV/0!</v>
      </c>
      <c r="M30" s="199" t="e">
        <f>$U$57</f>
        <v>#DIV/0!</v>
      </c>
      <c r="N30" s="199" t="e">
        <f>$U$58</f>
        <v>#DIV/0!</v>
      </c>
      <c r="O30" s="199" t="e">
        <f>$U$59</f>
        <v>#DIV/0!</v>
      </c>
      <c r="P30" s="199" t="e">
        <f>$U$60</f>
        <v>#DIV/0!</v>
      </c>
      <c r="Q30" s="199" t="e">
        <f>$U$61</f>
        <v>#DIV/0!</v>
      </c>
      <c r="R30" s="199" t="e">
        <f>$U$62</f>
        <v>#DIV/0!</v>
      </c>
      <c r="S30" s="199" t="e">
        <f>$U$63</f>
        <v>#DIV/0!</v>
      </c>
      <c r="T30" s="199" t="e">
        <f>$U$64</f>
        <v>#DIV/0!</v>
      </c>
      <c r="U30" s="199" t="e">
        <f>$U$65</f>
        <v>#DIV/0!</v>
      </c>
      <c r="V30" s="199" t="e">
        <f>$U$66</f>
        <v>#DIV/0!</v>
      </c>
      <c r="W30" s="199" t="e">
        <f>$U$67</f>
        <v>#DIV/0!</v>
      </c>
      <c r="X30" s="199" t="e">
        <f>$U$68</f>
        <v>#DIV/0!</v>
      </c>
      <c r="Y30" s="199" t="e">
        <f>$U$69</f>
        <v>#DIV/0!</v>
      </c>
      <c r="Z30" s="199" t="e">
        <f>$U$70</f>
        <v>#DIV/0!</v>
      </c>
      <c r="AA30" s="199" t="e">
        <f>$U$71</f>
        <v>#DIV/0!</v>
      </c>
      <c r="AB30" s="199" t="e">
        <f>$U$72</f>
        <v>#DIV/0!</v>
      </c>
      <c r="AC30" s="199" t="e">
        <f>$U$73</f>
        <v>#DIV/0!</v>
      </c>
      <c r="AD30" s="199" t="e">
        <f>$U$74</f>
        <v>#DIV/0!</v>
      </c>
      <c r="AE30" s="199" t="e">
        <f>$U$75</f>
        <v>#DIV/0!</v>
      </c>
      <c r="AF30" s="199" t="e">
        <f>$U$76</f>
        <v>#DIV/0!</v>
      </c>
      <c r="AG30" s="199" t="e">
        <f>$U$77</f>
        <v>#DIV/0!</v>
      </c>
      <c r="AH30" s="199" t="e">
        <f>$U$78</f>
        <v>#DIV/0!</v>
      </c>
      <c r="AI30" s="199" t="e">
        <f>$U$79</f>
        <v>#DIV/0!</v>
      </c>
      <c r="AJ30" s="199" t="e">
        <f>$U$80</f>
        <v>#DIV/0!</v>
      </c>
      <c r="AK30" s="199" t="e">
        <f>$U$81</f>
        <v>#DIV/0!</v>
      </c>
      <c r="AL30" s="199" t="e">
        <f>$U$82</f>
        <v>#DIV/0!</v>
      </c>
      <c r="AM30" s="199" t="e">
        <f>$U$83</f>
        <v>#DIV/0!</v>
      </c>
      <c r="AN30" s="199" t="e">
        <f>$U$84</f>
        <v>#DIV/0!</v>
      </c>
      <c r="AO30" s="199" t="e">
        <f>$U$85</f>
        <v>#DIV/0!</v>
      </c>
      <c r="AP30" s="199" t="e">
        <f>$U$86</f>
        <v>#DIV/0!</v>
      </c>
      <c r="AQ30" s="199" t="e">
        <f>$U$87</f>
        <v>#DIV/0!</v>
      </c>
      <c r="AR30" s="199" t="e">
        <f>$U$88</f>
        <v>#DIV/0!</v>
      </c>
      <c r="AS30" s="199" t="e">
        <f>$U$89</f>
        <v>#DIV/0!</v>
      </c>
      <c r="AT30" s="199" t="e">
        <f>$U$90</f>
        <v>#DIV/0!</v>
      </c>
      <c r="AU30" s="199" t="e">
        <f>$U$91</f>
        <v>#DIV/0!</v>
      </c>
      <c r="AV30" s="199" t="e">
        <f>$U$92</f>
        <v>#DIV/0!</v>
      </c>
      <c r="AW30" s="199" t="e">
        <f>$U$94</f>
        <v>#DIV/0!</v>
      </c>
      <c r="AX30" s="199" t="e">
        <f>$U$95</f>
        <v>#DIV/0!</v>
      </c>
      <c r="AY30" s="199" t="e">
        <f>$U$96</f>
        <v>#DIV/0!</v>
      </c>
      <c r="AZ30" s="199" t="e">
        <f>$U$97</f>
        <v>#DIV/0!</v>
      </c>
      <c r="BA30" s="199" t="e">
        <f>$U$98</f>
        <v>#DIV/0!</v>
      </c>
      <c r="BB30" s="9"/>
      <c r="BC30" s="9"/>
      <c r="BD30" s="9"/>
      <c r="BE30" s="9"/>
      <c r="BF30" s="9"/>
      <c r="BG30" s="9"/>
      <c r="BH30" s="9"/>
    </row>
    <row r="31" spans="1:60">
      <c r="A31" s="2">
        <v>2022</v>
      </c>
      <c r="B31" t="s">
        <v>6</v>
      </c>
      <c r="C31" s="199" t="e">
        <f>$V$47</f>
        <v>#DIV/0!</v>
      </c>
      <c r="D31" s="199" t="e">
        <f>$V$48</f>
        <v>#DIV/0!</v>
      </c>
      <c r="E31" s="199" t="e">
        <f>$V$49</f>
        <v>#DIV/0!</v>
      </c>
      <c r="F31" s="199" t="e">
        <f>$V$50</f>
        <v>#DIV/0!</v>
      </c>
      <c r="G31" s="199" t="e">
        <f>$V$51</f>
        <v>#DIV/0!</v>
      </c>
      <c r="H31" s="199" t="e">
        <f>$V$52</f>
        <v>#DIV/0!</v>
      </c>
      <c r="I31" s="199" t="e">
        <f>$V$53</f>
        <v>#DIV/0!</v>
      </c>
      <c r="J31" s="199" t="e">
        <f>$V$54</f>
        <v>#DIV/0!</v>
      </c>
      <c r="K31" s="199" t="e">
        <f>$V$55</f>
        <v>#DIV/0!</v>
      </c>
      <c r="L31" s="199" t="e">
        <f>$V$56</f>
        <v>#DIV/0!</v>
      </c>
      <c r="M31" s="199" t="e">
        <f>$V$57</f>
        <v>#DIV/0!</v>
      </c>
      <c r="N31" s="199" t="e">
        <f>$V$58</f>
        <v>#DIV/0!</v>
      </c>
      <c r="O31" s="199" t="e">
        <f>$V$59</f>
        <v>#DIV/0!</v>
      </c>
      <c r="P31" s="199" t="e">
        <f>$V$60</f>
        <v>#DIV/0!</v>
      </c>
      <c r="Q31" s="199" t="e">
        <f>$V$61</f>
        <v>#DIV/0!</v>
      </c>
      <c r="R31" s="199" t="e">
        <f>$V$62</f>
        <v>#DIV/0!</v>
      </c>
      <c r="S31" s="199" t="e">
        <f>$V$63</f>
        <v>#DIV/0!</v>
      </c>
      <c r="T31" s="199" t="e">
        <f>$V$64</f>
        <v>#DIV/0!</v>
      </c>
      <c r="U31" s="199" t="e">
        <f>$V$65</f>
        <v>#DIV/0!</v>
      </c>
      <c r="V31" s="199" t="e">
        <f>$V$66</f>
        <v>#DIV/0!</v>
      </c>
      <c r="W31" s="199" t="e">
        <f>$V$67</f>
        <v>#DIV/0!</v>
      </c>
      <c r="X31" s="199" t="e">
        <f>$V$68</f>
        <v>#DIV/0!</v>
      </c>
      <c r="Y31" s="199" t="e">
        <f>$V$69</f>
        <v>#DIV/0!</v>
      </c>
      <c r="Z31" s="199" t="e">
        <f>$V$70</f>
        <v>#DIV/0!</v>
      </c>
      <c r="AA31" s="199" t="e">
        <f>$V$71</f>
        <v>#DIV/0!</v>
      </c>
      <c r="AB31" s="199" t="e">
        <f>$V$72</f>
        <v>#DIV/0!</v>
      </c>
      <c r="AC31" s="199" t="e">
        <f>$V$73</f>
        <v>#DIV/0!</v>
      </c>
      <c r="AD31" s="199" t="e">
        <f>$V$74</f>
        <v>#DIV/0!</v>
      </c>
      <c r="AE31" s="199" t="e">
        <f>$V$75</f>
        <v>#DIV/0!</v>
      </c>
      <c r="AF31" s="199" t="e">
        <f>$V$76</f>
        <v>#DIV/0!</v>
      </c>
      <c r="AG31" s="199" t="e">
        <f>$V$77</f>
        <v>#DIV/0!</v>
      </c>
      <c r="AH31" s="199" t="e">
        <f>$V$78</f>
        <v>#DIV/0!</v>
      </c>
      <c r="AI31" s="199" t="e">
        <f>$V$79</f>
        <v>#DIV/0!</v>
      </c>
      <c r="AJ31" s="199" t="e">
        <f>$V$80</f>
        <v>#DIV/0!</v>
      </c>
      <c r="AK31" s="199" t="e">
        <f>$V$81</f>
        <v>#DIV/0!</v>
      </c>
      <c r="AL31" s="199" t="e">
        <f>$V$82</f>
        <v>#DIV/0!</v>
      </c>
      <c r="AM31" s="199" t="e">
        <f>$V$83</f>
        <v>#DIV/0!</v>
      </c>
      <c r="AN31" s="199" t="e">
        <f>$V$84</f>
        <v>#DIV/0!</v>
      </c>
      <c r="AO31" s="199" t="e">
        <f>$V$85</f>
        <v>#DIV/0!</v>
      </c>
      <c r="AP31" s="199" t="e">
        <f>$V$86</f>
        <v>#DIV/0!</v>
      </c>
      <c r="AQ31" s="199" t="e">
        <f>$V$87</f>
        <v>#DIV/0!</v>
      </c>
      <c r="AR31" s="199" t="e">
        <f>$V$88</f>
        <v>#DIV/0!</v>
      </c>
      <c r="AS31" s="199" t="e">
        <f>$V$89</f>
        <v>#DIV/0!</v>
      </c>
      <c r="AT31" s="199" t="e">
        <f>$V$90</f>
        <v>#DIV/0!</v>
      </c>
      <c r="AU31" s="199" t="e">
        <f>$V$91</f>
        <v>#DIV/0!</v>
      </c>
      <c r="AV31" s="199" t="e">
        <f>$V$92</f>
        <v>#DIV/0!</v>
      </c>
      <c r="AW31" s="199" t="e">
        <f>$V$94</f>
        <v>#DIV/0!</v>
      </c>
      <c r="AX31" s="199" t="e">
        <f>$V$95</f>
        <v>#DIV/0!</v>
      </c>
      <c r="AY31" s="199" t="e">
        <f>$V$96</f>
        <v>#DIV/0!</v>
      </c>
      <c r="AZ31" s="199" t="e">
        <f>$V$97</f>
        <v>#DIV/0!</v>
      </c>
      <c r="BA31" s="199" t="e">
        <f>$V$98</f>
        <v>#DIV/0!</v>
      </c>
      <c r="BB31" s="9"/>
      <c r="BC31" s="9"/>
      <c r="BD31" s="9"/>
      <c r="BE31" s="9"/>
      <c r="BF31" s="9"/>
      <c r="BG31" s="9"/>
      <c r="BH31" s="9"/>
    </row>
    <row r="32" spans="1:60">
      <c r="A32" s="2">
        <v>2022</v>
      </c>
      <c r="B32" t="s">
        <v>42</v>
      </c>
      <c r="C32" s="199" t="e">
        <f>$W$47</f>
        <v>#DIV/0!</v>
      </c>
      <c r="D32" s="199" t="e">
        <f>$W$48</f>
        <v>#DIV/0!</v>
      </c>
      <c r="E32" s="199" t="e">
        <f>$W$49</f>
        <v>#DIV/0!</v>
      </c>
      <c r="F32" s="199" t="e">
        <f>$W$50</f>
        <v>#DIV/0!</v>
      </c>
      <c r="G32" s="199" t="e">
        <f>$W$51</f>
        <v>#DIV/0!</v>
      </c>
      <c r="H32" s="199" t="e">
        <f>$W$52</f>
        <v>#DIV/0!</v>
      </c>
      <c r="I32" s="199" t="e">
        <f>$W$53</f>
        <v>#DIV/0!</v>
      </c>
      <c r="J32" s="199" t="e">
        <f>$W$54</f>
        <v>#DIV/0!</v>
      </c>
      <c r="K32" s="199" t="e">
        <f>$W$55</f>
        <v>#DIV/0!</v>
      </c>
      <c r="L32" s="199" t="e">
        <f>$W$56</f>
        <v>#DIV/0!</v>
      </c>
      <c r="M32" s="199" t="e">
        <f>$W$57</f>
        <v>#DIV/0!</v>
      </c>
      <c r="N32" s="199" t="e">
        <f>$W$58</f>
        <v>#DIV/0!</v>
      </c>
      <c r="O32" s="199" t="e">
        <f>$W$59</f>
        <v>#DIV/0!</v>
      </c>
      <c r="P32" s="199" t="e">
        <f>$W$60</f>
        <v>#DIV/0!</v>
      </c>
      <c r="Q32" s="199" t="e">
        <f>$W$61</f>
        <v>#DIV/0!</v>
      </c>
      <c r="R32" s="199" t="e">
        <f>$W$62</f>
        <v>#DIV/0!</v>
      </c>
      <c r="S32" s="199" t="e">
        <f>$W$63</f>
        <v>#DIV/0!</v>
      </c>
      <c r="T32" s="199" t="e">
        <f>$W$64</f>
        <v>#DIV/0!</v>
      </c>
      <c r="U32" s="199" t="e">
        <f>$W$65</f>
        <v>#DIV/0!</v>
      </c>
      <c r="V32" s="199" t="e">
        <f>$W$66</f>
        <v>#DIV/0!</v>
      </c>
      <c r="W32" s="199" t="e">
        <f>$W$67</f>
        <v>#DIV/0!</v>
      </c>
      <c r="X32" s="199" t="e">
        <f>$W$68</f>
        <v>#DIV/0!</v>
      </c>
      <c r="Y32" s="199" t="e">
        <f>$W$69</f>
        <v>#DIV/0!</v>
      </c>
      <c r="Z32" s="199" t="e">
        <f>$W$70</f>
        <v>#DIV/0!</v>
      </c>
      <c r="AA32" s="199" t="e">
        <f>$W$71</f>
        <v>#DIV/0!</v>
      </c>
      <c r="AB32" s="199" t="e">
        <f>$W$72</f>
        <v>#DIV/0!</v>
      </c>
      <c r="AC32" s="199" t="e">
        <f>$W$73</f>
        <v>#DIV/0!</v>
      </c>
      <c r="AD32" s="199" t="e">
        <f>$W$74</f>
        <v>#DIV/0!</v>
      </c>
      <c r="AE32" s="199" t="e">
        <f>$W$75</f>
        <v>#DIV/0!</v>
      </c>
      <c r="AF32" s="199" t="e">
        <f>$W$76</f>
        <v>#DIV/0!</v>
      </c>
      <c r="AG32" s="199" t="e">
        <f>$W$77</f>
        <v>#DIV/0!</v>
      </c>
      <c r="AH32" s="199" t="e">
        <f>$W$78</f>
        <v>#DIV/0!</v>
      </c>
      <c r="AI32" s="199" t="e">
        <f>$W$79</f>
        <v>#DIV/0!</v>
      </c>
      <c r="AJ32" s="199" t="e">
        <f>$W$80</f>
        <v>#DIV/0!</v>
      </c>
      <c r="AK32" s="199" t="e">
        <f>$W$81</f>
        <v>#DIV/0!</v>
      </c>
      <c r="AL32" s="199" t="e">
        <f>$W$82</f>
        <v>#DIV/0!</v>
      </c>
      <c r="AM32" s="199" t="e">
        <f>$W$83</f>
        <v>#DIV/0!</v>
      </c>
      <c r="AN32" s="199" t="e">
        <f>$W$84</f>
        <v>#DIV/0!</v>
      </c>
      <c r="AO32" s="199" t="e">
        <f>$W$85</f>
        <v>#DIV/0!</v>
      </c>
      <c r="AP32" s="199" t="e">
        <f>$W$86</f>
        <v>#DIV/0!</v>
      </c>
      <c r="AQ32" s="199" t="e">
        <f>$W$87</f>
        <v>#DIV/0!</v>
      </c>
      <c r="AR32" s="199" t="e">
        <f>$W$88</f>
        <v>#DIV/0!</v>
      </c>
      <c r="AS32" s="199" t="e">
        <f>$W$89</f>
        <v>#DIV/0!</v>
      </c>
      <c r="AT32" s="199" t="e">
        <f>$W$90</f>
        <v>#DIV/0!</v>
      </c>
      <c r="AU32" s="199" t="e">
        <f>$W$91</f>
        <v>#DIV/0!</v>
      </c>
      <c r="AV32" s="199" t="e">
        <f>$W$92</f>
        <v>#DIV/0!</v>
      </c>
      <c r="AW32" s="199" t="e">
        <f>$W$94</f>
        <v>#DIV/0!</v>
      </c>
      <c r="AX32" s="199" t="e">
        <f>$W$95</f>
        <v>#DIV/0!</v>
      </c>
      <c r="AY32" s="199" t="e">
        <f>$W$96</f>
        <v>#DIV/0!</v>
      </c>
      <c r="AZ32" s="199" t="e">
        <f>$W$97</f>
        <v>#DIV/0!</v>
      </c>
      <c r="BA32" s="199" t="e">
        <f>$W$98</f>
        <v>#DIV/0!</v>
      </c>
    </row>
    <row r="33" spans="1:66">
      <c r="A33" s="2">
        <v>2023</v>
      </c>
      <c r="B33" t="s">
        <v>5</v>
      </c>
      <c r="C33" s="199" t="e">
        <f>$X$47</f>
        <v>#DIV/0!</v>
      </c>
      <c r="D33" s="199" t="e">
        <f>$X$48</f>
        <v>#DIV/0!</v>
      </c>
      <c r="E33" s="199" t="e">
        <f>$X$49</f>
        <v>#DIV/0!</v>
      </c>
      <c r="F33" s="199" t="e">
        <f>$X$50</f>
        <v>#DIV/0!</v>
      </c>
      <c r="G33" s="199" t="e">
        <f>$X$51</f>
        <v>#DIV/0!</v>
      </c>
      <c r="H33" s="199" t="e">
        <f>$X$52</f>
        <v>#DIV/0!</v>
      </c>
      <c r="I33" s="199" t="e">
        <f>$X$53</f>
        <v>#DIV/0!</v>
      </c>
      <c r="J33" s="199" t="e">
        <f>$X$54</f>
        <v>#DIV/0!</v>
      </c>
      <c r="K33" s="199" t="e">
        <f>$X$55</f>
        <v>#DIV/0!</v>
      </c>
      <c r="L33" s="199" t="e">
        <f>$X$56</f>
        <v>#DIV/0!</v>
      </c>
      <c r="M33" s="199" t="e">
        <f>$X$57</f>
        <v>#DIV/0!</v>
      </c>
      <c r="N33" s="199" t="e">
        <f>$X$58</f>
        <v>#DIV/0!</v>
      </c>
      <c r="O33" s="199" t="e">
        <f>$X$59</f>
        <v>#DIV/0!</v>
      </c>
      <c r="P33" s="199" t="e">
        <f>$X$60</f>
        <v>#DIV/0!</v>
      </c>
      <c r="Q33" s="199" t="e">
        <f>$X$61</f>
        <v>#DIV/0!</v>
      </c>
      <c r="R33" s="199" t="e">
        <f>$X$62</f>
        <v>#DIV/0!</v>
      </c>
      <c r="S33" s="199" t="e">
        <f>$X$63</f>
        <v>#DIV/0!</v>
      </c>
      <c r="T33" s="199" t="e">
        <f>$X$64</f>
        <v>#DIV/0!</v>
      </c>
      <c r="U33" s="199" t="e">
        <f>$X$65</f>
        <v>#DIV/0!</v>
      </c>
      <c r="V33" s="199" t="e">
        <f>$X$66</f>
        <v>#DIV/0!</v>
      </c>
      <c r="W33" s="199" t="e">
        <f>$X$67</f>
        <v>#DIV/0!</v>
      </c>
      <c r="X33" s="199" t="e">
        <f>$X$68</f>
        <v>#DIV/0!</v>
      </c>
      <c r="Y33" s="199" t="e">
        <f>$X$69</f>
        <v>#DIV/0!</v>
      </c>
      <c r="Z33" s="199" t="e">
        <f>$X$70</f>
        <v>#DIV/0!</v>
      </c>
      <c r="AA33" s="199" t="e">
        <f>$X$71</f>
        <v>#DIV/0!</v>
      </c>
      <c r="AB33" s="199" t="e">
        <f>$X$72</f>
        <v>#DIV/0!</v>
      </c>
      <c r="AC33" s="199" t="e">
        <f>$X$73</f>
        <v>#DIV/0!</v>
      </c>
      <c r="AD33" s="199" t="e">
        <f>$X$74</f>
        <v>#DIV/0!</v>
      </c>
      <c r="AE33" s="199" t="e">
        <f>$X$75</f>
        <v>#DIV/0!</v>
      </c>
      <c r="AF33" s="199" t="e">
        <f>$X$76</f>
        <v>#DIV/0!</v>
      </c>
      <c r="AG33" s="199" t="e">
        <f>$X$77</f>
        <v>#DIV/0!</v>
      </c>
      <c r="AH33" s="199" t="e">
        <f>$X$78</f>
        <v>#DIV/0!</v>
      </c>
      <c r="AI33" s="199" t="e">
        <f>$X$79</f>
        <v>#DIV/0!</v>
      </c>
      <c r="AJ33" s="199" t="e">
        <f>$X$80</f>
        <v>#DIV/0!</v>
      </c>
      <c r="AK33" s="199" t="e">
        <f>$X$81</f>
        <v>#DIV/0!</v>
      </c>
      <c r="AL33" s="199" t="e">
        <f>$X$82</f>
        <v>#DIV/0!</v>
      </c>
      <c r="AM33" s="199" t="e">
        <f>$X$83</f>
        <v>#DIV/0!</v>
      </c>
      <c r="AN33" s="199" t="e">
        <f>$X$84</f>
        <v>#DIV/0!</v>
      </c>
      <c r="AO33" s="199" t="e">
        <f>$X$85</f>
        <v>#DIV/0!</v>
      </c>
      <c r="AP33" s="199" t="e">
        <f>$X$86</f>
        <v>#DIV/0!</v>
      </c>
      <c r="AQ33" s="199" t="e">
        <f>$X$87</f>
        <v>#DIV/0!</v>
      </c>
      <c r="AR33" s="199" t="e">
        <f>$X$88</f>
        <v>#DIV/0!</v>
      </c>
      <c r="AS33" s="199" t="e">
        <f>$X$89</f>
        <v>#DIV/0!</v>
      </c>
      <c r="AT33" s="199" t="e">
        <f>$X$90</f>
        <v>#DIV/0!</v>
      </c>
      <c r="AU33" s="199" t="e">
        <f>$X$91</f>
        <v>#DIV/0!</v>
      </c>
      <c r="AV33" s="199" t="e">
        <f>$X$92</f>
        <v>#DIV/0!</v>
      </c>
      <c r="AW33" s="199" t="e">
        <f>$X$94</f>
        <v>#DIV/0!</v>
      </c>
      <c r="AX33" s="199" t="e">
        <f>$X$95</f>
        <v>#DIV/0!</v>
      </c>
      <c r="AY33" s="199" t="e">
        <f>$X$96</f>
        <v>#DIV/0!</v>
      </c>
      <c r="AZ33" s="199" t="e">
        <f>$X$97</f>
        <v>#DIV/0!</v>
      </c>
      <c r="BA33" s="199" t="e">
        <f>$X$98</f>
        <v>#DIV/0!</v>
      </c>
    </row>
    <row r="34" spans="1:66">
      <c r="A34" s="2">
        <v>2023</v>
      </c>
      <c r="B34" t="s">
        <v>6</v>
      </c>
      <c r="C34" s="199" t="e">
        <f>$Y$47</f>
        <v>#DIV/0!</v>
      </c>
      <c r="D34" s="199" t="e">
        <f>$Y$48</f>
        <v>#DIV/0!</v>
      </c>
      <c r="E34" s="199" t="e">
        <f>$Y$49</f>
        <v>#DIV/0!</v>
      </c>
      <c r="F34" s="199" t="e">
        <f>$Y$50</f>
        <v>#DIV/0!</v>
      </c>
      <c r="G34" s="199" t="e">
        <f>$Y$51</f>
        <v>#DIV/0!</v>
      </c>
      <c r="H34" s="199" t="e">
        <f>$Y$52</f>
        <v>#DIV/0!</v>
      </c>
      <c r="I34" s="199" t="e">
        <f>$Y$53</f>
        <v>#DIV/0!</v>
      </c>
      <c r="J34" s="199" t="e">
        <f>$Y$54</f>
        <v>#DIV/0!</v>
      </c>
      <c r="K34" s="199" t="e">
        <f>$Y$55</f>
        <v>#DIV/0!</v>
      </c>
      <c r="L34" s="199" t="e">
        <f>$Y$56</f>
        <v>#DIV/0!</v>
      </c>
      <c r="M34" s="199" t="e">
        <f>$Y$57</f>
        <v>#DIV/0!</v>
      </c>
      <c r="N34" s="199" t="e">
        <f>$Y$58</f>
        <v>#DIV/0!</v>
      </c>
      <c r="O34" s="199" t="e">
        <f>$Y$59</f>
        <v>#DIV/0!</v>
      </c>
      <c r="P34" s="199" t="e">
        <f>$Y$60</f>
        <v>#DIV/0!</v>
      </c>
      <c r="Q34" s="199" t="e">
        <f>$Y$61</f>
        <v>#DIV/0!</v>
      </c>
      <c r="R34" s="199" t="e">
        <f>$Y$62</f>
        <v>#DIV/0!</v>
      </c>
      <c r="S34" s="199" t="e">
        <f>$Y$63</f>
        <v>#DIV/0!</v>
      </c>
      <c r="T34" s="199" t="e">
        <f>$Y$64</f>
        <v>#DIV/0!</v>
      </c>
      <c r="U34" s="199" t="e">
        <f>$Y$65</f>
        <v>#DIV/0!</v>
      </c>
      <c r="V34" s="199" t="e">
        <f>$Y$66</f>
        <v>#DIV/0!</v>
      </c>
      <c r="W34" s="199" t="e">
        <f>$Y$67</f>
        <v>#DIV/0!</v>
      </c>
      <c r="X34" s="199" t="e">
        <f>$Y$68</f>
        <v>#DIV/0!</v>
      </c>
      <c r="Y34" s="199" t="e">
        <f>$Y$69</f>
        <v>#DIV/0!</v>
      </c>
      <c r="Z34" s="199" t="e">
        <f>$Y$70</f>
        <v>#DIV/0!</v>
      </c>
      <c r="AA34" s="199" t="e">
        <f>$Y$71</f>
        <v>#DIV/0!</v>
      </c>
      <c r="AB34" s="199" t="e">
        <f>$Y$72</f>
        <v>#DIV/0!</v>
      </c>
      <c r="AC34" s="199" t="e">
        <f>$Y$73</f>
        <v>#DIV/0!</v>
      </c>
      <c r="AD34" s="199" t="e">
        <f>$Y$74</f>
        <v>#DIV/0!</v>
      </c>
      <c r="AE34" s="199" t="e">
        <f>$Y$75</f>
        <v>#DIV/0!</v>
      </c>
      <c r="AF34" s="199" t="e">
        <f>$Y$76</f>
        <v>#DIV/0!</v>
      </c>
      <c r="AG34" s="199" t="e">
        <f>$Y$77</f>
        <v>#DIV/0!</v>
      </c>
      <c r="AH34" s="199" t="e">
        <f>$Y$78</f>
        <v>#DIV/0!</v>
      </c>
      <c r="AI34" s="199" t="e">
        <f>$Y$79</f>
        <v>#DIV/0!</v>
      </c>
      <c r="AJ34" s="199" t="e">
        <f>$Y$80</f>
        <v>#DIV/0!</v>
      </c>
      <c r="AK34" s="199" t="e">
        <f>$Y$81</f>
        <v>#DIV/0!</v>
      </c>
      <c r="AL34" s="199" t="e">
        <f>$Y$82</f>
        <v>#DIV/0!</v>
      </c>
      <c r="AM34" s="199" t="e">
        <f>$Y$83</f>
        <v>#DIV/0!</v>
      </c>
      <c r="AN34" s="199" t="e">
        <f>$Y$84</f>
        <v>#DIV/0!</v>
      </c>
      <c r="AO34" s="199" t="e">
        <f>$Y$85</f>
        <v>#DIV/0!</v>
      </c>
      <c r="AP34" s="199" t="e">
        <f>$Y$86</f>
        <v>#DIV/0!</v>
      </c>
      <c r="AQ34" s="199" t="e">
        <f>$Y$87</f>
        <v>#DIV/0!</v>
      </c>
      <c r="AR34" s="199" t="e">
        <f>$Y$88</f>
        <v>#DIV/0!</v>
      </c>
      <c r="AS34" s="199" t="e">
        <f>$Y$89</f>
        <v>#DIV/0!</v>
      </c>
      <c r="AT34" s="199" t="e">
        <f>$Y$90</f>
        <v>#DIV/0!</v>
      </c>
      <c r="AU34" s="199" t="e">
        <f>$Y$91</f>
        <v>#DIV/0!</v>
      </c>
      <c r="AV34" s="199" t="e">
        <f>$Y$92</f>
        <v>#DIV/0!</v>
      </c>
      <c r="AW34" s="199" t="e">
        <f>$Y$94</f>
        <v>#DIV/0!</v>
      </c>
      <c r="AX34" s="199" t="e">
        <f>$Y$95</f>
        <v>#DIV/0!</v>
      </c>
      <c r="AY34" s="199" t="e">
        <f>$Y$96</f>
        <v>#DIV/0!</v>
      </c>
      <c r="AZ34" s="199" t="e">
        <f>$Y$97</f>
        <v>#DIV/0!</v>
      </c>
      <c r="BA34" s="199" t="e">
        <f>$Y$98</f>
        <v>#DIV/0!</v>
      </c>
    </row>
    <row r="35" spans="1:66">
      <c r="A35" s="2">
        <v>2023</v>
      </c>
      <c r="B35" t="s">
        <v>42</v>
      </c>
      <c r="C35" s="199" t="e">
        <f>$Z$47</f>
        <v>#DIV/0!</v>
      </c>
      <c r="D35" s="199" t="e">
        <f>$Z$48</f>
        <v>#DIV/0!</v>
      </c>
      <c r="E35" s="199" t="e">
        <f>$Z$49</f>
        <v>#DIV/0!</v>
      </c>
      <c r="F35" s="199" t="e">
        <f>$Z$50</f>
        <v>#DIV/0!</v>
      </c>
      <c r="G35" s="199" t="e">
        <f>$Z$51</f>
        <v>#DIV/0!</v>
      </c>
      <c r="H35" s="199" t="e">
        <f>$Z$52</f>
        <v>#DIV/0!</v>
      </c>
      <c r="I35" s="199" t="e">
        <f>$Z$53</f>
        <v>#DIV/0!</v>
      </c>
      <c r="J35" s="199" t="e">
        <f>$Z$54</f>
        <v>#DIV/0!</v>
      </c>
      <c r="K35" s="199" t="e">
        <f>$Z$55</f>
        <v>#DIV/0!</v>
      </c>
      <c r="L35" s="199" t="e">
        <f>$Z$56</f>
        <v>#DIV/0!</v>
      </c>
      <c r="M35" s="199" t="e">
        <f>$Z$57</f>
        <v>#DIV/0!</v>
      </c>
      <c r="N35" s="199" t="e">
        <f>$Z$58</f>
        <v>#DIV/0!</v>
      </c>
      <c r="O35" s="199" t="e">
        <f>$Z$59</f>
        <v>#DIV/0!</v>
      </c>
      <c r="P35" s="199" t="e">
        <f>$Z$60</f>
        <v>#DIV/0!</v>
      </c>
      <c r="Q35" s="199" t="e">
        <f>$Z$61</f>
        <v>#DIV/0!</v>
      </c>
      <c r="R35" s="199" t="e">
        <f>$Z$62</f>
        <v>#DIV/0!</v>
      </c>
      <c r="S35" s="199" t="e">
        <f>$Z$63</f>
        <v>#DIV/0!</v>
      </c>
      <c r="T35" s="199" t="e">
        <f>$Z$64</f>
        <v>#DIV/0!</v>
      </c>
      <c r="U35" s="199" t="e">
        <f>$Z$65</f>
        <v>#DIV/0!</v>
      </c>
      <c r="V35" s="199" t="e">
        <f>$Z$66</f>
        <v>#DIV/0!</v>
      </c>
      <c r="W35" s="199" t="e">
        <f>$Z$67</f>
        <v>#DIV/0!</v>
      </c>
      <c r="X35" s="199" t="e">
        <f>$Z$68</f>
        <v>#DIV/0!</v>
      </c>
      <c r="Y35" s="199" t="e">
        <f>$Z$69</f>
        <v>#DIV/0!</v>
      </c>
      <c r="Z35" s="199" t="e">
        <f>$Z$70</f>
        <v>#DIV/0!</v>
      </c>
      <c r="AA35" s="199" t="e">
        <f>$Z$71</f>
        <v>#DIV/0!</v>
      </c>
      <c r="AB35" s="199" t="e">
        <f>$Z$72</f>
        <v>#DIV/0!</v>
      </c>
      <c r="AC35" s="199" t="e">
        <f>$Z$73</f>
        <v>#DIV/0!</v>
      </c>
      <c r="AD35" s="199" t="e">
        <f>$Z$74</f>
        <v>#DIV/0!</v>
      </c>
      <c r="AE35" s="199" t="e">
        <f>$Z$75</f>
        <v>#DIV/0!</v>
      </c>
      <c r="AF35" s="199" t="e">
        <f>$Z$76</f>
        <v>#DIV/0!</v>
      </c>
      <c r="AG35" s="199" t="e">
        <f>$Z$77</f>
        <v>#DIV/0!</v>
      </c>
      <c r="AH35" s="199" t="e">
        <f>$Z$78</f>
        <v>#DIV/0!</v>
      </c>
      <c r="AI35" s="199" t="e">
        <f>$Z$79</f>
        <v>#DIV/0!</v>
      </c>
      <c r="AJ35" s="199" t="e">
        <f>$Z$80</f>
        <v>#DIV/0!</v>
      </c>
      <c r="AK35" s="199" t="e">
        <f>$Z$81</f>
        <v>#DIV/0!</v>
      </c>
      <c r="AL35" s="199" t="e">
        <f>$Z$82</f>
        <v>#DIV/0!</v>
      </c>
      <c r="AM35" s="199" t="e">
        <f>$Z$83</f>
        <v>#DIV/0!</v>
      </c>
      <c r="AN35" s="199" t="e">
        <f>$Z$84</f>
        <v>#DIV/0!</v>
      </c>
      <c r="AO35" s="199" t="e">
        <f>$Z$85</f>
        <v>#DIV/0!</v>
      </c>
      <c r="AP35" s="199" t="e">
        <f>$Z$86</f>
        <v>#DIV/0!</v>
      </c>
      <c r="AQ35" s="199" t="e">
        <f>$Z$87</f>
        <v>#DIV/0!</v>
      </c>
      <c r="AR35" s="199" t="e">
        <f>$Z$88</f>
        <v>#DIV/0!</v>
      </c>
      <c r="AS35" s="199" t="e">
        <f>$Z$89</f>
        <v>#DIV/0!</v>
      </c>
      <c r="AT35" s="199" t="e">
        <f>$Z$90</f>
        <v>#DIV/0!</v>
      </c>
      <c r="AU35" s="199" t="e">
        <f>$Z$91</f>
        <v>#DIV/0!</v>
      </c>
      <c r="AV35" s="199" t="e">
        <f>$Z$92</f>
        <v>#DIV/0!</v>
      </c>
      <c r="AW35" s="199" t="e">
        <f>$Z$94</f>
        <v>#DIV/0!</v>
      </c>
      <c r="AX35" s="199" t="e">
        <f>$Z$95</f>
        <v>#DIV/0!</v>
      </c>
      <c r="AY35" s="199" t="e">
        <f>$Z$96</f>
        <v>#DIV/0!</v>
      </c>
      <c r="AZ35" s="199" t="e">
        <f>$Z$97</f>
        <v>#DIV/0!</v>
      </c>
      <c r="BA35" s="199" t="e">
        <f>$Z$98</f>
        <v>#DIV/0!</v>
      </c>
    </row>
    <row r="36" spans="1:66">
      <c r="A36" s="2">
        <v>2024</v>
      </c>
      <c r="B36" t="s">
        <v>5</v>
      </c>
      <c r="C36" s="199" t="e">
        <f>$AA$47</f>
        <v>#DIV/0!</v>
      </c>
      <c r="D36" s="199" t="e">
        <f>$AA$48</f>
        <v>#DIV/0!</v>
      </c>
      <c r="E36" s="199" t="e">
        <f>$AA$49</f>
        <v>#DIV/0!</v>
      </c>
      <c r="F36" s="199" t="e">
        <f>$AA$50</f>
        <v>#DIV/0!</v>
      </c>
      <c r="G36" s="199" t="e">
        <f>$AA$51</f>
        <v>#DIV/0!</v>
      </c>
      <c r="H36" s="199" t="e">
        <f>$AA$52</f>
        <v>#DIV/0!</v>
      </c>
      <c r="I36" s="199" t="e">
        <f>$AA$53</f>
        <v>#DIV/0!</v>
      </c>
      <c r="J36" s="199" t="e">
        <f>$AA$54</f>
        <v>#DIV/0!</v>
      </c>
      <c r="K36" s="199" t="e">
        <f>$AA$55</f>
        <v>#DIV/0!</v>
      </c>
      <c r="L36" s="199" t="e">
        <f>$AA$56</f>
        <v>#DIV/0!</v>
      </c>
      <c r="M36" s="199" t="e">
        <f>$AA$57</f>
        <v>#DIV/0!</v>
      </c>
      <c r="N36" s="199" t="e">
        <f>$AA$58</f>
        <v>#DIV/0!</v>
      </c>
      <c r="O36" s="199" t="e">
        <f>$AA$59</f>
        <v>#DIV/0!</v>
      </c>
      <c r="P36" s="199" t="e">
        <f>$AA$60</f>
        <v>#DIV/0!</v>
      </c>
      <c r="Q36" s="199" t="e">
        <f>$AA$61</f>
        <v>#DIV/0!</v>
      </c>
      <c r="R36" s="199" t="e">
        <f>$AA$62</f>
        <v>#DIV/0!</v>
      </c>
      <c r="S36" s="199" t="e">
        <f>$AA$63</f>
        <v>#DIV/0!</v>
      </c>
      <c r="T36" s="199" t="e">
        <f>$AA$64</f>
        <v>#DIV/0!</v>
      </c>
      <c r="U36" s="199" t="e">
        <f>$AA$65</f>
        <v>#DIV/0!</v>
      </c>
      <c r="V36" s="199" t="e">
        <f>$AA$66</f>
        <v>#DIV/0!</v>
      </c>
      <c r="W36" s="199" t="e">
        <f>$AA$67</f>
        <v>#DIV/0!</v>
      </c>
      <c r="X36" s="199" t="e">
        <f>$AA$68</f>
        <v>#DIV/0!</v>
      </c>
      <c r="Y36" s="199" t="e">
        <f>$AA$69</f>
        <v>#DIV/0!</v>
      </c>
      <c r="Z36" s="199" t="e">
        <f>$AA$70</f>
        <v>#DIV/0!</v>
      </c>
      <c r="AA36" s="199" t="e">
        <f>$AA$71</f>
        <v>#DIV/0!</v>
      </c>
      <c r="AB36" s="199" t="e">
        <f>$AA$72</f>
        <v>#DIV/0!</v>
      </c>
      <c r="AC36" s="199" t="e">
        <f>$AA$73</f>
        <v>#DIV/0!</v>
      </c>
      <c r="AD36" s="199" t="e">
        <f>$AA$74</f>
        <v>#DIV/0!</v>
      </c>
      <c r="AE36" s="199" t="e">
        <f>$AA$75</f>
        <v>#DIV/0!</v>
      </c>
      <c r="AF36" s="199" t="e">
        <f>$AA$76</f>
        <v>#DIV/0!</v>
      </c>
      <c r="AG36" s="199" t="e">
        <f>$AA$77</f>
        <v>#DIV/0!</v>
      </c>
      <c r="AH36" s="199" t="e">
        <f>$AA$78</f>
        <v>#DIV/0!</v>
      </c>
      <c r="AI36" s="199" t="e">
        <f>$AA$79</f>
        <v>#DIV/0!</v>
      </c>
      <c r="AJ36" s="199" t="e">
        <f>$AA$80</f>
        <v>#DIV/0!</v>
      </c>
      <c r="AK36" s="199" t="e">
        <f>$AA$81</f>
        <v>#DIV/0!</v>
      </c>
      <c r="AL36" s="199" t="e">
        <f>$AA$82</f>
        <v>#DIV/0!</v>
      </c>
      <c r="AM36" s="199" t="e">
        <f>$AA$83</f>
        <v>#DIV/0!</v>
      </c>
      <c r="AN36" s="199" t="e">
        <f>$AA$84</f>
        <v>#DIV/0!</v>
      </c>
      <c r="AO36" s="199" t="e">
        <f>$AA$85</f>
        <v>#DIV/0!</v>
      </c>
      <c r="AP36" s="199" t="e">
        <f>$AA$86</f>
        <v>#DIV/0!</v>
      </c>
      <c r="AQ36" s="199" t="e">
        <f>$AA$87</f>
        <v>#DIV/0!</v>
      </c>
      <c r="AR36" s="199" t="e">
        <f>$AA$88</f>
        <v>#DIV/0!</v>
      </c>
      <c r="AS36" s="199" t="e">
        <f>$AA$89</f>
        <v>#DIV/0!</v>
      </c>
      <c r="AT36" s="199" t="e">
        <f>$AA$90</f>
        <v>#DIV/0!</v>
      </c>
      <c r="AU36" s="199" t="e">
        <f>$AA$91</f>
        <v>#DIV/0!</v>
      </c>
      <c r="AV36" s="199" t="e">
        <f>$AA$92</f>
        <v>#DIV/0!</v>
      </c>
      <c r="AW36" s="199" t="e">
        <f>$AA$94</f>
        <v>#DIV/0!</v>
      </c>
      <c r="AX36" s="199" t="e">
        <f>$AA$95</f>
        <v>#DIV/0!</v>
      </c>
      <c r="AY36" s="199" t="e">
        <f>$AA$96</f>
        <v>#DIV/0!</v>
      </c>
      <c r="AZ36" s="199" t="e">
        <f>$AA$97</f>
        <v>#DIV/0!</v>
      </c>
      <c r="BA36" s="199" t="e">
        <f>$AA$98</f>
        <v>#DIV/0!</v>
      </c>
    </row>
    <row r="37" spans="1:66">
      <c r="A37" s="2">
        <v>2024</v>
      </c>
      <c r="B37" t="s">
        <v>6</v>
      </c>
      <c r="C37" s="199" t="e">
        <f>$AB$47</f>
        <v>#DIV/0!</v>
      </c>
      <c r="D37" s="199" t="e">
        <f>$AB$48</f>
        <v>#DIV/0!</v>
      </c>
      <c r="E37" s="199" t="e">
        <f>$AB$49</f>
        <v>#DIV/0!</v>
      </c>
      <c r="F37" s="199" t="e">
        <f>$AB$50</f>
        <v>#DIV/0!</v>
      </c>
      <c r="G37" s="199" t="e">
        <f>$AB$51</f>
        <v>#DIV/0!</v>
      </c>
      <c r="H37" s="199" t="e">
        <f>$AB$52</f>
        <v>#DIV/0!</v>
      </c>
      <c r="I37" s="199" t="e">
        <f>$AB$53</f>
        <v>#DIV/0!</v>
      </c>
      <c r="J37" s="199" t="e">
        <f>$AB$54</f>
        <v>#DIV/0!</v>
      </c>
      <c r="K37" s="199" t="e">
        <f>$AB$55</f>
        <v>#DIV/0!</v>
      </c>
      <c r="L37" s="199" t="e">
        <f>$AB$56</f>
        <v>#DIV/0!</v>
      </c>
      <c r="M37" s="199" t="e">
        <f>$AB$57</f>
        <v>#DIV/0!</v>
      </c>
      <c r="N37" s="199" t="e">
        <f>$AB$58</f>
        <v>#DIV/0!</v>
      </c>
      <c r="O37" s="199" t="e">
        <f>$AB$59</f>
        <v>#DIV/0!</v>
      </c>
      <c r="P37" s="199" t="e">
        <f>$AB$60</f>
        <v>#DIV/0!</v>
      </c>
      <c r="Q37" s="199" t="e">
        <f>$AB$61</f>
        <v>#DIV/0!</v>
      </c>
      <c r="R37" s="199" t="e">
        <f>$AB$62</f>
        <v>#DIV/0!</v>
      </c>
      <c r="S37" s="199" t="e">
        <f>$AB$63</f>
        <v>#DIV/0!</v>
      </c>
      <c r="T37" s="199" t="e">
        <f>$AB$64</f>
        <v>#DIV/0!</v>
      </c>
      <c r="U37" s="199" t="e">
        <f>$AB$65</f>
        <v>#DIV/0!</v>
      </c>
      <c r="V37" s="199" t="e">
        <f>$AB$66</f>
        <v>#DIV/0!</v>
      </c>
      <c r="W37" s="199" t="e">
        <f>$AB$67</f>
        <v>#DIV/0!</v>
      </c>
      <c r="X37" s="199" t="e">
        <f>$AB$68</f>
        <v>#DIV/0!</v>
      </c>
      <c r="Y37" s="199" t="e">
        <f>$AB$69</f>
        <v>#DIV/0!</v>
      </c>
      <c r="Z37" s="199" t="e">
        <f>$AB$70</f>
        <v>#DIV/0!</v>
      </c>
      <c r="AA37" s="199" t="e">
        <f>$AB$71</f>
        <v>#DIV/0!</v>
      </c>
      <c r="AB37" s="199" t="e">
        <f>$AB$72</f>
        <v>#DIV/0!</v>
      </c>
      <c r="AC37" s="199" t="e">
        <f>$AB$73</f>
        <v>#DIV/0!</v>
      </c>
      <c r="AD37" s="199" t="e">
        <f>$AB$74</f>
        <v>#DIV/0!</v>
      </c>
      <c r="AE37" s="199" t="e">
        <f>$AB$75</f>
        <v>#DIV/0!</v>
      </c>
      <c r="AF37" s="199" t="e">
        <f>$AB$76</f>
        <v>#DIV/0!</v>
      </c>
      <c r="AG37" s="199" t="e">
        <f>$AB$77</f>
        <v>#DIV/0!</v>
      </c>
      <c r="AH37" s="199" t="e">
        <f>$AB$78</f>
        <v>#DIV/0!</v>
      </c>
      <c r="AI37" s="199" t="e">
        <f>$AB$79</f>
        <v>#DIV/0!</v>
      </c>
      <c r="AJ37" s="199" t="e">
        <f>$AB$80</f>
        <v>#DIV/0!</v>
      </c>
      <c r="AK37" s="199" t="e">
        <f>$AB$81</f>
        <v>#DIV/0!</v>
      </c>
      <c r="AL37" s="199" t="e">
        <f>$AB$82</f>
        <v>#DIV/0!</v>
      </c>
      <c r="AM37" s="199" t="e">
        <f>$AB$83</f>
        <v>#DIV/0!</v>
      </c>
      <c r="AN37" s="199" t="e">
        <f>$AB$84</f>
        <v>#DIV/0!</v>
      </c>
      <c r="AO37" s="199" t="e">
        <f>$AB$85</f>
        <v>#DIV/0!</v>
      </c>
      <c r="AP37" s="199" t="e">
        <f>$AB$86</f>
        <v>#DIV/0!</v>
      </c>
      <c r="AQ37" s="199" t="e">
        <f>$AB$87</f>
        <v>#DIV/0!</v>
      </c>
      <c r="AR37" s="199" t="e">
        <f>$AB$88</f>
        <v>#DIV/0!</v>
      </c>
      <c r="AS37" s="199" t="e">
        <f>$AB$89</f>
        <v>#DIV/0!</v>
      </c>
      <c r="AT37" s="199" t="e">
        <f>$AB$90</f>
        <v>#DIV/0!</v>
      </c>
      <c r="AU37" s="199" t="e">
        <f>$AB$91</f>
        <v>#DIV/0!</v>
      </c>
      <c r="AV37" s="199" t="e">
        <f>$AB$92</f>
        <v>#DIV/0!</v>
      </c>
      <c r="AW37" s="199" t="e">
        <f>$AB$94</f>
        <v>#DIV/0!</v>
      </c>
      <c r="AX37" s="199" t="e">
        <f>$AB$95</f>
        <v>#DIV/0!</v>
      </c>
      <c r="AY37" s="199" t="e">
        <f>$AB$96</f>
        <v>#DIV/0!</v>
      </c>
      <c r="AZ37" s="199" t="e">
        <f>$AB$97</f>
        <v>#DIV/0!</v>
      </c>
      <c r="BA37" s="199" t="e">
        <f>$AB$98</f>
        <v>#DIV/0!</v>
      </c>
    </row>
    <row r="38" spans="1:66">
      <c r="A38" s="2">
        <v>2024</v>
      </c>
      <c r="B38" t="s">
        <v>42</v>
      </c>
      <c r="C38" s="199" t="e">
        <f>$AC$47</f>
        <v>#DIV/0!</v>
      </c>
      <c r="D38" s="199" t="e">
        <f>$AC$48</f>
        <v>#DIV/0!</v>
      </c>
      <c r="E38" s="199" t="e">
        <f>$AC$49</f>
        <v>#DIV/0!</v>
      </c>
      <c r="F38" s="199" t="e">
        <f>$AC$50</f>
        <v>#DIV/0!</v>
      </c>
      <c r="G38" s="199" t="e">
        <f>$AC$51</f>
        <v>#DIV/0!</v>
      </c>
      <c r="H38" s="199" t="e">
        <f>$AC$52</f>
        <v>#DIV/0!</v>
      </c>
      <c r="I38" s="199" t="e">
        <f>$AC$53</f>
        <v>#DIV/0!</v>
      </c>
      <c r="J38" s="199" t="e">
        <f>$AC$54</f>
        <v>#DIV/0!</v>
      </c>
      <c r="K38" s="199" t="e">
        <f>$AC$55</f>
        <v>#DIV/0!</v>
      </c>
      <c r="L38" s="199" t="e">
        <f>$AC$56</f>
        <v>#DIV/0!</v>
      </c>
      <c r="M38" s="199" t="e">
        <f>$AC$57</f>
        <v>#DIV/0!</v>
      </c>
      <c r="N38" s="199" t="e">
        <f>$AC$58</f>
        <v>#DIV/0!</v>
      </c>
      <c r="O38" s="199" t="e">
        <f>$AC$59</f>
        <v>#DIV/0!</v>
      </c>
      <c r="P38" s="199" t="e">
        <f>$AC$60</f>
        <v>#DIV/0!</v>
      </c>
      <c r="Q38" s="199" t="e">
        <f>$AC$61</f>
        <v>#DIV/0!</v>
      </c>
      <c r="R38" s="199" t="e">
        <f>$AC$62</f>
        <v>#DIV/0!</v>
      </c>
      <c r="S38" s="199" t="e">
        <f>$AC$63</f>
        <v>#DIV/0!</v>
      </c>
      <c r="T38" s="199" t="e">
        <f>$AC$64</f>
        <v>#DIV/0!</v>
      </c>
      <c r="U38" s="199" t="e">
        <f>$AC$65</f>
        <v>#DIV/0!</v>
      </c>
      <c r="V38" s="199" t="e">
        <f>$AC$66</f>
        <v>#DIV/0!</v>
      </c>
      <c r="W38" s="199" t="e">
        <f>$AC$67</f>
        <v>#DIV/0!</v>
      </c>
      <c r="X38" s="199" t="e">
        <f>$AC$68</f>
        <v>#DIV/0!</v>
      </c>
      <c r="Y38" s="199" t="e">
        <f>$AC$69</f>
        <v>#DIV/0!</v>
      </c>
      <c r="Z38" s="199" t="e">
        <f>$AC$70</f>
        <v>#DIV/0!</v>
      </c>
      <c r="AA38" s="199" t="e">
        <f>$AC$71</f>
        <v>#DIV/0!</v>
      </c>
      <c r="AB38" s="199" t="e">
        <f>$AC$72</f>
        <v>#DIV/0!</v>
      </c>
      <c r="AC38" s="199" t="e">
        <f>$AC$73</f>
        <v>#DIV/0!</v>
      </c>
      <c r="AD38" s="199" t="e">
        <f>$AC$74</f>
        <v>#DIV/0!</v>
      </c>
      <c r="AE38" s="199" t="e">
        <f>$AC$75</f>
        <v>#DIV/0!</v>
      </c>
      <c r="AF38" s="199" t="e">
        <f>$AC$76</f>
        <v>#DIV/0!</v>
      </c>
      <c r="AG38" s="199" t="e">
        <f>$AC$77</f>
        <v>#DIV/0!</v>
      </c>
      <c r="AH38" s="199" t="e">
        <f>$AC$78</f>
        <v>#DIV/0!</v>
      </c>
      <c r="AI38" s="199" t="e">
        <f>$AC$79</f>
        <v>#DIV/0!</v>
      </c>
      <c r="AJ38" s="199" t="e">
        <f>$AC$80</f>
        <v>#DIV/0!</v>
      </c>
      <c r="AK38" s="199" t="e">
        <f>$AC$81</f>
        <v>#DIV/0!</v>
      </c>
      <c r="AL38" s="199" t="e">
        <f>$AC$82</f>
        <v>#DIV/0!</v>
      </c>
      <c r="AM38" s="199" t="e">
        <f>$AC$83</f>
        <v>#DIV/0!</v>
      </c>
      <c r="AN38" s="199" t="e">
        <f>$AC$84</f>
        <v>#DIV/0!</v>
      </c>
      <c r="AO38" s="199" t="e">
        <f>$AC$85</f>
        <v>#DIV/0!</v>
      </c>
      <c r="AP38" s="199" t="e">
        <f>$AC$86</f>
        <v>#DIV/0!</v>
      </c>
      <c r="AQ38" s="199" t="e">
        <f>$AC$87</f>
        <v>#DIV/0!</v>
      </c>
      <c r="AR38" s="199" t="e">
        <f>$AC$88</f>
        <v>#DIV/0!</v>
      </c>
      <c r="AS38" s="199" t="e">
        <f>$AC$89</f>
        <v>#DIV/0!</v>
      </c>
      <c r="AT38" s="199" t="e">
        <f>$AC$90</f>
        <v>#DIV/0!</v>
      </c>
      <c r="AU38" s="199" t="e">
        <f>$AC$91</f>
        <v>#DIV/0!</v>
      </c>
      <c r="AV38" s="199" t="e">
        <f>$AC$92</f>
        <v>#DIV/0!</v>
      </c>
      <c r="AW38" s="199" t="e">
        <f>$AC$94</f>
        <v>#DIV/0!</v>
      </c>
      <c r="AX38" s="199" t="e">
        <f>$AC$95</f>
        <v>#DIV/0!</v>
      </c>
      <c r="AY38" s="199" t="e">
        <f>$AC$96</f>
        <v>#DIV/0!</v>
      </c>
      <c r="AZ38" s="199" t="e">
        <f>$AC$97</f>
        <v>#DIV/0!</v>
      </c>
      <c r="BA38" s="199" t="e">
        <f>$AC$98</f>
        <v>#DIV/0!</v>
      </c>
    </row>
    <row r="39" spans="1:66">
      <c r="A39" s="2">
        <v>2025</v>
      </c>
      <c r="B39" t="s">
        <v>5</v>
      </c>
      <c r="C39" s="199" t="e">
        <f>$AD$47</f>
        <v>#DIV/0!</v>
      </c>
      <c r="D39" s="199" t="e">
        <f>$AD$48</f>
        <v>#DIV/0!</v>
      </c>
      <c r="E39" s="199" t="e">
        <f>$AD$49</f>
        <v>#DIV/0!</v>
      </c>
      <c r="F39" s="199" t="e">
        <f>$AD$50</f>
        <v>#DIV/0!</v>
      </c>
      <c r="G39" s="199" t="e">
        <f>$AD$51</f>
        <v>#DIV/0!</v>
      </c>
      <c r="H39" s="199" t="e">
        <f>$AD$52</f>
        <v>#DIV/0!</v>
      </c>
      <c r="I39" s="199" t="e">
        <f>$AD$53</f>
        <v>#DIV/0!</v>
      </c>
      <c r="J39" s="199" t="e">
        <f>$AD$54</f>
        <v>#DIV/0!</v>
      </c>
      <c r="K39" s="199" t="e">
        <f>$AD$55</f>
        <v>#DIV/0!</v>
      </c>
      <c r="L39" s="199" t="e">
        <f>$AD$56</f>
        <v>#DIV/0!</v>
      </c>
      <c r="M39" s="199" t="e">
        <f>$AD$57</f>
        <v>#DIV/0!</v>
      </c>
      <c r="N39" s="199" t="e">
        <f>$AD$58</f>
        <v>#DIV/0!</v>
      </c>
      <c r="O39" s="199" t="e">
        <f>$AD$59</f>
        <v>#DIV/0!</v>
      </c>
      <c r="P39" s="199" t="e">
        <f>$AD$60</f>
        <v>#DIV/0!</v>
      </c>
      <c r="Q39" s="199" t="e">
        <f>$AD$61</f>
        <v>#DIV/0!</v>
      </c>
      <c r="R39" s="199" t="e">
        <f>$AD$62</f>
        <v>#DIV/0!</v>
      </c>
      <c r="S39" s="199" t="e">
        <f>$AD$63</f>
        <v>#DIV/0!</v>
      </c>
      <c r="T39" s="199" t="e">
        <f>$AD$64</f>
        <v>#DIV/0!</v>
      </c>
      <c r="U39" s="199" t="e">
        <f>$AD$65</f>
        <v>#DIV/0!</v>
      </c>
      <c r="V39" s="199" t="e">
        <f>$AD$66</f>
        <v>#DIV/0!</v>
      </c>
      <c r="W39" s="199" t="e">
        <f>$AD$67</f>
        <v>#DIV/0!</v>
      </c>
      <c r="X39" s="199" t="e">
        <f>$AD$68</f>
        <v>#DIV/0!</v>
      </c>
      <c r="Y39" s="199" t="e">
        <f>$AD$69</f>
        <v>#DIV/0!</v>
      </c>
      <c r="Z39" s="199" t="e">
        <f>$AD$70</f>
        <v>#DIV/0!</v>
      </c>
      <c r="AA39" s="199" t="e">
        <f>$AD$71</f>
        <v>#DIV/0!</v>
      </c>
      <c r="AB39" s="199" t="e">
        <f>$AD$72</f>
        <v>#DIV/0!</v>
      </c>
      <c r="AC39" s="199" t="e">
        <f>$AD$73</f>
        <v>#DIV/0!</v>
      </c>
      <c r="AD39" s="199" t="e">
        <f>$AD$74</f>
        <v>#DIV/0!</v>
      </c>
      <c r="AE39" s="199" t="e">
        <f>$AD$75</f>
        <v>#DIV/0!</v>
      </c>
      <c r="AF39" s="199" t="e">
        <f>$AD$76</f>
        <v>#DIV/0!</v>
      </c>
      <c r="AG39" s="199" t="e">
        <f>$AD$77</f>
        <v>#DIV/0!</v>
      </c>
      <c r="AH39" s="199" t="e">
        <f>$AD$78</f>
        <v>#DIV/0!</v>
      </c>
      <c r="AI39" s="199" t="e">
        <f>$AD$79</f>
        <v>#DIV/0!</v>
      </c>
      <c r="AJ39" s="199" t="e">
        <f>$AD$80</f>
        <v>#DIV/0!</v>
      </c>
      <c r="AK39" s="199" t="e">
        <f>$AD$81</f>
        <v>#DIV/0!</v>
      </c>
      <c r="AL39" s="199" t="e">
        <f>$AD$82</f>
        <v>#DIV/0!</v>
      </c>
      <c r="AM39" s="199" t="e">
        <f>$AD$83</f>
        <v>#DIV/0!</v>
      </c>
      <c r="AN39" s="199" t="e">
        <f>$AD$84</f>
        <v>#DIV/0!</v>
      </c>
      <c r="AO39" s="199" t="e">
        <f>$AD$85</f>
        <v>#DIV/0!</v>
      </c>
      <c r="AP39" s="199" t="e">
        <f>$AD$86</f>
        <v>#DIV/0!</v>
      </c>
      <c r="AQ39" s="199" t="e">
        <f>$AD$87</f>
        <v>#DIV/0!</v>
      </c>
      <c r="AR39" s="199" t="e">
        <f>$AD$88</f>
        <v>#DIV/0!</v>
      </c>
      <c r="AS39" s="199" t="e">
        <f>$AD$89</f>
        <v>#DIV/0!</v>
      </c>
      <c r="AT39" s="199" t="e">
        <f>$AD$90</f>
        <v>#DIV/0!</v>
      </c>
      <c r="AU39" s="199" t="e">
        <f>$AD$91</f>
        <v>#DIV/0!</v>
      </c>
      <c r="AV39" s="199" t="e">
        <f>$AD$92</f>
        <v>#DIV/0!</v>
      </c>
      <c r="AW39" s="199" t="e">
        <f>$AD$94</f>
        <v>#DIV/0!</v>
      </c>
      <c r="AX39" s="199" t="e">
        <f>$AD$95</f>
        <v>#DIV/0!</v>
      </c>
      <c r="AY39" s="199" t="e">
        <f>$AD$96</f>
        <v>#DIV/0!</v>
      </c>
      <c r="AZ39" s="199" t="e">
        <f>$AD$97</f>
        <v>#DIV/0!</v>
      </c>
      <c r="BA39" s="199" t="e">
        <f>$AD$98</f>
        <v>#DIV/0!</v>
      </c>
    </row>
    <row r="40" spans="1:66">
      <c r="A40" s="2">
        <v>2025</v>
      </c>
      <c r="B40" t="s">
        <v>6</v>
      </c>
      <c r="C40" s="199" t="e">
        <f>$AE$47</f>
        <v>#DIV/0!</v>
      </c>
      <c r="D40" s="199" t="e">
        <f>$AE$48</f>
        <v>#DIV/0!</v>
      </c>
      <c r="E40" s="199" t="e">
        <f>$AE$49</f>
        <v>#DIV/0!</v>
      </c>
      <c r="F40" s="199" t="e">
        <f>$AE$50</f>
        <v>#DIV/0!</v>
      </c>
      <c r="G40" s="199" t="e">
        <f>$AE$51</f>
        <v>#DIV/0!</v>
      </c>
      <c r="H40" s="199" t="e">
        <f>$AE$52</f>
        <v>#DIV/0!</v>
      </c>
      <c r="I40" s="199" t="e">
        <f>$AE$53</f>
        <v>#DIV/0!</v>
      </c>
      <c r="J40" s="199" t="e">
        <f>$AE$54</f>
        <v>#DIV/0!</v>
      </c>
      <c r="K40" s="199" t="e">
        <f>$AE$55</f>
        <v>#DIV/0!</v>
      </c>
      <c r="L40" s="199" t="e">
        <f>$AE$56</f>
        <v>#DIV/0!</v>
      </c>
      <c r="M40" s="199" t="e">
        <f>$AE$57</f>
        <v>#DIV/0!</v>
      </c>
      <c r="N40" s="199" t="e">
        <f>$AE$58</f>
        <v>#DIV/0!</v>
      </c>
      <c r="O40" s="199" t="e">
        <f>$AE$59</f>
        <v>#DIV/0!</v>
      </c>
      <c r="P40" s="199" t="e">
        <f>$AE$60</f>
        <v>#DIV/0!</v>
      </c>
      <c r="Q40" s="199" t="e">
        <f>$AE$61</f>
        <v>#DIV/0!</v>
      </c>
      <c r="R40" s="199" t="e">
        <f>$AE$62</f>
        <v>#DIV/0!</v>
      </c>
      <c r="S40" s="199" t="e">
        <f>$AE$63</f>
        <v>#DIV/0!</v>
      </c>
      <c r="T40" s="199" t="e">
        <f>$AE$64</f>
        <v>#DIV/0!</v>
      </c>
      <c r="U40" s="199" t="e">
        <f>$AE$65</f>
        <v>#DIV/0!</v>
      </c>
      <c r="V40" s="199" t="e">
        <f>$AE$66</f>
        <v>#DIV/0!</v>
      </c>
      <c r="W40" s="199" t="e">
        <f>$AE$67</f>
        <v>#DIV/0!</v>
      </c>
      <c r="X40" s="199" t="e">
        <f>$AE$68</f>
        <v>#DIV/0!</v>
      </c>
      <c r="Y40" s="199" t="e">
        <f>$AE$69</f>
        <v>#DIV/0!</v>
      </c>
      <c r="Z40" s="199" t="e">
        <f>$AE$70</f>
        <v>#DIV/0!</v>
      </c>
      <c r="AA40" s="199" t="e">
        <f>$AE$71</f>
        <v>#DIV/0!</v>
      </c>
      <c r="AB40" s="199" t="e">
        <f>$AE$72</f>
        <v>#DIV/0!</v>
      </c>
      <c r="AC40" s="199" t="e">
        <f>$AE$73</f>
        <v>#DIV/0!</v>
      </c>
      <c r="AD40" s="199" t="e">
        <f>$AE$74</f>
        <v>#DIV/0!</v>
      </c>
      <c r="AE40" s="199" t="e">
        <f>$AE$75</f>
        <v>#DIV/0!</v>
      </c>
      <c r="AF40" s="199" t="e">
        <f>$AE$76</f>
        <v>#DIV/0!</v>
      </c>
      <c r="AG40" s="199" t="e">
        <f>$AE$77</f>
        <v>#DIV/0!</v>
      </c>
      <c r="AH40" s="199" t="e">
        <f>$AE$78</f>
        <v>#DIV/0!</v>
      </c>
      <c r="AI40" s="199" t="e">
        <f>$AE$79</f>
        <v>#DIV/0!</v>
      </c>
      <c r="AJ40" s="199" t="e">
        <f>$AE$80</f>
        <v>#DIV/0!</v>
      </c>
      <c r="AK40" s="199" t="e">
        <f>$AE$81</f>
        <v>#DIV/0!</v>
      </c>
      <c r="AL40" s="199" t="e">
        <f>$AE$82</f>
        <v>#DIV/0!</v>
      </c>
      <c r="AM40" s="199" t="e">
        <f>$AE$83</f>
        <v>#DIV/0!</v>
      </c>
      <c r="AN40" s="199" t="e">
        <f>$AE$84</f>
        <v>#DIV/0!</v>
      </c>
      <c r="AO40" s="199" t="e">
        <f>$AE$85</f>
        <v>#DIV/0!</v>
      </c>
      <c r="AP40" s="199" t="e">
        <f>$AE$86</f>
        <v>#DIV/0!</v>
      </c>
      <c r="AQ40" s="199" t="e">
        <f>$AE$87</f>
        <v>#DIV/0!</v>
      </c>
      <c r="AR40" s="199" t="e">
        <f>$AE$88</f>
        <v>#DIV/0!</v>
      </c>
      <c r="AS40" s="199" t="e">
        <f>$AE$89</f>
        <v>#DIV/0!</v>
      </c>
      <c r="AT40" s="199" t="e">
        <f>$AE$90</f>
        <v>#DIV/0!</v>
      </c>
      <c r="AU40" s="199" t="e">
        <f>$AE$91</f>
        <v>#DIV/0!</v>
      </c>
      <c r="AV40" s="199" t="e">
        <f>$AE$92</f>
        <v>#DIV/0!</v>
      </c>
      <c r="AW40" s="199" t="e">
        <f>$AE$94</f>
        <v>#DIV/0!</v>
      </c>
      <c r="AX40" s="199" t="e">
        <f>$AE$95</f>
        <v>#DIV/0!</v>
      </c>
      <c r="AY40" s="199" t="e">
        <f>$AE$96</f>
        <v>#DIV/0!</v>
      </c>
      <c r="AZ40" s="199" t="e">
        <f>$AE$97</f>
        <v>#DIV/0!</v>
      </c>
      <c r="BA40" s="199" t="e">
        <f>$AE$98</f>
        <v>#DIV/0!</v>
      </c>
    </row>
    <row r="41" spans="1:66">
      <c r="A41" s="2">
        <v>2025</v>
      </c>
      <c r="B41" t="s">
        <v>42</v>
      </c>
      <c r="C41" s="199" t="e">
        <f>$AF$47</f>
        <v>#DIV/0!</v>
      </c>
      <c r="D41" s="199" t="e">
        <f>$AF$48</f>
        <v>#DIV/0!</v>
      </c>
      <c r="E41" s="199" t="e">
        <f>$AF$49</f>
        <v>#DIV/0!</v>
      </c>
      <c r="F41" s="199" t="e">
        <f>$AF$50</f>
        <v>#DIV/0!</v>
      </c>
      <c r="G41" s="199" t="e">
        <f>$AF$51</f>
        <v>#DIV/0!</v>
      </c>
      <c r="H41" s="199" t="e">
        <f>$AF$52</f>
        <v>#DIV/0!</v>
      </c>
      <c r="I41" s="199" t="e">
        <f>$AF$53</f>
        <v>#DIV/0!</v>
      </c>
      <c r="J41" s="199" t="e">
        <f>$AF$54</f>
        <v>#DIV/0!</v>
      </c>
      <c r="K41" s="199" t="e">
        <f>$AF$55</f>
        <v>#DIV/0!</v>
      </c>
      <c r="L41" s="199" t="e">
        <f>$AF$56</f>
        <v>#DIV/0!</v>
      </c>
      <c r="M41" s="199" t="e">
        <f>$AF$57</f>
        <v>#DIV/0!</v>
      </c>
      <c r="N41" s="199" t="e">
        <f>$AF$58</f>
        <v>#DIV/0!</v>
      </c>
      <c r="O41" s="199" t="e">
        <f>$AF$59</f>
        <v>#DIV/0!</v>
      </c>
      <c r="P41" s="199" t="e">
        <f>$AF$60</f>
        <v>#DIV/0!</v>
      </c>
      <c r="Q41" s="199" t="e">
        <f>$AF$61</f>
        <v>#DIV/0!</v>
      </c>
      <c r="R41" s="199" t="e">
        <f>$AF$62</f>
        <v>#DIV/0!</v>
      </c>
      <c r="S41" s="199" t="e">
        <f>$AF$63</f>
        <v>#DIV/0!</v>
      </c>
      <c r="T41" s="199" t="e">
        <f>$AF$64</f>
        <v>#DIV/0!</v>
      </c>
      <c r="U41" s="199" t="e">
        <f>$AF$65</f>
        <v>#DIV/0!</v>
      </c>
      <c r="V41" s="199" t="e">
        <f>$AF$66</f>
        <v>#DIV/0!</v>
      </c>
      <c r="W41" s="199" t="e">
        <f>$AF$67</f>
        <v>#DIV/0!</v>
      </c>
      <c r="X41" s="199" t="e">
        <f>$AF$68</f>
        <v>#DIV/0!</v>
      </c>
      <c r="Y41" s="199" t="e">
        <f>$AF$69</f>
        <v>#DIV/0!</v>
      </c>
      <c r="Z41" s="199" t="e">
        <f>$AF$70</f>
        <v>#DIV/0!</v>
      </c>
      <c r="AA41" s="199" t="e">
        <f>$AF$71</f>
        <v>#DIV/0!</v>
      </c>
      <c r="AB41" s="199" t="e">
        <f>$AF$72</f>
        <v>#DIV/0!</v>
      </c>
      <c r="AC41" s="199" t="e">
        <f>$AF$73</f>
        <v>#DIV/0!</v>
      </c>
      <c r="AD41" s="199" t="e">
        <f>$AF$74</f>
        <v>#DIV/0!</v>
      </c>
      <c r="AE41" s="199" t="e">
        <f>$AF$75</f>
        <v>#DIV/0!</v>
      </c>
      <c r="AF41" s="199" t="e">
        <f>$AF$76</f>
        <v>#DIV/0!</v>
      </c>
      <c r="AG41" s="199" t="e">
        <f>$AF$77</f>
        <v>#DIV/0!</v>
      </c>
      <c r="AH41" s="199" t="e">
        <f>$AF$78</f>
        <v>#DIV/0!</v>
      </c>
      <c r="AI41" s="199" t="e">
        <f>$AF$79</f>
        <v>#DIV/0!</v>
      </c>
      <c r="AJ41" s="199" t="e">
        <f>$AF$80</f>
        <v>#DIV/0!</v>
      </c>
      <c r="AK41" s="199" t="e">
        <f>$AF$81</f>
        <v>#DIV/0!</v>
      </c>
      <c r="AL41" s="199" t="e">
        <f>$AF$82</f>
        <v>#DIV/0!</v>
      </c>
      <c r="AM41" s="199" t="e">
        <f>$AF$83</f>
        <v>#DIV/0!</v>
      </c>
      <c r="AN41" s="199" t="e">
        <f>$AF$84</f>
        <v>#DIV/0!</v>
      </c>
      <c r="AO41" s="199" t="e">
        <f>$AF$85</f>
        <v>#DIV/0!</v>
      </c>
      <c r="AP41" s="199" t="e">
        <f>$AF$86</f>
        <v>#DIV/0!</v>
      </c>
      <c r="AQ41" s="199" t="e">
        <f>$AF$87</f>
        <v>#DIV/0!</v>
      </c>
      <c r="AR41" s="199" t="e">
        <f>$AF$88</f>
        <v>#DIV/0!</v>
      </c>
      <c r="AS41" s="199" t="e">
        <f>$AF$89</f>
        <v>#DIV/0!</v>
      </c>
      <c r="AT41" s="199" t="e">
        <f>$AF$90</f>
        <v>#DIV/0!</v>
      </c>
      <c r="AU41" s="199" t="e">
        <f>$AF$91</f>
        <v>#DIV/0!</v>
      </c>
      <c r="AV41" s="199" t="e">
        <f>$AF$92</f>
        <v>#DIV/0!</v>
      </c>
      <c r="AW41" s="199" t="e">
        <f>$AF$94</f>
        <v>#DIV/0!</v>
      </c>
      <c r="AX41" s="199" t="e">
        <f>$AF$95</f>
        <v>#DIV/0!</v>
      </c>
      <c r="AY41" s="199" t="e">
        <f>$AF$96</f>
        <v>#DIV/0!</v>
      </c>
      <c r="AZ41" s="199" t="e">
        <f>$AF$97</f>
        <v>#DIV/0!</v>
      </c>
      <c r="BA41" s="199" t="e">
        <f>$AF$98</f>
        <v>#DIV/0!</v>
      </c>
    </row>
    <row r="42" spans="1:66">
      <c r="A42" s="2"/>
      <c r="D42" s="79"/>
      <c r="E42" s="79"/>
      <c r="F42" s="79"/>
      <c r="G42" s="79"/>
      <c r="H42" s="79"/>
      <c r="I42" s="79"/>
      <c r="Q42" s="8"/>
      <c r="R42" s="82"/>
      <c r="S42" s="82"/>
      <c r="T42" s="8"/>
      <c r="U42" s="8"/>
      <c r="V42" s="8"/>
      <c r="W42" s="8"/>
      <c r="X42" s="8"/>
      <c r="Y42" s="8"/>
      <c r="Z42" s="8"/>
      <c r="AA42" s="8"/>
      <c r="AB42" s="8"/>
      <c r="AC42" s="8"/>
      <c r="AD42" s="8"/>
      <c r="AE42" s="8"/>
      <c r="AF42" s="8"/>
    </row>
    <row r="43" spans="1:66">
      <c r="A43" s="2"/>
      <c r="D43" s="79"/>
      <c r="E43" s="79"/>
      <c r="F43" s="79"/>
      <c r="G43" s="79"/>
      <c r="H43" s="79"/>
      <c r="I43" s="79"/>
      <c r="Q43" s="8"/>
      <c r="R43" s="82"/>
      <c r="S43" s="82"/>
      <c r="T43" s="8"/>
      <c r="U43" s="8"/>
      <c r="V43" s="8"/>
      <c r="W43" s="8"/>
      <c r="X43" s="8"/>
      <c r="Y43" s="8"/>
      <c r="Z43" s="8"/>
      <c r="AA43" s="8"/>
      <c r="AB43" s="8"/>
      <c r="AC43" s="8"/>
      <c r="AD43" s="8"/>
      <c r="AE43" s="8"/>
      <c r="AF43" s="8"/>
    </row>
    <row r="44" spans="1:66">
      <c r="Q44" s="8"/>
      <c r="R44" s="82"/>
      <c r="S44" s="82"/>
      <c r="T44" s="82"/>
      <c r="U44" s="82"/>
      <c r="V44" s="82"/>
      <c r="W44" s="82"/>
      <c r="X44" s="82"/>
      <c r="Y44" s="82"/>
      <c r="Z44" s="82"/>
      <c r="AA44" s="82"/>
      <c r="AB44" s="82"/>
      <c r="AC44" s="82"/>
      <c r="AD44" s="8"/>
      <c r="AE44" s="8"/>
      <c r="AF44" s="8"/>
    </row>
    <row r="45" spans="1:66" ht="23.65" thickBot="1">
      <c r="A45" s="355" t="s">
        <v>195</v>
      </c>
      <c r="B45" s="355"/>
      <c r="C45" s="356">
        <v>2016</v>
      </c>
      <c r="D45" s="357"/>
      <c r="E45" s="358"/>
      <c r="F45" s="356">
        <v>2017</v>
      </c>
      <c r="G45" s="357"/>
      <c r="H45" s="358"/>
      <c r="I45" s="356">
        <v>2018</v>
      </c>
      <c r="J45" s="357"/>
      <c r="K45" s="358"/>
      <c r="L45" s="356">
        <v>2019</v>
      </c>
      <c r="M45" s="357"/>
      <c r="N45" s="358"/>
      <c r="O45" s="356">
        <v>2020</v>
      </c>
      <c r="P45" s="357"/>
      <c r="Q45" s="358"/>
      <c r="R45" s="356">
        <v>2021</v>
      </c>
      <c r="S45" s="357"/>
      <c r="T45" s="358"/>
      <c r="U45" s="356">
        <v>2022</v>
      </c>
      <c r="V45" s="357"/>
      <c r="W45" s="358"/>
      <c r="X45" s="356">
        <v>2023</v>
      </c>
      <c r="Y45" s="357"/>
      <c r="Z45" s="358"/>
      <c r="AA45" s="356">
        <v>2024</v>
      </c>
      <c r="AB45" s="357"/>
      <c r="AC45" s="358"/>
      <c r="AD45" s="356">
        <v>2025</v>
      </c>
      <c r="AE45" s="357"/>
      <c r="AF45" s="357"/>
      <c r="AG45" s="82"/>
      <c r="AH45" s="321" t="s">
        <v>46</v>
      </c>
      <c r="AI45" s="321"/>
      <c r="AJ45" s="82"/>
      <c r="AK45" s="368" t="s">
        <v>245</v>
      </c>
      <c r="AL45" s="368"/>
      <c r="AM45" s="368"/>
      <c r="AN45" s="368"/>
      <c r="AO45" s="368"/>
      <c r="AP45" s="368"/>
      <c r="AQ45" s="368"/>
      <c r="AR45" s="368"/>
      <c r="AS45" s="368"/>
      <c r="AT45" s="368"/>
      <c r="AU45" s="368"/>
      <c r="AV45" s="368"/>
      <c r="AW45" s="368"/>
      <c r="AX45" s="368"/>
      <c r="AY45" s="368"/>
      <c r="AZ45" s="368"/>
      <c r="BA45" s="368"/>
      <c r="BB45" s="368"/>
      <c r="BC45" s="368"/>
      <c r="BD45" s="368"/>
      <c r="BE45" s="368"/>
      <c r="BF45" s="368"/>
      <c r="BG45" s="368"/>
      <c r="BH45" s="368"/>
      <c r="BI45" s="368"/>
      <c r="BJ45" s="368"/>
      <c r="BK45" s="368"/>
      <c r="BL45" s="368"/>
      <c r="BM45" s="368"/>
      <c r="BN45" s="368"/>
    </row>
    <row r="46" spans="1:66" ht="18">
      <c r="A46" s="81" t="s">
        <v>199</v>
      </c>
      <c r="B46" s="80" t="s">
        <v>210</v>
      </c>
      <c r="C46" s="147" t="s">
        <v>5</v>
      </c>
      <c r="D46" s="145" t="s">
        <v>6</v>
      </c>
      <c r="E46" s="146" t="s">
        <v>42</v>
      </c>
      <c r="F46" s="145" t="s">
        <v>5</v>
      </c>
      <c r="G46" s="145" t="s">
        <v>6</v>
      </c>
      <c r="H46" s="146" t="s">
        <v>42</v>
      </c>
      <c r="I46" s="147" t="s">
        <v>5</v>
      </c>
      <c r="J46" s="145" t="s">
        <v>6</v>
      </c>
      <c r="K46" s="146" t="s">
        <v>42</v>
      </c>
      <c r="L46" s="145" t="s">
        <v>5</v>
      </c>
      <c r="M46" s="145" t="s">
        <v>6</v>
      </c>
      <c r="N46" s="146" t="s">
        <v>42</v>
      </c>
      <c r="O46" s="147" t="s">
        <v>5</v>
      </c>
      <c r="P46" s="145" t="s">
        <v>6</v>
      </c>
      <c r="Q46" s="146" t="s">
        <v>42</v>
      </c>
      <c r="R46" s="145" t="s">
        <v>5</v>
      </c>
      <c r="S46" s="145" t="s">
        <v>6</v>
      </c>
      <c r="T46" s="146" t="s">
        <v>42</v>
      </c>
      <c r="U46" s="147" t="s">
        <v>5</v>
      </c>
      <c r="V46" s="145" t="s">
        <v>6</v>
      </c>
      <c r="W46" s="146" t="s">
        <v>42</v>
      </c>
      <c r="X46" s="145" t="s">
        <v>5</v>
      </c>
      <c r="Y46" s="145" t="s">
        <v>6</v>
      </c>
      <c r="Z46" s="146" t="s">
        <v>42</v>
      </c>
      <c r="AA46" s="147" t="s">
        <v>5</v>
      </c>
      <c r="AB46" s="145" t="s">
        <v>6</v>
      </c>
      <c r="AC46" s="146" t="s">
        <v>42</v>
      </c>
      <c r="AD46" s="145" t="s">
        <v>5</v>
      </c>
      <c r="AE46" s="145" t="s">
        <v>6</v>
      </c>
      <c r="AF46" s="148" t="s">
        <v>42</v>
      </c>
      <c r="AG46" s="82"/>
      <c r="AH46" s="319" t="s">
        <v>65</v>
      </c>
      <c r="AI46" s="320"/>
      <c r="AJ46" s="82"/>
      <c r="AK46" s="369">
        <v>2016</v>
      </c>
      <c r="AL46" s="369"/>
      <c r="AM46" s="373"/>
      <c r="AN46" s="372">
        <v>2017</v>
      </c>
      <c r="AO46" s="369"/>
      <c r="AP46" s="373"/>
      <c r="AQ46" s="369">
        <v>2018</v>
      </c>
      <c r="AR46" s="369"/>
      <c r="AS46" s="373"/>
      <c r="AT46" s="369">
        <v>2019</v>
      </c>
      <c r="AU46" s="369"/>
      <c r="AV46" s="373"/>
      <c r="AW46" s="369">
        <v>2020</v>
      </c>
      <c r="AX46" s="369"/>
      <c r="AY46" s="373"/>
      <c r="AZ46" s="372">
        <v>2021</v>
      </c>
      <c r="BA46" s="369"/>
      <c r="BB46" s="373"/>
      <c r="BC46" s="369">
        <v>2022</v>
      </c>
      <c r="BD46" s="369"/>
      <c r="BE46" s="373"/>
      <c r="BF46" s="369">
        <v>2023</v>
      </c>
      <c r="BG46" s="369"/>
      <c r="BH46" s="373"/>
      <c r="BI46" s="369">
        <v>2024</v>
      </c>
      <c r="BJ46" s="369"/>
      <c r="BK46" s="373"/>
      <c r="BL46" s="372">
        <v>2025</v>
      </c>
      <c r="BM46" s="369"/>
      <c r="BN46" s="373"/>
    </row>
    <row r="47" spans="1:66">
      <c r="A47" s="69" t="s">
        <v>159</v>
      </c>
      <c r="B47" s="71" t="s">
        <v>162</v>
      </c>
      <c r="C47" s="100">
        <v>5.6962025316455698</v>
      </c>
      <c r="D47" s="100">
        <v>7.9136690647482011</v>
      </c>
      <c r="E47" s="100">
        <v>6.8627450980392162</v>
      </c>
      <c r="F47" t="e">
        <f>1/0</f>
        <v>#DIV/0!</v>
      </c>
      <c r="G47" t="e">
        <f t="shared" ref="G47:AF57" si="0">1/0</f>
        <v>#DIV/0!</v>
      </c>
      <c r="H47" t="e">
        <f t="shared" si="0"/>
        <v>#DIV/0!</v>
      </c>
      <c r="I47" t="e">
        <f t="shared" si="0"/>
        <v>#DIV/0!</v>
      </c>
      <c r="J47" t="e">
        <f t="shared" si="0"/>
        <v>#DIV/0!</v>
      </c>
      <c r="K47" t="e">
        <f t="shared" si="0"/>
        <v>#DIV/0!</v>
      </c>
      <c r="L47" t="e">
        <f t="shared" si="0"/>
        <v>#DIV/0!</v>
      </c>
      <c r="M47" t="e">
        <f t="shared" si="0"/>
        <v>#DIV/0!</v>
      </c>
      <c r="N47" t="e">
        <f t="shared" si="0"/>
        <v>#DIV/0!</v>
      </c>
      <c r="O47" t="e">
        <f t="shared" si="0"/>
        <v>#DIV/0!</v>
      </c>
      <c r="P47" t="e">
        <f t="shared" si="0"/>
        <v>#DIV/0!</v>
      </c>
      <c r="Q47" t="e">
        <f t="shared" si="0"/>
        <v>#DIV/0!</v>
      </c>
      <c r="R47" t="e">
        <f t="shared" si="0"/>
        <v>#DIV/0!</v>
      </c>
      <c r="S47" t="e">
        <f t="shared" si="0"/>
        <v>#DIV/0!</v>
      </c>
      <c r="T47" t="e">
        <f t="shared" si="0"/>
        <v>#DIV/0!</v>
      </c>
      <c r="U47" t="e">
        <f t="shared" si="0"/>
        <v>#DIV/0!</v>
      </c>
      <c r="V47" t="e">
        <f t="shared" si="0"/>
        <v>#DIV/0!</v>
      </c>
      <c r="W47" t="e">
        <f t="shared" si="0"/>
        <v>#DIV/0!</v>
      </c>
      <c r="X47" t="e">
        <f t="shared" si="0"/>
        <v>#DIV/0!</v>
      </c>
      <c r="Y47" t="e">
        <f t="shared" si="0"/>
        <v>#DIV/0!</v>
      </c>
      <c r="Z47" t="e">
        <f t="shared" si="0"/>
        <v>#DIV/0!</v>
      </c>
      <c r="AA47" t="e">
        <f t="shared" si="0"/>
        <v>#DIV/0!</v>
      </c>
      <c r="AB47" t="e">
        <f t="shared" si="0"/>
        <v>#DIV/0!</v>
      </c>
      <c r="AC47" t="e">
        <f t="shared" si="0"/>
        <v>#DIV/0!</v>
      </c>
      <c r="AD47" t="e">
        <f t="shared" si="0"/>
        <v>#DIV/0!</v>
      </c>
      <c r="AE47" t="e">
        <f t="shared" si="0"/>
        <v>#DIV/0!</v>
      </c>
      <c r="AF47" t="e">
        <f t="shared" si="0"/>
        <v>#DIV/0!</v>
      </c>
      <c r="AG47" s="82"/>
      <c r="AH47" s="56" t="s">
        <v>61</v>
      </c>
      <c r="AI47" s="56" t="s">
        <v>62</v>
      </c>
      <c r="AJ47" s="82"/>
      <c r="AK47" s="100">
        <f>$C$47</f>
        <v>5.6962025316455698</v>
      </c>
      <c r="AL47" s="100">
        <f>$D$47</f>
        <v>7.9136690647482011</v>
      </c>
      <c r="AM47" s="100">
        <f>$E$47</f>
        <v>6.8627450980392162</v>
      </c>
      <c r="AN47" s="100" t="e">
        <f>$F$47</f>
        <v>#DIV/0!</v>
      </c>
      <c r="AO47" s="100" t="e">
        <f>$G$47</f>
        <v>#DIV/0!</v>
      </c>
      <c r="AP47" s="100" t="e">
        <f>$H$47</f>
        <v>#DIV/0!</v>
      </c>
      <c r="AQ47" s="100" t="e">
        <f>$I$47</f>
        <v>#DIV/0!</v>
      </c>
      <c r="AR47" s="100" t="e">
        <f>$J$47</f>
        <v>#DIV/0!</v>
      </c>
      <c r="AS47" s="100" t="e">
        <f>$K$47</f>
        <v>#DIV/0!</v>
      </c>
      <c r="AT47" s="100" t="e">
        <f>$L$47</f>
        <v>#DIV/0!</v>
      </c>
      <c r="AU47" s="100" t="e">
        <f>$M$47</f>
        <v>#DIV/0!</v>
      </c>
      <c r="AV47" s="100" t="e">
        <f>$N$47</f>
        <v>#DIV/0!</v>
      </c>
      <c r="AW47" s="100" t="e">
        <f>$O$47</f>
        <v>#DIV/0!</v>
      </c>
      <c r="AX47" s="100" t="e">
        <f>$P$47</f>
        <v>#DIV/0!</v>
      </c>
      <c r="AY47" s="100" t="e">
        <f>$Q$47</f>
        <v>#DIV/0!</v>
      </c>
      <c r="AZ47" s="100" t="e">
        <f>$R$47</f>
        <v>#DIV/0!</v>
      </c>
      <c r="BA47" s="100" t="e">
        <f>$S$47</f>
        <v>#DIV/0!</v>
      </c>
      <c r="BB47" s="100" t="e">
        <f>$T$47</f>
        <v>#DIV/0!</v>
      </c>
      <c r="BC47" s="100" t="e">
        <f>$U$47</f>
        <v>#DIV/0!</v>
      </c>
      <c r="BD47" s="100" t="e">
        <f>$V$47</f>
        <v>#DIV/0!</v>
      </c>
      <c r="BE47" s="100" t="e">
        <f>$W$47</f>
        <v>#DIV/0!</v>
      </c>
      <c r="BF47" s="100" t="e">
        <f>$X$47</f>
        <v>#DIV/0!</v>
      </c>
      <c r="BG47" s="100" t="e">
        <f>$Y$47</f>
        <v>#DIV/0!</v>
      </c>
      <c r="BH47" s="100" t="e">
        <f>$Z$47</f>
        <v>#DIV/0!</v>
      </c>
      <c r="BI47" s="100" t="e">
        <f>$AA$47</f>
        <v>#DIV/0!</v>
      </c>
      <c r="BJ47" s="100" t="e">
        <f>$AB$47</f>
        <v>#DIV/0!</v>
      </c>
      <c r="BK47" s="100" t="e">
        <f>$AC$47</f>
        <v>#DIV/0!</v>
      </c>
      <c r="BL47" s="100" t="e">
        <f>$AD$47</f>
        <v>#DIV/0!</v>
      </c>
      <c r="BM47" s="100" t="e">
        <f>$AE$47</f>
        <v>#DIV/0!</v>
      </c>
      <c r="BN47" s="100" t="e">
        <f>$AF$47</f>
        <v>#DIV/0!</v>
      </c>
    </row>
    <row r="48" spans="1:66">
      <c r="A48" s="68" t="s">
        <v>194</v>
      </c>
      <c r="B48" s="71" t="s">
        <v>188</v>
      </c>
      <c r="C48" s="100">
        <v>3.804347826086957</v>
      </c>
      <c r="D48" s="100">
        <v>3.5714285714285712</v>
      </c>
      <c r="E48" s="100">
        <v>3.669724770642202</v>
      </c>
      <c r="F48" t="e">
        <f t="shared" ref="F48:U98" si="1">1/0</f>
        <v>#DIV/0!</v>
      </c>
      <c r="G48" t="e">
        <f t="shared" si="1"/>
        <v>#DIV/0!</v>
      </c>
      <c r="H48" t="e">
        <f t="shared" si="1"/>
        <v>#DIV/0!</v>
      </c>
      <c r="I48" t="e">
        <f t="shared" si="1"/>
        <v>#DIV/0!</v>
      </c>
      <c r="J48" t="e">
        <f t="shared" si="1"/>
        <v>#DIV/0!</v>
      </c>
      <c r="K48" t="e">
        <f t="shared" si="1"/>
        <v>#DIV/0!</v>
      </c>
      <c r="L48" t="e">
        <f t="shared" si="1"/>
        <v>#DIV/0!</v>
      </c>
      <c r="M48" t="e">
        <f t="shared" si="1"/>
        <v>#DIV/0!</v>
      </c>
      <c r="N48" t="e">
        <f t="shared" si="1"/>
        <v>#DIV/0!</v>
      </c>
      <c r="O48" t="e">
        <f t="shared" si="1"/>
        <v>#DIV/0!</v>
      </c>
      <c r="P48" t="e">
        <f t="shared" si="1"/>
        <v>#DIV/0!</v>
      </c>
      <c r="Q48" t="e">
        <f t="shared" si="1"/>
        <v>#DIV/0!</v>
      </c>
      <c r="R48" t="e">
        <f t="shared" si="1"/>
        <v>#DIV/0!</v>
      </c>
      <c r="S48" t="e">
        <f t="shared" si="1"/>
        <v>#DIV/0!</v>
      </c>
      <c r="T48" t="e">
        <f t="shared" si="1"/>
        <v>#DIV/0!</v>
      </c>
      <c r="U48" t="e">
        <f t="shared" si="1"/>
        <v>#DIV/0!</v>
      </c>
      <c r="V48" t="e">
        <f t="shared" si="0"/>
        <v>#DIV/0!</v>
      </c>
      <c r="W48" t="e">
        <f t="shared" si="0"/>
        <v>#DIV/0!</v>
      </c>
      <c r="X48" t="e">
        <f t="shared" si="0"/>
        <v>#DIV/0!</v>
      </c>
      <c r="Y48" t="e">
        <f t="shared" si="0"/>
        <v>#DIV/0!</v>
      </c>
      <c r="Z48" t="e">
        <f t="shared" si="0"/>
        <v>#DIV/0!</v>
      </c>
      <c r="AA48" t="e">
        <f t="shared" si="0"/>
        <v>#DIV/0!</v>
      </c>
      <c r="AB48" t="e">
        <f t="shared" si="0"/>
        <v>#DIV/0!</v>
      </c>
      <c r="AC48" t="e">
        <f t="shared" si="0"/>
        <v>#DIV/0!</v>
      </c>
      <c r="AD48" t="e">
        <f t="shared" si="0"/>
        <v>#DIV/0!</v>
      </c>
      <c r="AE48" t="e">
        <f t="shared" si="0"/>
        <v>#DIV/0!</v>
      </c>
      <c r="AF48" t="e">
        <f t="shared" si="0"/>
        <v>#DIV/0!</v>
      </c>
      <c r="AG48" s="82"/>
      <c r="AH48" s="244" t="s">
        <v>392</v>
      </c>
      <c r="AI48" s="244" t="s">
        <v>448</v>
      </c>
      <c r="AJ48" s="82"/>
      <c r="AK48" s="100">
        <f>$C$48</f>
        <v>3.804347826086957</v>
      </c>
      <c r="AL48" s="100">
        <f>$D$48</f>
        <v>3.5714285714285712</v>
      </c>
      <c r="AM48" s="100">
        <f>$E$48</f>
        <v>3.669724770642202</v>
      </c>
      <c r="AN48" s="100" t="e">
        <f>$F$48</f>
        <v>#DIV/0!</v>
      </c>
      <c r="AO48" s="100" t="e">
        <f>$G$48</f>
        <v>#DIV/0!</v>
      </c>
      <c r="AP48" s="100" t="e">
        <f>$H$48</f>
        <v>#DIV/0!</v>
      </c>
      <c r="AQ48" s="100" t="e">
        <f>$I$48</f>
        <v>#DIV/0!</v>
      </c>
      <c r="AR48" s="100" t="e">
        <f>$J$48</f>
        <v>#DIV/0!</v>
      </c>
      <c r="AS48" s="100" t="e">
        <f>$K$48</f>
        <v>#DIV/0!</v>
      </c>
      <c r="AT48" s="100" t="e">
        <f>$L$48</f>
        <v>#DIV/0!</v>
      </c>
      <c r="AU48" s="100" t="e">
        <f>$M$48</f>
        <v>#DIV/0!</v>
      </c>
      <c r="AV48" s="100" t="e">
        <f>$N$48</f>
        <v>#DIV/0!</v>
      </c>
      <c r="AW48" s="100" t="e">
        <f>$O$48</f>
        <v>#DIV/0!</v>
      </c>
      <c r="AX48" s="100" t="e">
        <f>$P$48</f>
        <v>#DIV/0!</v>
      </c>
      <c r="AY48" s="100" t="e">
        <f>$Q$48</f>
        <v>#DIV/0!</v>
      </c>
      <c r="AZ48" s="100" t="e">
        <f>$R$48</f>
        <v>#DIV/0!</v>
      </c>
      <c r="BA48" s="100" t="e">
        <f>$S$48</f>
        <v>#DIV/0!</v>
      </c>
      <c r="BB48" s="100" t="e">
        <f>$T$48</f>
        <v>#DIV/0!</v>
      </c>
      <c r="BC48" s="100" t="e">
        <f>$U$48</f>
        <v>#DIV/0!</v>
      </c>
      <c r="BD48" s="100" t="e">
        <f>$V$48</f>
        <v>#DIV/0!</v>
      </c>
      <c r="BE48" s="100" t="e">
        <f>$W$48</f>
        <v>#DIV/0!</v>
      </c>
      <c r="BF48" s="100" t="e">
        <f>$X$48</f>
        <v>#DIV/0!</v>
      </c>
      <c r="BG48" s="100" t="e">
        <f>$Y$48</f>
        <v>#DIV/0!</v>
      </c>
      <c r="BH48" s="100" t="e">
        <f>$Z$48</f>
        <v>#DIV/0!</v>
      </c>
      <c r="BI48" s="100" t="e">
        <f>$AA$48</f>
        <v>#DIV/0!</v>
      </c>
      <c r="BJ48" s="100" t="e">
        <f>$AB$48</f>
        <v>#DIV/0!</v>
      </c>
      <c r="BK48" s="100" t="e">
        <f>$AC$48</f>
        <v>#DIV/0!</v>
      </c>
      <c r="BL48" s="100" t="e">
        <f>$AD$48</f>
        <v>#DIV/0!</v>
      </c>
      <c r="BM48" s="100" t="e">
        <f>$AE$48</f>
        <v>#DIV/0!</v>
      </c>
      <c r="BN48" s="100" t="e">
        <f>$AF$48</f>
        <v>#DIV/0!</v>
      </c>
    </row>
    <row r="49" spans="1:66">
      <c r="A49" s="68" t="s">
        <v>189</v>
      </c>
      <c r="B49" t="s">
        <v>153</v>
      </c>
      <c r="C49" s="100"/>
      <c r="E49" s="100">
        <v>3.5294117647058822</v>
      </c>
      <c r="F49" t="e">
        <f t="shared" si="1"/>
        <v>#DIV/0!</v>
      </c>
      <c r="G49" t="e">
        <f t="shared" si="0"/>
        <v>#DIV/0!</v>
      </c>
      <c r="H49" t="e">
        <f t="shared" si="0"/>
        <v>#DIV/0!</v>
      </c>
      <c r="I49" t="e">
        <f t="shared" si="0"/>
        <v>#DIV/0!</v>
      </c>
      <c r="J49" t="e">
        <f t="shared" si="0"/>
        <v>#DIV/0!</v>
      </c>
      <c r="K49" t="e">
        <f t="shared" si="0"/>
        <v>#DIV/0!</v>
      </c>
      <c r="L49" t="e">
        <f t="shared" si="0"/>
        <v>#DIV/0!</v>
      </c>
      <c r="M49" t="e">
        <f t="shared" si="0"/>
        <v>#DIV/0!</v>
      </c>
      <c r="N49" t="e">
        <f t="shared" si="0"/>
        <v>#DIV/0!</v>
      </c>
      <c r="O49" t="e">
        <f t="shared" si="0"/>
        <v>#DIV/0!</v>
      </c>
      <c r="P49" t="e">
        <f t="shared" si="0"/>
        <v>#DIV/0!</v>
      </c>
      <c r="Q49" t="e">
        <f t="shared" si="0"/>
        <v>#DIV/0!</v>
      </c>
      <c r="R49" t="e">
        <f t="shared" si="0"/>
        <v>#DIV/0!</v>
      </c>
      <c r="S49" t="e">
        <f t="shared" si="0"/>
        <v>#DIV/0!</v>
      </c>
      <c r="T49" t="e">
        <f t="shared" si="0"/>
        <v>#DIV/0!</v>
      </c>
      <c r="U49" t="e">
        <f t="shared" si="0"/>
        <v>#DIV/0!</v>
      </c>
      <c r="V49" t="e">
        <f t="shared" si="0"/>
        <v>#DIV/0!</v>
      </c>
      <c r="W49" t="e">
        <f t="shared" si="0"/>
        <v>#DIV/0!</v>
      </c>
      <c r="X49" t="e">
        <f t="shared" si="0"/>
        <v>#DIV/0!</v>
      </c>
      <c r="Y49" t="e">
        <f t="shared" si="0"/>
        <v>#DIV/0!</v>
      </c>
      <c r="Z49" t="e">
        <f t="shared" si="0"/>
        <v>#DIV/0!</v>
      </c>
      <c r="AA49" t="e">
        <f t="shared" si="0"/>
        <v>#DIV/0!</v>
      </c>
      <c r="AB49" t="e">
        <f t="shared" si="0"/>
        <v>#DIV/0!</v>
      </c>
      <c r="AC49" t="e">
        <f t="shared" si="0"/>
        <v>#DIV/0!</v>
      </c>
      <c r="AD49" t="e">
        <f t="shared" si="0"/>
        <v>#DIV/0!</v>
      </c>
      <c r="AE49" t="e">
        <f t="shared" si="0"/>
        <v>#DIV/0!</v>
      </c>
      <c r="AF49" t="e">
        <f t="shared" si="0"/>
        <v>#DIV/0!</v>
      </c>
      <c r="AG49" s="82"/>
      <c r="AH49" s="244" t="s">
        <v>393</v>
      </c>
      <c r="AI49" s="244" t="s">
        <v>449</v>
      </c>
      <c r="AJ49" s="82"/>
      <c r="AK49" s="100">
        <f>$C$49</f>
        <v>0</v>
      </c>
      <c r="AL49" s="100">
        <f>$D$49</f>
        <v>0</v>
      </c>
      <c r="AM49" s="100">
        <f>$E$49</f>
        <v>3.5294117647058822</v>
      </c>
      <c r="AN49" s="100" t="e">
        <f>$F$49</f>
        <v>#DIV/0!</v>
      </c>
      <c r="AO49" s="100" t="e">
        <f>$G$49</f>
        <v>#DIV/0!</v>
      </c>
      <c r="AP49" s="100" t="e">
        <f>$H$49</f>
        <v>#DIV/0!</v>
      </c>
      <c r="AQ49" s="100" t="e">
        <f>$I$49</f>
        <v>#DIV/0!</v>
      </c>
      <c r="AR49" s="100" t="e">
        <f>$J$49</f>
        <v>#DIV/0!</v>
      </c>
      <c r="AS49" s="100" t="e">
        <f>$K$49</f>
        <v>#DIV/0!</v>
      </c>
      <c r="AT49" s="100" t="e">
        <f>$L$49</f>
        <v>#DIV/0!</v>
      </c>
      <c r="AU49" s="100" t="e">
        <f>$M$49</f>
        <v>#DIV/0!</v>
      </c>
      <c r="AV49" s="100" t="e">
        <f>$N$49</f>
        <v>#DIV/0!</v>
      </c>
      <c r="AW49" s="100" t="e">
        <f>$O$49</f>
        <v>#DIV/0!</v>
      </c>
      <c r="AX49" s="100" t="e">
        <f>$P$49</f>
        <v>#DIV/0!</v>
      </c>
      <c r="AY49" s="100" t="e">
        <f>$Q$49</f>
        <v>#DIV/0!</v>
      </c>
      <c r="AZ49" s="100" t="e">
        <f>$R$49</f>
        <v>#DIV/0!</v>
      </c>
      <c r="BA49" s="100" t="e">
        <f>$S$49</f>
        <v>#DIV/0!</v>
      </c>
      <c r="BB49" s="100" t="e">
        <f>$T$49</f>
        <v>#DIV/0!</v>
      </c>
      <c r="BC49" s="100" t="e">
        <f>$U$49</f>
        <v>#DIV/0!</v>
      </c>
      <c r="BD49" s="100" t="e">
        <f>$V$49</f>
        <v>#DIV/0!</v>
      </c>
      <c r="BE49" s="100" t="e">
        <f>$W$49</f>
        <v>#DIV/0!</v>
      </c>
      <c r="BF49" s="100" t="e">
        <f>$X$49</f>
        <v>#DIV/0!</v>
      </c>
      <c r="BG49" s="100" t="e">
        <f>$Y$49</f>
        <v>#DIV/0!</v>
      </c>
      <c r="BH49" s="100" t="e">
        <f>$Z$49</f>
        <v>#DIV/0!</v>
      </c>
      <c r="BI49" s="100" t="e">
        <f>$AA$49</f>
        <v>#DIV/0!</v>
      </c>
      <c r="BJ49" s="100" t="e">
        <f>$AB$49</f>
        <v>#DIV/0!</v>
      </c>
      <c r="BK49" s="100" t="e">
        <f>$AC$49</f>
        <v>#DIV/0!</v>
      </c>
      <c r="BL49" s="100" t="e">
        <f>$AD$49</f>
        <v>#DIV/0!</v>
      </c>
      <c r="BM49" s="100" t="e">
        <f>$AE$49</f>
        <v>#DIV/0!</v>
      </c>
      <c r="BN49" s="100" t="e">
        <f>$AF$49</f>
        <v>#DIV/0!</v>
      </c>
    </row>
    <row r="50" spans="1:66">
      <c r="A50" s="69" t="s">
        <v>184</v>
      </c>
      <c r="B50" s="71" t="s">
        <v>188</v>
      </c>
      <c r="C50" s="100"/>
      <c r="E50" s="100">
        <v>3.8461538461538463</v>
      </c>
      <c r="F50" t="e">
        <f t="shared" si="1"/>
        <v>#DIV/0!</v>
      </c>
      <c r="G50" t="e">
        <f t="shared" si="0"/>
        <v>#DIV/0!</v>
      </c>
      <c r="H50" t="e">
        <f t="shared" si="0"/>
        <v>#DIV/0!</v>
      </c>
      <c r="I50" t="e">
        <f t="shared" si="0"/>
        <v>#DIV/0!</v>
      </c>
      <c r="J50" t="e">
        <f t="shared" si="0"/>
        <v>#DIV/0!</v>
      </c>
      <c r="K50" t="e">
        <f t="shared" si="0"/>
        <v>#DIV/0!</v>
      </c>
      <c r="L50" t="e">
        <f t="shared" si="0"/>
        <v>#DIV/0!</v>
      </c>
      <c r="M50" t="e">
        <f t="shared" si="0"/>
        <v>#DIV/0!</v>
      </c>
      <c r="N50" t="e">
        <f t="shared" si="0"/>
        <v>#DIV/0!</v>
      </c>
      <c r="O50" t="e">
        <f t="shared" si="0"/>
        <v>#DIV/0!</v>
      </c>
      <c r="P50" t="e">
        <f t="shared" si="0"/>
        <v>#DIV/0!</v>
      </c>
      <c r="Q50" t="e">
        <f t="shared" si="0"/>
        <v>#DIV/0!</v>
      </c>
      <c r="R50" t="e">
        <f t="shared" si="0"/>
        <v>#DIV/0!</v>
      </c>
      <c r="S50" t="e">
        <f t="shared" si="0"/>
        <v>#DIV/0!</v>
      </c>
      <c r="T50" t="e">
        <f t="shared" si="0"/>
        <v>#DIV/0!</v>
      </c>
      <c r="U50" t="e">
        <f t="shared" si="0"/>
        <v>#DIV/0!</v>
      </c>
      <c r="V50" t="e">
        <f t="shared" si="0"/>
        <v>#DIV/0!</v>
      </c>
      <c r="W50" t="e">
        <f t="shared" si="0"/>
        <v>#DIV/0!</v>
      </c>
      <c r="X50" t="e">
        <f t="shared" si="0"/>
        <v>#DIV/0!</v>
      </c>
      <c r="Y50" t="e">
        <f t="shared" si="0"/>
        <v>#DIV/0!</v>
      </c>
      <c r="Z50" t="e">
        <f t="shared" si="0"/>
        <v>#DIV/0!</v>
      </c>
      <c r="AA50" t="e">
        <f t="shared" si="0"/>
        <v>#DIV/0!</v>
      </c>
      <c r="AB50" t="e">
        <f t="shared" si="0"/>
        <v>#DIV/0!</v>
      </c>
      <c r="AC50" t="e">
        <f t="shared" si="0"/>
        <v>#DIV/0!</v>
      </c>
      <c r="AD50" t="e">
        <f t="shared" si="0"/>
        <v>#DIV/0!</v>
      </c>
      <c r="AE50" t="e">
        <f t="shared" si="0"/>
        <v>#DIV/0!</v>
      </c>
      <c r="AF50" t="e">
        <f t="shared" si="0"/>
        <v>#DIV/0!</v>
      </c>
      <c r="AG50" s="82"/>
      <c r="AH50" s="244" t="s">
        <v>394</v>
      </c>
      <c r="AI50" s="244" t="s">
        <v>450</v>
      </c>
      <c r="AJ50" s="82"/>
      <c r="AK50" s="100">
        <f>$C$50</f>
        <v>0</v>
      </c>
      <c r="AL50" s="100">
        <f>$D$50</f>
        <v>0</v>
      </c>
      <c r="AM50" s="100">
        <f>$E$50</f>
        <v>3.8461538461538463</v>
      </c>
      <c r="AN50" s="100" t="e">
        <f>$F$50</f>
        <v>#DIV/0!</v>
      </c>
      <c r="AO50" s="100" t="e">
        <f>$G$50</f>
        <v>#DIV/0!</v>
      </c>
      <c r="AP50" s="100" t="e">
        <f>$H$50</f>
        <v>#DIV/0!</v>
      </c>
      <c r="AQ50" s="100" t="e">
        <f>$I$50</f>
        <v>#DIV/0!</v>
      </c>
      <c r="AR50" s="100" t="e">
        <f>$J$50</f>
        <v>#DIV/0!</v>
      </c>
      <c r="AS50" s="100" t="e">
        <f>$K$50</f>
        <v>#DIV/0!</v>
      </c>
      <c r="AT50" s="100" t="e">
        <f>$L$50</f>
        <v>#DIV/0!</v>
      </c>
      <c r="AU50" s="100" t="e">
        <f>$M$50</f>
        <v>#DIV/0!</v>
      </c>
      <c r="AV50" s="100" t="e">
        <f>$N$50</f>
        <v>#DIV/0!</v>
      </c>
      <c r="AW50" s="100" t="e">
        <f>$O$50</f>
        <v>#DIV/0!</v>
      </c>
      <c r="AX50" s="100" t="e">
        <f>$P$50</f>
        <v>#DIV/0!</v>
      </c>
      <c r="AY50" s="100" t="e">
        <f>$Q$50</f>
        <v>#DIV/0!</v>
      </c>
      <c r="AZ50" s="100" t="e">
        <f>$R$50</f>
        <v>#DIV/0!</v>
      </c>
      <c r="BA50" s="100" t="e">
        <f>$S$50</f>
        <v>#DIV/0!</v>
      </c>
      <c r="BB50" s="100" t="e">
        <f>$T$50</f>
        <v>#DIV/0!</v>
      </c>
      <c r="BC50" s="100" t="e">
        <f>$U$50</f>
        <v>#DIV/0!</v>
      </c>
      <c r="BD50" s="100" t="e">
        <f>$V$50</f>
        <v>#DIV/0!</v>
      </c>
      <c r="BE50" s="100" t="e">
        <f>$W$50</f>
        <v>#DIV/0!</v>
      </c>
      <c r="BF50" s="100" t="e">
        <f>$X$50</f>
        <v>#DIV/0!</v>
      </c>
      <c r="BG50" s="100" t="e">
        <f>$Y$50</f>
        <v>#DIV/0!</v>
      </c>
      <c r="BH50" s="100" t="e">
        <f>$Z$50</f>
        <v>#DIV/0!</v>
      </c>
      <c r="BI50" s="100" t="e">
        <f>$AA$50</f>
        <v>#DIV/0!</v>
      </c>
      <c r="BJ50" s="100" t="e">
        <f>$AB$50</f>
        <v>#DIV/0!</v>
      </c>
      <c r="BK50" s="100" t="e">
        <f>$AC$50</f>
        <v>#DIV/0!</v>
      </c>
      <c r="BL50" s="100" t="e">
        <f>$AD$50</f>
        <v>#DIV/0!</v>
      </c>
      <c r="BM50" s="100" t="e">
        <f>$AE$50</f>
        <v>#DIV/0!</v>
      </c>
      <c r="BN50" s="100" t="e">
        <f>$AF$50</f>
        <v>#DIV/0!</v>
      </c>
    </row>
    <row r="51" spans="1:66">
      <c r="A51" s="69" t="s">
        <v>182</v>
      </c>
      <c r="B51" s="71" t="s">
        <v>188</v>
      </c>
      <c r="C51" s="100">
        <v>6.6489361702127656</v>
      </c>
      <c r="D51" s="100">
        <v>5.037783375314862</v>
      </c>
      <c r="E51" s="100">
        <v>5.9343434343434343</v>
      </c>
      <c r="F51" t="e">
        <f t="shared" si="1"/>
        <v>#DIV/0!</v>
      </c>
      <c r="G51" t="e">
        <f t="shared" si="0"/>
        <v>#DIV/0!</v>
      </c>
      <c r="H51" t="e">
        <f t="shared" si="0"/>
        <v>#DIV/0!</v>
      </c>
      <c r="I51" t="e">
        <f t="shared" si="0"/>
        <v>#DIV/0!</v>
      </c>
      <c r="J51" t="e">
        <f t="shared" si="0"/>
        <v>#DIV/0!</v>
      </c>
      <c r="K51" t="e">
        <f t="shared" si="0"/>
        <v>#DIV/0!</v>
      </c>
      <c r="L51" t="e">
        <f t="shared" si="0"/>
        <v>#DIV/0!</v>
      </c>
      <c r="M51" t="e">
        <f t="shared" si="0"/>
        <v>#DIV/0!</v>
      </c>
      <c r="N51" t="e">
        <f t="shared" si="0"/>
        <v>#DIV/0!</v>
      </c>
      <c r="O51" t="e">
        <f t="shared" si="0"/>
        <v>#DIV/0!</v>
      </c>
      <c r="P51" t="e">
        <f t="shared" si="0"/>
        <v>#DIV/0!</v>
      </c>
      <c r="Q51" t="e">
        <f t="shared" si="0"/>
        <v>#DIV/0!</v>
      </c>
      <c r="R51" t="e">
        <f t="shared" si="0"/>
        <v>#DIV/0!</v>
      </c>
      <c r="S51" t="e">
        <f t="shared" si="0"/>
        <v>#DIV/0!</v>
      </c>
      <c r="T51" t="e">
        <f t="shared" si="0"/>
        <v>#DIV/0!</v>
      </c>
      <c r="U51" t="e">
        <f t="shared" si="0"/>
        <v>#DIV/0!</v>
      </c>
      <c r="V51" t="e">
        <f t="shared" si="0"/>
        <v>#DIV/0!</v>
      </c>
      <c r="W51" t="e">
        <f t="shared" si="0"/>
        <v>#DIV/0!</v>
      </c>
      <c r="X51" t="e">
        <f t="shared" si="0"/>
        <v>#DIV/0!</v>
      </c>
      <c r="Y51" t="e">
        <f t="shared" si="0"/>
        <v>#DIV/0!</v>
      </c>
      <c r="Z51" t="e">
        <f t="shared" si="0"/>
        <v>#DIV/0!</v>
      </c>
      <c r="AA51" t="e">
        <f t="shared" si="0"/>
        <v>#DIV/0!</v>
      </c>
      <c r="AB51" t="e">
        <f t="shared" si="0"/>
        <v>#DIV/0!</v>
      </c>
      <c r="AC51" t="e">
        <f t="shared" si="0"/>
        <v>#DIV/0!</v>
      </c>
      <c r="AD51" t="e">
        <f t="shared" si="0"/>
        <v>#DIV/0!</v>
      </c>
      <c r="AE51" t="e">
        <f t="shared" si="0"/>
        <v>#DIV/0!</v>
      </c>
      <c r="AF51" t="e">
        <f t="shared" si="0"/>
        <v>#DIV/0!</v>
      </c>
      <c r="AG51" s="82"/>
      <c r="AH51" s="244" t="s">
        <v>434</v>
      </c>
      <c r="AI51" s="244" t="s">
        <v>451</v>
      </c>
      <c r="AJ51" s="82"/>
      <c r="AK51" s="100">
        <f>$C$51</f>
        <v>6.6489361702127656</v>
      </c>
      <c r="AL51" s="100">
        <f>$D$51</f>
        <v>5.037783375314862</v>
      </c>
      <c r="AM51" s="100">
        <f>$E$51</f>
        <v>5.9343434343434343</v>
      </c>
      <c r="AN51" s="100" t="e">
        <f>$F$51</f>
        <v>#DIV/0!</v>
      </c>
      <c r="AO51" s="100" t="e">
        <f>$G$51</f>
        <v>#DIV/0!</v>
      </c>
      <c r="AP51" s="100" t="e">
        <f>$H$51</f>
        <v>#DIV/0!</v>
      </c>
      <c r="AQ51" s="100" t="e">
        <f>$I$51</f>
        <v>#DIV/0!</v>
      </c>
      <c r="AR51" s="100" t="e">
        <f>$J$51</f>
        <v>#DIV/0!</v>
      </c>
      <c r="AS51" s="100" t="e">
        <f>$K$51</f>
        <v>#DIV/0!</v>
      </c>
      <c r="AT51" s="100" t="e">
        <f>$L$51</f>
        <v>#DIV/0!</v>
      </c>
      <c r="AU51" s="100" t="e">
        <f>$M$51</f>
        <v>#DIV/0!</v>
      </c>
      <c r="AV51" s="100" t="e">
        <f>$N$51</f>
        <v>#DIV/0!</v>
      </c>
      <c r="AW51" s="100" t="e">
        <f>$O$51</f>
        <v>#DIV/0!</v>
      </c>
      <c r="AX51" s="100" t="e">
        <f>$P$51</f>
        <v>#DIV/0!</v>
      </c>
      <c r="AY51" s="100" t="e">
        <f>$Q$51</f>
        <v>#DIV/0!</v>
      </c>
      <c r="AZ51" s="100" t="e">
        <f>$R$51</f>
        <v>#DIV/0!</v>
      </c>
      <c r="BA51" s="100" t="e">
        <f>$S$51</f>
        <v>#DIV/0!</v>
      </c>
      <c r="BB51" s="100" t="e">
        <f>$T$51</f>
        <v>#DIV/0!</v>
      </c>
      <c r="BC51" s="100" t="e">
        <f>$U$51</f>
        <v>#DIV/0!</v>
      </c>
      <c r="BD51" s="100" t="e">
        <f>$V$51</f>
        <v>#DIV/0!</v>
      </c>
      <c r="BE51" s="100" t="e">
        <f>$W$51</f>
        <v>#DIV/0!</v>
      </c>
      <c r="BF51" s="100" t="e">
        <f>$X$51</f>
        <v>#DIV/0!</v>
      </c>
      <c r="BG51" s="100" t="e">
        <f>$Y$51</f>
        <v>#DIV/0!</v>
      </c>
      <c r="BH51" s="100" t="e">
        <f>$Z$51</f>
        <v>#DIV/0!</v>
      </c>
      <c r="BI51" s="100" t="e">
        <f>$AA$51</f>
        <v>#DIV/0!</v>
      </c>
      <c r="BJ51" s="100" t="e">
        <f>$AB$51</f>
        <v>#DIV/0!</v>
      </c>
      <c r="BK51" s="100" t="e">
        <f>$AC$51</f>
        <v>#DIV/0!</v>
      </c>
      <c r="BL51" s="100" t="e">
        <f>$AD$51</f>
        <v>#DIV/0!</v>
      </c>
      <c r="BM51" s="100" t="e">
        <f>$AE$51</f>
        <v>#DIV/0!</v>
      </c>
      <c r="BN51" s="100" t="e">
        <f>$AF$51</f>
        <v>#DIV/0!</v>
      </c>
    </row>
    <row r="52" spans="1:66">
      <c r="A52" s="69" t="s">
        <v>163</v>
      </c>
      <c r="B52" s="71" t="s">
        <v>178</v>
      </c>
      <c r="C52" s="100"/>
      <c r="E52" s="100">
        <v>9.6153846153846168</v>
      </c>
      <c r="F52" t="e">
        <f>1/0</f>
        <v>#DIV/0!</v>
      </c>
      <c r="G52" t="e">
        <f t="shared" si="0"/>
        <v>#DIV/0!</v>
      </c>
      <c r="H52" t="e">
        <f t="shared" si="0"/>
        <v>#DIV/0!</v>
      </c>
      <c r="I52" t="e">
        <f t="shared" si="0"/>
        <v>#DIV/0!</v>
      </c>
      <c r="J52" t="e">
        <f t="shared" si="0"/>
        <v>#DIV/0!</v>
      </c>
      <c r="K52" t="e">
        <f t="shared" si="0"/>
        <v>#DIV/0!</v>
      </c>
      <c r="L52" t="e">
        <f t="shared" si="0"/>
        <v>#DIV/0!</v>
      </c>
      <c r="M52" t="e">
        <f t="shared" si="0"/>
        <v>#DIV/0!</v>
      </c>
      <c r="N52" t="e">
        <f t="shared" si="0"/>
        <v>#DIV/0!</v>
      </c>
      <c r="O52" t="e">
        <f t="shared" si="0"/>
        <v>#DIV/0!</v>
      </c>
      <c r="P52" t="e">
        <f t="shared" si="0"/>
        <v>#DIV/0!</v>
      </c>
      <c r="Q52" t="e">
        <f t="shared" si="0"/>
        <v>#DIV/0!</v>
      </c>
      <c r="R52" t="e">
        <f t="shared" si="0"/>
        <v>#DIV/0!</v>
      </c>
      <c r="S52" t="e">
        <f t="shared" si="0"/>
        <v>#DIV/0!</v>
      </c>
      <c r="T52" t="e">
        <f t="shared" si="0"/>
        <v>#DIV/0!</v>
      </c>
      <c r="U52" t="e">
        <f t="shared" si="0"/>
        <v>#DIV/0!</v>
      </c>
      <c r="V52" t="e">
        <f t="shared" si="0"/>
        <v>#DIV/0!</v>
      </c>
      <c r="W52" t="e">
        <f t="shared" si="0"/>
        <v>#DIV/0!</v>
      </c>
      <c r="X52" t="e">
        <f t="shared" si="0"/>
        <v>#DIV/0!</v>
      </c>
      <c r="Y52" t="e">
        <f t="shared" si="0"/>
        <v>#DIV/0!</v>
      </c>
      <c r="Z52" t="e">
        <f t="shared" si="0"/>
        <v>#DIV/0!</v>
      </c>
      <c r="AA52" t="e">
        <f t="shared" si="0"/>
        <v>#DIV/0!</v>
      </c>
      <c r="AB52" t="e">
        <f t="shared" si="0"/>
        <v>#DIV/0!</v>
      </c>
      <c r="AC52" t="e">
        <f t="shared" si="0"/>
        <v>#DIV/0!</v>
      </c>
      <c r="AD52" t="e">
        <f t="shared" si="0"/>
        <v>#DIV/0!</v>
      </c>
      <c r="AE52" t="e">
        <f t="shared" si="0"/>
        <v>#DIV/0!</v>
      </c>
      <c r="AF52" t="e">
        <f t="shared" si="0"/>
        <v>#DIV/0!</v>
      </c>
      <c r="AG52" s="82"/>
      <c r="AH52" s="244" t="s">
        <v>435</v>
      </c>
      <c r="AI52" s="244" t="s">
        <v>452</v>
      </c>
      <c r="AJ52" s="82"/>
      <c r="AK52" s="100">
        <f>$C$52</f>
        <v>0</v>
      </c>
      <c r="AL52" s="100">
        <f>$D$52</f>
        <v>0</v>
      </c>
      <c r="AM52" s="100">
        <f>$E$52</f>
        <v>9.6153846153846168</v>
      </c>
      <c r="AN52" s="100" t="e">
        <f>$F$52</f>
        <v>#DIV/0!</v>
      </c>
      <c r="AO52" s="100" t="e">
        <f>$G$52</f>
        <v>#DIV/0!</v>
      </c>
      <c r="AP52" s="100" t="e">
        <f>$H$52</f>
        <v>#DIV/0!</v>
      </c>
      <c r="AQ52" s="100" t="e">
        <f>$I$52</f>
        <v>#DIV/0!</v>
      </c>
      <c r="AR52" s="100" t="e">
        <f>$J$52</f>
        <v>#DIV/0!</v>
      </c>
      <c r="AS52" s="100" t="e">
        <f>$K$52</f>
        <v>#DIV/0!</v>
      </c>
      <c r="AT52" s="100" t="e">
        <f>$L$52</f>
        <v>#DIV/0!</v>
      </c>
      <c r="AU52" s="100" t="e">
        <f>$M$52</f>
        <v>#DIV/0!</v>
      </c>
      <c r="AV52" s="100" t="e">
        <f>$N$52</f>
        <v>#DIV/0!</v>
      </c>
      <c r="AW52" s="100" t="e">
        <f>$O$52</f>
        <v>#DIV/0!</v>
      </c>
      <c r="AX52" s="100" t="e">
        <f>$P$52</f>
        <v>#DIV/0!</v>
      </c>
      <c r="AY52" s="100" t="e">
        <f>$Q$52</f>
        <v>#DIV/0!</v>
      </c>
      <c r="AZ52" s="100" t="e">
        <f>$R$52</f>
        <v>#DIV/0!</v>
      </c>
      <c r="BA52" s="100" t="e">
        <f>$S$52</f>
        <v>#DIV/0!</v>
      </c>
      <c r="BB52" s="100" t="e">
        <f>$T$52</f>
        <v>#DIV/0!</v>
      </c>
      <c r="BC52" s="100" t="e">
        <f>$U$52</f>
        <v>#DIV/0!</v>
      </c>
      <c r="BD52" s="100" t="e">
        <f>$V$52</f>
        <v>#DIV/0!</v>
      </c>
      <c r="BE52" s="100" t="e">
        <f>$W$52</f>
        <v>#DIV/0!</v>
      </c>
      <c r="BF52" s="100" t="e">
        <f>$X$52</f>
        <v>#DIV/0!</v>
      </c>
      <c r="BG52" s="100" t="e">
        <f>$Y$52</f>
        <v>#DIV/0!</v>
      </c>
      <c r="BH52" s="100" t="e">
        <f>$Z$52</f>
        <v>#DIV/0!</v>
      </c>
      <c r="BI52" s="100" t="e">
        <f>$AA$52</f>
        <v>#DIV/0!</v>
      </c>
      <c r="BJ52" s="100" t="e">
        <f>$AB$52</f>
        <v>#DIV/0!</v>
      </c>
      <c r="BK52" s="100" t="e">
        <f>$AC$52</f>
        <v>#DIV/0!</v>
      </c>
      <c r="BL52" s="100" t="e">
        <f>$AD$52</f>
        <v>#DIV/0!</v>
      </c>
      <c r="BM52" s="100" t="e">
        <f>$AE$52</f>
        <v>#DIV/0!</v>
      </c>
      <c r="BN52" s="100" t="e">
        <f>$AF$52</f>
        <v>#DIV/0!</v>
      </c>
    </row>
    <row r="53" spans="1:66">
      <c r="A53" s="69" t="s">
        <v>164</v>
      </c>
      <c r="B53" s="71" t="s">
        <v>178</v>
      </c>
      <c r="C53" s="100">
        <v>4.225352112676056</v>
      </c>
      <c r="D53" s="100">
        <v>4.5161290322580641</v>
      </c>
      <c r="E53" s="100">
        <v>4.3333333333333339</v>
      </c>
      <c r="F53" t="e">
        <f t="shared" si="1"/>
        <v>#DIV/0!</v>
      </c>
      <c r="G53" t="e">
        <f t="shared" si="0"/>
        <v>#DIV/0!</v>
      </c>
      <c r="H53" t="e">
        <f t="shared" si="0"/>
        <v>#DIV/0!</v>
      </c>
      <c r="I53" t="e">
        <f t="shared" si="0"/>
        <v>#DIV/0!</v>
      </c>
      <c r="J53" t="e">
        <f t="shared" si="0"/>
        <v>#DIV/0!</v>
      </c>
      <c r="K53" t="e">
        <f t="shared" si="0"/>
        <v>#DIV/0!</v>
      </c>
      <c r="L53" t="e">
        <f t="shared" si="0"/>
        <v>#DIV/0!</v>
      </c>
      <c r="M53" t="e">
        <f t="shared" si="0"/>
        <v>#DIV/0!</v>
      </c>
      <c r="N53" t="e">
        <f t="shared" si="0"/>
        <v>#DIV/0!</v>
      </c>
      <c r="O53" t="e">
        <f t="shared" si="0"/>
        <v>#DIV/0!</v>
      </c>
      <c r="P53" t="e">
        <f t="shared" si="0"/>
        <v>#DIV/0!</v>
      </c>
      <c r="Q53" t="e">
        <f t="shared" si="0"/>
        <v>#DIV/0!</v>
      </c>
      <c r="R53" t="e">
        <f t="shared" si="0"/>
        <v>#DIV/0!</v>
      </c>
      <c r="S53" t="e">
        <f t="shared" si="0"/>
        <v>#DIV/0!</v>
      </c>
      <c r="T53" t="e">
        <f t="shared" si="0"/>
        <v>#DIV/0!</v>
      </c>
      <c r="U53" t="e">
        <f t="shared" si="0"/>
        <v>#DIV/0!</v>
      </c>
      <c r="V53" t="e">
        <f t="shared" si="0"/>
        <v>#DIV/0!</v>
      </c>
      <c r="W53" t="e">
        <f t="shared" si="0"/>
        <v>#DIV/0!</v>
      </c>
      <c r="X53" t="e">
        <f t="shared" si="0"/>
        <v>#DIV/0!</v>
      </c>
      <c r="Y53" t="e">
        <f t="shared" si="0"/>
        <v>#DIV/0!</v>
      </c>
      <c r="Z53" t="e">
        <f t="shared" si="0"/>
        <v>#DIV/0!</v>
      </c>
      <c r="AA53" t="e">
        <f t="shared" si="0"/>
        <v>#DIV/0!</v>
      </c>
      <c r="AB53" t="e">
        <f t="shared" si="0"/>
        <v>#DIV/0!</v>
      </c>
      <c r="AC53" t="e">
        <f t="shared" si="0"/>
        <v>#DIV/0!</v>
      </c>
      <c r="AD53" t="e">
        <f t="shared" si="0"/>
        <v>#DIV/0!</v>
      </c>
      <c r="AE53" t="e">
        <f t="shared" si="0"/>
        <v>#DIV/0!</v>
      </c>
      <c r="AF53" t="e">
        <f t="shared" si="0"/>
        <v>#DIV/0!</v>
      </c>
      <c r="AG53" s="82"/>
      <c r="AH53" s="244" t="s">
        <v>436</v>
      </c>
      <c r="AI53" s="244" t="s">
        <v>453</v>
      </c>
      <c r="AJ53" s="82"/>
      <c r="AK53" s="100">
        <f>$C$53</f>
        <v>4.225352112676056</v>
      </c>
      <c r="AL53" s="100">
        <f>$D$53</f>
        <v>4.5161290322580641</v>
      </c>
      <c r="AM53" s="100">
        <f>$E$53</f>
        <v>4.3333333333333339</v>
      </c>
      <c r="AN53" s="100" t="e">
        <f>$F$53</f>
        <v>#DIV/0!</v>
      </c>
      <c r="AO53" s="100" t="e">
        <f>$G$53</f>
        <v>#DIV/0!</v>
      </c>
      <c r="AP53" s="100" t="e">
        <f>$H$53</f>
        <v>#DIV/0!</v>
      </c>
      <c r="AQ53" s="100" t="e">
        <f>$I$53</f>
        <v>#DIV/0!</v>
      </c>
      <c r="AR53" s="100" t="e">
        <f>$J$53</f>
        <v>#DIV/0!</v>
      </c>
      <c r="AS53" s="100" t="e">
        <f>$K$53</f>
        <v>#DIV/0!</v>
      </c>
      <c r="AT53" s="100" t="e">
        <f>$L$53</f>
        <v>#DIV/0!</v>
      </c>
      <c r="AU53" s="100" t="e">
        <f>$M$53</f>
        <v>#DIV/0!</v>
      </c>
      <c r="AV53" s="100" t="e">
        <f>$N$53</f>
        <v>#DIV/0!</v>
      </c>
      <c r="AW53" s="100" t="e">
        <f>$O$53</f>
        <v>#DIV/0!</v>
      </c>
      <c r="AX53" s="100" t="e">
        <f>$P$53</f>
        <v>#DIV/0!</v>
      </c>
      <c r="AY53" s="100" t="e">
        <f>$Q$53</f>
        <v>#DIV/0!</v>
      </c>
      <c r="AZ53" s="100" t="e">
        <f>$R$53</f>
        <v>#DIV/0!</v>
      </c>
      <c r="BA53" s="100" t="e">
        <f>$S$53</f>
        <v>#DIV/0!</v>
      </c>
      <c r="BB53" s="100" t="e">
        <f>$T$53</f>
        <v>#DIV/0!</v>
      </c>
      <c r="BC53" s="100" t="e">
        <f>$U$53</f>
        <v>#DIV/0!</v>
      </c>
      <c r="BD53" s="100" t="e">
        <f>$V$53</f>
        <v>#DIV/0!</v>
      </c>
      <c r="BE53" s="100" t="e">
        <f>$W$53</f>
        <v>#DIV/0!</v>
      </c>
      <c r="BF53" s="100" t="e">
        <f>$X$53</f>
        <v>#DIV/0!</v>
      </c>
      <c r="BG53" s="100" t="e">
        <f>$Y$53</f>
        <v>#DIV/0!</v>
      </c>
      <c r="BH53" s="100" t="e">
        <f>$Z$53</f>
        <v>#DIV/0!</v>
      </c>
      <c r="BI53" s="100" t="e">
        <f>$AA$53</f>
        <v>#DIV/0!</v>
      </c>
      <c r="BJ53" s="100" t="e">
        <f>$AB$53</f>
        <v>#DIV/0!</v>
      </c>
      <c r="BK53" s="100" t="e">
        <f>$AC$53</f>
        <v>#DIV/0!</v>
      </c>
      <c r="BL53" s="100" t="e">
        <f>$AD$53</f>
        <v>#DIV/0!</v>
      </c>
      <c r="BM53" s="100" t="e">
        <f>$AE$53</f>
        <v>#DIV/0!</v>
      </c>
      <c r="BN53" s="100" t="e">
        <f>$AF$53</f>
        <v>#DIV/0!</v>
      </c>
    </row>
    <row r="54" spans="1:66">
      <c r="A54" s="69" t="s">
        <v>143</v>
      </c>
      <c r="B54" t="s">
        <v>153</v>
      </c>
      <c r="C54" s="100"/>
      <c r="E54" s="100">
        <v>5.3571428571428568</v>
      </c>
      <c r="F54" t="e">
        <f t="shared" si="1"/>
        <v>#DIV/0!</v>
      </c>
      <c r="G54" t="e">
        <f t="shared" si="0"/>
        <v>#DIV/0!</v>
      </c>
      <c r="H54" t="e">
        <f t="shared" si="0"/>
        <v>#DIV/0!</v>
      </c>
      <c r="I54" t="e">
        <f t="shared" si="0"/>
        <v>#DIV/0!</v>
      </c>
      <c r="J54" t="e">
        <f t="shared" si="0"/>
        <v>#DIV/0!</v>
      </c>
      <c r="K54" t="e">
        <f t="shared" si="0"/>
        <v>#DIV/0!</v>
      </c>
      <c r="L54" t="e">
        <f t="shared" si="0"/>
        <v>#DIV/0!</v>
      </c>
      <c r="M54" t="e">
        <f t="shared" si="0"/>
        <v>#DIV/0!</v>
      </c>
      <c r="N54" t="e">
        <f t="shared" si="0"/>
        <v>#DIV/0!</v>
      </c>
      <c r="O54" t="e">
        <f t="shared" si="0"/>
        <v>#DIV/0!</v>
      </c>
      <c r="P54" t="e">
        <f t="shared" si="0"/>
        <v>#DIV/0!</v>
      </c>
      <c r="Q54" t="e">
        <f t="shared" si="0"/>
        <v>#DIV/0!</v>
      </c>
      <c r="R54" t="e">
        <f t="shared" si="0"/>
        <v>#DIV/0!</v>
      </c>
      <c r="S54" t="e">
        <f t="shared" si="0"/>
        <v>#DIV/0!</v>
      </c>
      <c r="T54" t="e">
        <f t="shared" si="0"/>
        <v>#DIV/0!</v>
      </c>
      <c r="U54" t="e">
        <f t="shared" si="0"/>
        <v>#DIV/0!</v>
      </c>
      <c r="V54" t="e">
        <f t="shared" si="0"/>
        <v>#DIV/0!</v>
      </c>
      <c r="W54" t="e">
        <f t="shared" si="0"/>
        <v>#DIV/0!</v>
      </c>
      <c r="X54" t="e">
        <f t="shared" si="0"/>
        <v>#DIV/0!</v>
      </c>
      <c r="Y54" t="e">
        <f t="shared" si="0"/>
        <v>#DIV/0!</v>
      </c>
      <c r="Z54" t="e">
        <f t="shared" si="0"/>
        <v>#DIV/0!</v>
      </c>
      <c r="AA54" t="e">
        <f t="shared" si="0"/>
        <v>#DIV/0!</v>
      </c>
      <c r="AB54" t="e">
        <f t="shared" si="0"/>
        <v>#DIV/0!</v>
      </c>
      <c r="AC54" t="e">
        <f t="shared" si="0"/>
        <v>#DIV/0!</v>
      </c>
      <c r="AD54" t="e">
        <f t="shared" si="0"/>
        <v>#DIV/0!</v>
      </c>
      <c r="AE54" t="e">
        <f t="shared" si="0"/>
        <v>#DIV/0!</v>
      </c>
      <c r="AF54" t="e">
        <f t="shared" si="0"/>
        <v>#DIV/0!</v>
      </c>
      <c r="AG54" s="82"/>
      <c r="AH54" s="244" t="s">
        <v>437</v>
      </c>
      <c r="AI54" s="245" t="s">
        <v>454</v>
      </c>
      <c r="AJ54" s="82"/>
      <c r="AK54" s="100">
        <f>$C$54</f>
        <v>0</v>
      </c>
      <c r="AL54" s="100">
        <f>$D$54</f>
        <v>0</v>
      </c>
      <c r="AM54" s="100">
        <f>$E$54</f>
        <v>5.3571428571428568</v>
      </c>
      <c r="AN54" s="100" t="e">
        <f>$F$54</f>
        <v>#DIV/0!</v>
      </c>
      <c r="AO54" s="100" t="e">
        <f>$G$54</f>
        <v>#DIV/0!</v>
      </c>
      <c r="AP54" s="100" t="e">
        <f>$H$54</f>
        <v>#DIV/0!</v>
      </c>
      <c r="AQ54" s="100" t="e">
        <f>$I$54</f>
        <v>#DIV/0!</v>
      </c>
      <c r="AR54" s="100" t="e">
        <f>$J$54</f>
        <v>#DIV/0!</v>
      </c>
      <c r="AS54" s="100" t="e">
        <f>$K$54</f>
        <v>#DIV/0!</v>
      </c>
      <c r="AT54" s="100" t="e">
        <f>$L$54</f>
        <v>#DIV/0!</v>
      </c>
      <c r="AU54" s="100" t="e">
        <f>$M$54</f>
        <v>#DIV/0!</v>
      </c>
      <c r="AV54" s="100" t="e">
        <f>$N$54</f>
        <v>#DIV/0!</v>
      </c>
      <c r="AW54" s="100" t="e">
        <f>$O$54</f>
        <v>#DIV/0!</v>
      </c>
      <c r="AX54" s="100" t="e">
        <f>$P$54</f>
        <v>#DIV/0!</v>
      </c>
      <c r="AY54" s="100" t="e">
        <f>$Q$54</f>
        <v>#DIV/0!</v>
      </c>
      <c r="AZ54" s="100" t="e">
        <f>$R$54</f>
        <v>#DIV/0!</v>
      </c>
      <c r="BA54" s="100" t="e">
        <f>$S$54</f>
        <v>#DIV/0!</v>
      </c>
      <c r="BB54" s="100" t="e">
        <f>$T$54</f>
        <v>#DIV/0!</v>
      </c>
      <c r="BC54" s="100" t="e">
        <f>$U$54</f>
        <v>#DIV/0!</v>
      </c>
      <c r="BD54" s="100" t="e">
        <f>$V$54</f>
        <v>#DIV/0!</v>
      </c>
      <c r="BE54" s="100" t="e">
        <f>$W$54</f>
        <v>#DIV/0!</v>
      </c>
      <c r="BF54" s="100" t="e">
        <f>$X$54</f>
        <v>#DIV/0!</v>
      </c>
      <c r="BG54" s="100" t="e">
        <f>$Y$54</f>
        <v>#DIV/0!</v>
      </c>
      <c r="BH54" s="100" t="e">
        <f>$Z$54</f>
        <v>#DIV/0!</v>
      </c>
      <c r="BI54" s="100" t="e">
        <f>$AA$54</f>
        <v>#DIV/0!</v>
      </c>
      <c r="BJ54" s="100" t="e">
        <f>$AB$54</f>
        <v>#DIV/0!</v>
      </c>
      <c r="BK54" s="100" t="e">
        <f>$AC$54</f>
        <v>#DIV/0!</v>
      </c>
      <c r="BL54" s="100" t="e">
        <f>$AD$54</f>
        <v>#DIV/0!</v>
      </c>
      <c r="BM54" s="100" t="e">
        <f>$AE$54</f>
        <v>#DIV/0!</v>
      </c>
      <c r="BN54" s="100" t="e">
        <f>$AF$54</f>
        <v>#DIV/0!</v>
      </c>
    </row>
    <row r="55" spans="1:66">
      <c r="A55" s="69" t="s">
        <v>165</v>
      </c>
      <c r="B55" s="71" t="s">
        <v>178</v>
      </c>
      <c r="C55" s="100"/>
      <c r="E55" s="100">
        <v>0</v>
      </c>
      <c r="F55" t="e">
        <f t="shared" si="1"/>
        <v>#DIV/0!</v>
      </c>
      <c r="G55" t="e">
        <f t="shared" si="0"/>
        <v>#DIV/0!</v>
      </c>
      <c r="H55" t="e">
        <f t="shared" si="0"/>
        <v>#DIV/0!</v>
      </c>
      <c r="I55" t="e">
        <f t="shared" si="0"/>
        <v>#DIV/0!</v>
      </c>
      <c r="J55" t="e">
        <f t="shared" si="0"/>
        <v>#DIV/0!</v>
      </c>
      <c r="K55" t="e">
        <f t="shared" si="0"/>
        <v>#DIV/0!</v>
      </c>
      <c r="L55" t="e">
        <f t="shared" si="0"/>
        <v>#DIV/0!</v>
      </c>
      <c r="M55" t="e">
        <f t="shared" si="0"/>
        <v>#DIV/0!</v>
      </c>
      <c r="N55" t="e">
        <f t="shared" si="0"/>
        <v>#DIV/0!</v>
      </c>
      <c r="O55" t="e">
        <f t="shared" si="0"/>
        <v>#DIV/0!</v>
      </c>
      <c r="P55" t="e">
        <f t="shared" si="0"/>
        <v>#DIV/0!</v>
      </c>
      <c r="Q55" t="e">
        <f t="shared" si="0"/>
        <v>#DIV/0!</v>
      </c>
      <c r="R55" t="e">
        <f t="shared" si="0"/>
        <v>#DIV/0!</v>
      </c>
      <c r="S55" t="e">
        <f t="shared" si="0"/>
        <v>#DIV/0!</v>
      </c>
      <c r="T55" t="e">
        <f t="shared" si="0"/>
        <v>#DIV/0!</v>
      </c>
      <c r="U55" t="e">
        <f t="shared" si="0"/>
        <v>#DIV/0!</v>
      </c>
      <c r="V55" t="e">
        <f t="shared" si="0"/>
        <v>#DIV/0!</v>
      </c>
      <c r="W55" t="e">
        <f t="shared" si="0"/>
        <v>#DIV/0!</v>
      </c>
      <c r="X55" t="e">
        <f t="shared" si="0"/>
        <v>#DIV/0!</v>
      </c>
      <c r="Y55" t="e">
        <f t="shared" si="0"/>
        <v>#DIV/0!</v>
      </c>
      <c r="Z55" t="e">
        <f t="shared" si="0"/>
        <v>#DIV/0!</v>
      </c>
      <c r="AA55" t="e">
        <f t="shared" si="0"/>
        <v>#DIV/0!</v>
      </c>
      <c r="AB55" t="e">
        <f t="shared" si="0"/>
        <v>#DIV/0!</v>
      </c>
      <c r="AC55" t="e">
        <f t="shared" si="0"/>
        <v>#DIV/0!</v>
      </c>
      <c r="AD55" t="e">
        <f t="shared" si="0"/>
        <v>#DIV/0!</v>
      </c>
      <c r="AE55" t="e">
        <f t="shared" si="0"/>
        <v>#DIV/0!</v>
      </c>
      <c r="AF55" t="e">
        <f t="shared" si="0"/>
        <v>#DIV/0!</v>
      </c>
      <c r="AG55" s="82"/>
      <c r="AH55" s="244" t="s">
        <v>438</v>
      </c>
      <c r="AI55" s="244" t="s">
        <v>455</v>
      </c>
      <c r="AJ55" s="82"/>
      <c r="AK55" s="100">
        <f>$C$55</f>
        <v>0</v>
      </c>
      <c r="AL55" s="100">
        <f>$D$55</f>
        <v>0</v>
      </c>
      <c r="AM55" s="100">
        <f>$E$55</f>
        <v>0</v>
      </c>
      <c r="AN55" s="100" t="e">
        <f>$F$55</f>
        <v>#DIV/0!</v>
      </c>
      <c r="AO55" s="100" t="e">
        <f>$G$55</f>
        <v>#DIV/0!</v>
      </c>
      <c r="AP55" s="100" t="e">
        <f>$H$55</f>
        <v>#DIV/0!</v>
      </c>
      <c r="AQ55" s="100" t="e">
        <f>$I$55</f>
        <v>#DIV/0!</v>
      </c>
      <c r="AR55" s="100" t="e">
        <f>$J$55</f>
        <v>#DIV/0!</v>
      </c>
      <c r="AS55" s="100" t="e">
        <f>$K$55</f>
        <v>#DIV/0!</v>
      </c>
      <c r="AT55" s="100" t="e">
        <f>$L$55</f>
        <v>#DIV/0!</v>
      </c>
      <c r="AU55" s="100" t="e">
        <f>$M$55</f>
        <v>#DIV/0!</v>
      </c>
      <c r="AV55" s="100" t="e">
        <f>$N$55</f>
        <v>#DIV/0!</v>
      </c>
      <c r="AW55" s="100" t="e">
        <f>$O$55</f>
        <v>#DIV/0!</v>
      </c>
      <c r="AX55" s="100" t="e">
        <f>$P$55</f>
        <v>#DIV/0!</v>
      </c>
      <c r="AY55" s="100" t="e">
        <f>$Q$55</f>
        <v>#DIV/0!</v>
      </c>
      <c r="AZ55" s="100" t="e">
        <f>$R$55</f>
        <v>#DIV/0!</v>
      </c>
      <c r="BA55" s="100" t="e">
        <f>$S$55</f>
        <v>#DIV/0!</v>
      </c>
      <c r="BB55" s="100" t="e">
        <f>$T$55</f>
        <v>#DIV/0!</v>
      </c>
      <c r="BC55" s="100" t="e">
        <f>$U$55</f>
        <v>#DIV/0!</v>
      </c>
      <c r="BD55" s="100" t="e">
        <f>$V$55</f>
        <v>#DIV/0!</v>
      </c>
      <c r="BE55" s="100" t="e">
        <f>$W$55</f>
        <v>#DIV/0!</v>
      </c>
      <c r="BF55" s="100" t="e">
        <f>$X$55</f>
        <v>#DIV/0!</v>
      </c>
      <c r="BG55" s="100" t="e">
        <f>$Y$55</f>
        <v>#DIV/0!</v>
      </c>
      <c r="BH55" s="100" t="e">
        <f>$Z$55</f>
        <v>#DIV/0!</v>
      </c>
      <c r="BI55" s="100" t="e">
        <f>$AA$55</f>
        <v>#DIV/0!</v>
      </c>
      <c r="BJ55" s="100" t="e">
        <f>$AB$55</f>
        <v>#DIV/0!</v>
      </c>
      <c r="BK55" s="100" t="e">
        <f>$AC$55</f>
        <v>#DIV/0!</v>
      </c>
      <c r="BL55" s="100" t="e">
        <f>$AD$55</f>
        <v>#DIV/0!</v>
      </c>
      <c r="BM55" s="100" t="e">
        <f>$AE$55</f>
        <v>#DIV/0!</v>
      </c>
      <c r="BN55" s="100" t="e">
        <f>$AF$55</f>
        <v>#DIV/0!</v>
      </c>
    </row>
    <row r="56" spans="1:66">
      <c r="A56" s="69" t="s">
        <v>154</v>
      </c>
      <c r="B56" s="71" t="s">
        <v>158</v>
      </c>
      <c r="C56" s="100">
        <v>6.5537957400327693</v>
      </c>
      <c r="D56" s="100">
        <v>5.9168131224370244</v>
      </c>
      <c r="E56" s="100">
        <v>6.5121412803532008</v>
      </c>
      <c r="F56" t="e">
        <f t="shared" si="1"/>
        <v>#DIV/0!</v>
      </c>
      <c r="G56" t="e">
        <f t="shared" si="0"/>
        <v>#DIV/0!</v>
      </c>
      <c r="H56" t="e">
        <f t="shared" si="0"/>
        <v>#DIV/0!</v>
      </c>
      <c r="I56" t="e">
        <f t="shared" si="0"/>
        <v>#DIV/0!</v>
      </c>
      <c r="J56" t="e">
        <f t="shared" si="0"/>
        <v>#DIV/0!</v>
      </c>
      <c r="K56" t="e">
        <f t="shared" si="0"/>
        <v>#DIV/0!</v>
      </c>
      <c r="L56" t="e">
        <f t="shared" si="0"/>
        <v>#DIV/0!</v>
      </c>
      <c r="M56" t="e">
        <f t="shared" si="0"/>
        <v>#DIV/0!</v>
      </c>
      <c r="N56" t="e">
        <f t="shared" si="0"/>
        <v>#DIV/0!</v>
      </c>
      <c r="O56" t="e">
        <f t="shared" si="0"/>
        <v>#DIV/0!</v>
      </c>
      <c r="P56" t="e">
        <f t="shared" si="0"/>
        <v>#DIV/0!</v>
      </c>
      <c r="Q56" t="e">
        <f t="shared" si="0"/>
        <v>#DIV/0!</v>
      </c>
      <c r="R56" t="e">
        <f t="shared" si="0"/>
        <v>#DIV/0!</v>
      </c>
      <c r="S56" t="e">
        <f t="shared" si="0"/>
        <v>#DIV/0!</v>
      </c>
      <c r="T56" t="e">
        <f t="shared" si="0"/>
        <v>#DIV/0!</v>
      </c>
      <c r="U56" t="e">
        <f t="shared" si="0"/>
        <v>#DIV/0!</v>
      </c>
      <c r="V56" t="e">
        <f t="shared" si="0"/>
        <v>#DIV/0!</v>
      </c>
      <c r="W56" t="e">
        <f t="shared" si="0"/>
        <v>#DIV/0!</v>
      </c>
      <c r="X56" t="e">
        <f t="shared" si="0"/>
        <v>#DIV/0!</v>
      </c>
      <c r="Y56" t="e">
        <f t="shared" si="0"/>
        <v>#DIV/0!</v>
      </c>
      <c r="Z56" t="e">
        <f t="shared" si="0"/>
        <v>#DIV/0!</v>
      </c>
      <c r="AA56" t="e">
        <f t="shared" si="0"/>
        <v>#DIV/0!</v>
      </c>
      <c r="AB56" t="e">
        <f t="shared" si="0"/>
        <v>#DIV/0!</v>
      </c>
      <c r="AC56" t="e">
        <f t="shared" si="0"/>
        <v>#DIV/0!</v>
      </c>
      <c r="AD56" t="e">
        <f t="shared" si="0"/>
        <v>#DIV/0!</v>
      </c>
      <c r="AE56" t="e">
        <f t="shared" si="0"/>
        <v>#DIV/0!</v>
      </c>
      <c r="AF56" t="e">
        <f t="shared" si="0"/>
        <v>#DIV/0!</v>
      </c>
      <c r="AG56" s="82"/>
      <c r="AH56" s="245" t="s">
        <v>439</v>
      </c>
      <c r="AI56" s="244" t="s">
        <v>456</v>
      </c>
      <c r="AJ56" s="82"/>
      <c r="AK56" s="100">
        <f>$C$56</f>
        <v>6.5537957400327693</v>
      </c>
      <c r="AL56" s="100">
        <f>$D$56</f>
        <v>5.9168131224370244</v>
      </c>
      <c r="AM56" s="100">
        <f>$E$56</f>
        <v>6.5121412803532008</v>
      </c>
      <c r="AN56" s="100" t="e">
        <f>$F$56</f>
        <v>#DIV/0!</v>
      </c>
      <c r="AO56" s="100" t="e">
        <f>$G$56</f>
        <v>#DIV/0!</v>
      </c>
      <c r="AP56" s="100" t="e">
        <f>$H$56</f>
        <v>#DIV/0!</v>
      </c>
      <c r="AQ56" s="100" t="e">
        <f>$I$56</f>
        <v>#DIV/0!</v>
      </c>
      <c r="AR56" s="100" t="e">
        <f>$J$56</f>
        <v>#DIV/0!</v>
      </c>
      <c r="AS56" s="100" t="e">
        <f>$K$56</f>
        <v>#DIV/0!</v>
      </c>
      <c r="AT56" s="100" t="e">
        <f>$L$56</f>
        <v>#DIV/0!</v>
      </c>
      <c r="AU56" s="100" t="e">
        <f>$M$56</f>
        <v>#DIV/0!</v>
      </c>
      <c r="AV56" s="100" t="e">
        <f>$N$56</f>
        <v>#DIV/0!</v>
      </c>
      <c r="AW56" s="100" t="e">
        <f>$O$56</f>
        <v>#DIV/0!</v>
      </c>
      <c r="AX56" s="100" t="e">
        <f>$P$56</f>
        <v>#DIV/0!</v>
      </c>
      <c r="AY56" s="100" t="e">
        <f>$Q$56</f>
        <v>#DIV/0!</v>
      </c>
      <c r="AZ56" s="100" t="e">
        <f>$R$56</f>
        <v>#DIV/0!</v>
      </c>
      <c r="BA56" s="100" t="e">
        <f>$S$56</f>
        <v>#DIV/0!</v>
      </c>
      <c r="BB56" s="100" t="e">
        <f>$T$56</f>
        <v>#DIV/0!</v>
      </c>
      <c r="BC56" s="100" t="e">
        <f>$U$56</f>
        <v>#DIV/0!</v>
      </c>
      <c r="BD56" s="100" t="e">
        <f>$V$56</f>
        <v>#DIV/0!</v>
      </c>
      <c r="BE56" s="100" t="e">
        <f>$W$56</f>
        <v>#DIV/0!</v>
      </c>
      <c r="BF56" s="100" t="e">
        <f>$X$56</f>
        <v>#DIV/0!</v>
      </c>
      <c r="BG56" s="100" t="e">
        <f>$Y$56</f>
        <v>#DIV/0!</v>
      </c>
      <c r="BH56" s="100" t="e">
        <f>$Z$56</f>
        <v>#DIV/0!</v>
      </c>
      <c r="BI56" s="100" t="e">
        <f>$AA$56</f>
        <v>#DIV/0!</v>
      </c>
      <c r="BJ56" s="100" t="e">
        <f>$AB$56</f>
        <v>#DIV/0!</v>
      </c>
      <c r="BK56" s="100" t="e">
        <f>$AC$56</f>
        <v>#DIV/0!</v>
      </c>
      <c r="BL56" s="100" t="e">
        <f>$AD$56</f>
        <v>#DIV/0!</v>
      </c>
      <c r="BM56" s="100" t="e">
        <f>$AE$56</f>
        <v>#DIV/0!</v>
      </c>
      <c r="BN56" s="100" t="e">
        <f>$AF$56</f>
        <v>#DIV/0!</v>
      </c>
    </row>
    <row r="57" spans="1:66">
      <c r="A57" s="69" t="s">
        <v>167</v>
      </c>
      <c r="B57" s="71" t="s">
        <v>178</v>
      </c>
      <c r="C57" s="100">
        <v>5.6603773584905666</v>
      </c>
      <c r="D57" s="100">
        <v>0</v>
      </c>
      <c r="E57" s="100">
        <v>2.7027027027027026</v>
      </c>
      <c r="F57" t="e">
        <f t="shared" si="1"/>
        <v>#DIV/0!</v>
      </c>
      <c r="G57" t="e">
        <f t="shared" si="0"/>
        <v>#DIV/0!</v>
      </c>
      <c r="H57" t="e">
        <f t="shared" si="0"/>
        <v>#DIV/0!</v>
      </c>
      <c r="I57" t="e">
        <f t="shared" si="0"/>
        <v>#DIV/0!</v>
      </c>
      <c r="J57" t="e">
        <f t="shared" si="0"/>
        <v>#DIV/0!</v>
      </c>
      <c r="K57" t="e">
        <f t="shared" si="0"/>
        <v>#DIV/0!</v>
      </c>
      <c r="L57" t="e">
        <f t="shared" si="0"/>
        <v>#DIV/0!</v>
      </c>
      <c r="M57" t="e">
        <f t="shared" si="0"/>
        <v>#DIV/0!</v>
      </c>
      <c r="N57" t="e">
        <f t="shared" si="0"/>
        <v>#DIV/0!</v>
      </c>
      <c r="O57" t="e">
        <f t="shared" si="0"/>
        <v>#DIV/0!</v>
      </c>
      <c r="P57" t="e">
        <f t="shared" si="0"/>
        <v>#DIV/0!</v>
      </c>
      <c r="Q57" t="e">
        <f t="shared" ref="G57:AF67" si="2">1/0</f>
        <v>#DIV/0!</v>
      </c>
      <c r="R57" t="e">
        <f t="shared" si="2"/>
        <v>#DIV/0!</v>
      </c>
      <c r="S57" t="e">
        <f t="shared" si="2"/>
        <v>#DIV/0!</v>
      </c>
      <c r="T57" t="e">
        <f t="shared" si="2"/>
        <v>#DIV/0!</v>
      </c>
      <c r="U57" t="e">
        <f t="shared" si="2"/>
        <v>#DIV/0!</v>
      </c>
      <c r="V57" t="e">
        <f t="shared" si="2"/>
        <v>#DIV/0!</v>
      </c>
      <c r="W57" t="e">
        <f t="shared" si="2"/>
        <v>#DIV/0!</v>
      </c>
      <c r="X57" t="e">
        <f t="shared" si="2"/>
        <v>#DIV/0!</v>
      </c>
      <c r="Y57" t="e">
        <f t="shared" si="2"/>
        <v>#DIV/0!</v>
      </c>
      <c r="Z57" t="e">
        <f t="shared" si="2"/>
        <v>#DIV/0!</v>
      </c>
      <c r="AA57" t="e">
        <f t="shared" si="2"/>
        <v>#DIV/0!</v>
      </c>
      <c r="AB57" t="e">
        <f t="shared" si="2"/>
        <v>#DIV/0!</v>
      </c>
      <c r="AC57" t="e">
        <f t="shared" si="2"/>
        <v>#DIV/0!</v>
      </c>
      <c r="AD57" t="e">
        <f t="shared" si="2"/>
        <v>#DIV/0!</v>
      </c>
      <c r="AE57" t="e">
        <f t="shared" si="2"/>
        <v>#DIV/0!</v>
      </c>
      <c r="AF57" t="e">
        <f t="shared" si="2"/>
        <v>#DIV/0!</v>
      </c>
      <c r="AG57" s="82"/>
      <c r="AH57" s="244" t="s">
        <v>440</v>
      </c>
      <c r="AI57" s="244" t="s">
        <v>457</v>
      </c>
      <c r="AJ57" s="82"/>
      <c r="AK57" s="100">
        <f>$C$57</f>
        <v>5.6603773584905666</v>
      </c>
      <c r="AL57" s="100">
        <f>$D$57</f>
        <v>0</v>
      </c>
      <c r="AM57" s="100">
        <f>$E$57</f>
        <v>2.7027027027027026</v>
      </c>
      <c r="AN57" s="100" t="e">
        <f>$F$57</f>
        <v>#DIV/0!</v>
      </c>
      <c r="AO57" s="100" t="e">
        <f>$G$57</f>
        <v>#DIV/0!</v>
      </c>
      <c r="AP57" s="100" t="e">
        <f>$H$57</f>
        <v>#DIV/0!</v>
      </c>
      <c r="AQ57" s="100" t="e">
        <f>$I$57</f>
        <v>#DIV/0!</v>
      </c>
      <c r="AR57" s="100" t="e">
        <f>$J$57</f>
        <v>#DIV/0!</v>
      </c>
      <c r="AS57" s="100" t="e">
        <f>$K$57</f>
        <v>#DIV/0!</v>
      </c>
      <c r="AT57" s="100" t="e">
        <f>$L$57</f>
        <v>#DIV/0!</v>
      </c>
      <c r="AU57" s="100" t="e">
        <f>$M$57</f>
        <v>#DIV/0!</v>
      </c>
      <c r="AV57" s="100" t="e">
        <f>$N$57</f>
        <v>#DIV/0!</v>
      </c>
      <c r="AW57" s="100" t="e">
        <f>$O$57</f>
        <v>#DIV/0!</v>
      </c>
      <c r="AX57" s="100" t="e">
        <f>$P$57</f>
        <v>#DIV/0!</v>
      </c>
      <c r="AY57" s="100" t="e">
        <f>$Q$57</f>
        <v>#DIV/0!</v>
      </c>
      <c r="AZ57" s="100" t="e">
        <f>$R$57</f>
        <v>#DIV/0!</v>
      </c>
      <c r="BA57" s="100" t="e">
        <f>$S$57</f>
        <v>#DIV/0!</v>
      </c>
      <c r="BB57" s="100" t="e">
        <f>$T$57</f>
        <v>#DIV/0!</v>
      </c>
      <c r="BC57" s="100" t="e">
        <f>$U$57</f>
        <v>#DIV/0!</v>
      </c>
      <c r="BD57" s="100" t="e">
        <f>$V$57</f>
        <v>#DIV/0!</v>
      </c>
      <c r="BE57" s="100" t="e">
        <f>$W$57</f>
        <v>#DIV/0!</v>
      </c>
      <c r="BF57" s="100" t="e">
        <f>$X$57</f>
        <v>#DIV/0!</v>
      </c>
      <c r="BG57" s="100" t="e">
        <f>$Y$57</f>
        <v>#DIV/0!</v>
      </c>
      <c r="BH57" s="100" t="e">
        <f>$Z$57</f>
        <v>#DIV/0!</v>
      </c>
      <c r="BI57" s="100" t="e">
        <f>$AA$57</f>
        <v>#DIV/0!</v>
      </c>
      <c r="BJ57" s="100" t="e">
        <f>$AB$57</f>
        <v>#DIV/0!</v>
      </c>
      <c r="BK57" s="100" t="e">
        <f>$AC$57</f>
        <v>#DIV/0!</v>
      </c>
      <c r="BL57" s="100" t="e">
        <f>$AD$57</f>
        <v>#DIV/0!</v>
      </c>
      <c r="BM57" s="100" t="e">
        <f>$AE$57</f>
        <v>#DIV/0!</v>
      </c>
      <c r="BN57" s="100" t="e">
        <f>$AF$57</f>
        <v>#DIV/0!</v>
      </c>
    </row>
    <row r="58" spans="1:66">
      <c r="A58" s="69" t="s">
        <v>181</v>
      </c>
      <c r="B58" s="71" t="s">
        <v>188</v>
      </c>
      <c r="C58" s="100"/>
      <c r="E58" s="100">
        <v>2.7397260273972601</v>
      </c>
      <c r="F58" t="e">
        <f t="shared" si="1"/>
        <v>#DIV/0!</v>
      </c>
      <c r="G58" t="e">
        <f t="shared" si="2"/>
        <v>#DIV/0!</v>
      </c>
      <c r="H58" t="e">
        <f t="shared" si="2"/>
        <v>#DIV/0!</v>
      </c>
      <c r="I58" t="e">
        <f t="shared" si="2"/>
        <v>#DIV/0!</v>
      </c>
      <c r="J58" t="e">
        <f t="shared" si="2"/>
        <v>#DIV/0!</v>
      </c>
      <c r="K58" t="e">
        <f t="shared" si="2"/>
        <v>#DIV/0!</v>
      </c>
      <c r="L58" t="e">
        <f t="shared" si="2"/>
        <v>#DIV/0!</v>
      </c>
      <c r="M58" t="e">
        <f t="shared" si="2"/>
        <v>#DIV/0!</v>
      </c>
      <c r="N58" t="e">
        <f t="shared" si="2"/>
        <v>#DIV/0!</v>
      </c>
      <c r="O58" t="e">
        <f t="shared" si="2"/>
        <v>#DIV/0!</v>
      </c>
      <c r="P58" t="e">
        <f t="shared" si="2"/>
        <v>#DIV/0!</v>
      </c>
      <c r="Q58" t="e">
        <f t="shared" si="2"/>
        <v>#DIV/0!</v>
      </c>
      <c r="R58" t="e">
        <f t="shared" si="2"/>
        <v>#DIV/0!</v>
      </c>
      <c r="S58" t="e">
        <f t="shared" si="2"/>
        <v>#DIV/0!</v>
      </c>
      <c r="T58" t="e">
        <f t="shared" si="2"/>
        <v>#DIV/0!</v>
      </c>
      <c r="U58" t="e">
        <f t="shared" si="2"/>
        <v>#DIV/0!</v>
      </c>
      <c r="V58" t="e">
        <f t="shared" si="2"/>
        <v>#DIV/0!</v>
      </c>
      <c r="W58" t="e">
        <f t="shared" si="2"/>
        <v>#DIV/0!</v>
      </c>
      <c r="X58" t="e">
        <f t="shared" si="2"/>
        <v>#DIV/0!</v>
      </c>
      <c r="Y58" t="e">
        <f t="shared" si="2"/>
        <v>#DIV/0!</v>
      </c>
      <c r="Z58" t="e">
        <f t="shared" si="2"/>
        <v>#DIV/0!</v>
      </c>
      <c r="AA58" t="e">
        <f t="shared" si="2"/>
        <v>#DIV/0!</v>
      </c>
      <c r="AB58" t="e">
        <f t="shared" si="2"/>
        <v>#DIV/0!</v>
      </c>
      <c r="AC58" t="e">
        <f t="shared" si="2"/>
        <v>#DIV/0!</v>
      </c>
      <c r="AD58" t="e">
        <f t="shared" si="2"/>
        <v>#DIV/0!</v>
      </c>
      <c r="AE58" t="e">
        <f t="shared" si="2"/>
        <v>#DIV/0!</v>
      </c>
      <c r="AF58" t="e">
        <f t="shared" si="2"/>
        <v>#DIV/0!</v>
      </c>
      <c r="AG58" s="82"/>
      <c r="AH58" s="244" t="s">
        <v>441</v>
      </c>
      <c r="AI58" s="244" t="s">
        <v>458</v>
      </c>
      <c r="AJ58" s="96"/>
      <c r="AK58" s="100">
        <f>$C$58</f>
        <v>0</v>
      </c>
      <c r="AL58" s="100">
        <f>$D$58</f>
        <v>0</v>
      </c>
      <c r="AM58" s="100">
        <f>$E$58</f>
        <v>2.7397260273972601</v>
      </c>
      <c r="AN58" s="100" t="e">
        <f>$F$58</f>
        <v>#DIV/0!</v>
      </c>
      <c r="AO58" s="100" t="e">
        <f>$G$58</f>
        <v>#DIV/0!</v>
      </c>
      <c r="AP58" s="100" t="e">
        <f>$H$58</f>
        <v>#DIV/0!</v>
      </c>
      <c r="AQ58" s="100" t="e">
        <f>$I$58</f>
        <v>#DIV/0!</v>
      </c>
      <c r="AR58" s="100" t="e">
        <f>$J$58</f>
        <v>#DIV/0!</v>
      </c>
      <c r="AS58" s="100" t="e">
        <f>$K$58</f>
        <v>#DIV/0!</v>
      </c>
      <c r="AT58" s="100" t="e">
        <f>$L$58</f>
        <v>#DIV/0!</v>
      </c>
      <c r="AU58" s="100" t="e">
        <f>$M$58</f>
        <v>#DIV/0!</v>
      </c>
      <c r="AV58" s="100" t="e">
        <f>$N$58</f>
        <v>#DIV/0!</v>
      </c>
      <c r="AW58" s="100" t="e">
        <f>$O$58</f>
        <v>#DIV/0!</v>
      </c>
      <c r="AX58" s="100" t="e">
        <f>$P$58</f>
        <v>#DIV/0!</v>
      </c>
      <c r="AY58" s="100" t="e">
        <f>$Q$58</f>
        <v>#DIV/0!</v>
      </c>
      <c r="AZ58" s="100" t="e">
        <f>$R$58</f>
        <v>#DIV/0!</v>
      </c>
      <c r="BA58" s="100" t="e">
        <f>$S$58</f>
        <v>#DIV/0!</v>
      </c>
      <c r="BB58" s="100" t="e">
        <f>$T$58</f>
        <v>#DIV/0!</v>
      </c>
      <c r="BC58" s="100" t="e">
        <f>$U$58</f>
        <v>#DIV/0!</v>
      </c>
      <c r="BD58" s="100" t="e">
        <f>$V$58</f>
        <v>#DIV/0!</v>
      </c>
      <c r="BE58" s="100" t="e">
        <f>$W$58</f>
        <v>#DIV/0!</v>
      </c>
      <c r="BF58" s="100" t="e">
        <f>$X$58</f>
        <v>#DIV/0!</v>
      </c>
      <c r="BG58" s="100" t="e">
        <f>$Y$58</f>
        <v>#DIV/0!</v>
      </c>
      <c r="BH58" s="100" t="e">
        <f>$Z$58</f>
        <v>#DIV/0!</v>
      </c>
      <c r="BI58" s="100" t="e">
        <f>$AA$58</f>
        <v>#DIV/0!</v>
      </c>
      <c r="BJ58" s="100" t="e">
        <f>$AB$58</f>
        <v>#DIV/0!</v>
      </c>
      <c r="BK58" s="100" t="e">
        <f>$AC$58</f>
        <v>#DIV/0!</v>
      </c>
      <c r="BL58" s="100" t="e">
        <f>$AD$58</f>
        <v>#DIV/0!</v>
      </c>
      <c r="BM58" s="100" t="e">
        <f>$AE$58</f>
        <v>#DIV/0!</v>
      </c>
      <c r="BN58" s="100" t="e">
        <f>$AF$58</f>
        <v>#DIV/0!</v>
      </c>
    </row>
    <row r="59" spans="1:66">
      <c r="A59" s="69" t="s">
        <v>168</v>
      </c>
      <c r="B59" s="71" t="s">
        <v>178</v>
      </c>
      <c r="C59" s="100"/>
      <c r="E59" s="100">
        <v>6.666666666666667</v>
      </c>
      <c r="F59" t="e">
        <f t="shared" si="1"/>
        <v>#DIV/0!</v>
      </c>
      <c r="G59" t="e">
        <f t="shared" si="2"/>
        <v>#DIV/0!</v>
      </c>
      <c r="H59" t="e">
        <f t="shared" si="2"/>
        <v>#DIV/0!</v>
      </c>
      <c r="I59" t="e">
        <f t="shared" si="2"/>
        <v>#DIV/0!</v>
      </c>
      <c r="J59" t="e">
        <f t="shared" si="2"/>
        <v>#DIV/0!</v>
      </c>
      <c r="K59" t="e">
        <f t="shared" si="2"/>
        <v>#DIV/0!</v>
      </c>
      <c r="L59" t="e">
        <f t="shared" si="2"/>
        <v>#DIV/0!</v>
      </c>
      <c r="M59" t="e">
        <f t="shared" si="2"/>
        <v>#DIV/0!</v>
      </c>
      <c r="N59" t="e">
        <f t="shared" si="2"/>
        <v>#DIV/0!</v>
      </c>
      <c r="O59" t="e">
        <f t="shared" si="2"/>
        <v>#DIV/0!</v>
      </c>
      <c r="P59" t="e">
        <f t="shared" si="2"/>
        <v>#DIV/0!</v>
      </c>
      <c r="Q59" t="e">
        <f t="shared" si="2"/>
        <v>#DIV/0!</v>
      </c>
      <c r="R59" t="e">
        <f t="shared" si="2"/>
        <v>#DIV/0!</v>
      </c>
      <c r="S59" t="e">
        <f t="shared" si="2"/>
        <v>#DIV/0!</v>
      </c>
      <c r="T59" t="e">
        <f t="shared" si="2"/>
        <v>#DIV/0!</v>
      </c>
      <c r="U59" t="e">
        <f t="shared" si="2"/>
        <v>#DIV/0!</v>
      </c>
      <c r="V59" t="e">
        <f t="shared" si="2"/>
        <v>#DIV/0!</v>
      </c>
      <c r="W59" t="e">
        <f t="shared" si="2"/>
        <v>#DIV/0!</v>
      </c>
      <c r="X59" t="e">
        <f t="shared" si="2"/>
        <v>#DIV/0!</v>
      </c>
      <c r="Y59" t="e">
        <f t="shared" si="2"/>
        <v>#DIV/0!</v>
      </c>
      <c r="Z59" t="e">
        <f t="shared" si="2"/>
        <v>#DIV/0!</v>
      </c>
      <c r="AA59" t="e">
        <f t="shared" si="2"/>
        <v>#DIV/0!</v>
      </c>
      <c r="AB59" t="e">
        <f t="shared" si="2"/>
        <v>#DIV/0!</v>
      </c>
      <c r="AC59" t="e">
        <f t="shared" si="2"/>
        <v>#DIV/0!</v>
      </c>
      <c r="AD59" t="e">
        <f t="shared" si="2"/>
        <v>#DIV/0!</v>
      </c>
      <c r="AE59" t="e">
        <f t="shared" si="2"/>
        <v>#DIV/0!</v>
      </c>
      <c r="AF59" t="e">
        <f t="shared" si="2"/>
        <v>#DIV/0!</v>
      </c>
      <c r="AG59" s="82"/>
      <c r="AH59" s="244" t="s">
        <v>442</v>
      </c>
      <c r="AI59" s="244" t="s">
        <v>459</v>
      </c>
      <c r="AJ59" s="96"/>
      <c r="AK59" s="100">
        <f>$C$59</f>
        <v>0</v>
      </c>
      <c r="AL59" s="100">
        <f>$D$59</f>
        <v>0</v>
      </c>
      <c r="AM59" s="100">
        <f>$E$59</f>
        <v>6.666666666666667</v>
      </c>
      <c r="AN59" s="100" t="e">
        <f>$F$59</f>
        <v>#DIV/0!</v>
      </c>
      <c r="AO59" s="100" t="e">
        <f>$G$59</f>
        <v>#DIV/0!</v>
      </c>
      <c r="AP59" s="100" t="e">
        <f>$H$59</f>
        <v>#DIV/0!</v>
      </c>
      <c r="AQ59" s="100" t="e">
        <f>$I$59</f>
        <v>#DIV/0!</v>
      </c>
      <c r="AR59" s="100" t="e">
        <f>$J$59</f>
        <v>#DIV/0!</v>
      </c>
      <c r="AS59" s="100" t="e">
        <f>$K$59</f>
        <v>#DIV/0!</v>
      </c>
      <c r="AT59" s="100" t="e">
        <f>$L$59</f>
        <v>#DIV/0!</v>
      </c>
      <c r="AU59" s="100" t="e">
        <f>$M$59</f>
        <v>#DIV/0!</v>
      </c>
      <c r="AV59" s="100" t="e">
        <f>$N$59</f>
        <v>#DIV/0!</v>
      </c>
      <c r="AW59" s="100" t="e">
        <f>$O$59</f>
        <v>#DIV/0!</v>
      </c>
      <c r="AX59" s="100" t="e">
        <f>$P$59</f>
        <v>#DIV/0!</v>
      </c>
      <c r="AY59" s="100" t="e">
        <f>$Q$59</f>
        <v>#DIV/0!</v>
      </c>
      <c r="AZ59" s="100" t="e">
        <f>$R$59</f>
        <v>#DIV/0!</v>
      </c>
      <c r="BA59" s="100" t="e">
        <f>$S$59</f>
        <v>#DIV/0!</v>
      </c>
      <c r="BB59" s="100" t="e">
        <f>$T$59</f>
        <v>#DIV/0!</v>
      </c>
      <c r="BC59" s="100" t="e">
        <f>$U$59</f>
        <v>#DIV/0!</v>
      </c>
      <c r="BD59" s="100" t="e">
        <f>$V$59</f>
        <v>#DIV/0!</v>
      </c>
      <c r="BE59" s="100" t="e">
        <f>$W$59</f>
        <v>#DIV/0!</v>
      </c>
      <c r="BF59" s="100" t="e">
        <f>$X$59</f>
        <v>#DIV/0!</v>
      </c>
      <c r="BG59" s="100" t="e">
        <f>$Y$59</f>
        <v>#DIV/0!</v>
      </c>
      <c r="BH59" s="100" t="e">
        <f>$Z$59</f>
        <v>#DIV/0!</v>
      </c>
      <c r="BI59" s="100" t="e">
        <f>$AA$59</f>
        <v>#DIV/0!</v>
      </c>
      <c r="BJ59" s="100" t="e">
        <f>$AB$59</f>
        <v>#DIV/0!</v>
      </c>
      <c r="BK59" s="100" t="e">
        <f>$AC$59</f>
        <v>#DIV/0!</v>
      </c>
      <c r="BL59" s="100" t="e">
        <f>$AD$59</f>
        <v>#DIV/0!</v>
      </c>
      <c r="BM59" s="100" t="e">
        <f>$AE$59</f>
        <v>#DIV/0!</v>
      </c>
      <c r="BN59" s="100" t="e">
        <f>$AF$59</f>
        <v>#DIV/0!</v>
      </c>
    </row>
    <row r="60" spans="1:66">
      <c r="A60" s="69" t="s">
        <v>169</v>
      </c>
      <c r="B60" s="71" t="s">
        <v>178</v>
      </c>
      <c r="C60" s="100"/>
      <c r="E60" s="100">
        <v>7.6923076923076925</v>
      </c>
      <c r="F60" t="e">
        <f t="shared" si="1"/>
        <v>#DIV/0!</v>
      </c>
      <c r="G60" t="e">
        <f t="shared" si="2"/>
        <v>#DIV/0!</v>
      </c>
      <c r="H60" t="e">
        <f t="shared" si="2"/>
        <v>#DIV/0!</v>
      </c>
      <c r="I60" t="e">
        <f t="shared" si="2"/>
        <v>#DIV/0!</v>
      </c>
      <c r="J60" t="e">
        <f t="shared" si="2"/>
        <v>#DIV/0!</v>
      </c>
      <c r="K60" t="e">
        <f t="shared" si="2"/>
        <v>#DIV/0!</v>
      </c>
      <c r="L60" t="e">
        <f t="shared" si="2"/>
        <v>#DIV/0!</v>
      </c>
      <c r="M60" t="e">
        <f t="shared" si="2"/>
        <v>#DIV/0!</v>
      </c>
      <c r="N60" t="e">
        <f t="shared" si="2"/>
        <v>#DIV/0!</v>
      </c>
      <c r="O60" t="e">
        <f t="shared" si="2"/>
        <v>#DIV/0!</v>
      </c>
      <c r="P60" t="e">
        <f t="shared" si="2"/>
        <v>#DIV/0!</v>
      </c>
      <c r="Q60" t="e">
        <f t="shared" si="2"/>
        <v>#DIV/0!</v>
      </c>
      <c r="R60" t="e">
        <f t="shared" si="2"/>
        <v>#DIV/0!</v>
      </c>
      <c r="S60" t="e">
        <f t="shared" si="2"/>
        <v>#DIV/0!</v>
      </c>
      <c r="T60" t="e">
        <f t="shared" si="2"/>
        <v>#DIV/0!</v>
      </c>
      <c r="U60" t="e">
        <f t="shared" si="2"/>
        <v>#DIV/0!</v>
      </c>
      <c r="V60" t="e">
        <f t="shared" si="2"/>
        <v>#DIV/0!</v>
      </c>
      <c r="W60" t="e">
        <f t="shared" si="2"/>
        <v>#DIV/0!</v>
      </c>
      <c r="X60" t="e">
        <f t="shared" si="2"/>
        <v>#DIV/0!</v>
      </c>
      <c r="Y60" t="e">
        <f t="shared" si="2"/>
        <v>#DIV/0!</v>
      </c>
      <c r="Z60" t="e">
        <f t="shared" si="2"/>
        <v>#DIV/0!</v>
      </c>
      <c r="AA60" t="e">
        <f t="shared" si="2"/>
        <v>#DIV/0!</v>
      </c>
      <c r="AB60" t="e">
        <f t="shared" si="2"/>
        <v>#DIV/0!</v>
      </c>
      <c r="AC60" t="e">
        <f t="shared" si="2"/>
        <v>#DIV/0!</v>
      </c>
      <c r="AD60" t="e">
        <f t="shared" si="2"/>
        <v>#DIV/0!</v>
      </c>
      <c r="AE60" t="e">
        <f t="shared" si="2"/>
        <v>#DIV/0!</v>
      </c>
      <c r="AF60" t="e">
        <f t="shared" si="2"/>
        <v>#DIV/0!</v>
      </c>
      <c r="AG60" s="82"/>
      <c r="AH60" s="244" t="s">
        <v>443</v>
      </c>
      <c r="AI60" s="244" t="s">
        <v>460</v>
      </c>
      <c r="AJ60" s="96"/>
      <c r="AK60" s="100">
        <f>$C$60</f>
        <v>0</v>
      </c>
      <c r="AL60" s="100">
        <f>$D$60</f>
        <v>0</v>
      </c>
      <c r="AM60" s="100">
        <f>$E$60</f>
        <v>7.6923076923076925</v>
      </c>
      <c r="AN60" s="100" t="e">
        <f>$F$60</f>
        <v>#DIV/0!</v>
      </c>
      <c r="AO60" s="100" t="e">
        <f>$G$60</f>
        <v>#DIV/0!</v>
      </c>
      <c r="AP60" s="100" t="e">
        <f>$H$60</f>
        <v>#DIV/0!</v>
      </c>
      <c r="AQ60" s="100" t="e">
        <f>$I$60</f>
        <v>#DIV/0!</v>
      </c>
      <c r="AR60" s="100" t="e">
        <f>$J$60</f>
        <v>#DIV/0!</v>
      </c>
      <c r="AS60" s="100" t="e">
        <f>$K$60</f>
        <v>#DIV/0!</v>
      </c>
      <c r="AT60" s="100" t="e">
        <f>$L$60</f>
        <v>#DIV/0!</v>
      </c>
      <c r="AU60" s="100" t="e">
        <f>$M$60</f>
        <v>#DIV/0!</v>
      </c>
      <c r="AV60" s="100" t="e">
        <f>$N$60</f>
        <v>#DIV/0!</v>
      </c>
      <c r="AW60" s="100" t="e">
        <f>$O$60</f>
        <v>#DIV/0!</v>
      </c>
      <c r="AX60" s="100" t="e">
        <f>$P$60</f>
        <v>#DIV/0!</v>
      </c>
      <c r="AY60" s="100" t="e">
        <f>$Q$60</f>
        <v>#DIV/0!</v>
      </c>
      <c r="AZ60" s="100" t="e">
        <f>$R$60</f>
        <v>#DIV/0!</v>
      </c>
      <c r="BA60" s="100" t="e">
        <f>$S$60</f>
        <v>#DIV/0!</v>
      </c>
      <c r="BB60" s="100" t="e">
        <f>$T$60</f>
        <v>#DIV/0!</v>
      </c>
      <c r="BC60" s="100" t="e">
        <f>$U$60</f>
        <v>#DIV/0!</v>
      </c>
      <c r="BD60" s="100" t="e">
        <f>$V$60</f>
        <v>#DIV/0!</v>
      </c>
      <c r="BE60" s="100" t="e">
        <f>$W$60</f>
        <v>#DIV/0!</v>
      </c>
      <c r="BF60" s="100" t="e">
        <f>$X$60</f>
        <v>#DIV/0!</v>
      </c>
      <c r="BG60" s="100" t="e">
        <f>$Y$60</f>
        <v>#DIV/0!</v>
      </c>
      <c r="BH60" s="100" t="e">
        <f>$Z$60</f>
        <v>#DIV/0!</v>
      </c>
      <c r="BI60" s="100" t="e">
        <f>$AA$60</f>
        <v>#DIV/0!</v>
      </c>
      <c r="BJ60" s="100" t="e">
        <f>$AB$60</f>
        <v>#DIV/0!</v>
      </c>
      <c r="BK60" s="100" t="e">
        <f>$AC$60</f>
        <v>#DIV/0!</v>
      </c>
      <c r="BL60" s="100" t="e">
        <f>$AD$60</f>
        <v>#DIV/0!</v>
      </c>
      <c r="BM60" s="100" t="e">
        <f>$AE$60</f>
        <v>#DIV/0!</v>
      </c>
      <c r="BN60" s="100" t="e">
        <f>$AF$60</f>
        <v>#DIV/0!</v>
      </c>
    </row>
    <row r="61" spans="1:66">
      <c r="A61" s="69" t="s">
        <v>160</v>
      </c>
      <c r="B61" s="71" t="s">
        <v>162</v>
      </c>
      <c r="C61" s="100">
        <v>5.8823529411764701</v>
      </c>
      <c r="D61" s="100">
        <v>6.0150375939849621</v>
      </c>
      <c r="E61" s="100">
        <v>5.8419243986254292</v>
      </c>
      <c r="F61" t="e">
        <f t="shared" si="1"/>
        <v>#DIV/0!</v>
      </c>
      <c r="G61" t="e">
        <f t="shared" si="2"/>
        <v>#DIV/0!</v>
      </c>
      <c r="H61" t="e">
        <f t="shared" si="2"/>
        <v>#DIV/0!</v>
      </c>
      <c r="I61" t="e">
        <f t="shared" si="2"/>
        <v>#DIV/0!</v>
      </c>
      <c r="J61" t="e">
        <f t="shared" si="2"/>
        <v>#DIV/0!</v>
      </c>
      <c r="K61" t="e">
        <f t="shared" si="2"/>
        <v>#DIV/0!</v>
      </c>
      <c r="L61" t="e">
        <f t="shared" si="2"/>
        <v>#DIV/0!</v>
      </c>
      <c r="M61" t="e">
        <f t="shared" si="2"/>
        <v>#DIV/0!</v>
      </c>
      <c r="N61" t="e">
        <f t="shared" si="2"/>
        <v>#DIV/0!</v>
      </c>
      <c r="O61" t="e">
        <f t="shared" si="2"/>
        <v>#DIV/0!</v>
      </c>
      <c r="P61" t="e">
        <f t="shared" si="2"/>
        <v>#DIV/0!</v>
      </c>
      <c r="Q61" t="e">
        <f t="shared" si="2"/>
        <v>#DIV/0!</v>
      </c>
      <c r="R61" t="e">
        <f t="shared" si="2"/>
        <v>#DIV/0!</v>
      </c>
      <c r="S61" t="e">
        <f t="shared" si="2"/>
        <v>#DIV/0!</v>
      </c>
      <c r="T61" t="e">
        <f t="shared" si="2"/>
        <v>#DIV/0!</v>
      </c>
      <c r="U61" t="e">
        <f t="shared" si="2"/>
        <v>#DIV/0!</v>
      </c>
      <c r="V61" t="e">
        <f t="shared" si="2"/>
        <v>#DIV/0!</v>
      </c>
      <c r="W61" t="e">
        <f t="shared" si="2"/>
        <v>#DIV/0!</v>
      </c>
      <c r="X61" t="e">
        <f t="shared" si="2"/>
        <v>#DIV/0!</v>
      </c>
      <c r="Y61" t="e">
        <f t="shared" si="2"/>
        <v>#DIV/0!</v>
      </c>
      <c r="Z61" t="e">
        <f t="shared" si="2"/>
        <v>#DIV/0!</v>
      </c>
      <c r="AA61" t="e">
        <f t="shared" si="2"/>
        <v>#DIV/0!</v>
      </c>
      <c r="AB61" t="e">
        <f t="shared" si="2"/>
        <v>#DIV/0!</v>
      </c>
      <c r="AC61" t="e">
        <f t="shared" si="2"/>
        <v>#DIV/0!</v>
      </c>
      <c r="AD61" t="e">
        <f t="shared" si="2"/>
        <v>#DIV/0!</v>
      </c>
      <c r="AE61" t="e">
        <f t="shared" si="2"/>
        <v>#DIV/0!</v>
      </c>
      <c r="AF61" t="e">
        <f t="shared" si="2"/>
        <v>#DIV/0!</v>
      </c>
      <c r="AG61" s="82"/>
      <c r="AH61" s="244" t="s">
        <v>444</v>
      </c>
      <c r="AI61" s="245" t="s">
        <v>461</v>
      </c>
      <c r="AJ61" s="96"/>
      <c r="AK61" s="100">
        <f>$C$61</f>
        <v>5.8823529411764701</v>
      </c>
      <c r="AL61" s="100">
        <f>$D$61</f>
        <v>6.0150375939849621</v>
      </c>
      <c r="AM61" s="100">
        <f>$E$61</f>
        <v>5.8419243986254292</v>
      </c>
      <c r="AN61" s="100" t="e">
        <f>$F$61</f>
        <v>#DIV/0!</v>
      </c>
      <c r="AO61" s="100" t="e">
        <f>$G$61</f>
        <v>#DIV/0!</v>
      </c>
      <c r="AP61" s="100" t="e">
        <f>$H$61</f>
        <v>#DIV/0!</v>
      </c>
      <c r="AQ61" s="100" t="e">
        <f>$I$61</f>
        <v>#DIV/0!</v>
      </c>
      <c r="AR61" s="100" t="e">
        <f>$J$61</f>
        <v>#DIV/0!</v>
      </c>
      <c r="AS61" s="100" t="e">
        <f>$K$61</f>
        <v>#DIV/0!</v>
      </c>
      <c r="AT61" s="100" t="e">
        <f>$L$61</f>
        <v>#DIV/0!</v>
      </c>
      <c r="AU61" s="100" t="e">
        <f>$M$61</f>
        <v>#DIV/0!</v>
      </c>
      <c r="AV61" s="100" t="e">
        <f>$N$61</f>
        <v>#DIV/0!</v>
      </c>
      <c r="AW61" s="100" t="e">
        <f>$O$61</f>
        <v>#DIV/0!</v>
      </c>
      <c r="AX61" s="100" t="e">
        <f>$P$61</f>
        <v>#DIV/0!</v>
      </c>
      <c r="AY61" s="100" t="e">
        <f>$Q$61</f>
        <v>#DIV/0!</v>
      </c>
      <c r="AZ61" s="100" t="e">
        <f>$R$61</f>
        <v>#DIV/0!</v>
      </c>
      <c r="BA61" s="100" t="e">
        <f>$S$61</f>
        <v>#DIV/0!</v>
      </c>
      <c r="BB61" s="100" t="e">
        <f>$T$61</f>
        <v>#DIV/0!</v>
      </c>
      <c r="BC61" s="100" t="e">
        <f>$U$61</f>
        <v>#DIV/0!</v>
      </c>
      <c r="BD61" s="100" t="e">
        <f>$V$61</f>
        <v>#DIV/0!</v>
      </c>
      <c r="BE61" s="100" t="e">
        <f>$W$61</f>
        <v>#DIV/0!</v>
      </c>
      <c r="BF61" s="100" t="e">
        <f>$X$61</f>
        <v>#DIV/0!</v>
      </c>
      <c r="BG61" s="100" t="e">
        <f>$Y$61</f>
        <v>#DIV/0!</v>
      </c>
      <c r="BH61" s="100" t="e">
        <f>$Z$61</f>
        <v>#DIV/0!</v>
      </c>
      <c r="BI61" s="100" t="e">
        <f>$AA$61</f>
        <v>#DIV/0!</v>
      </c>
      <c r="BJ61" s="100" t="e">
        <f>$AB$61</f>
        <v>#DIV/0!</v>
      </c>
      <c r="BK61" s="100" t="e">
        <f>$AC$61</f>
        <v>#DIV/0!</v>
      </c>
      <c r="BL61" s="100" t="e">
        <f>$AD$61</f>
        <v>#DIV/0!</v>
      </c>
      <c r="BM61" s="100" t="e">
        <f>$AE$61</f>
        <v>#DIV/0!</v>
      </c>
      <c r="BN61" s="100" t="e">
        <f>$AF$61</f>
        <v>#DIV/0!</v>
      </c>
    </row>
    <row r="62" spans="1:66">
      <c r="A62" s="69" t="s">
        <v>179</v>
      </c>
      <c r="B62" s="71" t="s">
        <v>188</v>
      </c>
      <c r="C62" s="100">
        <v>9.3023255813953494</v>
      </c>
      <c r="D62" s="100">
        <v>5.625</v>
      </c>
      <c r="E62" s="100">
        <v>7.6246334310850443</v>
      </c>
      <c r="F62" t="e">
        <f t="shared" si="1"/>
        <v>#DIV/0!</v>
      </c>
      <c r="G62" t="e">
        <f t="shared" si="2"/>
        <v>#DIV/0!</v>
      </c>
      <c r="H62" t="e">
        <f t="shared" si="2"/>
        <v>#DIV/0!</v>
      </c>
      <c r="I62" t="e">
        <f t="shared" si="2"/>
        <v>#DIV/0!</v>
      </c>
      <c r="J62" t="e">
        <f t="shared" si="2"/>
        <v>#DIV/0!</v>
      </c>
      <c r="K62" t="e">
        <f t="shared" si="2"/>
        <v>#DIV/0!</v>
      </c>
      <c r="L62" t="e">
        <f t="shared" si="2"/>
        <v>#DIV/0!</v>
      </c>
      <c r="M62" t="e">
        <f t="shared" si="2"/>
        <v>#DIV/0!</v>
      </c>
      <c r="N62" t="e">
        <f t="shared" si="2"/>
        <v>#DIV/0!</v>
      </c>
      <c r="O62" t="e">
        <f t="shared" si="2"/>
        <v>#DIV/0!</v>
      </c>
      <c r="P62" t="e">
        <f t="shared" si="2"/>
        <v>#DIV/0!</v>
      </c>
      <c r="Q62" t="e">
        <f t="shared" si="2"/>
        <v>#DIV/0!</v>
      </c>
      <c r="R62" t="e">
        <f t="shared" si="2"/>
        <v>#DIV/0!</v>
      </c>
      <c r="S62" t="e">
        <f t="shared" si="2"/>
        <v>#DIV/0!</v>
      </c>
      <c r="T62" t="e">
        <f t="shared" si="2"/>
        <v>#DIV/0!</v>
      </c>
      <c r="U62" t="e">
        <f t="shared" si="2"/>
        <v>#DIV/0!</v>
      </c>
      <c r="V62" t="e">
        <f t="shared" si="2"/>
        <v>#DIV/0!</v>
      </c>
      <c r="W62" t="e">
        <f t="shared" si="2"/>
        <v>#DIV/0!</v>
      </c>
      <c r="X62" t="e">
        <f t="shared" si="2"/>
        <v>#DIV/0!</v>
      </c>
      <c r="Y62" t="e">
        <f t="shared" si="2"/>
        <v>#DIV/0!</v>
      </c>
      <c r="Z62" t="e">
        <f t="shared" si="2"/>
        <v>#DIV/0!</v>
      </c>
      <c r="AA62" t="e">
        <f t="shared" si="2"/>
        <v>#DIV/0!</v>
      </c>
      <c r="AB62" t="e">
        <f t="shared" si="2"/>
        <v>#DIV/0!</v>
      </c>
      <c r="AC62" t="e">
        <f t="shared" si="2"/>
        <v>#DIV/0!</v>
      </c>
      <c r="AD62" t="e">
        <f t="shared" si="2"/>
        <v>#DIV/0!</v>
      </c>
      <c r="AE62" t="e">
        <f t="shared" si="2"/>
        <v>#DIV/0!</v>
      </c>
      <c r="AF62" t="e">
        <f t="shared" si="2"/>
        <v>#DIV/0!</v>
      </c>
      <c r="AG62" s="82"/>
      <c r="AH62" s="244" t="s">
        <v>445</v>
      </c>
      <c r="AI62" s="244" t="s">
        <v>462</v>
      </c>
      <c r="AJ62" s="96"/>
      <c r="AK62" s="100">
        <f>$C$62</f>
        <v>9.3023255813953494</v>
      </c>
      <c r="AL62" s="100">
        <f>$D$62</f>
        <v>5.625</v>
      </c>
      <c r="AM62" s="100">
        <f>$E$62</f>
        <v>7.6246334310850443</v>
      </c>
      <c r="AN62" s="100" t="e">
        <f>$F$62</f>
        <v>#DIV/0!</v>
      </c>
      <c r="AO62" s="100" t="e">
        <f>$G$62</f>
        <v>#DIV/0!</v>
      </c>
      <c r="AP62" s="100" t="e">
        <f>$H$62</f>
        <v>#DIV/0!</v>
      </c>
      <c r="AQ62" s="100" t="e">
        <f>$I$62</f>
        <v>#DIV/0!</v>
      </c>
      <c r="AR62" s="100" t="e">
        <f>$J$62</f>
        <v>#DIV/0!</v>
      </c>
      <c r="AS62" s="100" t="e">
        <f>$K$62</f>
        <v>#DIV/0!</v>
      </c>
      <c r="AT62" s="100" t="e">
        <f>$L$62</f>
        <v>#DIV/0!</v>
      </c>
      <c r="AU62" s="100" t="e">
        <f>$M$62</f>
        <v>#DIV/0!</v>
      </c>
      <c r="AV62" s="100" t="e">
        <f>$N$62</f>
        <v>#DIV/0!</v>
      </c>
      <c r="AW62" s="100" t="e">
        <f>$O$62</f>
        <v>#DIV/0!</v>
      </c>
      <c r="AX62" s="100" t="e">
        <f>$P$62</f>
        <v>#DIV/0!</v>
      </c>
      <c r="AY62" s="100" t="e">
        <f>$Q$62</f>
        <v>#DIV/0!</v>
      </c>
      <c r="AZ62" s="100" t="e">
        <f>$R$62</f>
        <v>#DIV/0!</v>
      </c>
      <c r="BA62" s="100" t="e">
        <f>$S$62</f>
        <v>#DIV/0!</v>
      </c>
      <c r="BB62" s="100" t="e">
        <f>$T$62</f>
        <v>#DIV/0!</v>
      </c>
      <c r="BC62" s="100" t="e">
        <f>$U$62</f>
        <v>#DIV/0!</v>
      </c>
      <c r="BD62" s="100" t="e">
        <f>$V$62</f>
        <v>#DIV/0!</v>
      </c>
      <c r="BE62" s="100" t="e">
        <f>$W$62</f>
        <v>#DIV/0!</v>
      </c>
      <c r="BF62" s="100" t="e">
        <f>$X$62</f>
        <v>#DIV/0!</v>
      </c>
      <c r="BG62" s="100" t="e">
        <f>$Y$62</f>
        <v>#DIV/0!</v>
      </c>
      <c r="BH62" s="100" t="e">
        <f>$Z$62</f>
        <v>#DIV/0!</v>
      </c>
      <c r="BI62" s="100" t="e">
        <f>$AA$62</f>
        <v>#DIV/0!</v>
      </c>
      <c r="BJ62" s="100" t="e">
        <f>$AB$62</f>
        <v>#DIV/0!</v>
      </c>
      <c r="BK62" s="100" t="e">
        <f>$AC$62</f>
        <v>#DIV/0!</v>
      </c>
      <c r="BL62" s="100" t="e">
        <f>$AD$62</f>
        <v>#DIV/0!</v>
      </c>
      <c r="BM62" s="100" t="e">
        <f>$AE$62</f>
        <v>#DIV/0!</v>
      </c>
      <c r="BN62" s="100" t="e">
        <f>$AF$62</f>
        <v>#DIV/0!</v>
      </c>
    </row>
    <row r="63" spans="1:66">
      <c r="A63" s="69" t="s">
        <v>170</v>
      </c>
      <c r="B63" s="71" t="s">
        <v>178</v>
      </c>
      <c r="C63" s="100">
        <v>5.5214723926380369</v>
      </c>
      <c r="D63" s="100">
        <v>1.4285714285714286</v>
      </c>
      <c r="E63" s="100">
        <v>3.9087947882736152</v>
      </c>
      <c r="F63" t="e">
        <f t="shared" si="1"/>
        <v>#DIV/0!</v>
      </c>
      <c r="G63" t="e">
        <f t="shared" si="2"/>
        <v>#DIV/0!</v>
      </c>
      <c r="H63" t="e">
        <f t="shared" si="2"/>
        <v>#DIV/0!</v>
      </c>
      <c r="I63" t="e">
        <f t="shared" si="2"/>
        <v>#DIV/0!</v>
      </c>
      <c r="J63" t="e">
        <f t="shared" si="2"/>
        <v>#DIV/0!</v>
      </c>
      <c r="K63" t="e">
        <f t="shared" si="2"/>
        <v>#DIV/0!</v>
      </c>
      <c r="L63" t="e">
        <f t="shared" si="2"/>
        <v>#DIV/0!</v>
      </c>
      <c r="M63" t="e">
        <f t="shared" si="2"/>
        <v>#DIV/0!</v>
      </c>
      <c r="N63" t="e">
        <f t="shared" si="2"/>
        <v>#DIV/0!</v>
      </c>
      <c r="O63" t="e">
        <f t="shared" si="2"/>
        <v>#DIV/0!</v>
      </c>
      <c r="P63" t="e">
        <f t="shared" si="2"/>
        <v>#DIV/0!</v>
      </c>
      <c r="Q63" t="e">
        <f t="shared" si="2"/>
        <v>#DIV/0!</v>
      </c>
      <c r="R63" t="e">
        <f t="shared" si="2"/>
        <v>#DIV/0!</v>
      </c>
      <c r="S63" t="e">
        <f t="shared" si="2"/>
        <v>#DIV/0!</v>
      </c>
      <c r="T63" t="e">
        <f t="shared" si="2"/>
        <v>#DIV/0!</v>
      </c>
      <c r="U63" t="e">
        <f t="shared" si="2"/>
        <v>#DIV/0!</v>
      </c>
      <c r="V63" t="e">
        <f t="shared" si="2"/>
        <v>#DIV/0!</v>
      </c>
      <c r="W63" t="e">
        <f t="shared" si="2"/>
        <v>#DIV/0!</v>
      </c>
      <c r="X63" t="e">
        <f t="shared" si="2"/>
        <v>#DIV/0!</v>
      </c>
      <c r="Y63" t="e">
        <f t="shared" si="2"/>
        <v>#DIV/0!</v>
      </c>
      <c r="Z63" t="e">
        <f t="shared" si="2"/>
        <v>#DIV/0!</v>
      </c>
      <c r="AA63" t="e">
        <f t="shared" si="2"/>
        <v>#DIV/0!</v>
      </c>
      <c r="AB63" t="e">
        <f t="shared" si="2"/>
        <v>#DIV/0!</v>
      </c>
      <c r="AC63" t="e">
        <f t="shared" si="2"/>
        <v>#DIV/0!</v>
      </c>
      <c r="AD63" t="e">
        <f t="shared" si="2"/>
        <v>#DIV/0!</v>
      </c>
      <c r="AE63" t="e">
        <f t="shared" si="2"/>
        <v>#DIV/0!</v>
      </c>
      <c r="AF63" t="e">
        <f t="shared" si="2"/>
        <v>#DIV/0!</v>
      </c>
      <c r="AG63" s="82"/>
      <c r="AH63" s="246" t="s">
        <v>446</v>
      </c>
      <c r="AI63" s="244" t="s">
        <v>463</v>
      </c>
      <c r="AJ63" s="96"/>
      <c r="AK63" s="100">
        <f>$C$63</f>
        <v>5.5214723926380369</v>
      </c>
      <c r="AL63" s="100">
        <f>$D$63</f>
        <v>1.4285714285714286</v>
      </c>
      <c r="AM63" s="100">
        <f>$E$63</f>
        <v>3.9087947882736152</v>
      </c>
      <c r="AN63" s="100" t="e">
        <f>$F$63</f>
        <v>#DIV/0!</v>
      </c>
      <c r="AO63" s="100" t="e">
        <f>$G$63</f>
        <v>#DIV/0!</v>
      </c>
      <c r="AP63" s="100" t="e">
        <f>$H$63</f>
        <v>#DIV/0!</v>
      </c>
      <c r="AQ63" s="100" t="e">
        <f>$I$63</f>
        <v>#DIV/0!</v>
      </c>
      <c r="AR63" s="100" t="e">
        <f>$J$63</f>
        <v>#DIV/0!</v>
      </c>
      <c r="AS63" s="100" t="e">
        <f>$K$63</f>
        <v>#DIV/0!</v>
      </c>
      <c r="AT63" s="100" t="e">
        <f>$L$63</f>
        <v>#DIV/0!</v>
      </c>
      <c r="AU63" s="100" t="e">
        <f>$M$63</f>
        <v>#DIV/0!</v>
      </c>
      <c r="AV63" s="100" t="e">
        <f>$N$63</f>
        <v>#DIV/0!</v>
      </c>
      <c r="AW63" s="100" t="e">
        <f>$O$63</f>
        <v>#DIV/0!</v>
      </c>
      <c r="AX63" s="100" t="e">
        <f>$P$63</f>
        <v>#DIV/0!</v>
      </c>
      <c r="AY63" s="100" t="e">
        <f>$Q$63</f>
        <v>#DIV/0!</v>
      </c>
      <c r="AZ63" s="100" t="e">
        <f>$R$63</f>
        <v>#DIV/0!</v>
      </c>
      <c r="BA63" s="100" t="e">
        <f>$S$63</f>
        <v>#DIV/0!</v>
      </c>
      <c r="BB63" s="100" t="e">
        <f>$T$63</f>
        <v>#DIV/0!</v>
      </c>
      <c r="BC63" s="100" t="e">
        <f>$U$63</f>
        <v>#DIV/0!</v>
      </c>
      <c r="BD63" s="100" t="e">
        <f>$V$63</f>
        <v>#DIV/0!</v>
      </c>
      <c r="BE63" s="100" t="e">
        <f>$W$63</f>
        <v>#DIV/0!</v>
      </c>
      <c r="BF63" s="100" t="e">
        <f>$X$63</f>
        <v>#DIV/0!</v>
      </c>
      <c r="BG63" s="100" t="e">
        <f>$Y$63</f>
        <v>#DIV/0!</v>
      </c>
      <c r="BH63" s="100" t="e">
        <f>$Z$63</f>
        <v>#DIV/0!</v>
      </c>
      <c r="BI63" s="100" t="e">
        <f>$AA$63</f>
        <v>#DIV/0!</v>
      </c>
      <c r="BJ63" s="100" t="e">
        <f>$AB$63</f>
        <v>#DIV/0!</v>
      </c>
      <c r="BK63" s="100" t="e">
        <f>$AC$63</f>
        <v>#DIV/0!</v>
      </c>
      <c r="BL63" s="100" t="e">
        <f>$AD$63</f>
        <v>#DIV/0!</v>
      </c>
      <c r="BM63" s="100" t="e">
        <f>$AE$63</f>
        <v>#DIV/0!</v>
      </c>
      <c r="BN63" s="100" t="e">
        <f>$AF$63</f>
        <v>#DIV/0!</v>
      </c>
    </row>
    <row r="64" spans="1:66">
      <c r="A64" s="69" t="s">
        <v>152</v>
      </c>
      <c r="B64" t="s">
        <v>153</v>
      </c>
      <c r="C64" s="100">
        <v>4.4444444444444446</v>
      </c>
      <c r="D64" s="100">
        <v>25</v>
      </c>
      <c r="E64" s="100">
        <v>15.887850467289718</v>
      </c>
      <c r="F64" t="e">
        <f t="shared" si="1"/>
        <v>#DIV/0!</v>
      </c>
      <c r="G64" t="e">
        <f t="shared" si="2"/>
        <v>#DIV/0!</v>
      </c>
      <c r="H64" t="e">
        <f t="shared" si="2"/>
        <v>#DIV/0!</v>
      </c>
      <c r="I64" t="e">
        <f t="shared" si="2"/>
        <v>#DIV/0!</v>
      </c>
      <c r="J64" t="e">
        <f t="shared" si="2"/>
        <v>#DIV/0!</v>
      </c>
      <c r="K64" t="e">
        <f t="shared" si="2"/>
        <v>#DIV/0!</v>
      </c>
      <c r="L64" t="e">
        <f t="shared" si="2"/>
        <v>#DIV/0!</v>
      </c>
      <c r="M64" t="e">
        <f t="shared" si="2"/>
        <v>#DIV/0!</v>
      </c>
      <c r="N64" t="e">
        <f t="shared" si="2"/>
        <v>#DIV/0!</v>
      </c>
      <c r="O64" t="e">
        <f t="shared" si="2"/>
        <v>#DIV/0!</v>
      </c>
      <c r="P64" t="e">
        <f t="shared" si="2"/>
        <v>#DIV/0!</v>
      </c>
      <c r="Q64" t="e">
        <f t="shared" si="2"/>
        <v>#DIV/0!</v>
      </c>
      <c r="R64" t="e">
        <f t="shared" si="2"/>
        <v>#DIV/0!</v>
      </c>
      <c r="S64" t="e">
        <f t="shared" si="2"/>
        <v>#DIV/0!</v>
      </c>
      <c r="T64" t="e">
        <f t="shared" si="2"/>
        <v>#DIV/0!</v>
      </c>
      <c r="U64" t="e">
        <f t="shared" si="2"/>
        <v>#DIV/0!</v>
      </c>
      <c r="V64" t="e">
        <f t="shared" si="2"/>
        <v>#DIV/0!</v>
      </c>
      <c r="W64" t="e">
        <f t="shared" si="2"/>
        <v>#DIV/0!</v>
      </c>
      <c r="X64" t="e">
        <f t="shared" si="2"/>
        <v>#DIV/0!</v>
      </c>
      <c r="Y64" t="e">
        <f t="shared" si="2"/>
        <v>#DIV/0!</v>
      </c>
      <c r="Z64" t="e">
        <f t="shared" si="2"/>
        <v>#DIV/0!</v>
      </c>
      <c r="AA64" t="e">
        <f t="shared" si="2"/>
        <v>#DIV/0!</v>
      </c>
      <c r="AB64" t="e">
        <f t="shared" si="2"/>
        <v>#DIV/0!</v>
      </c>
      <c r="AC64" t="e">
        <f t="shared" si="2"/>
        <v>#DIV/0!</v>
      </c>
      <c r="AD64" t="e">
        <f t="shared" si="2"/>
        <v>#DIV/0!</v>
      </c>
      <c r="AE64" t="e">
        <f t="shared" si="2"/>
        <v>#DIV/0!</v>
      </c>
      <c r="AF64" t="e">
        <f t="shared" si="2"/>
        <v>#DIV/0!</v>
      </c>
      <c r="AG64" s="82"/>
      <c r="AH64" s="247" t="s">
        <v>447</v>
      </c>
      <c r="AI64" s="244" t="s">
        <v>464</v>
      </c>
      <c r="AJ64" s="96"/>
      <c r="AK64" s="100">
        <f>$C$64</f>
        <v>4.4444444444444446</v>
      </c>
      <c r="AL64" s="100">
        <f>$D$64</f>
        <v>25</v>
      </c>
      <c r="AM64" s="100">
        <f>$E$64</f>
        <v>15.887850467289718</v>
      </c>
      <c r="AN64" s="100" t="e">
        <f>$F$64</f>
        <v>#DIV/0!</v>
      </c>
      <c r="AO64" s="100" t="e">
        <f>$G$64</f>
        <v>#DIV/0!</v>
      </c>
      <c r="AP64" s="100" t="e">
        <f>$H$64</f>
        <v>#DIV/0!</v>
      </c>
      <c r="AQ64" s="100" t="e">
        <f>$I$64</f>
        <v>#DIV/0!</v>
      </c>
      <c r="AR64" s="100" t="e">
        <f>$J$64</f>
        <v>#DIV/0!</v>
      </c>
      <c r="AS64" s="100" t="e">
        <f>$K$64</f>
        <v>#DIV/0!</v>
      </c>
      <c r="AT64" s="100" t="e">
        <f>$L$64</f>
        <v>#DIV/0!</v>
      </c>
      <c r="AU64" s="100" t="e">
        <f>$M$64</f>
        <v>#DIV/0!</v>
      </c>
      <c r="AV64" s="100" t="e">
        <f>$N$64</f>
        <v>#DIV/0!</v>
      </c>
      <c r="AW64" s="100" t="e">
        <f>$O$64</f>
        <v>#DIV/0!</v>
      </c>
      <c r="AX64" s="100" t="e">
        <f>$P$64</f>
        <v>#DIV/0!</v>
      </c>
      <c r="AY64" s="100" t="e">
        <f>$Q$64</f>
        <v>#DIV/0!</v>
      </c>
      <c r="AZ64" s="100" t="e">
        <f>$R$64</f>
        <v>#DIV/0!</v>
      </c>
      <c r="BA64" s="100" t="e">
        <f>$S$64</f>
        <v>#DIV/0!</v>
      </c>
      <c r="BB64" s="100" t="e">
        <f>$T$64</f>
        <v>#DIV/0!</v>
      </c>
      <c r="BC64" s="100" t="e">
        <f>$U$64</f>
        <v>#DIV/0!</v>
      </c>
      <c r="BD64" s="100" t="e">
        <f>$V$64</f>
        <v>#DIV/0!</v>
      </c>
      <c r="BE64" s="100" t="e">
        <f>$W$64</f>
        <v>#DIV/0!</v>
      </c>
      <c r="BF64" s="100" t="e">
        <f>$X$64</f>
        <v>#DIV/0!</v>
      </c>
      <c r="BG64" s="100" t="e">
        <f>$Y$64</f>
        <v>#DIV/0!</v>
      </c>
      <c r="BH64" s="100" t="e">
        <f>$Z$64</f>
        <v>#DIV/0!</v>
      </c>
      <c r="BI64" s="100" t="e">
        <f>$AA$64</f>
        <v>#DIV/0!</v>
      </c>
      <c r="BJ64" s="100" t="e">
        <f>$AB$64</f>
        <v>#DIV/0!</v>
      </c>
      <c r="BK64" s="100" t="e">
        <f>$AC$64</f>
        <v>#DIV/0!</v>
      </c>
      <c r="BL64" s="100" t="e">
        <f>$AD$64</f>
        <v>#DIV/0!</v>
      </c>
      <c r="BM64" s="100" t="e">
        <f>$AE$64</f>
        <v>#DIV/0!</v>
      </c>
      <c r="BN64" s="100" t="e">
        <f>$AF$64</f>
        <v>#DIV/0!</v>
      </c>
    </row>
    <row r="65" spans="1:66">
      <c r="A65" s="69" t="s">
        <v>146</v>
      </c>
      <c r="B65" t="s">
        <v>153</v>
      </c>
      <c r="C65" s="100"/>
      <c r="E65" s="100">
        <v>5.3191489361702127</v>
      </c>
      <c r="F65" t="e">
        <f t="shared" si="1"/>
        <v>#DIV/0!</v>
      </c>
      <c r="G65" t="e">
        <f t="shared" si="2"/>
        <v>#DIV/0!</v>
      </c>
      <c r="H65" t="e">
        <f t="shared" si="2"/>
        <v>#DIV/0!</v>
      </c>
      <c r="I65" t="e">
        <f t="shared" si="2"/>
        <v>#DIV/0!</v>
      </c>
      <c r="J65" t="e">
        <f t="shared" si="2"/>
        <v>#DIV/0!</v>
      </c>
      <c r="K65" t="e">
        <f t="shared" si="2"/>
        <v>#DIV/0!</v>
      </c>
      <c r="L65" t="e">
        <f t="shared" si="2"/>
        <v>#DIV/0!</v>
      </c>
      <c r="M65" t="e">
        <f t="shared" si="2"/>
        <v>#DIV/0!</v>
      </c>
      <c r="N65" t="e">
        <f t="shared" si="2"/>
        <v>#DIV/0!</v>
      </c>
      <c r="O65" t="e">
        <f t="shared" si="2"/>
        <v>#DIV/0!</v>
      </c>
      <c r="P65" t="e">
        <f t="shared" si="2"/>
        <v>#DIV/0!</v>
      </c>
      <c r="Q65" t="e">
        <f t="shared" si="2"/>
        <v>#DIV/0!</v>
      </c>
      <c r="R65" t="e">
        <f t="shared" si="2"/>
        <v>#DIV/0!</v>
      </c>
      <c r="S65" t="e">
        <f t="shared" si="2"/>
        <v>#DIV/0!</v>
      </c>
      <c r="T65" t="e">
        <f t="shared" si="2"/>
        <v>#DIV/0!</v>
      </c>
      <c r="U65" t="e">
        <f t="shared" si="2"/>
        <v>#DIV/0!</v>
      </c>
      <c r="V65" t="e">
        <f t="shared" si="2"/>
        <v>#DIV/0!</v>
      </c>
      <c r="W65" t="e">
        <f t="shared" si="2"/>
        <v>#DIV/0!</v>
      </c>
      <c r="X65" t="e">
        <f t="shared" si="2"/>
        <v>#DIV/0!</v>
      </c>
      <c r="Y65" t="e">
        <f t="shared" si="2"/>
        <v>#DIV/0!</v>
      </c>
      <c r="Z65" t="e">
        <f t="shared" si="2"/>
        <v>#DIV/0!</v>
      </c>
      <c r="AA65" t="e">
        <f t="shared" si="2"/>
        <v>#DIV/0!</v>
      </c>
      <c r="AB65" t="e">
        <f t="shared" si="2"/>
        <v>#DIV/0!</v>
      </c>
      <c r="AC65" t="e">
        <f t="shared" si="2"/>
        <v>#DIV/0!</v>
      </c>
      <c r="AD65" t="e">
        <f t="shared" si="2"/>
        <v>#DIV/0!</v>
      </c>
      <c r="AE65" t="e">
        <f t="shared" si="2"/>
        <v>#DIV/0!</v>
      </c>
      <c r="AF65" t="e">
        <f t="shared" si="2"/>
        <v>#DIV/0!</v>
      </c>
      <c r="AG65" s="82"/>
      <c r="AH65" s="295"/>
      <c r="AI65" s="244" t="s">
        <v>465</v>
      </c>
      <c r="AJ65" s="96"/>
      <c r="AK65" s="100">
        <f>$C$65</f>
        <v>0</v>
      </c>
      <c r="AL65" s="100">
        <f>$D$65</f>
        <v>0</v>
      </c>
      <c r="AM65" s="100">
        <f>$E$65</f>
        <v>5.3191489361702127</v>
      </c>
      <c r="AN65" s="100" t="e">
        <f>$F$65</f>
        <v>#DIV/0!</v>
      </c>
      <c r="AO65" s="100" t="e">
        <f>$G$65</f>
        <v>#DIV/0!</v>
      </c>
      <c r="AP65" s="100" t="e">
        <f>$H$65</f>
        <v>#DIV/0!</v>
      </c>
      <c r="AQ65" s="100" t="e">
        <f>$I$65</f>
        <v>#DIV/0!</v>
      </c>
      <c r="AR65" s="100" t="e">
        <f>$J$65</f>
        <v>#DIV/0!</v>
      </c>
      <c r="AS65" s="100" t="e">
        <f>$K$65</f>
        <v>#DIV/0!</v>
      </c>
      <c r="AT65" s="100" t="e">
        <f>$L$65</f>
        <v>#DIV/0!</v>
      </c>
      <c r="AU65" s="100" t="e">
        <f>$M$65</f>
        <v>#DIV/0!</v>
      </c>
      <c r="AV65" s="100" t="e">
        <f>$N$65</f>
        <v>#DIV/0!</v>
      </c>
      <c r="AW65" s="100" t="e">
        <f>$O$65</f>
        <v>#DIV/0!</v>
      </c>
      <c r="AX65" s="100" t="e">
        <f>$P$65</f>
        <v>#DIV/0!</v>
      </c>
      <c r="AY65" s="100" t="e">
        <f>$Q$65</f>
        <v>#DIV/0!</v>
      </c>
      <c r="AZ65" s="100" t="e">
        <f>$R$65</f>
        <v>#DIV/0!</v>
      </c>
      <c r="BA65" s="100" t="e">
        <f>$S$65</f>
        <v>#DIV/0!</v>
      </c>
      <c r="BB65" s="100" t="e">
        <f>$T$65</f>
        <v>#DIV/0!</v>
      </c>
      <c r="BC65" s="100" t="e">
        <f>$U$65</f>
        <v>#DIV/0!</v>
      </c>
      <c r="BD65" s="100" t="e">
        <f>$V$65</f>
        <v>#DIV/0!</v>
      </c>
      <c r="BE65" s="100" t="e">
        <f>$W$65</f>
        <v>#DIV/0!</v>
      </c>
      <c r="BF65" s="100" t="e">
        <f>$X$65</f>
        <v>#DIV/0!</v>
      </c>
      <c r="BG65" s="100" t="e">
        <f>$Y$65</f>
        <v>#DIV/0!</v>
      </c>
      <c r="BH65" s="100" t="e">
        <f>$Z$65</f>
        <v>#DIV/0!</v>
      </c>
      <c r="BI65" s="100" t="e">
        <f>$AA$65</f>
        <v>#DIV/0!</v>
      </c>
      <c r="BJ65" s="100" t="e">
        <f>$AB$65</f>
        <v>#DIV/0!</v>
      </c>
      <c r="BK65" s="100" t="e">
        <f>$AC$65</f>
        <v>#DIV/0!</v>
      </c>
      <c r="BL65" s="100" t="e">
        <f>$AD$65</f>
        <v>#DIV/0!</v>
      </c>
      <c r="BM65" s="100" t="e">
        <f>$AE$65</f>
        <v>#DIV/0!</v>
      </c>
      <c r="BN65" s="100" t="e">
        <f>$AF$65</f>
        <v>#DIV/0!</v>
      </c>
    </row>
    <row r="66" spans="1:66">
      <c r="A66" s="69" t="s">
        <v>171</v>
      </c>
      <c r="B66" s="71" t="s">
        <v>178</v>
      </c>
      <c r="C66" s="100">
        <v>11.111111111111111</v>
      </c>
      <c r="D66" s="100">
        <v>4.6511627906976747</v>
      </c>
      <c r="E66" s="100">
        <v>9.0909090909090917</v>
      </c>
      <c r="F66" t="e">
        <f t="shared" si="1"/>
        <v>#DIV/0!</v>
      </c>
      <c r="G66" t="e">
        <f t="shared" si="2"/>
        <v>#DIV/0!</v>
      </c>
      <c r="H66" t="e">
        <f t="shared" si="2"/>
        <v>#DIV/0!</v>
      </c>
      <c r="I66" t="e">
        <f t="shared" si="2"/>
        <v>#DIV/0!</v>
      </c>
      <c r="J66" t="e">
        <f t="shared" si="2"/>
        <v>#DIV/0!</v>
      </c>
      <c r="K66" t="e">
        <f t="shared" si="2"/>
        <v>#DIV/0!</v>
      </c>
      <c r="L66" t="e">
        <f t="shared" si="2"/>
        <v>#DIV/0!</v>
      </c>
      <c r="M66" t="e">
        <f t="shared" si="2"/>
        <v>#DIV/0!</v>
      </c>
      <c r="N66" t="e">
        <f t="shared" si="2"/>
        <v>#DIV/0!</v>
      </c>
      <c r="O66" t="e">
        <f t="shared" si="2"/>
        <v>#DIV/0!</v>
      </c>
      <c r="P66" t="e">
        <f t="shared" si="2"/>
        <v>#DIV/0!</v>
      </c>
      <c r="Q66" t="e">
        <f t="shared" si="2"/>
        <v>#DIV/0!</v>
      </c>
      <c r="R66" t="e">
        <f t="shared" si="2"/>
        <v>#DIV/0!</v>
      </c>
      <c r="S66" t="e">
        <f t="shared" si="2"/>
        <v>#DIV/0!</v>
      </c>
      <c r="T66" t="e">
        <f t="shared" si="2"/>
        <v>#DIV/0!</v>
      </c>
      <c r="U66" t="e">
        <f t="shared" si="2"/>
        <v>#DIV/0!</v>
      </c>
      <c r="V66" t="e">
        <f t="shared" si="2"/>
        <v>#DIV/0!</v>
      </c>
      <c r="W66" t="e">
        <f t="shared" si="2"/>
        <v>#DIV/0!</v>
      </c>
      <c r="X66" t="e">
        <f t="shared" si="2"/>
        <v>#DIV/0!</v>
      </c>
      <c r="Y66" t="e">
        <f t="shared" si="2"/>
        <v>#DIV/0!</v>
      </c>
      <c r="Z66" t="e">
        <f t="shared" si="2"/>
        <v>#DIV/0!</v>
      </c>
      <c r="AA66" t="e">
        <f t="shared" si="2"/>
        <v>#DIV/0!</v>
      </c>
      <c r="AB66" t="e">
        <f t="shared" si="2"/>
        <v>#DIV/0!</v>
      </c>
      <c r="AC66" t="e">
        <f t="shared" si="2"/>
        <v>#DIV/0!</v>
      </c>
      <c r="AD66" t="e">
        <f t="shared" si="2"/>
        <v>#DIV/0!</v>
      </c>
      <c r="AE66" t="e">
        <f t="shared" si="2"/>
        <v>#DIV/0!</v>
      </c>
      <c r="AF66" t="e">
        <f t="shared" si="2"/>
        <v>#DIV/0!</v>
      </c>
      <c r="AG66" s="82"/>
      <c r="AH66" s="204"/>
      <c r="AI66" s="248" t="s">
        <v>466</v>
      </c>
      <c r="AJ66" s="96"/>
      <c r="AK66" s="100">
        <f>$C$66</f>
        <v>11.111111111111111</v>
      </c>
      <c r="AL66" s="100">
        <f>$D$66</f>
        <v>4.6511627906976747</v>
      </c>
      <c r="AM66" s="100">
        <f>$E$66</f>
        <v>9.0909090909090917</v>
      </c>
      <c r="AN66" s="100" t="e">
        <f>$F$66</f>
        <v>#DIV/0!</v>
      </c>
      <c r="AO66" s="100" t="e">
        <f>$G$66</f>
        <v>#DIV/0!</v>
      </c>
      <c r="AP66" s="100" t="e">
        <f>$H$66</f>
        <v>#DIV/0!</v>
      </c>
      <c r="AQ66" s="100" t="e">
        <f>$I$66</f>
        <v>#DIV/0!</v>
      </c>
      <c r="AR66" s="100" t="e">
        <f>$J$66</f>
        <v>#DIV/0!</v>
      </c>
      <c r="AS66" s="100" t="e">
        <f>$K$66</f>
        <v>#DIV/0!</v>
      </c>
      <c r="AT66" s="100" t="e">
        <f>$L$66</f>
        <v>#DIV/0!</v>
      </c>
      <c r="AU66" s="100" t="e">
        <f>$M$66</f>
        <v>#DIV/0!</v>
      </c>
      <c r="AV66" s="100" t="e">
        <f>$N$66</f>
        <v>#DIV/0!</v>
      </c>
      <c r="AW66" s="100" t="e">
        <f>$O$66</f>
        <v>#DIV/0!</v>
      </c>
      <c r="AX66" s="100" t="e">
        <f>$P$66</f>
        <v>#DIV/0!</v>
      </c>
      <c r="AY66" s="100" t="e">
        <f>$Q$66</f>
        <v>#DIV/0!</v>
      </c>
      <c r="AZ66" s="100" t="e">
        <f>$R$66</f>
        <v>#DIV/0!</v>
      </c>
      <c r="BA66" s="100" t="e">
        <f>$S$66</f>
        <v>#DIV/0!</v>
      </c>
      <c r="BB66" s="100" t="e">
        <f>$T$66</f>
        <v>#DIV/0!</v>
      </c>
      <c r="BC66" s="100" t="e">
        <f>$U$66</f>
        <v>#DIV/0!</v>
      </c>
      <c r="BD66" s="100" t="e">
        <f>$V$66</f>
        <v>#DIV/0!</v>
      </c>
      <c r="BE66" s="100" t="e">
        <f>$W$66</f>
        <v>#DIV/0!</v>
      </c>
      <c r="BF66" s="100" t="e">
        <f>$X$66</f>
        <v>#DIV/0!</v>
      </c>
      <c r="BG66" s="100" t="e">
        <f>$Y$66</f>
        <v>#DIV/0!</v>
      </c>
      <c r="BH66" s="100" t="e">
        <f>$Z$66</f>
        <v>#DIV/0!</v>
      </c>
      <c r="BI66" s="100" t="e">
        <f>$AA$66</f>
        <v>#DIV/0!</v>
      </c>
      <c r="BJ66" s="100" t="e">
        <f>$AB$66</f>
        <v>#DIV/0!</v>
      </c>
      <c r="BK66" s="100" t="e">
        <f>$AC$66</f>
        <v>#DIV/0!</v>
      </c>
      <c r="BL66" s="100" t="e">
        <f>$AD$66</f>
        <v>#DIV/0!</v>
      </c>
      <c r="BM66" s="100" t="e">
        <f>$AE$66</f>
        <v>#DIV/0!</v>
      </c>
      <c r="BN66" s="100" t="e">
        <f>$AF$66</f>
        <v>#DIV/0!</v>
      </c>
    </row>
    <row r="67" spans="1:66">
      <c r="A67" s="69" t="s">
        <v>185</v>
      </c>
      <c r="B67" s="71" t="s">
        <v>188</v>
      </c>
      <c r="C67" s="100">
        <v>2.4539877300613497</v>
      </c>
      <c r="D67" s="100">
        <v>2.7397260273972601</v>
      </c>
      <c r="E67" s="100">
        <v>2.4922118380062304</v>
      </c>
      <c r="F67" t="e">
        <f t="shared" si="1"/>
        <v>#DIV/0!</v>
      </c>
      <c r="G67" t="e">
        <f t="shared" si="2"/>
        <v>#DIV/0!</v>
      </c>
      <c r="H67" t="e">
        <f t="shared" si="2"/>
        <v>#DIV/0!</v>
      </c>
      <c r="I67" t="e">
        <f t="shared" si="2"/>
        <v>#DIV/0!</v>
      </c>
      <c r="J67" t="e">
        <f t="shared" si="2"/>
        <v>#DIV/0!</v>
      </c>
      <c r="K67" t="e">
        <f t="shared" si="2"/>
        <v>#DIV/0!</v>
      </c>
      <c r="L67" t="e">
        <f t="shared" ref="G67:AF76" si="3">1/0</f>
        <v>#DIV/0!</v>
      </c>
      <c r="M67" t="e">
        <f t="shared" si="3"/>
        <v>#DIV/0!</v>
      </c>
      <c r="N67" t="e">
        <f t="shared" si="3"/>
        <v>#DIV/0!</v>
      </c>
      <c r="O67" t="e">
        <f t="shared" si="3"/>
        <v>#DIV/0!</v>
      </c>
      <c r="P67" t="e">
        <f t="shared" si="3"/>
        <v>#DIV/0!</v>
      </c>
      <c r="Q67" t="e">
        <f t="shared" si="3"/>
        <v>#DIV/0!</v>
      </c>
      <c r="R67" t="e">
        <f t="shared" si="3"/>
        <v>#DIV/0!</v>
      </c>
      <c r="S67" t="e">
        <f t="shared" si="3"/>
        <v>#DIV/0!</v>
      </c>
      <c r="T67" t="e">
        <f t="shared" si="3"/>
        <v>#DIV/0!</v>
      </c>
      <c r="U67" t="e">
        <f t="shared" si="3"/>
        <v>#DIV/0!</v>
      </c>
      <c r="V67" t="e">
        <f t="shared" si="3"/>
        <v>#DIV/0!</v>
      </c>
      <c r="W67" t="e">
        <f t="shared" si="3"/>
        <v>#DIV/0!</v>
      </c>
      <c r="X67" t="e">
        <f t="shared" si="3"/>
        <v>#DIV/0!</v>
      </c>
      <c r="Y67" t="e">
        <f t="shared" si="3"/>
        <v>#DIV/0!</v>
      </c>
      <c r="Z67" t="e">
        <f t="shared" si="3"/>
        <v>#DIV/0!</v>
      </c>
      <c r="AA67" t="e">
        <f t="shared" si="3"/>
        <v>#DIV/0!</v>
      </c>
      <c r="AB67" t="e">
        <f t="shared" si="3"/>
        <v>#DIV/0!</v>
      </c>
      <c r="AC67" t="e">
        <f t="shared" si="3"/>
        <v>#DIV/0!</v>
      </c>
      <c r="AD67" t="e">
        <f t="shared" si="3"/>
        <v>#DIV/0!</v>
      </c>
      <c r="AE67" t="e">
        <f t="shared" si="3"/>
        <v>#DIV/0!</v>
      </c>
      <c r="AF67" t="e">
        <f t="shared" si="3"/>
        <v>#DIV/0!</v>
      </c>
      <c r="AG67" s="82"/>
      <c r="AH67" s="256"/>
      <c r="AI67" s="254"/>
      <c r="AJ67" s="96"/>
      <c r="AK67" s="100">
        <f>$C$67</f>
        <v>2.4539877300613497</v>
      </c>
      <c r="AL67" s="100">
        <f>$D$67</f>
        <v>2.7397260273972601</v>
      </c>
      <c r="AM67" s="100">
        <f>$E$67</f>
        <v>2.4922118380062304</v>
      </c>
      <c r="AN67" s="100" t="e">
        <f>$F$67</f>
        <v>#DIV/0!</v>
      </c>
      <c r="AO67" s="100" t="e">
        <f>$G$67</f>
        <v>#DIV/0!</v>
      </c>
      <c r="AP67" s="100" t="e">
        <f>$H$67</f>
        <v>#DIV/0!</v>
      </c>
      <c r="AQ67" s="100" t="e">
        <f>$I$67</f>
        <v>#DIV/0!</v>
      </c>
      <c r="AR67" s="100" t="e">
        <f>$J$67</f>
        <v>#DIV/0!</v>
      </c>
      <c r="AS67" s="100" t="e">
        <f>$K$67</f>
        <v>#DIV/0!</v>
      </c>
      <c r="AT67" s="100" t="e">
        <f>$L$67</f>
        <v>#DIV/0!</v>
      </c>
      <c r="AU67" s="100" t="e">
        <f>$M$67</f>
        <v>#DIV/0!</v>
      </c>
      <c r="AV67" s="100" t="e">
        <f>$N$67</f>
        <v>#DIV/0!</v>
      </c>
      <c r="AW67" s="100" t="e">
        <f>$O$67</f>
        <v>#DIV/0!</v>
      </c>
      <c r="AX67" s="100" t="e">
        <f>$P$67</f>
        <v>#DIV/0!</v>
      </c>
      <c r="AY67" s="100" t="e">
        <f>$Q$67</f>
        <v>#DIV/0!</v>
      </c>
      <c r="AZ67" s="100" t="e">
        <f>$R$67</f>
        <v>#DIV/0!</v>
      </c>
      <c r="BA67" s="100" t="e">
        <f>$S$67</f>
        <v>#DIV/0!</v>
      </c>
      <c r="BB67" s="100" t="e">
        <f>$T$67</f>
        <v>#DIV/0!</v>
      </c>
      <c r="BC67" s="100" t="e">
        <f>$U$67</f>
        <v>#DIV/0!</v>
      </c>
      <c r="BD67" s="100" t="e">
        <f>$V$67</f>
        <v>#DIV/0!</v>
      </c>
      <c r="BE67" s="100" t="e">
        <f>$W$67</f>
        <v>#DIV/0!</v>
      </c>
      <c r="BF67" s="100" t="e">
        <f>$X$67</f>
        <v>#DIV/0!</v>
      </c>
      <c r="BG67" s="100" t="e">
        <f>$Y$67</f>
        <v>#DIV/0!</v>
      </c>
      <c r="BH67" s="100" t="e">
        <f>$Z$67</f>
        <v>#DIV/0!</v>
      </c>
      <c r="BI67" s="100" t="e">
        <f>$AA$67</f>
        <v>#DIV/0!</v>
      </c>
      <c r="BJ67" s="100" t="e">
        <f>$AB$67</f>
        <v>#DIV/0!</v>
      </c>
      <c r="BK67" s="100" t="e">
        <f>$AC$67</f>
        <v>#DIV/0!</v>
      </c>
      <c r="BL67" s="100" t="e">
        <f>$AD$67</f>
        <v>#DIV/0!</v>
      </c>
      <c r="BM67" s="100" t="e">
        <f>$AE$67</f>
        <v>#DIV/0!</v>
      </c>
      <c r="BN67" s="100" t="e">
        <f>$AF$67</f>
        <v>#DIV/0!</v>
      </c>
    </row>
    <row r="68" spans="1:66">
      <c r="A68" s="69" t="s">
        <v>142</v>
      </c>
      <c r="B68" t="s">
        <v>153</v>
      </c>
      <c r="C68" s="100"/>
      <c r="E68" s="100">
        <v>10.666666666666668</v>
      </c>
      <c r="F68" t="e">
        <f t="shared" si="1"/>
        <v>#DIV/0!</v>
      </c>
      <c r="G68" t="e">
        <f t="shared" si="3"/>
        <v>#DIV/0!</v>
      </c>
      <c r="H68" t="e">
        <f t="shared" si="3"/>
        <v>#DIV/0!</v>
      </c>
      <c r="I68" t="e">
        <f t="shared" si="3"/>
        <v>#DIV/0!</v>
      </c>
      <c r="J68" t="e">
        <f t="shared" si="3"/>
        <v>#DIV/0!</v>
      </c>
      <c r="K68" t="e">
        <f t="shared" si="3"/>
        <v>#DIV/0!</v>
      </c>
      <c r="L68" t="e">
        <f t="shared" si="3"/>
        <v>#DIV/0!</v>
      </c>
      <c r="M68" t="e">
        <f t="shared" si="3"/>
        <v>#DIV/0!</v>
      </c>
      <c r="N68" t="e">
        <f t="shared" si="3"/>
        <v>#DIV/0!</v>
      </c>
      <c r="O68" t="e">
        <f t="shared" si="3"/>
        <v>#DIV/0!</v>
      </c>
      <c r="P68" t="e">
        <f t="shared" si="3"/>
        <v>#DIV/0!</v>
      </c>
      <c r="Q68" t="e">
        <f t="shared" si="3"/>
        <v>#DIV/0!</v>
      </c>
      <c r="R68" t="e">
        <f t="shared" si="3"/>
        <v>#DIV/0!</v>
      </c>
      <c r="S68" t="e">
        <f t="shared" si="3"/>
        <v>#DIV/0!</v>
      </c>
      <c r="T68" t="e">
        <f t="shared" si="3"/>
        <v>#DIV/0!</v>
      </c>
      <c r="U68" t="e">
        <f t="shared" si="3"/>
        <v>#DIV/0!</v>
      </c>
      <c r="V68" t="e">
        <f t="shared" si="3"/>
        <v>#DIV/0!</v>
      </c>
      <c r="W68" t="e">
        <f t="shared" si="3"/>
        <v>#DIV/0!</v>
      </c>
      <c r="X68" t="e">
        <f t="shared" si="3"/>
        <v>#DIV/0!</v>
      </c>
      <c r="Y68" t="e">
        <f t="shared" si="3"/>
        <v>#DIV/0!</v>
      </c>
      <c r="Z68" t="e">
        <f t="shared" si="3"/>
        <v>#DIV/0!</v>
      </c>
      <c r="AA68" t="e">
        <f t="shared" si="3"/>
        <v>#DIV/0!</v>
      </c>
      <c r="AB68" t="e">
        <f t="shared" si="3"/>
        <v>#DIV/0!</v>
      </c>
      <c r="AC68" t="e">
        <f t="shared" si="3"/>
        <v>#DIV/0!</v>
      </c>
      <c r="AD68" t="e">
        <f t="shared" si="3"/>
        <v>#DIV/0!</v>
      </c>
      <c r="AE68" t="e">
        <f t="shared" si="3"/>
        <v>#DIV/0!</v>
      </c>
      <c r="AF68" t="e">
        <f t="shared" si="3"/>
        <v>#DIV/0!</v>
      </c>
      <c r="AG68" s="82"/>
      <c r="AH68" s="242"/>
      <c r="AI68" s="254"/>
      <c r="AJ68" s="96"/>
      <c r="AK68" s="100">
        <f>$C$68</f>
        <v>0</v>
      </c>
      <c r="AL68" s="100">
        <f>$D$68</f>
        <v>0</v>
      </c>
      <c r="AM68" s="100">
        <f>$E$68</f>
        <v>10.666666666666668</v>
      </c>
      <c r="AN68" s="100" t="e">
        <f>$F$68</f>
        <v>#DIV/0!</v>
      </c>
      <c r="AO68" s="100" t="e">
        <f>$G$68</f>
        <v>#DIV/0!</v>
      </c>
      <c r="AP68" s="100" t="e">
        <f>$H$68</f>
        <v>#DIV/0!</v>
      </c>
      <c r="AQ68" s="100" t="e">
        <f>$I$68</f>
        <v>#DIV/0!</v>
      </c>
      <c r="AR68" s="100" t="e">
        <f>$J$68</f>
        <v>#DIV/0!</v>
      </c>
      <c r="AS68" s="100" t="e">
        <f>$K$68</f>
        <v>#DIV/0!</v>
      </c>
      <c r="AT68" s="100" t="e">
        <f>$L$68</f>
        <v>#DIV/0!</v>
      </c>
      <c r="AU68" s="100" t="e">
        <f>$M$68</f>
        <v>#DIV/0!</v>
      </c>
      <c r="AV68" s="100" t="e">
        <f>$N$68</f>
        <v>#DIV/0!</v>
      </c>
      <c r="AW68" s="100" t="e">
        <f>$O$68</f>
        <v>#DIV/0!</v>
      </c>
      <c r="AX68" s="100" t="e">
        <f>$P$68</f>
        <v>#DIV/0!</v>
      </c>
      <c r="AY68" s="100" t="e">
        <f>$Q$68</f>
        <v>#DIV/0!</v>
      </c>
      <c r="AZ68" s="100" t="e">
        <f>$R$68</f>
        <v>#DIV/0!</v>
      </c>
      <c r="BA68" s="100" t="e">
        <f>$S$68</f>
        <v>#DIV/0!</v>
      </c>
      <c r="BB68" s="100" t="e">
        <f>$T$68</f>
        <v>#DIV/0!</v>
      </c>
      <c r="BC68" s="100" t="e">
        <f>$U$68</f>
        <v>#DIV/0!</v>
      </c>
      <c r="BD68" s="100" t="e">
        <f>$V$68</f>
        <v>#DIV/0!</v>
      </c>
      <c r="BE68" s="100" t="e">
        <f>$W$68</f>
        <v>#DIV/0!</v>
      </c>
      <c r="BF68" s="100" t="e">
        <f>$X$68</f>
        <v>#DIV/0!</v>
      </c>
      <c r="BG68" s="100" t="e">
        <f>$Y$68</f>
        <v>#DIV/0!</v>
      </c>
      <c r="BH68" s="100" t="e">
        <f>$Z$68</f>
        <v>#DIV/0!</v>
      </c>
      <c r="BI68" s="100" t="e">
        <f>$AA$68</f>
        <v>#DIV/0!</v>
      </c>
      <c r="BJ68" s="100" t="e">
        <f>$AB$68</f>
        <v>#DIV/0!</v>
      </c>
      <c r="BK68" s="100" t="e">
        <f>$AC$68</f>
        <v>#DIV/0!</v>
      </c>
      <c r="BL68" s="100" t="e">
        <f>$AD$68</f>
        <v>#DIV/0!</v>
      </c>
      <c r="BM68" s="100" t="e">
        <f>$AE$68</f>
        <v>#DIV/0!</v>
      </c>
      <c r="BN68" s="100" t="e">
        <f>$AF$68</f>
        <v>#DIV/0!</v>
      </c>
    </row>
    <row r="69" spans="1:66">
      <c r="A69" s="69" t="s">
        <v>148</v>
      </c>
      <c r="B69" t="s">
        <v>153</v>
      </c>
      <c r="C69" s="100"/>
      <c r="E69" s="100">
        <v>3.0927835051546393</v>
      </c>
      <c r="F69" t="e">
        <f t="shared" si="1"/>
        <v>#DIV/0!</v>
      </c>
      <c r="G69" t="e">
        <f t="shared" si="3"/>
        <v>#DIV/0!</v>
      </c>
      <c r="H69" t="e">
        <f t="shared" si="3"/>
        <v>#DIV/0!</v>
      </c>
      <c r="I69" t="e">
        <f t="shared" si="3"/>
        <v>#DIV/0!</v>
      </c>
      <c r="J69" t="e">
        <f t="shared" si="3"/>
        <v>#DIV/0!</v>
      </c>
      <c r="K69" t="e">
        <f t="shared" si="3"/>
        <v>#DIV/0!</v>
      </c>
      <c r="L69" t="e">
        <f t="shared" si="3"/>
        <v>#DIV/0!</v>
      </c>
      <c r="M69" t="e">
        <f t="shared" si="3"/>
        <v>#DIV/0!</v>
      </c>
      <c r="N69" t="e">
        <f t="shared" si="3"/>
        <v>#DIV/0!</v>
      </c>
      <c r="O69" t="e">
        <f t="shared" si="3"/>
        <v>#DIV/0!</v>
      </c>
      <c r="P69" t="e">
        <f t="shared" si="3"/>
        <v>#DIV/0!</v>
      </c>
      <c r="Q69" t="e">
        <f t="shared" si="3"/>
        <v>#DIV/0!</v>
      </c>
      <c r="R69" t="e">
        <f t="shared" si="3"/>
        <v>#DIV/0!</v>
      </c>
      <c r="S69" t="e">
        <f t="shared" si="3"/>
        <v>#DIV/0!</v>
      </c>
      <c r="T69" t="e">
        <f t="shared" si="3"/>
        <v>#DIV/0!</v>
      </c>
      <c r="U69" t="e">
        <f t="shared" si="3"/>
        <v>#DIV/0!</v>
      </c>
      <c r="V69" t="e">
        <f t="shared" si="3"/>
        <v>#DIV/0!</v>
      </c>
      <c r="W69" t="e">
        <f t="shared" si="3"/>
        <v>#DIV/0!</v>
      </c>
      <c r="X69" t="e">
        <f t="shared" si="3"/>
        <v>#DIV/0!</v>
      </c>
      <c r="Y69" t="e">
        <f t="shared" si="3"/>
        <v>#DIV/0!</v>
      </c>
      <c r="Z69" t="e">
        <f t="shared" si="3"/>
        <v>#DIV/0!</v>
      </c>
      <c r="AA69" t="e">
        <f t="shared" si="3"/>
        <v>#DIV/0!</v>
      </c>
      <c r="AB69" t="e">
        <f t="shared" si="3"/>
        <v>#DIV/0!</v>
      </c>
      <c r="AC69" t="e">
        <f t="shared" si="3"/>
        <v>#DIV/0!</v>
      </c>
      <c r="AD69" t="e">
        <f t="shared" si="3"/>
        <v>#DIV/0!</v>
      </c>
      <c r="AE69" t="e">
        <f t="shared" si="3"/>
        <v>#DIV/0!</v>
      </c>
      <c r="AF69" t="e">
        <f t="shared" si="3"/>
        <v>#DIV/0!</v>
      </c>
      <c r="AG69" s="82"/>
      <c r="AJ69" s="82"/>
      <c r="AK69" s="100">
        <f>$C$69</f>
        <v>0</v>
      </c>
      <c r="AL69" s="100">
        <f>$D$69</f>
        <v>0</v>
      </c>
      <c r="AM69" s="100">
        <f>$E$69</f>
        <v>3.0927835051546393</v>
      </c>
      <c r="AN69" s="100" t="e">
        <f>$F$69</f>
        <v>#DIV/0!</v>
      </c>
      <c r="AO69" s="100" t="e">
        <f>$G$69</f>
        <v>#DIV/0!</v>
      </c>
      <c r="AP69" s="100" t="e">
        <f>$H$69</f>
        <v>#DIV/0!</v>
      </c>
      <c r="AQ69" s="100" t="e">
        <f>$I$69</f>
        <v>#DIV/0!</v>
      </c>
      <c r="AR69" s="100" t="e">
        <f>$J$69</f>
        <v>#DIV/0!</v>
      </c>
      <c r="AS69" s="100" t="e">
        <f>$K$69</f>
        <v>#DIV/0!</v>
      </c>
      <c r="AT69" s="100" t="e">
        <f>$L$69</f>
        <v>#DIV/0!</v>
      </c>
      <c r="AU69" s="100" t="e">
        <f>$M$69</f>
        <v>#DIV/0!</v>
      </c>
      <c r="AV69" s="100" t="e">
        <f>$N$69</f>
        <v>#DIV/0!</v>
      </c>
      <c r="AW69" s="100" t="e">
        <f>$O$69</f>
        <v>#DIV/0!</v>
      </c>
      <c r="AX69" s="100" t="e">
        <f>$P$69</f>
        <v>#DIV/0!</v>
      </c>
      <c r="AY69" s="100" t="e">
        <f>$Q$69</f>
        <v>#DIV/0!</v>
      </c>
      <c r="AZ69" s="100" t="e">
        <f>$R$69</f>
        <v>#DIV/0!</v>
      </c>
      <c r="BA69" s="100" t="e">
        <f>$S$69</f>
        <v>#DIV/0!</v>
      </c>
      <c r="BB69" s="100" t="e">
        <f>$T$69</f>
        <v>#DIV/0!</v>
      </c>
      <c r="BC69" s="100" t="e">
        <f>$U$69</f>
        <v>#DIV/0!</v>
      </c>
      <c r="BD69" s="100" t="e">
        <f>$V$69</f>
        <v>#DIV/0!</v>
      </c>
      <c r="BE69" s="100" t="e">
        <f>$W$69</f>
        <v>#DIV/0!</v>
      </c>
      <c r="BF69" s="100" t="e">
        <f>$X$69</f>
        <v>#DIV/0!</v>
      </c>
      <c r="BG69" s="100" t="e">
        <f>$Y$69</f>
        <v>#DIV/0!</v>
      </c>
      <c r="BH69" s="100" t="e">
        <f>$Z$69</f>
        <v>#DIV/0!</v>
      </c>
      <c r="BI69" s="100" t="e">
        <f>$AA$69</f>
        <v>#DIV/0!</v>
      </c>
      <c r="BJ69" s="100" t="e">
        <f>$AB$69</f>
        <v>#DIV/0!</v>
      </c>
      <c r="BK69" s="100" t="e">
        <f>$AC$69</f>
        <v>#DIV/0!</v>
      </c>
      <c r="BL69" s="100" t="e">
        <f>$AD$69</f>
        <v>#DIV/0!</v>
      </c>
      <c r="BM69" s="100" t="e">
        <f>$AE$69</f>
        <v>#DIV/0!</v>
      </c>
      <c r="BN69" s="100" t="e">
        <f>$AF$69</f>
        <v>#DIV/0!</v>
      </c>
    </row>
    <row r="70" spans="1:66" ht="23.65" thickBot="1">
      <c r="A70" s="69" t="s">
        <v>156</v>
      </c>
      <c r="B70" s="71" t="s">
        <v>158</v>
      </c>
      <c r="C70" s="100">
        <v>5.384615384615385</v>
      </c>
      <c r="D70" s="100">
        <v>4.296875</v>
      </c>
      <c r="E70" s="100">
        <v>5.1625239005736141</v>
      </c>
      <c r="F70" t="e">
        <f t="shared" si="1"/>
        <v>#DIV/0!</v>
      </c>
      <c r="G70" t="e">
        <f t="shared" si="3"/>
        <v>#DIV/0!</v>
      </c>
      <c r="H70" t="e">
        <f t="shared" si="3"/>
        <v>#DIV/0!</v>
      </c>
      <c r="I70" t="e">
        <f t="shared" si="3"/>
        <v>#DIV/0!</v>
      </c>
      <c r="J70" t="e">
        <f t="shared" si="3"/>
        <v>#DIV/0!</v>
      </c>
      <c r="K70" t="e">
        <f t="shared" si="3"/>
        <v>#DIV/0!</v>
      </c>
      <c r="L70" t="e">
        <f t="shared" si="3"/>
        <v>#DIV/0!</v>
      </c>
      <c r="M70" t="e">
        <f t="shared" si="3"/>
        <v>#DIV/0!</v>
      </c>
      <c r="N70" t="e">
        <f t="shared" si="3"/>
        <v>#DIV/0!</v>
      </c>
      <c r="O70" t="e">
        <f t="shared" si="3"/>
        <v>#DIV/0!</v>
      </c>
      <c r="P70" t="e">
        <f t="shared" si="3"/>
        <v>#DIV/0!</v>
      </c>
      <c r="Q70" t="e">
        <f t="shared" si="3"/>
        <v>#DIV/0!</v>
      </c>
      <c r="R70" t="e">
        <f t="shared" si="3"/>
        <v>#DIV/0!</v>
      </c>
      <c r="S70" t="e">
        <f t="shared" si="3"/>
        <v>#DIV/0!</v>
      </c>
      <c r="T70" t="e">
        <f t="shared" si="3"/>
        <v>#DIV/0!</v>
      </c>
      <c r="U70" t="e">
        <f t="shared" si="3"/>
        <v>#DIV/0!</v>
      </c>
      <c r="V70" t="e">
        <f t="shared" si="3"/>
        <v>#DIV/0!</v>
      </c>
      <c r="W70" t="e">
        <f t="shared" si="3"/>
        <v>#DIV/0!</v>
      </c>
      <c r="X70" t="e">
        <f t="shared" si="3"/>
        <v>#DIV/0!</v>
      </c>
      <c r="Y70" t="e">
        <f t="shared" si="3"/>
        <v>#DIV/0!</v>
      </c>
      <c r="Z70" t="e">
        <f t="shared" si="3"/>
        <v>#DIV/0!</v>
      </c>
      <c r="AA70" t="e">
        <f t="shared" si="3"/>
        <v>#DIV/0!</v>
      </c>
      <c r="AB70" t="e">
        <f t="shared" si="3"/>
        <v>#DIV/0!</v>
      </c>
      <c r="AC70" t="e">
        <f t="shared" si="3"/>
        <v>#DIV/0!</v>
      </c>
      <c r="AD70" t="e">
        <f t="shared" si="3"/>
        <v>#DIV/0!</v>
      </c>
      <c r="AE70" t="e">
        <f t="shared" si="3"/>
        <v>#DIV/0!</v>
      </c>
      <c r="AF70" t="e">
        <f t="shared" si="3"/>
        <v>#DIV/0!</v>
      </c>
      <c r="AG70" s="82"/>
      <c r="AH70" s="318" t="s">
        <v>46</v>
      </c>
      <c r="AI70" s="318"/>
      <c r="AJ70" s="82"/>
      <c r="AK70" s="100">
        <f>$C$70</f>
        <v>5.384615384615385</v>
      </c>
      <c r="AL70" s="100">
        <f>$D$70</f>
        <v>4.296875</v>
      </c>
      <c r="AM70" s="100">
        <f>$E$70</f>
        <v>5.1625239005736141</v>
      </c>
      <c r="AN70" s="100" t="e">
        <f>$F$70</f>
        <v>#DIV/0!</v>
      </c>
      <c r="AO70" s="100" t="e">
        <f>$G$70</f>
        <v>#DIV/0!</v>
      </c>
      <c r="AP70" s="100" t="e">
        <f>$H$70</f>
        <v>#DIV/0!</v>
      </c>
      <c r="AQ70" s="100" t="e">
        <f>$I$70</f>
        <v>#DIV/0!</v>
      </c>
      <c r="AR70" s="100" t="e">
        <f>$J$70</f>
        <v>#DIV/0!</v>
      </c>
      <c r="AS70" s="100" t="e">
        <f>$K$70</f>
        <v>#DIV/0!</v>
      </c>
      <c r="AT70" s="100" t="e">
        <f>$L$70</f>
        <v>#DIV/0!</v>
      </c>
      <c r="AU70" s="100" t="e">
        <f>$M$70</f>
        <v>#DIV/0!</v>
      </c>
      <c r="AV70" s="100" t="e">
        <f>$N$70</f>
        <v>#DIV/0!</v>
      </c>
      <c r="AW70" s="100" t="e">
        <f>$O$70</f>
        <v>#DIV/0!</v>
      </c>
      <c r="AX70" s="100" t="e">
        <f>$P$70</f>
        <v>#DIV/0!</v>
      </c>
      <c r="AY70" s="100" t="e">
        <f>$Q$70</f>
        <v>#DIV/0!</v>
      </c>
      <c r="AZ70" s="100" t="e">
        <f>$R$70</f>
        <v>#DIV/0!</v>
      </c>
      <c r="BA70" s="100" t="e">
        <f>$S$70</f>
        <v>#DIV/0!</v>
      </c>
      <c r="BB70" s="100" t="e">
        <f>$T$70</f>
        <v>#DIV/0!</v>
      </c>
      <c r="BC70" s="100" t="e">
        <f>$U$70</f>
        <v>#DIV/0!</v>
      </c>
      <c r="BD70" s="100" t="e">
        <f>$V$70</f>
        <v>#DIV/0!</v>
      </c>
      <c r="BE70" s="100" t="e">
        <f>$W$70</f>
        <v>#DIV/0!</v>
      </c>
      <c r="BF70" s="100" t="e">
        <f>$X$70</f>
        <v>#DIV/0!</v>
      </c>
      <c r="BG70" s="100" t="e">
        <f>$Y$70</f>
        <v>#DIV/0!</v>
      </c>
      <c r="BH70" s="100" t="e">
        <f>$Z$70</f>
        <v>#DIV/0!</v>
      </c>
      <c r="BI70" s="100" t="e">
        <f>$AA$70</f>
        <v>#DIV/0!</v>
      </c>
      <c r="BJ70" s="100" t="e">
        <f>$AB$70</f>
        <v>#DIV/0!</v>
      </c>
      <c r="BK70" s="100" t="e">
        <f>$AC$70</f>
        <v>#DIV/0!</v>
      </c>
      <c r="BL70" s="100" t="e">
        <f>$AD$70</f>
        <v>#DIV/0!</v>
      </c>
      <c r="BM70" s="100" t="e">
        <f>$AE$70</f>
        <v>#DIV/0!</v>
      </c>
      <c r="BN70" s="100" t="e">
        <f>$AF$70</f>
        <v>#DIV/0!</v>
      </c>
    </row>
    <row r="71" spans="1:66">
      <c r="A71" s="69" t="s">
        <v>149</v>
      </c>
      <c r="B71" t="s">
        <v>153</v>
      </c>
      <c r="C71" s="100">
        <v>6.557377049180328</v>
      </c>
      <c r="D71" s="100">
        <v>3.7735849056603774</v>
      </c>
      <c r="E71" s="100">
        <v>5.1282051282051277</v>
      </c>
      <c r="F71" t="e">
        <f t="shared" si="1"/>
        <v>#DIV/0!</v>
      </c>
      <c r="G71" t="e">
        <f t="shared" si="3"/>
        <v>#DIV/0!</v>
      </c>
      <c r="H71" t="e">
        <f t="shared" si="3"/>
        <v>#DIV/0!</v>
      </c>
      <c r="I71" t="e">
        <f t="shared" si="3"/>
        <v>#DIV/0!</v>
      </c>
      <c r="J71" t="e">
        <f t="shared" si="3"/>
        <v>#DIV/0!</v>
      </c>
      <c r="K71" t="e">
        <f t="shared" si="3"/>
        <v>#DIV/0!</v>
      </c>
      <c r="L71" t="e">
        <f t="shared" si="3"/>
        <v>#DIV/0!</v>
      </c>
      <c r="M71" t="e">
        <f t="shared" si="3"/>
        <v>#DIV/0!</v>
      </c>
      <c r="N71" t="e">
        <f t="shared" si="3"/>
        <v>#DIV/0!</v>
      </c>
      <c r="O71" t="e">
        <f t="shared" si="3"/>
        <v>#DIV/0!</v>
      </c>
      <c r="P71" t="e">
        <f t="shared" si="3"/>
        <v>#DIV/0!</v>
      </c>
      <c r="Q71" t="e">
        <f t="shared" si="3"/>
        <v>#DIV/0!</v>
      </c>
      <c r="R71" t="e">
        <f t="shared" si="3"/>
        <v>#DIV/0!</v>
      </c>
      <c r="S71" t="e">
        <f t="shared" si="3"/>
        <v>#DIV/0!</v>
      </c>
      <c r="T71" t="e">
        <f t="shared" si="3"/>
        <v>#DIV/0!</v>
      </c>
      <c r="U71" t="e">
        <f t="shared" si="3"/>
        <v>#DIV/0!</v>
      </c>
      <c r="V71" t="e">
        <f t="shared" si="3"/>
        <v>#DIV/0!</v>
      </c>
      <c r="W71" t="e">
        <f t="shared" si="3"/>
        <v>#DIV/0!</v>
      </c>
      <c r="X71" t="e">
        <f t="shared" si="3"/>
        <v>#DIV/0!</v>
      </c>
      <c r="Y71" t="e">
        <f t="shared" si="3"/>
        <v>#DIV/0!</v>
      </c>
      <c r="Z71" t="e">
        <f t="shared" si="3"/>
        <v>#DIV/0!</v>
      </c>
      <c r="AA71" t="e">
        <f t="shared" si="3"/>
        <v>#DIV/0!</v>
      </c>
      <c r="AB71" t="e">
        <f t="shared" si="3"/>
        <v>#DIV/0!</v>
      </c>
      <c r="AC71" t="e">
        <f t="shared" si="3"/>
        <v>#DIV/0!</v>
      </c>
      <c r="AD71" t="e">
        <f t="shared" si="3"/>
        <v>#DIV/0!</v>
      </c>
      <c r="AE71" t="e">
        <f t="shared" si="3"/>
        <v>#DIV/0!</v>
      </c>
      <c r="AF71" t="e">
        <f t="shared" si="3"/>
        <v>#DIV/0!</v>
      </c>
      <c r="AG71" s="82"/>
      <c r="AH71" s="319" t="s">
        <v>66</v>
      </c>
      <c r="AI71" s="320"/>
      <c r="AJ71" s="82"/>
      <c r="AK71" s="100">
        <f>$C$71</f>
        <v>6.557377049180328</v>
      </c>
      <c r="AL71" s="100">
        <f>$D$71</f>
        <v>3.7735849056603774</v>
      </c>
      <c r="AM71" s="100">
        <f>$E$71</f>
        <v>5.1282051282051277</v>
      </c>
      <c r="AN71" s="100" t="e">
        <f>$F$71</f>
        <v>#DIV/0!</v>
      </c>
      <c r="AO71" s="100" t="e">
        <f>$G$71</f>
        <v>#DIV/0!</v>
      </c>
      <c r="AP71" s="100" t="e">
        <f>$H$71</f>
        <v>#DIV/0!</v>
      </c>
      <c r="AQ71" s="100" t="e">
        <f>$I$71</f>
        <v>#DIV/0!</v>
      </c>
      <c r="AR71" s="100" t="e">
        <f>$J$71</f>
        <v>#DIV/0!</v>
      </c>
      <c r="AS71" s="100" t="e">
        <f>$K$71</f>
        <v>#DIV/0!</v>
      </c>
      <c r="AT71" s="100" t="e">
        <f>$L$71</f>
        <v>#DIV/0!</v>
      </c>
      <c r="AU71" s="100" t="e">
        <f>$M$71</f>
        <v>#DIV/0!</v>
      </c>
      <c r="AV71" s="100" t="e">
        <f>$N$71</f>
        <v>#DIV/0!</v>
      </c>
      <c r="AW71" s="100" t="e">
        <f>$O$71</f>
        <v>#DIV/0!</v>
      </c>
      <c r="AX71" s="100" t="e">
        <f>$P$71</f>
        <v>#DIV/0!</v>
      </c>
      <c r="AY71" s="100" t="e">
        <f>$Q$71</f>
        <v>#DIV/0!</v>
      </c>
      <c r="AZ71" s="100" t="e">
        <f>$R$71</f>
        <v>#DIV/0!</v>
      </c>
      <c r="BA71" s="100" t="e">
        <f>$S$71</f>
        <v>#DIV/0!</v>
      </c>
      <c r="BB71" s="100" t="e">
        <f>$T$71</f>
        <v>#DIV/0!</v>
      </c>
      <c r="BC71" s="100" t="e">
        <f>$U$71</f>
        <v>#DIV/0!</v>
      </c>
      <c r="BD71" s="100" t="e">
        <f>$V$71</f>
        <v>#DIV/0!</v>
      </c>
      <c r="BE71" s="100" t="e">
        <f>$W$71</f>
        <v>#DIV/0!</v>
      </c>
      <c r="BF71" s="100" t="e">
        <f>$X$71</f>
        <v>#DIV/0!</v>
      </c>
      <c r="BG71" s="100" t="e">
        <f>$Y$71</f>
        <v>#DIV/0!</v>
      </c>
      <c r="BH71" s="100" t="e">
        <f>$Z$71</f>
        <v>#DIV/0!</v>
      </c>
      <c r="BI71" s="100" t="e">
        <f>$AA$71</f>
        <v>#DIV/0!</v>
      </c>
      <c r="BJ71" s="100" t="e">
        <f>$AB$71</f>
        <v>#DIV/0!</v>
      </c>
      <c r="BK71" s="100" t="e">
        <f>$AC$71</f>
        <v>#DIV/0!</v>
      </c>
      <c r="BL71" s="100" t="e">
        <f>$AD$71</f>
        <v>#DIV/0!</v>
      </c>
      <c r="BM71" s="100" t="e">
        <f>$AE$71</f>
        <v>#DIV/0!</v>
      </c>
      <c r="BN71" s="100" t="e">
        <f>$AF$71</f>
        <v>#DIV/0!</v>
      </c>
    </row>
    <row r="72" spans="1:66">
      <c r="A72" s="69" t="s">
        <v>157</v>
      </c>
      <c r="B72" s="71" t="s">
        <v>158</v>
      </c>
      <c r="C72" s="100">
        <v>3.2085561497326207</v>
      </c>
      <c r="D72" s="100">
        <v>3.5502958579881656</v>
      </c>
      <c r="E72" s="100">
        <v>3.278688524590164</v>
      </c>
      <c r="F72" t="e">
        <f t="shared" si="1"/>
        <v>#DIV/0!</v>
      </c>
      <c r="G72" t="e">
        <f t="shared" si="3"/>
        <v>#DIV/0!</v>
      </c>
      <c r="H72" t="e">
        <f t="shared" si="3"/>
        <v>#DIV/0!</v>
      </c>
      <c r="I72" t="e">
        <f t="shared" si="3"/>
        <v>#DIV/0!</v>
      </c>
      <c r="J72" t="e">
        <f t="shared" si="3"/>
        <v>#DIV/0!</v>
      </c>
      <c r="K72" t="e">
        <f t="shared" si="3"/>
        <v>#DIV/0!</v>
      </c>
      <c r="L72" t="e">
        <f t="shared" si="3"/>
        <v>#DIV/0!</v>
      </c>
      <c r="M72" t="e">
        <f t="shared" si="3"/>
        <v>#DIV/0!</v>
      </c>
      <c r="N72" t="e">
        <f t="shared" si="3"/>
        <v>#DIV/0!</v>
      </c>
      <c r="O72" t="e">
        <f t="shared" si="3"/>
        <v>#DIV/0!</v>
      </c>
      <c r="P72" t="e">
        <f t="shared" si="3"/>
        <v>#DIV/0!</v>
      </c>
      <c r="Q72" t="e">
        <f t="shared" si="3"/>
        <v>#DIV/0!</v>
      </c>
      <c r="R72" t="e">
        <f t="shared" si="3"/>
        <v>#DIV/0!</v>
      </c>
      <c r="S72" t="e">
        <f t="shared" si="3"/>
        <v>#DIV/0!</v>
      </c>
      <c r="T72" t="e">
        <f t="shared" si="3"/>
        <v>#DIV/0!</v>
      </c>
      <c r="U72" t="e">
        <f t="shared" si="3"/>
        <v>#DIV/0!</v>
      </c>
      <c r="V72" t="e">
        <f t="shared" si="3"/>
        <v>#DIV/0!</v>
      </c>
      <c r="W72" t="e">
        <f t="shared" si="3"/>
        <v>#DIV/0!</v>
      </c>
      <c r="X72" t="e">
        <f t="shared" si="3"/>
        <v>#DIV/0!</v>
      </c>
      <c r="Y72" t="e">
        <f t="shared" si="3"/>
        <v>#DIV/0!</v>
      </c>
      <c r="Z72" t="e">
        <f t="shared" si="3"/>
        <v>#DIV/0!</v>
      </c>
      <c r="AA72" t="e">
        <f t="shared" si="3"/>
        <v>#DIV/0!</v>
      </c>
      <c r="AB72" t="e">
        <f t="shared" si="3"/>
        <v>#DIV/0!</v>
      </c>
      <c r="AC72" t="e">
        <f t="shared" si="3"/>
        <v>#DIV/0!</v>
      </c>
      <c r="AD72" t="e">
        <f t="shared" si="3"/>
        <v>#DIV/0!</v>
      </c>
      <c r="AE72" t="e">
        <f t="shared" si="3"/>
        <v>#DIV/0!</v>
      </c>
      <c r="AF72" t="e">
        <f t="shared" si="3"/>
        <v>#DIV/0!</v>
      </c>
      <c r="AG72" s="82"/>
      <c r="AH72" s="56" t="s">
        <v>61</v>
      </c>
      <c r="AI72" s="56" t="s">
        <v>62</v>
      </c>
      <c r="AJ72" s="82"/>
      <c r="AK72" s="100">
        <f>$C$72</f>
        <v>3.2085561497326207</v>
      </c>
      <c r="AL72" s="100">
        <f>$D$72</f>
        <v>3.5502958579881656</v>
      </c>
      <c r="AM72" s="100">
        <f>$E$72</f>
        <v>3.278688524590164</v>
      </c>
      <c r="AN72" s="100" t="e">
        <f>$F$72</f>
        <v>#DIV/0!</v>
      </c>
      <c r="AO72" s="100" t="e">
        <f>$G$72</f>
        <v>#DIV/0!</v>
      </c>
      <c r="AP72" s="100" t="e">
        <f>$H$72</f>
        <v>#DIV/0!</v>
      </c>
      <c r="AQ72" s="100" t="e">
        <f>$I$72</f>
        <v>#DIV/0!</v>
      </c>
      <c r="AR72" s="100" t="e">
        <f>$J$72</f>
        <v>#DIV/0!</v>
      </c>
      <c r="AS72" s="100" t="e">
        <f>$K$72</f>
        <v>#DIV/0!</v>
      </c>
      <c r="AT72" s="100" t="e">
        <f>$L$72</f>
        <v>#DIV/0!</v>
      </c>
      <c r="AU72" s="100" t="e">
        <f>$M$72</f>
        <v>#DIV/0!</v>
      </c>
      <c r="AV72" s="100" t="e">
        <f>$N$72</f>
        <v>#DIV/0!</v>
      </c>
      <c r="AW72" s="100" t="e">
        <f>$O$72</f>
        <v>#DIV/0!</v>
      </c>
      <c r="AX72" s="100" t="e">
        <f>$P$72</f>
        <v>#DIV/0!</v>
      </c>
      <c r="AY72" s="100" t="e">
        <f>$Q$72</f>
        <v>#DIV/0!</v>
      </c>
      <c r="AZ72" s="100" t="e">
        <f>$R$72</f>
        <v>#DIV/0!</v>
      </c>
      <c r="BA72" s="100" t="e">
        <f>$S$72</f>
        <v>#DIV/0!</v>
      </c>
      <c r="BB72" s="100" t="e">
        <f>$T$72</f>
        <v>#DIV/0!</v>
      </c>
      <c r="BC72" s="100" t="e">
        <f>$U$72</f>
        <v>#DIV/0!</v>
      </c>
      <c r="BD72" s="100" t="e">
        <f>$V$72</f>
        <v>#DIV/0!</v>
      </c>
      <c r="BE72" s="100" t="e">
        <f>$W$72</f>
        <v>#DIV/0!</v>
      </c>
      <c r="BF72" s="100" t="e">
        <f>$X$72</f>
        <v>#DIV/0!</v>
      </c>
      <c r="BG72" s="100" t="e">
        <f>$Y$72</f>
        <v>#DIV/0!</v>
      </c>
      <c r="BH72" s="100" t="e">
        <f>$Z$72</f>
        <v>#DIV/0!</v>
      </c>
      <c r="BI72" s="100" t="e">
        <f>$AA$72</f>
        <v>#DIV/0!</v>
      </c>
      <c r="BJ72" s="100" t="e">
        <f>$AB$72</f>
        <v>#DIV/0!</v>
      </c>
      <c r="BK72" s="100" t="e">
        <f>$AC$72</f>
        <v>#DIV/0!</v>
      </c>
      <c r="BL72" s="100" t="e">
        <f>$AD$72</f>
        <v>#DIV/0!</v>
      </c>
      <c r="BM72" s="100" t="e">
        <f>$AE$72</f>
        <v>#DIV/0!</v>
      </c>
      <c r="BN72" s="100" t="e">
        <f>$AF$72</f>
        <v>#DIV/0!</v>
      </c>
    </row>
    <row r="73" spans="1:66">
      <c r="A73" s="69" t="s">
        <v>172</v>
      </c>
      <c r="B73" s="71" t="s">
        <v>178</v>
      </c>
      <c r="C73" s="100">
        <v>1.2345679012345678</v>
      </c>
      <c r="D73" s="100">
        <v>1.1363636363636365</v>
      </c>
      <c r="E73" s="100">
        <v>1.1627906976744187</v>
      </c>
      <c r="F73" t="e">
        <f t="shared" si="1"/>
        <v>#DIV/0!</v>
      </c>
      <c r="G73" t="e">
        <f t="shared" si="3"/>
        <v>#DIV/0!</v>
      </c>
      <c r="H73" t="e">
        <f t="shared" si="3"/>
        <v>#DIV/0!</v>
      </c>
      <c r="I73" t="e">
        <f t="shared" si="3"/>
        <v>#DIV/0!</v>
      </c>
      <c r="J73" t="e">
        <f t="shared" si="3"/>
        <v>#DIV/0!</v>
      </c>
      <c r="K73" t="e">
        <f t="shared" si="3"/>
        <v>#DIV/0!</v>
      </c>
      <c r="L73" t="e">
        <f t="shared" si="3"/>
        <v>#DIV/0!</v>
      </c>
      <c r="M73" t="e">
        <f t="shared" si="3"/>
        <v>#DIV/0!</v>
      </c>
      <c r="N73" t="e">
        <f t="shared" si="3"/>
        <v>#DIV/0!</v>
      </c>
      <c r="O73" t="e">
        <f t="shared" si="3"/>
        <v>#DIV/0!</v>
      </c>
      <c r="P73" t="e">
        <f t="shared" si="3"/>
        <v>#DIV/0!</v>
      </c>
      <c r="Q73" t="e">
        <f t="shared" si="3"/>
        <v>#DIV/0!</v>
      </c>
      <c r="R73" t="e">
        <f t="shared" si="3"/>
        <v>#DIV/0!</v>
      </c>
      <c r="S73" t="e">
        <f t="shared" si="3"/>
        <v>#DIV/0!</v>
      </c>
      <c r="T73" t="e">
        <f t="shared" si="3"/>
        <v>#DIV/0!</v>
      </c>
      <c r="U73" t="e">
        <f t="shared" si="3"/>
        <v>#DIV/0!</v>
      </c>
      <c r="V73" t="e">
        <f t="shared" si="3"/>
        <v>#DIV/0!</v>
      </c>
      <c r="W73" t="e">
        <f t="shared" si="3"/>
        <v>#DIV/0!</v>
      </c>
      <c r="X73" t="e">
        <f t="shared" si="3"/>
        <v>#DIV/0!</v>
      </c>
      <c r="Y73" t="e">
        <f t="shared" si="3"/>
        <v>#DIV/0!</v>
      </c>
      <c r="Z73" t="e">
        <f t="shared" si="3"/>
        <v>#DIV/0!</v>
      </c>
      <c r="AA73" t="e">
        <f t="shared" si="3"/>
        <v>#DIV/0!</v>
      </c>
      <c r="AB73" t="e">
        <f t="shared" si="3"/>
        <v>#DIV/0!</v>
      </c>
      <c r="AC73" t="e">
        <f t="shared" si="3"/>
        <v>#DIV/0!</v>
      </c>
      <c r="AD73" t="e">
        <f t="shared" si="3"/>
        <v>#DIV/0!</v>
      </c>
      <c r="AE73" t="e">
        <f t="shared" si="3"/>
        <v>#DIV/0!</v>
      </c>
      <c r="AF73" t="e">
        <f t="shared" si="3"/>
        <v>#DIV/0!</v>
      </c>
      <c r="AG73" s="82"/>
      <c r="AH73" s="244" t="s">
        <v>392</v>
      </c>
      <c r="AI73" s="244" t="s">
        <v>448</v>
      </c>
      <c r="AJ73" s="82"/>
      <c r="AK73" s="100">
        <f>$C$73</f>
        <v>1.2345679012345678</v>
      </c>
      <c r="AL73" s="100">
        <f>$D$73</f>
        <v>1.1363636363636365</v>
      </c>
      <c r="AM73" s="100">
        <f>$E$73</f>
        <v>1.1627906976744187</v>
      </c>
      <c r="AN73" s="100" t="e">
        <f>$F$73</f>
        <v>#DIV/0!</v>
      </c>
      <c r="AO73" s="100" t="e">
        <f>$G$73</f>
        <v>#DIV/0!</v>
      </c>
      <c r="AP73" s="100" t="e">
        <f>$H$73</f>
        <v>#DIV/0!</v>
      </c>
      <c r="AQ73" s="100" t="e">
        <f>$I$73</f>
        <v>#DIV/0!</v>
      </c>
      <c r="AR73" s="100" t="e">
        <f>$J$73</f>
        <v>#DIV/0!</v>
      </c>
      <c r="AS73" s="100" t="e">
        <f>$K$73</f>
        <v>#DIV/0!</v>
      </c>
      <c r="AT73" s="100" t="e">
        <f>$L$73</f>
        <v>#DIV/0!</v>
      </c>
      <c r="AU73" s="100" t="e">
        <f>$M$73</f>
        <v>#DIV/0!</v>
      </c>
      <c r="AV73" s="100" t="e">
        <f>$N$73</f>
        <v>#DIV/0!</v>
      </c>
      <c r="AW73" s="100" t="e">
        <f>$O$73</f>
        <v>#DIV/0!</v>
      </c>
      <c r="AX73" s="100" t="e">
        <f>$P$73</f>
        <v>#DIV/0!</v>
      </c>
      <c r="AY73" s="100" t="e">
        <f>$Q$73</f>
        <v>#DIV/0!</v>
      </c>
      <c r="AZ73" s="100" t="e">
        <f>$R$73</f>
        <v>#DIV/0!</v>
      </c>
      <c r="BA73" s="100" t="e">
        <f>$S$73</f>
        <v>#DIV/0!</v>
      </c>
      <c r="BB73" s="100" t="e">
        <f>$T$73</f>
        <v>#DIV/0!</v>
      </c>
      <c r="BC73" s="100" t="e">
        <f>$U$73</f>
        <v>#DIV/0!</v>
      </c>
      <c r="BD73" s="100" t="e">
        <f>$V$73</f>
        <v>#DIV/0!</v>
      </c>
      <c r="BE73" s="100" t="e">
        <f>$W$73</f>
        <v>#DIV/0!</v>
      </c>
      <c r="BF73" s="100" t="e">
        <f>$X$73</f>
        <v>#DIV/0!</v>
      </c>
      <c r="BG73" s="100" t="e">
        <f>$Y$73</f>
        <v>#DIV/0!</v>
      </c>
      <c r="BH73" s="100" t="e">
        <f>$Z$73</f>
        <v>#DIV/0!</v>
      </c>
      <c r="BI73" s="100" t="e">
        <f>$AA$73</f>
        <v>#DIV/0!</v>
      </c>
      <c r="BJ73" s="100" t="e">
        <f>$AB$73</f>
        <v>#DIV/0!</v>
      </c>
      <c r="BK73" s="100" t="e">
        <f>$AC$73</f>
        <v>#DIV/0!</v>
      </c>
      <c r="BL73" s="100" t="e">
        <f>$AD$73</f>
        <v>#DIV/0!</v>
      </c>
      <c r="BM73" s="100" t="e">
        <f>$AE$73</f>
        <v>#DIV/0!</v>
      </c>
      <c r="BN73" s="100" t="e">
        <f>$AF$73</f>
        <v>#DIV/0!</v>
      </c>
    </row>
    <row r="74" spans="1:66">
      <c r="A74" s="69" t="s">
        <v>173</v>
      </c>
      <c r="B74" s="71" t="s">
        <v>178</v>
      </c>
      <c r="C74" s="100">
        <v>5.5045871559633035</v>
      </c>
      <c r="D74" s="100">
        <v>3.5897435897435894</v>
      </c>
      <c r="E74" s="100">
        <v>4.5454545454545459</v>
      </c>
      <c r="F74" t="e">
        <f t="shared" si="1"/>
        <v>#DIV/0!</v>
      </c>
      <c r="G74" t="e">
        <f t="shared" si="3"/>
        <v>#DIV/0!</v>
      </c>
      <c r="H74" t="e">
        <f t="shared" si="3"/>
        <v>#DIV/0!</v>
      </c>
      <c r="I74" t="e">
        <f t="shared" si="3"/>
        <v>#DIV/0!</v>
      </c>
      <c r="J74" t="e">
        <f t="shared" si="3"/>
        <v>#DIV/0!</v>
      </c>
      <c r="K74" t="e">
        <f t="shared" si="3"/>
        <v>#DIV/0!</v>
      </c>
      <c r="L74" t="e">
        <f t="shared" si="3"/>
        <v>#DIV/0!</v>
      </c>
      <c r="M74" t="e">
        <f t="shared" si="3"/>
        <v>#DIV/0!</v>
      </c>
      <c r="N74" t="e">
        <f t="shared" si="3"/>
        <v>#DIV/0!</v>
      </c>
      <c r="O74" t="e">
        <f t="shared" si="3"/>
        <v>#DIV/0!</v>
      </c>
      <c r="P74" t="e">
        <f t="shared" si="3"/>
        <v>#DIV/0!</v>
      </c>
      <c r="Q74" t="e">
        <f t="shared" si="3"/>
        <v>#DIV/0!</v>
      </c>
      <c r="R74" t="e">
        <f t="shared" si="3"/>
        <v>#DIV/0!</v>
      </c>
      <c r="S74" t="e">
        <f t="shared" si="3"/>
        <v>#DIV/0!</v>
      </c>
      <c r="T74" t="e">
        <f t="shared" si="3"/>
        <v>#DIV/0!</v>
      </c>
      <c r="U74" t="e">
        <f t="shared" si="3"/>
        <v>#DIV/0!</v>
      </c>
      <c r="V74" t="e">
        <f t="shared" si="3"/>
        <v>#DIV/0!</v>
      </c>
      <c r="W74" t="e">
        <f t="shared" si="3"/>
        <v>#DIV/0!</v>
      </c>
      <c r="X74" t="e">
        <f t="shared" si="3"/>
        <v>#DIV/0!</v>
      </c>
      <c r="Y74" t="e">
        <f t="shared" si="3"/>
        <v>#DIV/0!</v>
      </c>
      <c r="Z74" t="e">
        <f t="shared" si="3"/>
        <v>#DIV/0!</v>
      </c>
      <c r="AA74" t="e">
        <f t="shared" si="3"/>
        <v>#DIV/0!</v>
      </c>
      <c r="AB74" t="e">
        <f t="shared" si="3"/>
        <v>#DIV/0!</v>
      </c>
      <c r="AC74" t="e">
        <f t="shared" si="3"/>
        <v>#DIV/0!</v>
      </c>
      <c r="AD74" t="e">
        <f t="shared" si="3"/>
        <v>#DIV/0!</v>
      </c>
      <c r="AE74" t="e">
        <f t="shared" si="3"/>
        <v>#DIV/0!</v>
      </c>
      <c r="AF74" t="e">
        <f t="shared" si="3"/>
        <v>#DIV/0!</v>
      </c>
      <c r="AG74" s="82"/>
      <c r="AH74" s="244" t="s">
        <v>393</v>
      </c>
      <c r="AI74" s="244" t="s">
        <v>449</v>
      </c>
      <c r="AJ74" s="82"/>
      <c r="AK74" s="100">
        <f>$C$74</f>
        <v>5.5045871559633035</v>
      </c>
      <c r="AL74" s="100">
        <f>$D$74</f>
        <v>3.5897435897435894</v>
      </c>
      <c r="AM74" s="100">
        <f>$E$74</f>
        <v>4.5454545454545459</v>
      </c>
      <c r="AN74" s="100" t="e">
        <f>$F$74</f>
        <v>#DIV/0!</v>
      </c>
      <c r="AO74" s="100" t="e">
        <f>$G$74</f>
        <v>#DIV/0!</v>
      </c>
      <c r="AP74" s="100" t="e">
        <f>$H$74</f>
        <v>#DIV/0!</v>
      </c>
      <c r="AQ74" s="100" t="e">
        <f>$I$74</f>
        <v>#DIV/0!</v>
      </c>
      <c r="AR74" s="100" t="e">
        <f>$J$74</f>
        <v>#DIV/0!</v>
      </c>
      <c r="AS74" s="100" t="e">
        <f>$K$74</f>
        <v>#DIV/0!</v>
      </c>
      <c r="AT74" s="100" t="e">
        <f>$L$74</f>
        <v>#DIV/0!</v>
      </c>
      <c r="AU74" s="100" t="e">
        <f>$M$74</f>
        <v>#DIV/0!</v>
      </c>
      <c r="AV74" s="100" t="e">
        <f>$N$74</f>
        <v>#DIV/0!</v>
      </c>
      <c r="AW74" s="100" t="e">
        <f>$O$74</f>
        <v>#DIV/0!</v>
      </c>
      <c r="AX74" s="100" t="e">
        <f>$P$74</f>
        <v>#DIV/0!</v>
      </c>
      <c r="AY74" s="100" t="e">
        <f>$Q$74</f>
        <v>#DIV/0!</v>
      </c>
      <c r="AZ74" s="100" t="e">
        <f>$R$74</f>
        <v>#DIV/0!</v>
      </c>
      <c r="BA74" s="100" t="e">
        <f>$S$74</f>
        <v>#DIV/0!</v>
      </c>
      <c r="BB74" s="100" t="e">
        <f>$T$74</f>
        <v>#DIV/0!</v>
      </c>
      <c r="BC74" s="100" t="e">
        <f>$U$74</f>
        <v>#DIV/0!</v>
      </c>
      <c r="BD74" s="100" t="e">
        <f>$V$74</f>
        <v>#DIV/0!</v>
      </c>
      <c r="BE74" s="100" t="e">
        <f>$W$74</f>
        <v>#DIV/0!</v>
      </c>
      <c r="BF74" s="100" t="e">
        <f>$X$74</f>
        <v>#DIV/0!</v>
      </c>
      <c r="BG74" s="100" t="e">
        <f>$Y$74</f>
        <v>#DIV/0!</v>
      </c>
      <c r="BH74" s="100" t="e">
        <f>$Z$74</f>
        <v>#DIV/0!</v>
      </c>
      <c r="BI74" s="100" t="e">
        <f>$AA$74</f>
        <v>#DIV/0!</v>
      </c>
      <c r="BJ74" s="100" t="e">
        <f>$AB$74</f>
        <v>#DIV/0!</v>
      </c>
      <c r="BK74" s="100" t="e">
        <f>$AC$74</f>
        <v>#DIV/0!</v>
      </c>
      <c r="BL74" s="100" t="e">
        <f>$AD$74</f>
        <v>#DIV/0!</v>
      </c>
      <c r="BM74" s="100" t="e">
        <f>$AE$74</f>
        <v>#DIV/0!</v>
      </c>
      <c r="BN74" s="100" t="e">
        <f>$AF$74</f>
        <v>#DIV/0!</v>
      </c>
    </row>
    <row r="75" spans="1:66">
      <c r="A75" s="69" t="s">
        <v>147</v>
      </c>
      <c r="B75" t="s">
        <v>153</v>
      </c>
      <c r="C75" s="100"/>
      <c r="E75" s="100">
        <v>1.5625</v>
      </c>
      <c r="F75" t="e">
        <f t="shared" si="1"/>
        <v>#DIV/0!</v>
      </c>
      <c r="G75" t="e">
        <f t="shared" si="3"/>
        <v>#DIV/0!</v>
      </c>
      <c r="H75" t="e">
        <f t="shared" si="3"/>
        <v>#DIV/0!</v>
      </c>
      <c r="I75" t="e">
        <f t="shared" si="3"/>
        <v>#DIV/0!</v>
      </c>
      <c r="J75" t="e">
        <f t="shared" si="3"/>
        <v>#DIV/0!</v>
      </c>
      <c r="K75" t="e">
        <f t="shared" si="3"/>
        <v>#DIV/0!</v>
      </c>
      <c r="L75" t="e">
        <f t="shared" si="3"/>
        <v>#DIV/0!</v>
      </c>
      <c r="M75" t="e">
        <f t="shared" si="3"/>
        <v>#DIV/0!</v>
      </c>
      <c r="N75" t="e">
        <f t="shared" si="3"/>
        <v>#DIV/0!</v>
      </c>
      <c r="O75" t="e">
        <f t="shared" si="3"/>
        <v>#DIV/0!</v>
      </c>
      <c r="P75" t="e">
        <f t="shared" si="3"/>
        <v>#DIV/0!</v>
      </c>
      <c r="Q75" t="e">
        <f t="shared" si="3"/>
        <v>#DIV/0!</v>
      </c>
      <c r="R75" t="e">
        <f t="shared" si="3"/>
        <v>#DIV/0!</v>
      </c>
      <c r="S75" t="e">
        <f t="shared" si="3"/>
        <v>#DIV/0!</v>
      </c>
      <c r="T75" t="e">
        <f t="shared" si="3"/>
        <v>#DIV/0!</v>
      </c>
      <c r="U75" t="e">
        <f t="shared" si="3"/>
        <v>#DIV/0!</v>
      </c>
      <c r="V75" t="e">
        <f t="shared" si="3"/>
        <v>#DIV/0!</v>
      </c>
      <c r="W75" t="e">
        <f t="shared" si="3"/>
        <v>#DIV/0!</v>
      </c>
      <c r="X75" t="e">
        <f t="shared" si="3"/>
        <v>#DIV/0!</v>
      </c>
      <c r="Y75" t="e">
        <f t="shared" si="3"/>
        <v>#DIV/0!</v>
      </c>
      <c r="Z75" t="e">
        <f t="shared" si="3"/>
        <v>#DIV/0!</v>
      </c>
      <c r="AA75" t="e">
        <f t="shared" si="3"/>
        <v>#DIV/0!</v>
      </c>
      <c r="AB75" t="e">
        <f t="shared" si="3"/>
        <v>#DIV/0!</v>
      </c>
      <c r="AC75" t="e">
        <f t="shared" si="3"/>
        <v>#DIV/0!</v>
      </c>
      <c r="AD75" t="e">
        <f t="shared" si="3"/>
        <v>#DIV/0!</v>
      </c>
      <c r="AE75" t="e">
        <f t="shared" si="3"/>
        <v>#DIV/0!</v>
      </c>
      <c r="AF75" t="e">
        <f t="shared" si="3"/>
        <v>#DIV/0!</v>
      </c>
      <c r="AG75" s="82"/>
      <c r="AH75" s="244" t="s">
        <v>394</v>
      </c>
      <c r="AI75" s="244" t="s">
        <v>450</v>
      </c>
      <c r="AJ75" s="82"/>
      <c r="AK75" s="100">
        <f>$C$75</f>
        <v>0</v>
      </c>
      <c r="AL75" s="100">
        <f>$D$75</f>
        <v>0</v>
      </c>
      <c r="AM75" s="100">
        <f>$E$75</f>
        <v>1.5625</v>
      </c>
      <c r="AN75" s="100" t="e">
        <f>$F$75</f>
        <v>#DIV/0!</v>
      </c>
      <c r="AO75" s="100" t="e">
        <f>$G$75</f>
        <v>#DIV/0!</v>
      </c>
      <c r="AP75" s="100" t="e">
        <f>$H$75</f>
        <v>#DIV/0!</v>
      </c>
      <c r="AQ75" s="100" t="e">
        <f>$I$75</f>
        <v>#DIV/0!</v>
      </c>
      <c r="AR75" s="100" t="e">
        <f>$J$75</f>
        <v>#DIV/0!</v>
      </c>
      <c r="AS75" s="100" t="e">
        <f>$K$75</f>
        <v>#DIV/0!</v>
      </c>
      <c r="AT75" s="100" t="e">
        <f>$L$75</f>
        <v>#DIV/0!</v>
      </c>
      <c r="AU75" s="100" t="e">
        <f>$M$75</f>
        <v>#DIV/0!</v>
      </c>
      <c r="AV75" s="100" t="e">
        <f>$N$75</f>
        <v>#DIV/0!</v>
      </c>
      <c r="AW75" s="100" t="e">
        <f>$O$75</f>
        <v>#DIV/0!</v>
      </c>
      <c r="AX75" s="100" t="e">
        <f>$P$75</f>
        <v>#DIV/0!</v>
      </c>
      <c r="AY75" s="100" t="e">
        <f>$Q$75</f>
        <v>#DIV/0!</v>
      </c>
      <c r="AZ75" s="100" t="e">
        <f>$R$75</f>
        <v>#DIV/0!</v>
      </c>
      <c r="BA75" s="100" t="e">
        <f>$S$75</f>
        <v>#DIV/0!</v>
      </c>
      <c r="BB75" s="100" t="e">
        <f>$T$75</f>
        <v>#DIV/0!</v>
      </c>
      <c r="BC75" s="100" t="e">
        <f>$U$75</f>
        <v>#DIV/0!</v>
      </c>
      <c r="BD75" s="100" t="e">
        <f>$V$75</f>
        <v>#DIV/0!</v>
      </c>
      <c r="BE75" s="100" t="e">
        <f>$W$75</f>
        <v>#DIV/0!</v>
      </c>
      <c r="BF75" s="100" t="e">
        <f>$X$75</f>
        <v>#DIV/0!</v>
      </c>
      <c r="BG75" s="100" t="e">
        <f>$Y$75</f>
        <v>#DIV/0!</v>
      </c>
      <c r="BH75" s="100" t="e">
        <f>$Z$75</f>
        <v>#DIV/0!</v>
      </c>
      <c r="BI75" s="100" t="e">
        <f>$AA$75</f>
        <v>#DIV/0!</v>
      </c>
      <c r="BJ75" s="100" t="e">
        <f>$AB$75</f>
        <v>#DIV/0!</v>
      </c>
      <c r="BK75" s="100" t="e">
        <f>$AC$75</f>
        <v>#DIV/0!</v>
      </c>
      <c r="BL75" s="100" t="e">
        <f>$AD$75</f>
        <v>#DIV/0!</v>
      </c>
      <c r="BM75" s="100" t="e">
        <f>$AE$75</f>
        <v>#DIV/0!</v>
      </c>
      <c r="BN75" s="100" t="e">
        <f>$AF$75</f>
        <v>#DIV/0!</v>
      </c>
    </row>
    <row r="76" spans="1:66">
      <c r="A76" s="68" t="s">
        <v>193</v>
      </c>
      <c r="B76" s="71" t="s">
        <v>162</v>
      </c>
      <c r="C76" s="100">
        <v>7.4380165289256199</v>
      </c>
      <c r="D76" s="100">
        <v>9.5238095238095237</v>
      </c>
      <c r="E76" s="100">
        <v>8.5106382978723403</v>
      </c>
      <c r="F76" t="e">
        <f t="shared" si="1"/>
        <v>#DIV/0!</v>
      </c>
      <c r="G76" t="e">
        <f t="shared" si="3"/>
        <v>#DIV/0!</v>
      </c>
      <c r="H76" t="e">
        <f t="shared" si="3"/>
        <v>#DIV/0!</v>
      </c>
      <c r="I76" t="e">
        <f t="shared" si="3"/>
        <v>#DIV/0!</v>
      </c>
      <c r="J76" t="e">
        <f t="shared" si="3"/>
        <v>#DIV/0!</v>
      </c>
      <c r="K76" t="e">
        <f t="shared" si="3"/>
        <v>#DIV/0!</v>
      </c>
      <c r="L76" t="e">
        <f t="shared" si="3"/>
        <v>#DIV/0!</v>
      </c>
      <c r="M76" t="e">
        <f t="shared" si="3"/>
        <v>#DIV/0!</v>
      </c>
      <c r="N76" t="e">
        <f t="shared" si="3"/>
        <v>#DIV/0!</v>
      </c>
      <c r="O76" t="e">
        <f t="shared" si="3"/>
        <v>#DIV/0!</v>
      </c>
      <c r="P76" t="e">
        <f t="shared" si="3"/>
        <v>#DIV/0!</v>
      </c>
      <c r="Q76" t="e">
        <f t="shared" si="3"/>
        <v>#DIV/0!</v>
      </c>
      <c r="R76" t="e">
        <f t="shared" si="3"/>
        <v>#DIV/0!</v>
      </c>
      <c r="S76" t="e">
        <f t="shared" si="3"/>
        <v>#DIV/0!</v>
      </c>
      <c r="T76" t="e">
        <f t="shared" si="3"/>
        <v>#DIV/0!</v>
      </c>
      <c r="U76" t="e">
        <f t="shared" si="3"/>
        <v>#DIV/0!</v>
      </c>
      <c r="V76" t="e">
        <f t="shared" si="3"/>
        <v>#DIV/0!</v>
      </c>
      <c r="W76" t="e">
        <f t="shared" si="3"/>
        <v>#DIV/0!</v>
      </c>
      <c r="X76" t="e">
        <f t="shared" si="3"/>
        <v>#DIV/0!</v>
      </c>
      <c r="Y76" t="e">
        <f t="shared" si="3"/>
        <v>#DIV/0!</v>
      </c>
      <c r="Z76" t="e">
        <f t="shared" si="3"/>
        <v>#DIV/0!</v>
      </c>
      <c r="AA76" t="e">
        <f t="shared" si="3"/>
        <v>#DIV/0!</v>
      </c>
      <c r="AB76" t="e">
        <f t="shared" si="3"/>
        <v>#DIV/0!</v>
      </c>
      <c r="AC76" t="e">
        <f t="shared" si="3"/>
        <v>#DIV/0!</v>
      </c>
      <c r="AD76" t="e">
        <f t="shared" si="3"/>
        <v>#DIV/0!</v>
      </c>
      <c r="AE76" t="e">
        <f t="shared" si="3"/>
        <v>#DIV/0!</v>
      </c>
      <c r="AF76" t="e">
        <f t="shared" si="3"/>
        <v>#DIV/0!</v>
      </c>
      <c r="AG76" s="82"/>
      <c r="AH76" s="244" t="s">
        <v>434</v>
      </c>
      <c r="AI76" s="244" t="s">
        <v>451</v>
      </c>
      <c r="AJ76" s="82"/>
      <c r="AK76" s="100">
        <f>$C$76</f>
        <v>7.4380165289256199</v>
      </c>
      <c r="AL76" s="100">
        <f>$D$76</f>
        <v>9.5238095238095237</v>
      </c>
      <c r="AM76" s="100">
        <f>$E$76</f>
        <v>8.5106382978723403</v>
      </c>
      <c r="AN76" s="100" t="e">
        <f>$F$76</f>
        <v>#DIV/0!</v>
      </c>
      <c r="AO76" s="100" t="e">
        <f>$G$76</f>
        <v>#DIV/0!</v>
      </c>
      <c r="AP76" s="100" t="e">
        <f>$H$76</f>
        <v>#DIV/0!</v>
      </c>
      <c r="AQ76" s="100" t="e">
        <f>$I$76</f>
        <v>#DIV/0!</v>
      </c>
      <c r="AR76" s="100" t="e">
        <f>$J$76</f>
        <v>#DIV/0!</v>
      </c>
      <c r="AS76" s="100" t="e">
        <f>$K$76</f>
        <v>#DIV/0!</v>
      </c>
      <c r="AT76" s="100" t="e">
        <f>$L$76</f>
        <v>#DIV/0!</v>
      </c>
      <c r="AU76" s="100" t="e">
        <f>$M$76</f>
        <v>#DIV/0!</v>
      </c>
      <c r="AV76" s="100" t="e">
        <f>$N$76</f>
        <v>#DIV/0!</v>
      </c>
      <c r="AW76" s="100" t="e">
        <f>$O$76</f>
        <v>#DIV/0!</v>
      </c>
      <c r="AX76" s="100" t="e">
        <f>$P$76</f>
        <v>#DIV/0!</v>
      </c>
      <c r="AY76" s="100" t="e">
        <f>$Q$76</f>
        <v>#DIV/0!</v>
      </c>
      <c r="AZ76" s="100" t="e">
        <f>$R$76</f>
        <v>#DIV/0!</v>
      </c>
      <c r="BA76" s="100" t="e">
        <f>$S$76</f>
        <v>#DIV/0!</v>
      </c>
      <c r="BB76" s="100" t="e">
        <f>$T$76</f>
        <v>#DIV/0!</v>
      </c>
      <c r="BC76" s="100" t="e">
        <f>$U$76</f>
        <v>#DIV/0!</v>
      </c>
      <c r="BD76" s="100" t="e">
        <f>$V$76</f>
        <v>#DIV/0!</v>
      </c>
      <c r="BE76" s="100" t="e">
        <f>$W$76</f>
        <v>#DIV/0!</v>
      </c>
      <c r="BF76" s="100" t="e">
        <f>$X$76</f>
        <v>#DIV/0!</v>
      </c>
      <c r="BG76" s="100" t="e">
        <f>$Y$76</f>
        <v>#DIV/0!</v>
      </c>
      <c r="BH76" s="100" t="e">
        <f>$Z$76</f>
        <v>#DIV/0!</v>
      </c>
      <c r="BI76" s="100" t="e">
        <f>$AA$76</f>
        <v>#DIV/0!</v>
      </c>
      <c r="BJ76" s="100" t="e">
        <f>$AB$76</f>
        <v>#DIV/0!</v>
      </c>
      <c r="BK76" s="100" t="e">
        <f>$AC$76</f>
        <v>#DIV/0!</v>
      </c>
      <c r="BL76" s="100" t="e">
        <f>$AD$76</f>
        <v>#DIV/0!</v>
      </c>
      <c r="BM76" s="100" t="e">
        <f>$AE$76</f>
        <v>#DIV/0!</v>
      </c>
      <c r="BN76" s="100" t="e">
        <f>$AF$76</f>
        <v>#DIV/0!</v>
      </c>
    </row>
    <row r="77" spans="1:66">
      <c r="A77" s="68" t="s">
        <v>190</v>
      </c>
      <c r="B77" t="s">
        <v>153</v>
      </c>
      <c r="C77" s="100"/>
      <c r="E77" s="100">
        <v>5.6074766355140184</v>
      </c>
      <c r="F77" t="e">
        <f t="shared" si="1"/>
        <v>#DIV/0!</v>
      </c>
      <c r="G77" t="e">
        <f t="shared" ref="G77:AF86" si="4">1/0</f>
        <v>#DIV/0!</v>
      </c>
      <c r="H77" t="e">
        <f t="shared" si="4"/>
        <v>#DIV/0!</v>
      </c>
      <c r="I77" t="e">
        <f t="shared" si="4"/>
        <v>#DIV/0!</v>
      </c>
      <c r="J77" t="e">
        <f t="shared" si="4"/>
        <v>#DIV/0!</v>
      </c>
      <c r="K77" t="e">
        <f t="shared" si="4"/>
        <v>#DIV/0!</v>
      </c>
      <c r="L77" t="e">
        <f t="shared" si="4"/>
        <v>#DIV/0!</v>
      </c>
      <c r="M77" t="e">
        <f t="shared" si="4"/>
        <v>#DIV/0!</v>
      </c>
      <c r="N77" t="e">
        <f t="shared" si="4"/>
        <v>#DIV/0!</v>
      </c>
      <c r="O77" t="e">
        <f t="shared" si="4"/>
        <v>#DIV/0!</v>
      </c>
      <c r="P77" t="e">
        <f t="shared" si="4"/>
        <v>#DIV/0!</v>
      </c>
      <c r="Q77" t="e">
        <f t="shared" si="4"/>
        <v>#DIV/0!</v>
      </c>
      <c r="R77" t="e">
        <f t="shared" si="4"/>
        <v>#DIV/0!</v>
      </c>
      <c r="S77" t="e">
        <f t="shared" si="4"/>
        <v>#DIV/0!</v>
      </c>
      <c r="T77" t="e">
        <f t="shared" si="4"/>
        <v>#DIV/0!</v>
      </c>
      <c r="U77" t="e">
        <f t="shared" si="4"/>
        <v>#DIV/0!</v>
      </c>
      <c r="V77" t="e">
        <f t="shared" si="4"/>
        <v>#DIV/0!</v>
      </c>
      <c r="W77" t="e">
        <f t="shared" si="4"/>
        <v>#DIV/0!</v>
      </c>
      <c r="X77" t="e">
        <f t="shared" si="4"/>
        <v>#DIV/0!</v>
      </c>
      <c r="Y77" t="e">
        <f t="shared" si="4"/>
        <v>#DIV/0!</v>
      </c>
      <c r="Z77" t="e">
        <f t="shared" si="4"/>
        <v>#DIV/0!</v>
      </c>
      <c r="AA77" t="e">
        <f t="shared" si="4"/>
        <v>#DIV/0!</v>
      </c>
      <c r="AB77" t="e">
        <f t="shared" si="4"/>
        <v>#DIV/0!</v>
      </c>
      <c r="AC77" t="e">
        <f t="shared" si="4"/>
        <v>#DIV/0!</v>
      </c>
      <c r="AD77" t="e">
        <f t="shared" si="4"/>
        <v>#DIV/0!</v>
      </c>
      <c r="AE77" t="e">
        <f t="shared" si="4"/>
        <v>#DIV/0!</v>
      </c>
      <c r="AF77" t="e">
        <f t="shared" si="4"/>
        <v>#DIV/0!</v>
      </c>
      <c r="AG77" s="82"/>
      <c r="AH77" s="244" t="s">
        <v>435</v>
      </c>
      <c r="AI77" s="244" t="s">
        <v>452</v>
      </c>
      <c r="AJ77" s="82"/>
      <c r="AK77" s="100">
        <f>$C$77</f>
        <v>0</v>
      </c>
      <c r="AL77" s="100">
        <f>$D$77</f>
        <v>0</v>
      </c>
      <c r="AM77" s="100">
        <f>$E$77</f>
        <v>5.6074766355140184</v>
      </c>
      <c r="AN77" s="100" t="e">
        <f>$F$77</f>
        <v>#DIV/0!</v>
      </c>
      <c r="AO77" s="100" t="e">
        <f>$G$77</f>
        <v>#DIV/0!</v>
      </c>
      <c r="AP77" s="100" t="e">
        <f>$H$77</f>
        <v>#DIV/0!</v>
      </c>
      <c r="AQ77" s="100" t="e">
        <f>$I$77</f>
        <v>#DIV/0!</v>
      </c>
      <c r="AR77" s="100" t="e">
        <f>$J$77</f>
        <v>#DIV/0!</v>
      </c>
      <c r="AS77" s="100" t="e">
        <f>$K$77</f>
        <v>#DIV/0!</v>
      </c>
      <c r="AT77" s="100" t="e">
        <f>$L$77</f>
        <v>#DIV/0!</v>
      </c>
      <c r="AU77" s="100" t="e">
        <f>$M$77</f>
        <v>#DIV/0!</v>
      </c>
      <c r="AV77" s="100" t="e">
        <f>$N$77</f>
        <v>#DIV/0!</v>
      </c>
      <c r="AW77" s="100" t="e">
        <f>$O$77</f>
        <v>#DIV/0!</v>
      </c>
      <c r="AX77" s="100" t="e">
        <f>$P$77</f>
        <v>#DIV/0!</v>
      </c>
      <c r="AY77" s="100" t="e">
        <f>$Q$77</f>
        <v>#DIV/0!</v>
      </c>
      <c r="AZ77" s="100" t="e">
        <f>$R$77</f>
        <v>#DIV/0!</v>
      </c>
      <c r="BA77" s="100" t="e">
        <f>$S$77</f>
        <v>#DIV/0!</v>
      </c>
      <c r="BB77" s="100" t="e">
        <f>$T$77</f>
        <v>#DIV/0!</v>
      </c>
      <c r="BC77" s="100" t="e">
        <f>$U$77</f>
        <v>#DIV/0!</v>
      </c>
      <c r="BD77" s="100" t="e">
        <f>$V$77</f>
        <v>#DIV/0!</v>
      </c>
      <c r="BE77" s="100" t="e">
        <f>$W$77</f>
        <v>#DIV/0!</v>
      </c>
      <c r="BF77" s="100" t="e">
        <f>$X$77</f>
        <v>#DIV/0!</v>
      </c>
      <c r="BG77" s="100" t="e">
        <f>$Y$77</f>
        <v>#DIV/0!</v>
      </c>
      <c r="BH77" s="100" t="e">
        <f>$Z$77</f>
        <v>#DIV/0!</v>
      </c>
      <c r="BI77" s="100" t="e">
        <f>$AA$77</f>
        <v>#DIV/0!</v>
      </c>
      <c r="BJ77" s="100" t="e">
        <f>$AB$77</f>
        <v>#DIV/0!</v>
      </c>
      <c r="BK77" s="100" t="e">
        <f>$AC$77</f>
        <v>#DIV/0!</v>
      </c>
      <c r="BL77" s="100" t="e">
        <f>$AD$77</f>
        <v>#DIV/0!</v>
      </c>
      <c r="BM77" s="100" t="e">
        <f>$AE$77</f>
        <v>#DIV/0!</v>
      </c>
      <c r="BN77" s="100" t="e">
        <f>$AF$77</f>
        <v>#DIV/0!</v>
      </c>
    </row>
    <row r="78" spans="1:66">
      <c r="A78" s="70" t="s">
        <v>187</v>
      </c>
      <c r="B78" s="71" t="s">
        <v>188</v>
      </c>
      <c r="C78" s="100"/>
      <c r="E78" s="100">
        <v>2.0618556701030926</v>
      </c>
      <c r="F78" t="e">
        <f t="shared" si="1"/>
        <v>#DIV/0!</v>
      </c>
      <c r="G78" t="e">
        <f t="shared" si="4"/>
        <v>#DIV/0!</v>
      </c>
      <c r="H78" t="e">
        <f t="shared" si="4"/>
        <v>#DIV/0!</v>
      </c>
      <c r="I78" t="e">
        <f t="shared" si="4"/>
        <v>#DIV/0!</v>
      </c>
      <c r="J78" t="e">
        <f t="shared" si="4"/>
        <v>#DIV/0!</v>
      </c>
      <c r="K78" t="e">
        <f t="shared" si="4"/>
        <v>#DIV/0!</v>
      </c>
      <c r="L78" t="e">
        <f t="shared" si="4"/>
        <v>#DIV/0!</v>
      </c>
      <c r="M78" t="e">
        <f t="shared" si="4"/>
        <v>#DIV/0!</v>
      </c>
      <c r="N78" t="e">
        <f t="shared" si="4"/>
        <v>#DIV/0!</v>
      </c>
      <c r="O78" t="e">
        <f t="shared" si="4"/>
        <v>#DIV/0!</v>
      </c>
      <c r="P78" t="e">
        <f t="shared" si="4"/>
        <v>#DIV/0!</v>
      </c>
      <c r="Q78" t="e">
        <f t="shared" si="4"/>
        <v>#DIV/0!</v>
      </c>
      <c r="R78" t="e">
        <f t="shared" si="4"/>
        <v>#DIV/0!</v>
      </c>
      <c r="S78" t="e">
        <f t="shared" si="4"/>
        <v>#DIV/0!</v>
      </c>
      <c r="T78" t="e">
        <f t="shared" si="4"/>
        <v>#DIV/0!</v>
      </c>
      <c r="U78" t="e">
        <f t="shared" si="4"/>
        <v>#DIV/0!</v>
      </c>
      <c r="V78" t="e">
        <f t="shared" si="4"/>
        <v>#DIV/0!</v>
      </c>
      <c r="W78" t="e">
        <f t="shared" si="4"/>
        <v>#DIV/0!</v>
      </c>
      <c r="X78" t="e">
        <f t="shared" si="4"/>
        <v>#DIV/0!</v>
      </c>
      <c r="Y78" t="e">
        <f t="shared" si="4"/>
        <v>#DIV/0!</v>
      </c>
      <c r="Z78" t="e">
        <f t="shared" si="4"/>
        <v>#DIV/0!</v>
      </c>
      <c r="AA78" t="e">
        <f t="shared" si="4"/>
        <v>#DIV/0!</v>
      </c>
      <c r="AB78" t="e">
        <f t="shared" si="4"/>
        <v>#DIV/0!</v>
      </c>
      <c r="AC78" t="e">
        <f t="shared" si="4"/>
        <v>#DIV/0!</v>
      </c>
      <c r="AD78" t="e">
        <f t="shared" si="4"/>
        <v>#DIV/0!</v>
      </c>
      <c r="AE78" t="e">
        <f t="shared" si="4"/>
        <v>#DIV/0!</v>
      </c>
      <c r="AF78" t="e">
        <f t="shared" si="4"/>
        <v>#DIV/0!</v>
      </c>
      <c r="AG78" s="82"/>
      <c r="AH78" s="244" t="s">
        <v>436</v>
      </c>
      <c r="AI78" s="244" t="s">
        <v>453</v>
      </c>
      <c r="AJ78" s="82"/>
      <c r="AK78" s="100">
        <f>$C$78</f>
        <v>0</v>
      </c>
      <c r="AL78" s="100">
        <f>$D$78</f>
        <v>0</v>
      </c>
      <c r="AM78" s="100">
        <f>$E$78</f>
        <v>2.0618556701030926</v>
      </c>
      <c r="AN78" s="100" t="e">
        <f>$F$78</f>
        <v>#DIV/0!</v>
      </c>
      <c r="AO78" s="100" t="e">
        <f>$G$78</f>
        <v>#DIV/0!</v>
      </c>
      <c r="AP78" s="100" t="e">
        <f>$H$78</f>
        <v>#DIV/0!</v>
      </c>
      <c r="AQ78" s="100" t="e">
        <f>$I$78</f>
        <v>#DIV/0!</v>
      </c>
      <c r="AR78" s="100" t="e">
        <f>$J$78</f>
        <v>#DIV/0!</v>
      </c>
      <c r="AS78" s="100" t="e">
        <f>$K$78</f>
        <v>#DIV/0!</v>
      </c>
      <c r="AT78" s="100" t="e">
        <f>$L$78</f>
        <v>#DIV/0!</v>
      </c>
      <c r="AU78" s="100" t="e">
        <f>$M$78</f>
        <v>#DIV/0!</v>
      </c>
      <c r="AV78" s="100" t="e">
        <f>$N$78</f>
        <v>#DIV/0!</v>
      </c>
      <c r="AW78" s="100" t="e">
        <f>$O$78</f>
        <v>#DIV/0!</v>
      </c>
      <c r="AX78" s="100" t="e">
        <f>$P$78</f>
        <v>#DIV/0!</v>
      </c>
      <c r="AY78" s="100" t="e">
        <f>$Q$78</f>
        <v>#DIV/0!</v>
      </c>
      <c r="AZ78" s="100" t="e">
        <f>$R$78</f>
        <v>#DIV/0!</v>
      </c>
      <c r="BA78" s="100" t="e">
        <f>$S$78</f>
        <v>#DIV/0!</v>
      </c>
      <c r="BB78" s="100" t="e">
        <f>$T$78</f>
        <v>#DIV/0!</v>
      </c>
      <c r="BC78" s="100" t="e">
        <f>$U$78</f>
        <v>#DIV/0!</v>
      </c>
      <c r="BD78" s="100" t="e">
        <f>$V$78</f>
        <v>#DIV/0!</v>
      </c>
      <c r="BE78" s="100" t="e">
        <f>$W$78</f>
        <v>#DIV/0!</v>
      </c>
      <c r="BF78" s="100" t="e">
        <f>$X$78</f>
        <v>#DIV/0!</v>
      </c>
      <c r="BG78" s="100" t="e">
        <f>$Y$78</f>
        <v>#DIV/0!</v>
      </c>
      <c r="BH78" s="100" t="e">
        <f>$Z$78</f>
        <v>#DIV/0!</v>
      </c>
      <c r="BI78" s="100" t="e">
        <f>$AA$78</f>
        <v>#DIV/0!</v>
      </c>
      <c r="BJ78" s="100" t="e">
        <f>$AB$78</f>
        <v>#DIV/0!</v>
      </c>
      <c r="BK78" s="100" t="e">
        <f>$AC$78</f>
        <v>#DIV/0!</v>
      </c>
      <c r="BL78" s="100" t="e">
        <f>$AD$78</f>
        <v>#DIV/0!</v>
      </c>
      <c r="BM78" s="100" t="e">
        <f>$AE$78</f>
        <v>#DIV/0!</v>
      </c>
      <c r="BN78" s="100" t="e">
        <f>$AF$78</f>
        <v>#DIV/0!</v>
      </c>
    </row>
    <row r="79" spans="1:66">
      <c r="A79" s="69" t="s">
        <v>145</v>
      </c>
      <c r="B79" t="s">
        <v>153</v>
      </c>
      <c r="C79" s="100">
        <v>4.2553191489361701</v>
      </c>
      <c r="D79" s="100">
        <v>4.1666666666666661</v>
      </c>
      <c r="E79" s="100">
        <v>4.1666666666666661</v>
      </c>
      <c r="F79" t="e">
        <f t="shared" si="1"/>
        <v>#DIV/0!</v>
      </c>
      <c r="G79" t="e">
        <f t="shared" si="4"/>
        <v>#DIV/0!</v>
      </c>
      <c r="H79" t="e">
        <f t="shared" si="4"/>
        <v>#DIV/0!</v>
      </c>
      <c r="I79" t="e">
        <f t="shared" si="4"/>
        <v>#DIV/0!</v>
      </c>
      <c r="J79" t="e">
        <f t="shared" si="4"/>
        <v>#DIV/0!</v>
      </c>
      <c r="K79" t="e">
        <f t="shared" si="4"/>
        <v>#DIV/0!</v>
      </c>
      <c r="L79" t="e">
        <f t="shared" si="4"/>
        <v>#DIV/0!</v>
      </c>
      <c r="M79" t="e">
        <f t="shared" si="4"/>
        <v>#DIV/0!</v>
      </c>
      <c r="N79" t="e">
        <f t="shared" si="4"/>
        <v>#DIV/0!</v>
      </c>
      <c r="O79" t="e">
        <f t="shared" si="4"/>
        <v>#DIV/0!</v>
      </c>
      <c r="P79" t="e">
        <f t="shared" si="4"/>
        <v>#DIV/0!</v>
      </c>
      <c r="Q79" t="e">
        <f t="shared" si="4"/>
        <v>#DIV/0!</v>
      </c>
      <c r="R79" t="e">
        <f t="shared" si="4"/>
        <v>#DIV/0!</v>
      </c>
      <c r="S79" t="e">
        <f t="shared" si="4"/>
        <v>#DIV/0!</v>
      </c>
      <c r="T79" t="e">
        <f t="shared" si="4"/>
        <v>#DIV/0!</v>
      </c>
      <c r="U79" t="e">
        <f t="shared" si="4"/>
        <v>#DIV/0!</v>
      </c>
      <c r="V79" t="e">
        <f t="shared" si="4"/>
        <v>#DIV/0!</v>
      </c>
      <c r="W79" t="e">
        <f t="shared" si="4"/>
        <v>#DIV/0!</v>
      </c>
      <c r="X79" t="e">
        <f t="shared" si="4"/>
        <v>#DIV/0!</v>
      </c>
      <c r="Y79" t="e">
        <f t="shared" si="4"/>
        <v>#DIV/0!</v>
      </c>
      <c r="Z79" t="e">
        <f t="shared" si="4"/>
        <v>#DIV/0!</v>
      </c>
      <c r="AA79" t="e">
        <f t="shared" si="4"/>
        <v>#DIV/0!</v>
      </c>
      <c r="AB79" t="e">
        <f t="shared" si="4"/>
        <v>#DIV/0!</v>
      </c>
      <c r="AC79" t="e">
        <f t="shared" si="4"/>
        <v>#DIV/0!</v>
      </c>
      <c r="AD79" t="e">
        <f t="shared" si="4"/>
        <v>#DIV/0!</v>
      </c>
      <c r="AE79" t="e">
        <f t="shared" si="4"/>
        <v>#DIV/0!</v>
      </c>
      <c r="AF79" t="e">
        <f t="shared" si="4"/>
        <v>#DIV/0!</v>
      </c>
      <c r="AG79" s="82"/>
      <c r="AH79" s="244" t="s">
        <v>437</v>
      </c>
      <c r="AI79" s="245" t="s">
        <v>454</v>
      </c>
      <c r="AJ79" s="82"/>
      <c r="AK79" s="100">
        <f>$C$79</f>
        <v>4.2553191489361701</v>
      </c>
      <c r="AL79" s="100">
        <f>$D$79</f>
        <v>4.1666666666666661</v>
      </c>
      <c r="AM79" s="100">
        <f>$E$79</f>
        <v>4.1666666666666661</v>
      </c>
      <c r="AN79" s="100" t="e">
        <f>$F$79</f>
        <v>#DIV/0!</v>
      </c>
      <c r="AO79" s="100" t="e">
        <f>$G$79</f>
        <v>#DIV/0!</v>
      </c>
      <c r="AP79" s="100" t="e">
        <f>$H$79</f>
        <v>#DIV/0!</v>
      </c>
      <c r="AQ79" s="100" t="e">
        <f>$I$79</f>
        <v>#DIV/0!</v>
      </c>
      <c r="AR79" s="100" t="e">
        <f>$J$79</f>
        <v>#DIV/0!</v>
      </c>
      <c r="AS79" s="100" t="e">
        <f>$K$79</f>
        <v>#DIV/0!</v>
      </c>
      <c r="AT79" s="100" t="e">
        <f>$L$79</f>
        <v>#DIV/0!</v>
      </c>
      <c r="AU79" s="100" t="e">
        <f>$M$79</f>
        <v>#DIV/0!</v>
      </c>
      <c r="AV79" s="100" t="e">
        <f>$N$79</f>
        <v>#DIV/0!</v>
      </c>
      <c r="AW79" s="100" t="e">
        <f>$O$79</f>
        <v>#DIV/0!</v>
      </c>
      <c r="AX79" s="100" t="e">
        <f>$P$79</f>
        <v>#DIV/0!</v>
      </c>
      <c r="AY79" s="100" t="e">
        <f>$Q$79</f>
        <v>#DIV/0!</v>
      </c>
      <c r="AZ79" s="100" t="e">
        <f>$R$79</f>
        <v>#DIV/0!</v>
      </c>
      <c r="BA79" s="100" t="e">
        <f>$S$79</f>
        <v>#DIV/0!</v>
      </c>
      <c r="BB79" s="100" t="e">
        <f>$T$79</f>
        <v>#DIV/0!</v>
      </c>
      <c r="BC79" s="100" t="e">
        <f>$U$79</f>
        <v>#DIV/0!</v>
      </c>
      <c r="BD79" s="100" t="e">
        <f>$V$79</f>
        <v>#DIV/0!</v>
      </c>
      <c r="BE79" s="100" t="e">
        <f>$W$79</f>
        <v>#DIV/0!</v>
      </c>
      <c r="BF79" s="100" t="e">
        <f>$X$79</f>
        <v>#DIV/0!</v>
      </c>
      <c r="BG79" s="100" t="e">
        <f>$Y$79</f>
        <v>#DIV/0!</v>
      </c>
      <c r="BH79" s="100" t="e">
        <f>$Z$79</f>
        <v>#DIV/0!</v>
      </c>
      <c r="BI79" s="100" t="e">
        <f>$AA$79</f>
        <v>#DIV/0!</v>
      </c>
      <c r="BJ79" s="100" t="e">
        <f>$AB$79</f>
        <v>#DIV/0!</v>
      </c>
      <c r="BK79" s="100" t="e">
        <f>$AC$79</f>
        <v>#DIV/0!</v>
      </c>
      <c r="BL79" s="100" t="e">
        <f>$AD$79</f>
        <v>#DIV/0!</v>
      </c>
      <c r="BM79" s="100" t="e">
        <f>$AE$79</f>
        <v>#DIV/0!</v>
      </c>
      <c r="BN79" s="100" t="e">
        <f>$AF$79</f>
        <v>#DIV/0!</v>
      </c>
    </row>
    <row r="80" spans="1:66">
      <c r="A80" s="69" t="s">
        <v>174</v>
      </c>
      <c r="B80" s="71" t="s">
        <v>178</v>
      </c>
      <c r="C80" s="100"/>
      <c r="E80" s="100">
        <v>4.4776119402985071</v>
      </c>
      <c r="F80" t="e">
        <f t="shared" si="1"/>
        <v>#DIV/0!</v>
      </c>
      <c r="G80" t="e">
        <f t="shared" si="4"/>
        <v>#DIV/0!</v>
      </c>
      <c r="H80" t="e">
        <f t="shared" si="4"/>
        <v>#DIV/0!</v>
      </c>
      <c r="I80" t="e">
        <f t="shared" si="4"/>
        <v>#DIV/0!</v>
      </c>
      <c r="J80" t="e">
        <f t="shared" si="4"/>
        <v>#DIV/0!</v>
      </c>
      <c r="K80" t="e">
        <f t="shared" si="4"/>
        <v>#DIV/0!</v>
      </c>
      <c r="L80" t="e">
        <f t="shared" si="4"/>
        <v>#DIV/0!</v>
      </c>
      <c r="M80" t="e">
        <f t="shared" si="4"/>
        <v>#DIV/0!</v>
      </c>
      <c r="N80" t="e">
        <f t="shared" si="4"/>
        <v>#DIV/0!</v>
      </c>
      <c r="O80" t="e">
        <f t="shared" si="4"/>
        <v>#DIV/0!</v>
      </c>
      <c r="P80" t="e">
        <f t="shared" si="4"/>
        <v>#DIV/0!</v>
      </c>
      <c r="Q80" t="e">
        <f t="shared" si="4"/>
        <v>#DIV/0!</v>
      </c>
      <c r="R80" t="e">
        <f t="shared" si="4"/>
        <v>#DIV/0!</v>
      </c>
      <c r="S80" t="e">
        <f t="shared" si="4"/>
        <v>#DIV/0!</v>
      </c>
      <c r="T80" t="e">
        <f t="shared" si="4"/>
        <v>#DIV/0!</v>
      </c>
      <c r="U80" t="e">
        <f t="shared" si="4"/>
        <v>#DIV/0!</v>
      </c>
      <c r="V80" t="e">
        <f t="shared" si="4"/>
        <v>#DIV/0!</v>
      </c>
      <c r="W80" t="e">
        <f t="shared" si="4"/>
        <v>#DIV/0!</v>
      </c>
      <c r="X80" t="e">
        <f t="shared" si="4"/>
        <v>#DIV/0!</v>
      </c>
      <c r="Y80" t="e">
        <f t="shared" si="4"/>
        <v>#DIV/0!</v>
      </c>
      <c r="Z80" t="e">
        <f t="shared" si="4"/>
        <v>#DIV/0!</v>
      </c>
      <c r="AA80" t="e">
        <f t="shared" si="4"/>
        <v>#DIV/0!</v>
      </c>
      <c r="AB80" t="e">
        <f t="shared" si="4"/>
        <v>#DIV/0!</v>
      </c>
      <c r="AC80" t="e">
        <f t="shared" si="4"/>
        <v>#DIV/0!</v>
      </c>
      <c r="AD80" t="e">
        <f t="shared" si="4"/>
        <v>#DIV/0!</v>
      </c>
      <c r="AE80" t="e">
        <f t="shared" si="4"/>
        <v>#DIV/0!</v>
      </c>
      <c r="AF80" t="e">
        <f t="shared" si="4"/>
        <v>#DIV/0!</v>
      </c>
      <c r="AG80" s="82"/>
      <c r="AH80" s="244" t="s">
        <v>438</v>
      </c>
      <c r="AI80" s="244" t="s">
        <v>455</v>
      </c>
      <c r="AJ80" s="82"/>
      <c r="AK80" s="100">
        <f>$C$80</f>
        <v>0</v>
      </c>
      <c r="AL80" s="100">
        <f>$D$80</f>
        <v>0</v>
      </c>
      <c r="AM80" s="100">
        <f>$E$80</f>
        <v>4.4776119402985071</v>
      </c>
      <c r="AN80" s="100" t="e">
        <f>$F$80</f>
        <v>#DIV/0!</v>
      </c>
      <c r="AO80" s="100" t="e">
        <f>$G$80</f>
        <v>#DIV/0!</v>
      </c>
      <c r="AP80" s="100" t="e">
        <f>$H$80</f>
        <v>#DIV/0!</v>
      </c>
      <c r="AQ80" s="100" t="e">
        <f>$I$80</f>
        <v>#DIV/0!</v>
      </c>
      <c r="AR80" s="100" t="e">
        <f>$J$80</f>
        <v>#DIV/0!</v>
      </c>
      <c r="AS80" s="100" t="e">
        <f>$K$80</f>
        <v>#DIV/0!</v>
      </c>
      <c r="AT80" s="100" t="e">
        <f>$L$80</f>
        <v>#DIV/0!</v>
      </c>
      <c r="AU80" s="100" t="e">
        <f>$M$80</f>
        <v>#DIV/0!</v>
      </c>
      <c r="AV80" s="100" t="e">
        <f>$N$80</f>
        <v>#DIV/0!</v>
      </c>
      <c r="AW80" s="100" t="e">
        <f>$O$80</f>
        <v>#DIV/0!</v>
      </c>
      <c r="AX80" s="100" t="e">
        <f>$P$80</f>
        <v>#DIV/0!</v>
      </c>
      <c r="AY80" s="100" t="e">
        <f>$Q$80</f>
        <v>#DIV/0!</v>
      </c>
      <c r="AZ80" s="100" t="e">
        <f>$R$80</f>
        <v>#DIV/0!</v>
      </c>
      <c r="BA80" s="100" t="e">
        <f>$S$80</f>
        <v>#DIV/0!</v>
      </c>
      <c r="BB80" s="100" t="e">
        <f>$T$80</f>
        <v>#DIV/0!</v>
      </c>
      <c r="BC80" s="100" t="e">
        <f>$U$80</f>
        <v>#DIV/0!</v>
      </c>
      <c r="BD80" s="100" t="e">
        <f>$V$80</f>
        <v>#DIV/0!</v>
      </c>
      <c r="BE80" s="100" t="e">
        <f>$W$80</f>
        <v>#DIV/0!</v>
      </c>
      <c r="BF80" s="100" t="e">
        <f>$X$80</f>
        <v>#DIV/0!</v>
      </c>
      <c r="BG80" s="100" t="e">
        <f>$Y$80</f>
        <v>#DIV/0!</v>
      </c>
      <c r="BH80" s="100" t="e">
        <f>$Z$80</f>
        <v>#DIV/0!</v>
      </c>
      <c r="BI80" s="100" t="e">
        <f>$AA$80</f>
        <v>#DIV/0!</v>
      </c>
      <c r="BJ80" s="100" t="e">
        <f>$AB$80</f>
        <v>#DIV/0!</v>
      </c>
      <c r="BK80" s="100" t="e">
        <f>$AC$80</f>
        <v>#DIV/0!</v>
      </c>
      <c r="BL80" s="100" t="e">
        <f>$AD$80</f>
        <v>#DIV/0!</v>
      </c>
      <c r="BM80" s="100" t="e">
        <f>$AE$80</f>
        <v>#DIV/0!</v>
      </c>
      <c r="BN80" s="100" t="e">
        <f>$AF$80</f>
        <v>#DIV/0!</v>
      </c>
    </row>
    <row r="81" spans="1:66">
      <c r="A81" s="69" t="s">
        <v>175</v>
      </c>
      <c r="B81" s="71" t="s">
        <v>178</v>
      </c>
      <c r="C81" s="100">
        <v>0</v>
      </c>
      <c r="D81" s="100">
        <v>9.0909090909090917</v>
      </c>
      <c r="E81" s="100">
        <v>4.3859649122807012</v>
      </c>
      <c r="F81" t="e">
        <f t="shared" si="1"/>
        <v>#DIV/0!</v>
      </c>
      <c r="G81" t="e">
        <f t="shared" si="4"/>
        <v>#DIV/0!</v>
      </c>
      <c r="H81" t="e">
        <f t="shared" si="4"/>
        <v>#DIV/0!</v>
      </c>
      <c r="I81" t="e">
        <f t="shared" si="4"/>
        <v>#DIV/0!</v>
      </c>
      <c r="J81" t="e">
        <f t="shared" si="4"/>
        <v>#DIV/0!</v>
      </c>
      <c r="K81" t="e">
        <f t="shared" si="4"/>
        <v>#DIV/0!</v>
      </c>
      <c r="L81" t="e">
        <f t="shared" si="4"/>
        <v>#DIV/0!</v>
      </c>
      <c r="M81" t="e">
        <f t="shared" si="4"/>
        <v>#DIV/0!</v>
      </c>
      <c r="N81" t="e">
        <f t="shared" si="4"/>
        <v>#DIV/0!</v>
      </c>
      <c r="O81" t="e">
        <f t="shared" si="4"/>
        <v>#DIV/0!</v>
      </c>
      <c r="P81" t="e">
        <f t="shared" si="4"/>
        <v>#DIV/0!</v>
      </c>
      <c r="Q81" t="e">
        <f t="shared" si="4"/>
        <v>#DIV/0!</v>
      </c>
      <c r="R81" t="e">
        <f t="shared" si="4"/>
        <v>#DIV/0!</v>
      </c>
      <c r="S81" t="e">
        <f t="shared" si="4"/>
        <v>#DIV/0!</v>
      </c>
      <c r="T81" t="e">
        <f t="shared" si="4"/>
        <v>#DIV/0!</v>
      </c>
      <c r="U81" t="e">
        <f t="shared" si="4"/>
        <v>#DIV/0!</v>
      </c>
      <c r="V81" t="e">
        <f t="shared" si="4"/>
        <v>#DIV/0!</v>
      </c>
      <c r="W81" t="e">
        <f t="shared" si="4"/>
        <v>#DIV/0!</v>
      </c>
      <c r="X81" t="e">
        <f t="shared" si="4"/>
        <v>#DIV/0!</v>
      </c>
      <c r="Y81" t="e">
        <f t="shared" si="4"/>
        <v>#DIV/0!</v>
      </c>
      <c r="Z81" t="e">
        <f t="shared" si="4"/>
        <v>#DIV/0!</v>
      </c>
      <c r="AA81" t="e">
        <f t="shared" si="4"/>
        <v>#DIV/0!</v>
      </c>
      <c r="AB81" t="e">
        <f t="shared" si="4"/>
        <v>#DIV/0!</v>
      </c>
      <c r="AC81" t="e">
        <f t="shared" si="4"/>
        <v>#DIV/0!</v>
      </c>
      <c r="AD81" t="e">
        <f t="shared" si="4"/>
        <v>#DIV/0!</v>
      </c>
      <c r="AE81" t="e">
        <f t="shared" si="4"/>
        <v>#DIV/0!</v>
      </c>
      <c r="AF81" t="e">
        <f t="shared" si="4"/>
        <v>#DIV/0!</v>
      </c>
      <c r="AG81" s="82"/>
      <c r="AH81" s="244" t="s">
        <v>439</v>
      </c>
      <c r="AI81" s="244" t="s">
        <v>456</v>
      </c>
      <c r="AJ81" s="82"/>
      <c r="AK81" s="100">
        <f>$C$81</f>
        <v>0</v>
      </c>
      <c r="AL81" s="100">
        <f>$D$81</f>
        <v>9.0909090909090917</v>
      </c>
      <c r="AM81" s="100">
        <f>$E$81</f>
        <v>4.3859649122807012</v>
      </c>
      <c r="AN81" s="100" t="e">
        <f>$F$81</f>
        <v>#DIV/0!</v>
      </c>
      <c r="AO81" s="100" t="e">
        <f>$G$81</f>
        <v>#DIV/0!</v>
      </c>
      <c r="AP81" s="100" t="e">
        <f>$H$81</f>
        <v>#DIV/0!</v>
      </c>
      <c r="AQ81" s="100" t="e">
        <f>$I$81</f>
        <v>#DIV/0!</v>
      </c>
      <c r="AR81" s="100" t="e">
        <f>$J$81</f>
        <v>#DIV/0!</v>
      </c>
      <c r="AS81" s="100" t="e">
        <f>$K$81</f>
        <v>#DIV/0!</v>
      </c>
      <c r="AT81" s="100" t="e">
        <f>$L$81</f>
        <v>#DIV/0!</v>
      </c>
      <c r="AU81" s="100" t="e">
        <f>$M$81</f>
        <v>#DIV/0!</v>
      </c>
      <c r="AV81" s="100" t="e">
        <f>$N$81</f>
        <v>#DIV/0!</v>
      </c>
      <c r="AW81" s="100" t="e">
        <f>$O$81</f>
        <v>#DIV/0!</v>
      </c>
      <c r="AX81" s="100" t="e">
        <f>$P$81</f>
        <v>#DIV/0!</v>
      </c>
      <c r="AY81" s="100" t="e">
        <f>$Q$81</f>
        <v>#DIV/0!</v>
      </c>
      <c r="AZ81" s="100" t="e">
        <f>$R$81</f>
        <v>#DIV/0!</v>
      </c>
      <c r="BA81" s="100" t="e">
        <f>$S$81</f>
        <v>#DIV/0!</v>
      </c>
      <c r="BB81" s="100" t="e">
        <f>$T$81</f>
        <v>#DIV/0!</v>
      </c>
      <c r="BC81" s="100" t="e">
        <f>$U$81</f>
        <v>#DIV/0!</v>
      </c>
      <c r="BD81" s="100" t="e">
        <f>$V$81</f>
        <v>#DIV/0!</v>
      </c>
      <c r="BE81" s="100" t="e">
        <f>$W$81</f>
        <v>#DIV/0!</v>
      </c>
      <c r="BF81" s="100" t="e">
        <f>$X$81</f>
        <v>#DIV/0!</v>
      </c>
      <c r="BG81" s="100" t="e">
        <f>$Y$81</f>
        <v>#DIV/0!</v>
      </c>
      <c r="BH81" s="100" t="e">
        <f>$Z$81</f>
        <v>#DIV/0!</v>
      </c>
      <c r="BI81" s="100" t="e">
        <f>$AA$81</f>
        <v>#DIV/0!</v>
      </c>
      <c r="BJ81" s="100" t="e">
        <f>$AB$81</f>
        <v>#DIV/0!</v>
      </c>
      <c r="BK81" s="100" t="e">
        <f>$AC$81</f>
        <v>#DIV/0!</v>
      </c>
      <c r="BL81" s="100" t="e">
        <f>$AD$81</f>
        <v>#DIV/0!</v>
      </c>
      <c r="BM81" s="100" t="e">
        <f>$AE$81</f>
        <v>#DIV/0!</v>
      </c>
      <c r="BN81" s="100" t="e">
        <f>$AF$81</f>
        <v>#DIV/0!</v>
      </c>
    </row>
    <row r="82" spans="1:66">
      <c r="A82" s="69" t="s">
        <v>161</v>
      </c>
      <c r="B82" s="71" t="s">
        <v>162</v>
      </c>
      <c r="C82" s="100">
        <v>5.1724137931034484</v>
      </c>
      <c r="D82" s="100">
        <v>8.1632653061224492</v>
      </c>
      <c r="E82" s="100">
        <v>6.9565217391304346</v>
      </c>
      <c r="F82" t="e">
        <f t="shared" si="1"/>
        <v>#DIV/0!</v>
      </c>
      <c r="G82" t="e">
        <f t="shared" si="4"/>
        <v>#DIV/0!</v>
      </c>
      <c r="H82" t="e">
        <f t="shared" si="4"/>
        <v>#DIV/0!</v>
      </c>
      <c r="I82" t="e">
        <f t="shared" si="4"/>
        <v>#DIV/0!</v>
      </c>
      <c r="J82" t="e">
        <f t="shared" si="4"/>
        <v>#DIV/0!</v>
      </c>
      <c r="K82" t="e">
        <f t="shared" si="4"/>
        <v>#DIV/0!</v>
      </c>
      <c r="L82" t="e">
        <f t="shared" si="4"/>
        <v>#DIV/0!</v>
      </c>
      <c r="M82" t="e">
        <f t="shared" si="4"/>
        <v>#DIV/0!</v>
      </c>
      <c r="N82" t="e">
        <f t="shared" si="4"/>
        <v>#DIV/0!</v>
      </c>
      <c r="O82" t="e">
        <f t="shared" si="4"/>
        <v>#DIV/0!</v>
      </c>
      <c r="P82" t="e">
        <f t="shared" si="4"/>
        <v>#DIV/0!</v>
      </c>
      <c r="Q82" t="e">
        <f t="shared" si="4"/>
        <v>#DIV/0!</v>
      </c>
      <c r="R82" t="e">
        <f t="shared" si="4"/>
        <v>#DIV/0!</v>
      </c>
      <c r="S82" t="e">
        <f t="shared" si="4"/>
        <v>#DIV/0!</v>
      </c>
      <c r="T82" t="e">
        <f t="shared" si="4"/>
        <v>#DIV/0!</v>
      </c>
      <c r="U82" t="e">
        <f t="shared" si="4"/>
        <v>#DIV/0!</v>
      </c>
      <c r="V82" t="e">
        <f t="shared" si="4"/>
        <v>#DIV/0!</v>
      </c>
      <c r="W82" t="e">
        <f t="shared" si="4"/>
        <v>#DIV/0!</v>
      </c>
      <c r="X82" t="e">
        <f t="shared" si="4"/>
        <v>#DIV/0!</v>
      </c>
      <c r="Y82" t="e">
        <f t="shared" si="4"/>
        <v>#DIV/0!</v>
      </c>
      <c r="Z82" t="e">
        <f t="shared" si="4"/>
        <v>#DIV/0!</v>
      </c>
      <c r="AA82" t="e">
        <f t="shared" si="4"/>
        <v>#DIV/0!</v>
      </c>
      <c r="AB82" t="e">
        <f t="shared" si="4"/>
        <v>#DIV/0!</v>
      </c>
      <c r="AC82" t="e">
        <f t="shared" si="4"/>
        <v>#DIV/0!</v>
      </c>
      <c r="AD82" t="e">
        <f t="shared" si="4"/>
        <v>#DIV/0!</v>
      </c>
      <c r="AE82" t="e">
        <f t="shared" si="4"/>
        <v>#DIV/0!</v>
      </c>
      <c r="AF82" t="e">
        <f t="shared" si="4"/>
        <v>#DIV/0!</v>
      </c>
      <c r="AG82" s="82"/>
      <c r="AH82" s="244" t="s">
        <v>440</v>
      </c>
      <c r="AI82" s="244" t="s">
        <v>457</v>
      </c>
      <c r="AJ82" s="96"/>
      <c r="AK82" s="100">
        <f>$C$82</f>
        <v>5.1724137931034484</v>
      </c>
      <c r="AL82" s="100">
        <f>$D$82</f>
        <v>8.1632653061224492</v>
      </c>
      <c r="AM82" s="100">
        <f>$E$82</f>
        <v>6.9565217391304346</v>
      </c>
      <c r="AN82" s="100" t="e">
        <f>$F$82</f>
        <v>#DIV/0!</v>
      </c>
      <c r="AO82" s="100" t="e">
        <f>$G$82</f>
        <v>#DIV/0!</v>
      </c>
      <c r="AP82" s="100" t="e">
        <f>$H$82</f>
        <v>#DIV/0!</v>
      </c>
      <c r="AQ82" s="100" t="e">
        <f>$I$82</f>
        <v>#DIV/0!</v>
      </c>
      <c r="AR82" s="100" t="e">
        <f>$J$82</f>
        <v>#DIV/0!</v>
      </c>
      <c r="AS82" s="100" t="e">
        <f>$K$82</f>
        <v>#DIV/0!</v>
      </c>
      <c r="AT82" s="100" t="e">
        <f>$L$82</f>
        <v>#DIV/0!</v>
      </c>
      <c r="AU82" s="100" t="e">
        <f>$M$82</f>
        <v>#DIV/0!</v>
      </c>
      <c r="AV82" s="100" t="e">
        <f>$N$82</f>
        <v>#DIV/0!</v>
      </c>
      <c r="AW82" s="100" t="e">
        <f>$O$82</f>
        <v>#DIV/0!</v>
      </c>
      <c r="AX82" s="100" t="e">
        <f>$P$82</f>
        <v>#DIV/0!</v>
      </c>
      <c r="AY82" s="100" t="e">
        <f>$Q$82</f>
        <v>#DIV/0!</v>
      </c>
      <c r="AZ82" s="100" t="e">
        <f>$R$82</f>
        <v>#DIV/0!</v>
      </c>
      <c r="BA82" s="100" t="e">
        <f>$S$82</f>
        <v>#DIV/0!</v>
      </c>
      <c r="BB82" s="100" t="e">
        <f>$T$82</f>
        <v>#DIV/0!</v>
      </c>
      <c r="BC82" s="100" t="e">
        <f>$U$82</f>
        <v>#DIV/0!</v>
      </c>
      <c r="BD82" s="100" t="e">
        <f>$V$82</f>
        <v>#DIV/0!</v>
      </c>
      <c r="BE82" s="100" t="e">
        <f>$W$82</f>
        <v>#DIV/0!</v>
      </c>
      <c r="BF82" s="100" t="e">
        <f>$X$82</f>
        <v>#DIV/0!</v>
      </c>
      <c r="BG82" s="100" t="e">
        <f>$Y$82</f>
        <v>#DIV/0!</v>
      </c>
      <c r="BH82" s="100" t="e">
        <f>$Z$82</f>
        <v>#DIV/0!</v>
      </c>
      <c r="BI82" s="100" t="e">
        <f>$AA$82</f>
        <v>#DIV/0!</v>
      </c>
      <c r="BJ82" s="100" t="e">
        <f>$AB$82</f>
        <v>#DIV/0!</v>
      </c>
      <c r="BK82" s="100" t="e">
        <f>$AC$82</f>
        <v>#DIV/0!</v>
      </c>
      <c r="BL82" s="100" t="e">
        <f>$AD$82</f>
        <v>#DIV/0!</v>
      </c>
      <c r="BM82" s="100" t="e">
        <f>$AE$82</f>
        <v>#DIV/0!</v>
      </c>
      <c r="BN82" s="100" t="e">
        <f>$AF$82</f>
        <v>#DIV/0!</v>
      </c>
    </row>
    <row r="83" spans="1:66">
      <c r="A83" s="69" t="s">
        <v>186</v>
      </c>
      <c r="B83" s="71" t="s">
        <v>188</v>
      </c>
      <c r="C83" s="100">
        <v>2.0408163265306123</v>
      </c>
      <c r="D83" s="100">
        <v>0</v>
      </c>
      <c r="E83" s="100">
        <v>1.9801980198019802</v>
      </c>
      <c r="F83" t="e">
        <f t="shared" si="1"/>
        <v>#DIV/0!</v>
      </c>
      <c r="G83" t="e">
        <f t="shared" si="4"/>
        <v>#DIV/0!</v>
      </c>
      <c r="H83" t="e">
        <f t="shared" si="4"/>
        <v>#DIV/0!</v>
      </c>
      <c r="I83" t="e">
        <f t="shared" si="4"/>
        <v>#DIV/0!</v>
      </c>
      <c r="J83" t="e">
        <f t="shared" si="4"/>
        <v>#DIV/0!</v>
      </c>
      <c r="K83" t="e">
        <f t="shared" si="4"/>
        <v>#DIV/0!</v>
      </c>
      <c r="L83" t="e">
        <f t="shared" si="4"/>
        <v>#DIV/0!</v>
      </c>
      <c r="M83" t="e">
        <f t="shared" si="4"/>
        <v>#DIV/0!</v>
      </c>
      <c r="N83" t="e">
        <f t="shared" si="4"/>
        <v>#DIV/0!</v>
      </c>
      <c r="O83" t="e">
        <f t="shared" si="4"/>
        <v>#DIV/0!</v>
      </c>
      <c r="P83" t="e">
        <f t="shared" si="4"/>
        <v>#DIV/0!</v>
      </c>
      <c r="Q83" t="e">
        <f t="shared" si="4"/>
        <v>#DIV/0!</v>
      </c>
      <c r="R83" t="e">
        <f t="shared" si="4"/>
        <v>#DIV/0!</v>
      </c>
      <c r="S83" t="e">
        <f t="shared" si="4"/>
        <v>#DIV/0!</v>
      </c>
      <c r="T83" t="e">
        <f t="shared" si="4"/>
        <v>#DIV/0!</v>
      </c>
      <c r="U83" t="e">
        <f t="shared" si="4"/>
        <v>#DIV/0!</v>
      </c>
      <c r="V83" t="e">
        <f t="shared" si="4"/>
        <v>#DIV/0!</v>
      </c>
      <c r="W83" t="e">
        <f t="shared" si="4"/>
        <v>#DIV/0!</v>
      </c>
      <c r="X83" t="e">
        <f t="shared" si="4"/>
        <v>#DIV/0!</v>
      </c>
      <c r="Y83" t="e">
        <f t="shared" si="4"/>
        <v>#DIV/0!</v>
      </c>
      <c r="Z83" t="e">
        <f t="shared" si="4"/>
        <v>#DIV/0!</v>
      </c>
      <c r="AA83" t="e">
        <f t="shared" si="4"/>
        <v>#DIV/0!</v>
      </c>
      <c r="AB83" t="e">
        <f t="shared" si="4"/>
        <v>#DIV/0!</v>
      </c>
      <c r="AC83" t="e">
        <f t="shared" si="4"/>
        <v>#DIV/0!</v>
      </c>
      <c r="AD83" t="e">
        <f t="shared" si="4"/>
        <v>#DIV/0!</v>
      </c>
      <c r="AE83" t="e">
        <f t="shared" si="4"/>
        <v>#DIV/0!</v>
      </c>
      <c r="AF83" t="e">
        <f t="shared" si="4"/>
        <v>#DIV/0!</v>
      </c>
      <c r="AG83" s="82"/>
      <c r="AH83" s="244" t="s">
        <v>441</v>
      </c>
      <c r="AI83" s="244" t="s">
        <v>458</v>
      </c>
      <c r="AJ83" s="96"/>
      <c r="AK83" s="100">
        <f>$C$83</f>
        <v>2.0408163265306123</v>
      </c>
      <c r="AL83" s="100">
        <f>$D$83</f>
        <v>0</v>
      </c>
      <c r="AM83" s="100">
        <f>$E$83</f>
        <v>1.9801980198019802</v>
      </c>
      <c r="AN83" s="100" t="e">
        <f>$F$83</f>
        <v>#DIV/0!</v>
      </c>
      <c r="AO83" s="100" t="e">
        <f>$G$83</f>
        <v>#DIV/0!</v>
      </c>
      <c r="AP83" s="100" t="e">
        <f>$H$83</f>
        <v>#DIV/0!</v>
      </c>
      <c r="AQ83" s="100" t="e">
        <f>$I$83</f>
        <v>#DIV/0!</v>
      </c>
      <c r="AR83" s="100" t="e">
        <f>$J$83</f>
        <v>#DIV/0!</v>
      </c>
      <c r="AS83" s="100" t="e">
        <f>$K$83</f>
        <v>#DIV/0!</v>
      </c>
      <c r="AT83" s="100" t="e">
        <f>$L$83</f>
        <v>#DIV/0!</v>
      </c>
      <c r="AU83" s="100" t="e">
        <f>$M$83</f>
        <v>#DIV/0!</v>
      </c>
      <c r="AV83" s="100" t="e">
        <f>$N$83</f>
        <v>#DIV/0!</v>
      </c>
      <c r="AW83" s="100" t="e">
        <f>$O$83</f>
        <v>#DIV/0!</v>
      </c>
      <c r="AX83" s="100" t="e">
        <f>$P$83</f>
        <v>#DIV/0!</v>
      </c>
      <c r="AY83" s="100" t="e">
        <f>$Q$83</f>
        <v>#DIV/0!</v>
      </c>
      <c r="AZ83" s="100" t="e">
        <f>$R$83</f>
        <v>#DIV/0!</v>
      </c>
      <c r="BA83" s="100" t="e">
        <f>$S$83</f>
        <v>#DIV/0!</v>
      </c>
      <c r="BB83" s="100" t="e">
        <f>$T$83</f>
        <v>#DIV/0!</v>
      </c>
      <c r="BC83" s="100" t="e">
        <f>$U$83</f>
        <v>#DIV/0!</v>
      </c>
      <c r="BD83" s="100" t="e">
        <f>$V$83</f>
        <v>#DIV/0!</v>
      </c>
      <c r="BE83" s="100" t="e">
        <f>$W$83</f>
        <v>#DIV/0!</v>
      </c>
      <c r="BF83" s="100" t="e">
        <f>$X$83</f>
        <v>#DIV/0!</v>
      </c>
      <c r="BG83" s="100" t="e">
        <f>$Y$83</f>
        <v>#DIV/0!</v>
      </c>
      <c r="BH83" s="100" t="e">
        <f>$Z$83</f>
        <v>#DIV/0!</v>
      </c>
      <c r="BI83" s="100" t="e">
        <f>$AA$83</f>
        <v>#DIV/0!</v>
      </c>
      <c r="BJ83" s="100" t="e">
        <f>$AB$83</f>
        <v>#DIV/0!</v>
      </c>
      <c r="BK83" s="100" t="e">
        <f>$AC$83</f>
        <v>#DIV/0!</v>
      </c>
      <c r="BL83" s="100" t="e">
        <f>$AD$83</f>
        <v>#DIV/0!</v>
      </c>
      <c r="BM83" s="100" t="e">
        <f>$AE$83</f>
        <v>#DIV/0!</v>
      </c>
      <c r="BN83" s="100" t="e">
        <f>$AF$83</f>
        <v>#DIV/0!</v>
      </c>
    </row>
    <row r="84" spans="1:66">
      <c r="A84" s="68" t="s">
        <v>191</v>
      </c>
      <c r="B84" t="s">
        <v>153</v>
      </c>
      <c r="C84" s="100">
        <v>5.9040590405904059</v>
      </c>
      <c r="D84" s="100">
        <v>4.3269230769230766</v>
      </c>
      <c r="E84" s="100">
        <v>5.7026476578411405</v>
      </c>
      <c r="F84" t="e">
        <f t="shared" si="1"/>
        <v>#DIV/0!</v>
      </c>
      <c r="G84" t="e">
        <f t="shared" si="4"/>
        <v>#DIV/0!</v>
      </c>
      <c r="H84" t="e">
        <f t="shared" si="4"/>
        <v>#DIV/0!</v>
      </c>
      <c r="I84" t="e">
        <f t="shared" si="4"/>
        <v>#DIV/0!</v>
      </c>
      <c r="J84" t="e">
        <f t="shared" si="4"/>
        <v>#DIV/0!</v>
      </c>
      <c r="K84" t="e">
        <f t="shared" si="4"/>
        <v>#DIV/0!</v>
      </c>
      <c r="L84" t="e">
        <f t="shared" si="4"/>
        <v>#DIV/0!</v>
      </c>
      <c r="M84" t="e">
        <f t="shared" si="4"/>
        <v>#DIV/0!</v>
      </c>
      <c r="N84" t="e">
        <f t="shared" si="4"/>
        <v>#DIV/0!</v>
      </c>
      <c r="O84" t="e">
        <f t="shared" si="4"/>
        <v>#DIV/0!</v>
      </c>
      <c r="P84" t="e">
        <f t="shared" si="4"/>
        <v>#DIV/0!</v>
      </c>
      <c r="Q84" t="e">
        <f t="shared" si="4"/>
        <v>#DIV/0!</v>
      </c>
      <c r="R84" t="e">
        <f t="shared" si="4"/>
        <v>#DIV/0!</v>
      </c>
      <c r="S84" t="e">
        <f t="shared" si="4"/>
        <v>#DIV/0!</v>
      </c>
      <c r="T84" t="e">
        <f t="shared" si="4"/>
        <v>#DIV/0!</v>
      </c>
      <c r="U84" t="e">
        <f t="shared" si="4"/>
        <v>#DIV/0!</v>
      </c>
      <c r="V84" t="e">
        <f t="shared" si="4"/>
        <v>#DIV/0!</v>
      </c>
      <c r="W84" t="e">
        <f t="shared" si="4"/>
        <v>#DIV/0!</v>
      </c>
      <c r="X84" t="e">
        <f t="shared" si="4"/>
        <v>#DIV/0!</v>
      </c>
      <c r="Y84" t="e">
        <f t="shared" si="4"/>
        <v>#DIV/0!</v>
      </c>
      <c r="Z84" t="e">
        <f t="shared" si="4"/>
        <v>#DIV/0!</v>
      </c>
      <c r="AA84" t="e">
        <f t="shared" si="4"/>
        <v>#DIV/0!</v>
      </c>
      <c r="AB84" t="e">
        <f t="shared" si="4"/>
        <v>#DIV/0!</v>
      </c>
      <c r="AC84" t="e">
        <f t="shared" si="4"/>
        <v>#DIV/0!</v>
      </c>
      <c r="AD84" t="e">
        <f t="shared" si="4"/>
        <v>#DIV/0!</v>
      </c>
      <c r="AE84" t="e">
        <f t="shared" si="4"/>
        <v>#DIV/0!</v>
      </c>
      <c r="AF84" t="e">
        <f t="shared" si="4"/>
        <v>#DIV/0!</v>
      </c>
      <c r="AG84" s="82"/>
      <c r="AH84" s="244" t="s">
        <v>442</v>
      </c>
      <c r="AI84" s="244" t="s">
        <v>459</v>
      </c>
      <c r="AJ84" s="96"/>
      <c r="AK84" s="100">
        <f>$C$84</f>
        <v>5.9040590405904059</v>
      </c>
      <c r="AL84" s="100">
        <f>$D$84</f>
        <v>4.3269230769230766</v>
      </c>
      <c r="AM84" s="100">
        <f>$E$84</f>
        <v>5.7026476578411405</v>
      </c>
      <c r="AN84" s="100" t="e">
        <f>$F$84</f>
        <v>#DIV/0!</v>
      </c>
      <c r="AO84" s="100" t="e">
        <f>$G$84</f>
        <v>#DIV/0!</v>
      </c>
      <c r="AP84" s="100" t="e">
        <f>$H$84</f>
        <v>#DIV/0!</v>
      </c>
      <c r="AQ84" s="100" t="e">
        <f>$I$84</f>
        <v>#DIV/0!</v>
      </c>
      <c r="AR84" s="100" t="e">
        <f>$J$84</f>
        <v>#DIV/0!</v>
      </c>
      <c r="AS84" s="100" t="e">
        <f>$K$84</f>
        <v>#DIV/0!</v>
      </c>
      <c r="AT84" s="100" t="e">
        <f>$L$84</f>
        <v>#DIV/0!</v>
      </c>
      <c r="AU84" s="100" t="e">
        <f>$M$84</f>
        <v>#DIV/0!</v>
      </c>
      <c r="AV84" s="100" t="e">
        <f>$N$84</f>
        <v>#DIV/0!</v>
      </c>
      <c r="AW84" s="100" t="e">
        <f>$O$84</f>
        <v>#DIV/0!</v>
      </c>
      <c r="AX84" s="100" t="e">
        <f>$P$84</f>
        <v>#DIV/0!</v>
      </c>
      <c r="AY84" s="100" t="e">
        <f>$Q$84</f>
        <v>#DIV/0!</v>
      </c>
      <c r="AZ84" s="100" t="e">
        <f>$R$84</f>
        <v>#DIV/0!</v>
      </c>
      <c r="BA84" s="100" t="e">
        <f>$S$84</f>
        <v>#DIV/0!</v>
      </c>
      <c r="BB84" s="100" t="e">
        <f>$T$84</f>
        <v>#DIV/0!</v>
      </c>
      <c r="BC84" s="100" t="e">
        <f>$U$84</f>
        <v>#DIV/0!</v>
      </c>
      <c r="BD84" s="100" t="e">
        <f>$V$84</f>
        <v>#DIV/0!</v>
      </c>
      <c r="BE84" s="100" t="e">
        <f>$W$84</f>
        <v>#DIV/0!</v>
      </c>
      <c r="BF84" s="100" t="e">
        <f>$X$84</f>
        <v>#DIV/0!</v>
      </c>
      <c r="BG84" s="100" t="e">
        <f>$Y$84</f>
        <v>#DIV/0!</v>
      </c>
      <c r="BH84" s="100" t="e">
        <f>$Z$84</f>
        <v>#DIV/0!</v>
      </c>
      <c r="BI84" s="100" t="e">
        <f>$AA$84</f>
        <v>#DIV/0!</v>
      </c>
      <c r="BJ84" s="100" t="e">
        <f>$AB$84</f>
        <v>#DIV/0!</v>
      </c>
      <c r="BK84" s="100" t="e">
        <f>$AC$84</f>
        <v>#DIV/0!</v>
      </c>
      <c r="BL84" s="100" t="e">
        <f>$AD$84</f>
        <v>#DIV/0!</v>
      </c>
      <c r="BM84" s="100" t="e">
        <f>$AE$84</f>
        <v>#DIV/0!</v>
      </c>
      <c r="BN84" s="100" t="e">
        <f>$AF$84</f>
        <v>#DIV/0!</v>
      </c>
    </row>
    <row r="85" spans="1:66">
      <c r="A85" s="69" t="s">
        <v>176</v>
      </c>
      <c r="B85" s="71" t="s">
        <v>178</v>
      </c>
      <c r="C85" s="100"/>
      <c r="E85" s="100">
        <v>7.6923076923076925</v>
      </c>
      <c r="F85" t="e">
        <f t="shared" si="1"/>
        <v>#DIV/0!</v>
      </c>
      <c r="G85" t="e">
        <f t="shared" si="4"/>
        <v>#DIV/0!</v>
      </c>
      <c r="H85" t="e">
        <f t="shared" si="4"/>
        <v>#DIV/0!</v>
      </c>
      <c r="I85" t="e">
        <f t="shared" si="4"/>
        <v>#DIV/0!</v>
      </c>
      <c r="J85" t="e">
        <f t="shared" si="4"/>
        <v>#DIV/0!</v>
      </c>
      <c r="K85" t="e">
        <f t="shared" si="4"/>
        <v>#DIV/0!</v>
      </c>
      <c r="L85" t="e">
        <f t="shared" si="4"/>
        <v>#DIV/0!</v>
      </c>
      <c r="M85" t="e">
        <f t="shared" si="4"/>
        <v>#DIV/0!</v>
      </c>
      <c r="N85" t="e">
        <f t="shared" si="4"/>
        <v>#DIV/0!</v>
      </c>
      <c r="O85" t="e">
        <f t="shared" si="4"/>
        <v>#DIV/0!</v>
      </c>
      <c r="P85" t="e">
        <f t="shared" si="4"/>
        <v>#DIV/0!</v>
      </c>
      <c r="Q85" t="e">
        <f t="shared" si="4"/>
        <v>#DIV/0!</v>
      </c>
      <c r="R85" t="e">
        <f t="shared" si="4"/>
        <v>#DIV/0!</v>
      </c>
      <c r="S85" t="e">
        <f t="shared" si="4"/>
        <v>#DIV/0!</v>
      </c>
      <c r="T85" t="e">
        <f t="shared" si="4"/>
        <v>#DIV/0!</v>
      </c>
      <c r="U85" t="e">
        <f t="shared" si="4"/>
        <v>#DIV/0!</v>
      </c>
      <c r="V85" t="e">
        <f t="shared" si="4"/>
        <v>#DIV/0!</v>
      </c>
      <c r="W85" t="e">
        <f t="shared" si="4"/>
        <v>#DIV/0!</v>
      </c>
      <c r="X85" t="e">
        <f t="shared" si="4"/>
        <v>#DIV/0!</v>
      </c>
      <c r="Y85" t="e">
        <f t="shared" si="4"/>
        <v>#DIV/0!</v>
      </c>
      <c r="Z85" t="e">
        <f t="shared" si="4"/>
        <v>#DIV/0!</v>
      </c>
      <c r="AA85" t="e">
        <f t="shared" si="4"/>
        <v>#DIV/0!</v>
      </c>
      <c r="AB85" t="e">
        <f t="shared" si="4"/>
        <v>#DIV/0!</v>
      </c>
      <c r="AC85" t="e">
        <f t="shared" si="4"/>
        <v>#DIV/0!</v>
      </c>
      <c r="AD85" t="e">
        <f t="shared" si="4"/>
        <v>#DIV/0!</v>
      </c>
      <c r="AE85" t="e">
        <f t="shared" si="4"/>
        <v>#DIV/0!</v>
      </c>
      <c r="AF85" t="e">
        <f t="shared" si="4"/>
        <v>#DIV/0!</v>
      </c>
      <c r="AG85" s="82"/>
      <c r="AH85" s="244" t="s">
        <v>443</v>
      </c>
      <c r="AI85" s="244" t="s">
        <v>460</v>
      </c>
      <c r="AJ85" s="96"/>
      <c r="AK85" s="100">
        <f>$C$85</f>
        <v>0</v>
      </c>
      <c r="AL85" s="100">
        <f>$D$85</f>
        <v>0</v>
      </c>
      <c r="AM85" s="100">
        <f>$E$85</f>
        <v>7.6923076923076925</v>
      </c>
      <c r="AN85" s="100" t="e">
        <f>$F$85</f>
        <v>#DIV/0!</v>
      </c>
      <c r="AO85" s="100" t="e">
        <f>$G$85</f>
        <v>#DIV/0!</v>
      </c>
      <c r="AP85" s="100" t="e">
        <f>$H$85</f>
        <v>#DIV/0!</v>
      </c>
      <c r="AQ85" s="100" t="e">
        <f>$I$85</f>
        <v>#DIV/0!</v>
      </c>
      <c r="AR85" s="100" t="e">
        <f>$J$85</f>
        <v>#DIV/0!</v>
      </c>
      <c r="AS85" s="100" t="e">
        <f>$K$85</f>
        <v>#DIV/0!</v>
      </c>
      <c r="AT85" s="100" t="e">
        <f>$L$85</f>
        <v>#DIV/0!</v>
      </c>
      <c r="AU85" s="100" t="e">
        <f>$M$85</f>
        <v>#DIV/0!</v>
      </c>
      <c r="AV85" s="100" t="e">
        <f>$N$85</f>
        <v>#DIV/0!</v>
      </c>
      <c r="AW85" s="100" t="e">
        <f>$O$85</f>
        <v>#DIV/0!</v>
      </c>
      <c r="AX85" s="100" t="e">
        <f>$P$85</f>
        <v>#DIV/0!</v>
      </c>
      <c r="AY85" s="100" t="e">
        <f>$Q$85</f>
        <v>#DIV/0!</v>
      </c>
      <c r="AZ85" s="100" t="e">
        <f>$R$85</f>
        <v>#DIV/0!</v>
      </c>
      <c r="BA85" s="100" t="e">
        <f>$S$85</f>
        <v>#DIV/0!</v>
      </c>
      <c r="BB85" s="100" t="e">
        <f>$T$85</f>
        <v>#DIV/0!</v>
      </c>
      <c r="BC85" s="100" t="e">
        <f>$U$85</f>
        <v>#DIV/0!</v>
      </c>
      <c r="BD85" s="100" t="e">
        <f>$V$85</f>
        <v>#DIV/0!</v>
      </c>
      <c r="BE85" s="100" t="e">
        <f>$W$85</f>
        <v>#DIV/0!</v>
      </c>
      <c r="BF85" s="100" t="e">
        <f>$X$85</f>
        <v>#DIV/0!</v>
      </c>
      <c r="BG85" s="100" t="e">
        <f>$Y$85</f>
        <v>#DIV/0!</v>
      </c>
      <c r="BH85" s="100" t="e">
        <f>$Z$85</f>
        <v>#DIV/0!</v>
      </c>
      <c r="BI85" s="100" t="e">
        <f>$AA$85</f>
        <v>#DIV/0!</v>
      </c>
      <c r="BJ85" s="100" t="e">
        <f>$AB$85</f>
        <v>#DIV/0!</v>
      </c>
      <c r="BK85" s="100" t="e">
        <f>$AC$85</f>
        <v>#DIV/0!</v>
      </c>
      <c r="BL85" s="100" t="e">
        <f>$AD$85</f>
        <v>#DIV/0!</v>
      </c>
      <c r="BM85" s="100" t="e">
        <f>$AE$85</f>
        <v>#DIV/0!</v>
      </c>
      <c r="BN85" s="100" t="e">
        <f>$AF$85</f>
        <v>#DIV/0!</v>
      </c>
    </row>
    <row r="86" spans="1:66">
      <c r="A86" s="69" t="s">
        <v>150</v>
      </c>
      <c r="B86" t="s">
        <v>153</v>
      </c>
      <c r="C86" s="100">
        <v>4.6332046332046328</v>
      </c>
      <c r="D86" s="100">
        <v>6.666666666666667</v>
      </c>
      <c r="E86" s="100">
        <v>5.8823529411764701</v>
      </c>
      <c r="F86" t="e">
        <f t="shared" si="1"/>
        <v>#DIV/0!</v>
      </c>
      <c r="G86" t="e">
        <f t="shared" si="4"/>
        <v>#DIV/0!</v>
      </c>
      <c r="H86" t="e">
        <f t="shared" si="4"/>
        <v>#DIV/0!</v>
      </c>
      <c r="I86" t="e">
        <f t="shared" si="4"/>
        <v>#DIV/0!</v>
      </c>
      <c r="J86" t="e">
        <f t="shared" si="4"/>
        <v>#DIV/0!</v>
      </c>
      <c r="K86" t="e">
        <f t="shared" si="4"/>
        <v>#DIV/0!</v>
      </c>
      <c r="L86" t="e">
        <f t="shared" si="4"/>
        <v>#DIV/0!</v>
      </c>
      <c r="M86" t="e">
        <f t="shared" si="4"/>
        <v>#DIV/0!</v>
      </c>
      <c r="N86" t="e">
        <f t="shared" si="4"/>
        <v>#DIV/0!</v>
      </c>
      <c r="O86" t="e">
        <f t="shared" si="4"/>
        <v>#DIV/0!</v>
      </c>
      <c r="P86" t="e">
        <f t="shared" si="4"/>
        <v>#DIV/0!</v>
      </c>
      <c r="Q86" t="e">
        <f t="shared" si="4"/>
        <v>#DIV/0!</v>
      </c>
      <c r="R86" t="e">
        <f t="shared" si="4"/>
        <v>#DIV/0!</v>
      </c>
      <c r="S86" t="e">
        <f t="shared" si="4"/>
        <v>#DIV/0!</v>
      </c>
      <c r="T86" t="e">
        <f t="shared" si="4"/>
        <v>#DIV/0!</v>
      </c>
      <c r="U86" t="e">
        <f t="shared" si="4"/>
        <v>#DIV/0!</v>
      </c>
      <c r="V86" t="e">
        <f t="shared" si="4"/>
        <v>#DIV/0!</v>
      </c>
      <c r="W86" t="e">
        <f t="shared" si="4"/>
        <v>#DIV/0!</v>
      </c>
      <c r="X86" t="e">
        <f t="shared" si="4"/>
        <v>#DIV/0!</v>
      </c>
      <c r="Y86" t="e">
        <f t="shared" si="4"/>
        <v>#DIV/0!</v>
      </c>
      <c r="Z86" t="e">
        <f t="shared" si="4"/>
        <v>#DIV/0!</v>
      </c>
      <c r="AA86" t="e">
        <f t="shared" si="4"/>
        <v>#DIV/0!</v>
      </c>
      <c r="AB86" t="e">
        <f t="shared" ref="G86:AF92" si="5">1/0</f>
        <v>#DIV/0!</v>
      </c>
      <c r="AC86" t="e">
        <f t="shared" si="5"/>
        <v>#DIV/0!</v>
      </c>
      <c r="AD86" t="e">
        <f t="shared" si="5"/>
        <v>#DIV/0!</v>
      </c>
      <c r="AE86" t="e">
        <f t="shared" si="5"/>
        <v>#DIV/0!</v>
      </c>
      <c r="AF86" t="e">
        <f t="shared" si="5"/>
        <v>#DIV/0!</v>
      </c>
      <c r="AG86" s="82"/>
      <c r="AH86" s="244" t="s">
        <v>444</v>
      </c>
      <c r="AI86" s="245" t="s">
        <v>461</v>
      </c>
      <c r="AJ86" s="96"/>
      <c r="AK86" s="100">
        <f>$C$86</f>
        <v>4.6332046332046328</v>
      </c>
      <c r="AL86" s="100">
        <f>$D$86</f>
        <v>6.666666666666667</v>
      </c>
      <c r="AM86" s="100">
        <f>$E$86</f>
        <v>5.8823529411764701</v>
      </c>
      <c r="AN86" s="100" t="e">
        <f>$F$86</f>
        <v>#DIV/0!</v>
      </c>
      <c r="AO86" s="100" t="e">
        <f>$G$86</f>
        <v>#DIV/0!</v>
      </c>
      <c r="AP86" s="100" t="e">
        <f>$H$86</f>
        <v>#DIV/0!</v>
      </c>
      <c r="AQ86" s="100" t="e">
        <f>$I$86</f>
        <v>#DIV/0!</v>
      </c>
      <c r="AR86" s="100" t="e">
        <f>$J$86</f>
        <v>#DIV/0!</v>
      </c>
      <c r="AS86" s="100" t="e">
        <f>$K$86</f>
        <v>#DIV/0!</v>
      </c>
      <c r="AT86" s="100" t="e">
        <f>$L$86</f>
        <v>#DIV/0!</v>
      </c>
      <c r="AU86" s="100" t="e">
        <f>$M$86</f>
        <v>#DIV/0!</v>
      </c>
      <c r="AV86" s="100" t="e">
        <f>$N$86</f>
        <v>#DIV/0!</v>
      </c>
      <c r="AW86" s="100" t="e">
        <f>$O$86</f>
        <v>#DIV/0!</v>
      </c>
      <c r="AX86" s="100" t="e">
        <f>$P$86</f>
        <v>#DIV/0!</v>
      </c>
      <c r="AY86" s="100" t="e">
        <f>$Q$86</f>
        <v>#DIV/0!</v>
      </c>
      <c r="AZ86" s="100" t="e">
        <f>$R$86</f>
        <v>#DIV/0!</v>
      </c>
      <c r="BA86" s="100" t="e">
        <f>$S$86</f>
        <v>#DIV/0!</v>
      </c>
      <c r="BB86" s="100" t="e">
        <f>$T$86</f>
        <v>#DIV/0!</v>
      </c>
      <c r="BC86" s="100" t="e">
        <f>$U$86</f>
        <v>#DIV/0!</v>
      </c>
      <c r="BD86" s="100" t="e">
        <f>$V$86</f>
        <v>#DIV/0!</v>
      </c>
      <c r="BE86" s="100" t="e">
        <f>$W$86</f>
        <v>#DIV/0!</v>
      </c>
      <c r="BF86" s="100" t="e">
        <f>$X$86</f>
        <v>#DIV/0!</v>
      </c>
      <c r="BG86" s="100" t="e">
        <f>$Y$86</f>
        <v>#DIV/0!</v>
      </c>
      <c r="BH86" s="100" t="e">
        <f>$Z$86</f>
        <v>#DIV/0!</v>
      </c>
      <c r="BI86" s="100" t="e">
        <f>$AA$86</f>
        <v>#DIV/0!</v>
      </c>
      <c r="BJ86" s="100" t="e">
        <f>$AB$86</f>
        <v>#DIV/0!</v>
      </c>
      <c r="BK86" s="100" t="e">
        <f>$AC$86</f>
        <v>#DIV/0!</v>
      </c>
      <c r="BL86" s="100" t="e">
        <f>$AD$86</f>
        <v>#DIV/0!</v>
      </c>
      <c r="BM86" s="100" t="e">
        <f>$AE$86</f>
        <v>#DIV/0!</v>
      </c>
      <c r="BN86" s="100" t="e">
        <f>$AF$86</f>
        <v>#DIV/0!</v>
      </c>
    </row>
    <row r="87" spans="1:66">
      <c r="A87" s="69" t="s">
        <v>183</v>
      </c>
      <c r="B87" s="71" t="s">
        <v>188</v>
      </c>
      <c r="C87" s="100">
        <v>4.3859649122807012</v>
      </c>
      <c r="D87" s="100">
        <v>9</v>
      </c>
      <c r="E87" s="100">
        <v>7.3394495412844041</v>
      </c>
      <c r="F87" t="e">
        <f t="shared" si="1"/>
        <v>#DIV/0!</v>
      </c>
      <c r="G87" t="e">
        <f t="shared" si="5"/>
        <v>#DIV/0!</v>
      </c>
      <c r="H87" t="e">
        <f t="shared" si="5"/>
        <v>#DIV/0!</v>
      </c>
      <c r="I87" t="e">
        <f t="shared" si="5"/>
        <v>#DIV/0!</v>
      </c>
      <c r="J87" t="e">
        <f t="shared" si="5"/>
        <v>#DIV/0!</v>
      </c>
      <c r="K87" t="e">
        <f t="shared" si="5"/>
        <v>#DIV/0!</v>
      </c>
      <c r="L87" t="e">
        <f t="shared" si="5"/>
        <v>#DIV/0!</v>
      </c>
      <c r="M87" t="e">
        <f t="shared" si="5"/>
        <v>#DIV/0!</v>
      </c>
      <c r="N87" t="e">
        <f t="shared" si="5"/>
        <v>#DIV/0!</v>
      </c>
      <c r="O87" t="e">
        <f t="shared" si="5"/>
        <v>#DIV/0!</v>
      </c>
      <c r="P87" t="e">
        <f t="shared" si="5"/>
        <v>#DIV/0!</v>
      </c>
      <c r="Q87" t="e">
        <f t="shared" si="5"/>
        <v>#DIV/0!</v>
      </c>
      <c r="R87" t="e">
        <f t="shared" si="5"/>
        <v>#DIV/0!</v>
      </c>
      <c r="S87" t="e">
        <f t="shared" si="5"/>
        <v>#DIV/0!</v>
      </c>
      <c r="T87" t="e">
        <f t="shared" si="5"/>
        <v>#DIV/0!</v>
      </c>
      <c r="U87" t="e">
        <f t="shared" si="5"/>
        <v>#DIV/0!</v>
      </c>
      <c r="V87" t="e">
        <f t="shared" si="5"/>
        <v>#DIV/0!</v>
      </c>
      <c r="W87" t="e">
        <f t="shared" si="5"/>
        <v>#DIV/0!</v>
      </c>
      <c r="X87" t="e">
        <f t="shared" si="5"/>
        <v>#DIV/0!</v>
      </c>
      <c r="Y87" t="e">
        <f t="shared" si="5"/>
        <v>#DIV/0!</v>
      </c>
      <c r="Z87" t="e">
        <f t="shared" si="5"/>
        <v>#DIV/0!</v>
      </c>
      <c r="AA87" t="e">
        <f t="shared" si="5"/>
        <v>#DIV/0!</v>
      </c>
      <c r="AB87" t="e">
        <f t="shared" si="5"/>
        <v>#DIV/0!</v>
      </c>
      <c r="AC87" t="e">
        <f t="shared" si="5"/>
        <v>#DIV/0!</v>
      </c>
      <c r="AD87" t="e">
        <f t="shared" si="5"/>
        <v>#DIV/0!</v>
      </c>
      <c r="AE87" t="e">
        <f t="shared" si="5"/>
        <v>#DIV/0!</v>
      </c>
      <c r="AF87" t="e">
        <f t="shared" si="5"/>
        <v>#DIV/0!</v>
      </c>
      <c r="AG87" s="82"/>
      <c r="AH87" s="244" t="s">
        <v>445</v>
      </c>
      <c r="AI87" s="244" t="s">
        <v>462</v>
      </c>
      <c r="AJ87" s="96"/>
      <c r="AK87" s="100">
        <f>$C$87</f>
        <v>4.3859649122807012</v>
      </c>
      <c r="AL87" s="100">
        <f>$D$87</f>
        <v>9</v>
      </c>
      <c r="AM87" s="100">
        <f>$E$87</f>
        <v>7.3394495412844041</v>
      </c>
      <c r="AN87" s="100" t="e">
        <f>$F$87</f>
        <v>#DIV/0!</v>
      </c>
      <c r="AO87" s="100" t="e">
        <f>$G$87</f>
        <v>#DIV/0!</v>
      </c>
      <c r="AP87" s="100" t="e">
        <f>$H$87</f>
        <v>#DIV/0!</v>
      </c>
      <c r="AQ87" s="100" t="e">
        <f>$I$87</f>
        <v>#DIV/0!</v>
      </c>
      <c r="AR87" s="100" t="e">
        <f>$J$87</f>
        <v>#DIV/0!</v>
      </c>
      <c r="AS87" s="100" t="e">
        <f>$K$87</f>
        <v>#DIV/0!</v>
      </c>
      <c r="AT87" s="100" t="e">
        <f>$L$87</f>
        <v>#DIV/0!</v>
      </c>
      <c r="AU87" s="100" t="e">
        <f>$M$87</f>
        <v>#DIV/0!</v>
      </c>
      <c r="AV87" s="100" t="e">
        <f>$N$87</f>
        <v>#DIV/0!</v>
      </c>
      <c r="AW87" s="100" t="e">
        <f>$O$87</f>
        <v>#DIV/0!</v>
      </c>
      <c r="AX87" s="100" t="e">
        <f>$P$87</f>
        <v>#DIV/0!</v>
      </c>
      <c r="AY87" s="100" t="e">
        <f>$Q$87</f>
        <v>#DIV/0!</v>
      </c>
      <c r="AZ87" s="100" t="e">
        <f>$R$87</f>
        <v>#DIV/0!</v>
      </c>
      <c r="BA87" s="100" t="e">
        <f>$S$87</f>
        <v>#DIV/0!</v>
      </c>
      <c r="BB87" s="100" t="e">
        <f>$T$87</f>
        <v>#DIV/0!</v>
      </c>
      <c r="BC87" s="100" t="e">
        <f>$U$87</f>
        <v>#DIV/0!</v>
      </c>
      <c r="BD87" s="100" t="e">
        <f>$V$87</f>
        <v>#DIV/0!</v>
      </c>
      <c r="BE87" s="100" t="e">
        <f>$W$87</f>
        <v>#DIV/0!</v>
      </c>
      <c r="BF87" s="100" t="e">
        <f>$X$87</f>
        <v>#DIV/0!</v>
      </c>
      <c r="BG87" s="100" t="e">
        <f>$Y$87</f>
        <v>#DIV/0!</v>
      </c>
      <c r="BH87" s="100" t="e">
        <f>$Z$87</f>
        <v>#DIV/0!</v>
      </c>
      <c r="BI87" s="100" t="e">
        <f>$AA$87</f>
        <v>#DIV/0!</v>
      </c>
      <c r="BJ87" s="100" t="e">
        <f>$AB$87</f>
        <v>#DIV/0!</v>
      </c>
      <c r="BK87" s="100" t="e">
        <f>$AC$87</f>
        <v>#DIV/0!</v>
      </c>
      <c r="BL87" s="100" t="e">
        <f>$AD$87</f>
        <v>#DIV/0!</v>
      </c>
      <c r="BM87" s="100" t="e">
        <f>$AE$87</f>
        <v>#DIV/0!</v>
      </c>
      <c r="BN87" s="100" t="e">
        <f>$AF$87</f>
        <v>#DIV/0!</v>
      </c>
    </row>
    <row r="88" spans="1:66">
      <c r="A88" s="69" t="s">
        <v>177</v>
      </c>
      <c r="B88" s="71" t="s">
        <v>178</v>
      </c>
      <c r="C88" s="100">
        <v>4.6153846153846159</v>
      </c>
      <c r="D88" s="100">
        <v>2</v>
      </c>
      <c r="E88" s="100">
        <v>4.2735042735042734</v>
      </c>
      <c r="F88" t="e">
        <f t="shared" si="1"/>
        <v>#DIV/0!</v>
      </c>
      <c r="G88" t="e">
        <f t="shared" si="5"/>
        <v>#DIV/0!</v>
      </c>
      <c r="H88" t="e">
        <f t="shared" si="5"/>
        <v>#DIV/0!</v>
      </c>
      <c r="I88" t="e">
        <f t="shared" si="5"/>
        <v>#DIV/0!</v>
      </c>
      <c r="J88" t="e">
        <f t="shared" si="5"/>
        <v>#DIV/0!</v>
      </c>
      <c r="K88" t="e">
        <f t="shared" si="5"/>
        <v>#DIV/0!</v>
      </c>
      <c r="L88" t="e">
        <f t="shared" si="5"/>
        <v>#DIV/0!</v>
      </c>
      <c r="M88" t="e">
        <f t="shared" si="5"/>
        <v>#DIV/0!</v>
      </c>
      <c r="N88" t="e">
        <f t="shared" si="5"/>
        <v>#DIV/0!</v>
      </c>
      <c r="O88" t="e">
        <f t="shared" si="5"/>
        <v>#DIV/0!</v>
      </c>
      <c r="P88" t="e">
        <f t="shared" si="5"/>
        <v>#DIV/0!</v>
      </c>
      <c r="Q88" t="e">
        <f t="shared" si="5"/>
        <v>#DIV/0!</v>
      </c>
      <c r="R88" t="e">
        <f t="shared" si="5"/>
        <v>#DIV/0!</v>
      </c>
      <c r="S88" t="e">
        <f t="shared" si="5"/>
        <v>#DIV/0!</v>
      </c>
      <c r="T88" t="e">
        <f t="shared" si="5"/>
        <v>#DIV/0!</v>
      </c>
      <c r="U88" t="e">
        <f t="shared" si="5"/>
        <v>#DIV/0!</v>
      </c>
      <c r="V88" t="e">
        <f t="shared" si="5"/>
        <v>#DIV/0!</v>
      </c>
      <c r="W88" t="e">
        <f t="shared" si="5"/>
        <v>#DIV/0!</v>
      </c>
      <c r="X88" t="e">
        <f t="shared" si="5"/>
        <v>#DIV/0!</v>
      </c>
      <c r="Y88" t="e">
        <f t="shared" si="5"/>
        <v>#DIV/0!</v>
      </c>
      <c r="Z88" t="e">
        <f t="shared" si="5"/>
        <v>#DIV/0!</v>
      </c>
      <c r="AA88" t="e">
        <f t="shared" si="5"/>
        <v>#DIV/0!</v>
      </c>
      <c r="AB88" t="e">
        <f t="shared" si="5"/>
        <v>#DIV/0!</v>
      </c>
      <c r="AC88" t="e">
        <f t="shared" si="5"/>
        <v>#DIV/0!</v>
      </c>
      <c r="AD88" t="e">
        <f t="shared" si="5"/>
        <v>#DIV/0!</v>
      </c>
      <c r="AE88" t="e">
        <f t="shared" si="5"/>
        <v>#DIV/0!</v>
      </c>
      <c r="AF88" t="e">
        <f t="shared" si="5"/>
        <v>#DIV/0!</v>
      </c>
      <c r="AG88" s="82"/>
      <c r="AH88" s="246" t="s">
        <v>446</v>
      </c>
      <c r="AI88" s="244" t="s">
        <v>463</v>
      </c>
      <c r="AJ88" s="96"/>
      <c r="AK88" s="100">
        <f>$C$88</f>
        <v>4.6153846153846159</v>
      </c>
      <c r="AL88" s="100">
        <f>$D$88</f>
        <v>2</v>
      </c>
      <c r="AM88" s="100">
        <f>$E$88</f>
        <v>4.2735042735042734</v>
      </c>
      <c r="AN88" s="100" t="e">
        <f>$F$88</f>
        <v>#DIV/0!</v>
      </c>
      <c r="AO88" s="100" t="e">
        <f>$G$88</f>
        <v>#DIV/0!</v>
      </c>
      <c r="AP88" s="100" t="e">
        <f>$H$88</f>
        <v>#DIV/0!</v>
      </c>
      <c r="AQ88" s="100" t="e">
        <f>$I$88</f>
        <v>#DIV/0!</v>
      </c>
      <c r="AR88" s="100" t="e">
        <f>$J$88</f>
        <v>#DIV/0!</v>
      </c>
      <c r="AS88" s="100" t="e">
        <f>$K$88</f>
        <v>#DIV/0!</v>
      </c>
      <c r="AT88" s="100" t="e">
        <f>$L$88</f>
        <v>#DIV/0!</v>
      </c>
      <c r="AU88" s="100" t="e">
        <f>$M$88</f>
        <v>#DIV/0!</v>
      </c>
      <c r="AV88" s="100" t="e">
        <f>$N$88</f>
        <v>#DIV/0!</v>
      </c>
      <c r="AW88" s="100" t="e">
        <f>$O$88</f>
        <v>#DIV/0!</v>
      </c>
      <c r="AX88" s="100" t="e">
        <f>$P$88</f>
        <v>#DIV/0!</v>
      </c>
      <c r="AY88" s="100" t="e">
        <f>$Q$88</f>
        <v>#DIV/0!</v>
      </c>
      <c r="AZ88" s="100" t="e">
        <f>$R$88</f>
        <v>#DIV/0!</v>
      </c>
      <c r="BA88" s="100" t="e">
        <f>$S$88</f>
        <v>#DIV/0!</v>
      </c>
      <c r="BB88" s="100" t="e">
        <f>$T$88</f>
        <v>#DIV/0!</v>
      </c>
      <c r="BC88" s="100" t="e">
        <f>$U$88</f>
        <v>#DIV/0!</v>
      </c>
      <c r="BD88" s="100" t="e">
        <f>$V$88</f>
        <v>#DIV/0!</v>
      </c>
      <c r="BE88" s="100" t="e">
        <f>$W$88</f>
        <v>#DIV/0!</v>
      </c>
      <c r="BF88" s="100" t="e">
        <f>$X$88</f>
        <v>#DIV/0!</v>
      </c>
      <c r="BG88" s="100" t="e">
        <f>$Y$88</f>
        <v>#DIV/0!</v>
      </c>
      <c r="BH88" s="100" t="e">
        <f>$Z$88</f>
        <v>#DIV/0!</v>
      </c>
      <c r="BI88" s="100" t="e">
        <f>$AA$88</f>
        <v>#DIV/0!</v>
      </c>
      <c r="BJ88" s="100" t="e">
        <f>$AB$88</f>
        <v>#DIV/0!</v>
      </c>
      <c r="BK88" s="100" t="e">
        <f>$AC$88</f>
        <v>#DIV/0!</v>
      </c>
      <c r="BL88" s="100" t="e">
        <f>$AD$88</f>
        <v>#DIV/0!</v>
      </c>
      <c r="BM88" s="100" t="e">
        <f>$AE$88</f>
        <v>#DIV/0!</v>
      </c>
      <c r="BN88" s="100" t="e">
        <f>$AF$88</f>
        <v>#DIV/0!</v>
      </c>
    </row>
    <row r="89" spans="1:66">
      <c r="A89" s="69" t="s">
        <v>180</v>
      </c>
      <c r="B89" s="71" t="s">
        <v>188</v>
      </c>
      <c r="C89" s="100"/>
      <c r="E89" s="100">
        <v>1</v>
      </c>
      <c r="F89" t="e">
        <f t="shared" si="1"/>
        <v>#DIV/0!</v>
      </c>
      <c r="G89" t="e">
        <f t="shared" si="5"/>
        <v>#DIV/0!</v>
      </c>
      <c r="H89" t="e">
        <f t="shared" si="5"/>
        <v>#DIV/0!</v>
      </c>
      <c r="I89" t="e">
        <f t="shared" si="5"/>
        <v>#DIV/0!</v>
      </c>
      <c r="J89" t="e">
        <f t="shared" si="5"/>
        <v>#DIV/0!</v>
      </c>
      <c r="K89" t="e">
        <f t="shared" si="5"/>
        <v>#DIV/0!</v>
      </c>
      <c r="L89" t="e">
        <f t="shared" si="5"/>
        <v>#DIV/0!</v>
      </c>
      <c r="M89" t="e">
        <f t="shared" si="5"/>
        <v>#DIV/0!</v>
      </c>
      <c r="N89" t="e">
        <f t="shared" si="5"/>
        <v>#DIV/0!</v>
      </c>
      <c r="O89" t="e">
        <f t="shared" si="5"/>
        <v>#DIV/0!</v>
      </c>
      <c r="P89" t="e">
        <f t="shared" si="5"/>
        <v>#DIV/0!</v>
      </c>
      <c r="Q89" t="e">
        <f t="shared" si="5"/>
        <v>#DIV/0!</v>
      </c>
      <c r="R89" t="e">
        <f t="shared" si="5"/>
        <v>#DIV/0!</v>
      </c>
      <c r="S89" t="e">
        <f t="shared" si="5"/>
        <v>#DIV/0!</v>
      </c>
      <c r="T89" t="e">
        <f t="shared" si="5"/>
        <v>#DIV/0!</v>
      </c>
      <c r="U89" t="e">
        <f t="shared" si="5"/>
        <v>#DIV/0!</v>
      </c>
      <c r="V89" t="e">
        <f t="shared" si="5"/>
        <v>#DIV/0!</v>
      </c>
      <c r="W89" t="e">
        <f t="shared" si="5"/>
        <v>#DIV/0!</v>
      </c>
      <c r="X89" t="e">
        <f t="shared" si="5"/>
        <v>#DIV/0!</v>
      </c>
      <c r="Y89" t="e">
        <f t="shared" si="5"/>
        <v>#DIV/0!</v>
      </c>
      <c r="Z89" t="e">
        <f t="shared" si="5"/>
        <v>#DIV/0!</v>
      </c>
      <c r="AA89" t="e">
        <f t="shared" si="5"/>
        <v>#DIV/0!</v>
      </c>
      <c r="AB89" t="e">
        <f t="shared" si="5"/>
        <v>#DIV/0!</v>
      </c>
      <c r="AC89" t="e">
        <f t="shared" si="5"/>
        <v>#DIV/0!</v>
      </c>
      <c r="AD89" t="e">
        <f t="shared" si="5"/>
        <v>#DIV/0!</v>
      </c>
      <c r="AE89" t="e">
        <f t="shared" si="5"/>
        <v>#DIV/0!</v>
      </c>
      <c r="AF89" t="e">
        <f t="shared" si="5"/>
        <v>#DIV/0!</v>
      </c>
      <c r="AG89" s="82"/>
      <c r="AH89" s="247" t="s">
        <v>447</v>
      </c>
      <c r="AI89" s="244" t="s">
        <v>464</v>
      </c>
      <c r="AJ89" s="96"/>
      <c r="AK89" s="100">
        <f>$C$89</f>
        <v>0</v>
      </c>
      <c r="AL89" s="100">
        <f>$D$89</f>
        <v>0</v>
      </c>
      <c r="AM89" s="100">
        <f>$E$89</f>
        <v>1</v>
      </c>
      <c r="AN89" s="100" t="e">
        <f>$F$89</f>
        <v>#DIV/0!</v>
      </c>
      <c r="AO89" s="100" t="e">
        <f>$G$89</f>
        <v>#DIV/0!</v>
      </c>
      <c r="AP89" s="100" t="e">
        <f>$H$89</f>
        <v>#DIV/0!</v>
      </c>
      <c r="AQ89" s="100" t="e">
        <f>$I$89</f>
        <v>#DIV/0!</v>
      </c>
      <c r="AR89" s="100" t="e">
        <f>$J$89</f>
        <v>#DIV/0!</v>
      </c>
      <c r="AS89" s="100" t="e">
        <f>$K$89</f>
        <v>#DIV/0!</v>
      </c>
      <c r="AT89" s="100" t="e">
        <f>$L$89</f>
        <v>#DIV/0!</v>
      </c>
      <c r="AU89" s="100" t="e">
        <f>$M$89</f>
        <v>#DIV/0!</v>
      </c>
      <c r="AV89" s="100" t="e">
        <f>$N$89</f>
        <v>#DIV/0!</v>
      </c>
      <c r="AW89" s="100" t="e">
        <f>$O$89</f>
        <v>#DIV/0!</v>
      </c>
      <c r="AX89" s="100" t="e">
        <f>$P$89</f>
        <v>#DIV/0!</v>
      </c>
      <c r="AY89" s="100" t="e">
        <f>$Q$89</f>
        <v>#DIV/0!</v>
      </c>
      <c r="AZ89" s="100" t="e">
        <f>$R$89</f>
        <v>#DIV/0!</v>
      </c>
      <c r="BA89" s="100" t="e">
        <f>$S$89</f>
        <v>#DIV/0!</v>
      </c>
      <c r="BB89" s="100" t="e">
        <f>$T$89</f>
        <v>#DIV/0!</v>
      </c>
      <c r="BC89" s="100" t="e">
        <f>$U$89</f>
        <v>#DIV/0!</v>
      </c>
      <c r="BD89" s="100" t="e">
        <f>$V$89</f>
        <v>#DIV/0!</v>
      </c>
      <c r="BE89" s="100" t="e">
        <f>$W$89</f>
        <v>#DIV/0!</v>
      </c>
      <c r="BF89" s="100" t="e">
        <f>$X$89</f>
        <v>#DIV/0!</v>
      </c>
      <c r="BG89" s="100" t="e">
        <f>$Y$89</f>
        <v>#DIV/0!</v>
      </c>
      <c r="BH89" s="100" t="e">
        <f>$Z$89</f>
        <v>#DIV/0!</v>
      </c>
      <c r="BI89" s="100" t="e">
        <f>$AA$89</f>
        <v>#DIV/0!</v>
      </c>
      <c r="BJ89" s="100" t="e">
        <f>$AB$89</f>
        <v>#DIV/0!</v>
      </c>
      <c r="BK89" s="100" t="e">
        <f>$AC$89</f>
        <v>#DIV/0!</v>
      </c>
      <c r="BL89" s="100" t="e">
        <f>$AD$89</f>
        <v>#DIV/0!</v>
      </c>
      <c r="BM89" s="100" t="e">
        <f>$AE$89</f>
        <v>#DIV/0!</v>
      </c>
      <c r="BN89" s="100" t="e">
        <f>$AF$89</f>
        <v>#DIV/0!</v>
      </c>
    </row>
    <row r="90" spans="1:66">
      <c r="A90" s="69" t="s">
        <v>151</v>
      </c>
      <c r="B90" t="s">
        <v>153</v>
      </c>
      <c r="C90" s="100">
        <v>6.2146892655367232</v>
      </c>
      <c r="D90" s="100">
        <v>3.0120481927710845</v>
      </c>
      <c r="E90" s="100">
        <v>4.9275362318840585</v>
      </c>
      <c r="F90" t="e">
        <f t="shared" si="1"/>
        <v>#DIV/0!</v>
      </c>
      <c r="G90" t="e">
        <f t="shared" si="5"/>
        <v>#DIV/0!</v>
      </c>
      <c r="H90" t="e">
        <f t="shared" si="5"/>
        <v>#DIV/0!</v>
      </c>
      <c r="I90" t="e">
        <f t="shared" si="5"/>
        <v>#DIV/0!</v>
      </c>
      <c r="J90" t="e">
        <f t="shared" si="5"/>
        <v>#DIV/0!</v>
      </c>
      <c r="K90" t="e">
        <f t="shared" si="5"/>
        <v>#DIV/0!</v>
      </c>
      <c r="L90" t="e">
        <f t="shared" si="5"/>
        <v>#DIV/0!</v>
      </c>
      <c r="M90" t="e">
        <f t="shared" si="5"/>
        <v>#DIV/0!</v>
      </c>
      <c r="N90" t="e">
        <f t="shared" si="5"/>
        <v>#DIV/0!</v>
      </c>
      <c r="O90" t="e">
        <f t="shared" si="5"/>
        <v>#DIV/0!</v>
      </c>
      <c r="P90" t="e">
        <f t="shared" si="5"/>
        <v>#DIV/0!</v>
      </c>
      <c r="Q90" t="e">
        <f t="shared" si="5"/>
        <v>#DIV/0!</v>
      </c>
      <c r="R90" t="e">
        <f t="shared" si="5"/>
        <v>#DIV/0!</v>
      </c>
      <c r="S90" t="e">
        <f t="shared" si="5"/>
        <v>#DIV/0!</v>
      </c>
      <c r="T90" t="e">
        <f t="shared" si="5"/>
        <v>#DIV/0!</v>
      </c>
      <c r="U90" t="e">
        <f t="shared" si="5"/>
        <v>#DIV/0!</v>
      </c>
      <c r="V90" t="e">
        <f t="shared" si="5"/>
        <v>#DIV/0!</v>
      </c>
      <c r="W90" t="e">
        <f t="shared" si="5"/>
        <v>#DIV/0!</v>
      </c>
      <c r="X90" t="e">
        <f t="shared" si="5"/>
        <v>#DIV/0!</v>
      </c>
      <c r="Y90" t="e">
        <f t="shared" si="5"/>
        <v>#DIV/0!</v>
      </c>
      <c r="Z90" t="e">
        <f t="shared" si="5"/>
        <v>#DIV/0!</v>
      </c>
      <c r="AA90" t="e">
        <f t="shared" si="5"/>
        <v>#DIV/0!</v>
      </c>
      <c r="AB90" t="e">
        <f t="shared" si="5"/>
        <v>#DIV/0!</v>
      </c>
      <c r="AC90" t="e">
        <f t="shared" si="5"/>
        <v>#DIV/0!</v>
      </c>
      <c r="AD90" t="e">
        <f t="shared" si="5"/>
        <v>#DIV/0!</v>
      </c>
      <c r="AE90" t="e">
        <f t="shared" si="5"/>
        <v>#DIV/0!</v>
      </c>
      <c r="AF90" t="e">
        <f t="shared" si="5"/>
        <v>#DIV/0!</v>
      </c>
      <c r="AG90" s="82"/>
      <c r="AH90" s="284"/>
      <c r="AI90" s="244" t="s">
        <v>465</v>
      </c>
      <c r="AJ90" s="96"/>
      <c r="AK90" s="100">
        <f>$C$90</f>
        <v>6.2146892655367232</v>
      </c>
      <c r="AL90" s="100">
        <f>$D$90</f>
        <v>3.0120481927710845</v>
      </c>
      <c r="AM90" s="100">
        <f>$E$90</f>
        <v>4.9275362318840585</v>
      </c>
      <c r="AN90" s="100" t="e">
        <f>$F$90</f>
        <v>#DIV/0!</v>
      </c>
      <c r="AO90" s="100" t="e">
        <f>$G$90</f>
        <v>#DIV/0!</v>
      </c>
      <c r="AP90" s="100" t="e">
        <f>$H$90</f>
        <v>#DIV/0!</v>
      </c>
      <c r="AQ90" s="100" t="e">
        <f>$I$90</f>
        <v>#DIV/0!</v>
      </c>
      <c r="AR90" s="100" t="e">
        <f>$J$90</f>
        <v>#DIV/0!</v>
      </c>
      <c r="AS90" s="100" t="e">
        <f>$K$90</f>
        <v>#DIV/0!</v>
      </c>
      <c r="AT90" s="100" t="e">
        <f>$L$90</f>
        <v>#DIV/0!</v>
      </c>
      <c r="AU90" s="100" t="e">
        <f>$M$90</f>
        <v>#DIV/0!</v>
      </c>
      <c r="AV90" s="100" t="e">
        <f>$N$90</f>
        <v>#DIV/0!</v>
      </c>
      <c r="AW90" s="100" t="e">
        <f>$O$90</f>
        <v>#DIV/0!</v>
      </c>
      <c r="AX90" s="100" t="e">
        <f>$P$90</f>
        <v>#DIV/0!</v>
      </c>
      <c r="AY90" s="100" t="e">
        <f>$Q$90</f>
        <v>#DIV/0!</v>
      </c>
      <c r="AZ90" s="100" t="e">
        <f>$R$90</f>
        <v>#DIV/0!</v>
      </c>
      <c r="BA90" s="100" t="e">
        <f>$S$90</f>
        <v>#DIV/0!</v>
      </c>
      <c r="BB90" s="100" t="e">
        <f>$T$90</f>
        <v>#DIV/0!</v>
      </c>
      <c r="BC90" s="100" t="e">
        <f>$U$90</f>
        <v>#DIV/0!</v>
      </c>
      <c r="BD90" s="100" t="e">
        <f>$V$90</f>
        <v>#DIV/0!</v>
      </c>
      <c r="BE90" s="100" t="e">
        <f>$W$90</f>
        <v>#DIV/0!</v>
      </c>
      <c r="BF90" s="100" t="e">
        <f>$X$90</f>
        <v>#DIV/0!</v>
      </c>
      <c r="BG90" s="100" t="e">
        <f>$Y$90</f>
        <v>#DIV/0!</v>
      </c>
      <c r="BH90" s="100" t="e">
        <f>$Z$90</f>
        <v>#DIV/0!</v>
      </c>
      <c r="BI90" s="100" t="e">
        <f>$AA$90</f>
        <v>#DIV/0!</v>
      </c>
      <c r="BJ90" s="100" t="e">
        <f>$AB$90</f>
        <v>#DIV/0!</v>
      </c>
      <c r="BK90" s="100" t="e">
        <f>$AC$90</f>
        <v>#DIV/0!</v>
      </c>
      <c r="BL90" s="100" t="e">
        <f>$AD$90</f>
        <v>#DIV/0!</v>
      </c>
      <c r="BM90" s="100" t="e">
        <f>$AE$90</f>
        <v>#DIV/0!</v>
      </c>
      <c r="BN90" s="100" t="e">
        <f>$AF$90</f>
        <v>#DIV/0!</v>
      </c>
    </row>
    <row r="91" spans="1:66">
      <c r="A91" s="69" t="s">
        <v>144</v>
      </c>
      <c r="B91" t="s">
        <v>153</v>
      </c>
      <c r="C91" s="100">
        <v>1.4925373134328357</v>
      </c>
      <c r="D91" s="100">
        <v>2</v>
      </c>
      <c r="E91" s="100">
        <v>1.6949152542372881</v>
      </c>
      <c r="F91" t="e">
        <f t="shared" si="1"/>
        <v>#DIV/0!</v>
      </c>
      <c r="G91" t="e">
        <f t="shared" si="5"/>
        <v>#DIV/0!</v>
      </c>
      <c r="H91" t="e">
        <f t="shared" si="5"/>
        <v>#DIV/0!</v>
      </c>
      <c r="I91" t="e">
        <f t="shared" si="5"/>
        <v>#DIV/0!</v>
      </c>
      <c r="J91" t="e">
        <f t="shared" si="5"/>
        <v>#DIV/0!</v>
      </c>
      <c r="K91" t="e">
        <f t="shared" si="5"/>
        <v>#DIV/0!</v>
      </c>
      <c r="L91" t="e">
        <f t="shared" si="5"/>
        <v>#DIV/0!</v>
      </c>
      <c r="M91" t="e">
        <f t="shared" si="5"/>
        <v>#DIV/0!</v>
      </c>
      <c r="N91" t="e">
        <f t="shared" si="5"/>
        <v>#DIV/0!</v>
      </c>
      <c r="O91" t="e">
        <f t="shared" si="5"/>
        <v>#DIV/0!</v>
      </c>
      <c r="P91" t="e">
        <f t="shared" si="5"/>
        <v>#DIV/0!</v>
      </c>
      <c r="Q91" t="e">
        <f t="shared" si="5"/>
        <v>#DIV/0!</v>
      </c>
      <c r="R91" t="e">
        <f t="shared" si="5"/>
        <v>#DIV/0!</v>
      </c>
      <c r="S91" t="e">
        <f t="shared" si="5"/>
        <v>#DIV/0!</v>
      </c>
      <c r="T91" t="e">
        <f t="shared" si="5"/>
        <v>#DIV/0!</v>
      </c>
      <c r="U91" t="e">
        <f t="shared" si="5"/>
        <v>#DIV/0!</v>
      </c>
      <c r="V91" t="e">
        <f t="shared" si="5"/>
        <v>#DIV/0!</v>
      </c>
      <c r="W91" t="e">
        <f t="shared" si="5"/>
        <v>#DIV/0!</v>
      </c>
      <c r="X91" t="e">
        <f t="shared" si="5"/>
        <v>#DIV/0!</v>
      </c>
      <c r="Y91" t="e">
        <f t="shared" si="5"/>
        <v>#DIV/0!</v>
      </c>
      <c r="Z91" t="e">
        <f t="shared" si="5"/>
        <v>#DIV/0!</v>
      </c>
      <c r="AA91" t="e">
        <f t="shared" si="5"/>
        <v>#DIV/0!</v>
      </c>
      <c r="AB91" t="e">
        <f t="shared" si="5"/>
        <v>#DIV/0!</v>
      </c>
      <c r="AC91" t="e">
        <f t="shared" si="5"/>
        <v>#DIV/0!</v>
      </c>
      <c r="AD91" t="e">
        <f t="shared" si="5"/>
        <v>#DIV/0!</v>
      </c>
      <c r="AE91" t="e">
        <f t="shared" si="5"/>
        <v>#DIV/0!</v>
      </c>
      <c r="AF91" t="e">
        <f t="shared" si="5"/>
        <v>#DIV/0!</v>
      </c>
      <c r="AG91" s="82"/>
      <c r="AH91" s="257"/>
      <c r="AI91" s="258" t="s">
        <v>466</v>
      </c>
      <c r="AJ91" s="96"/>
      <c r="AK91" s="100">
        <f>$C$91</f>
        <v>1.4925373134328357</v>
      </c>
      <c r="AL91" s="100">
        <f>$D$91</f>
        <v>2</v>
      </c>
      <c r="AM91" s="100">
        <f>$E$91</f>
        <v>1.6949152542372881</v>
      </c>
      <c r="AN91" s="100" t="e">
        <f>$F$91</f>
        <v>#DIV/0!</v>
      </c>
      <c r="AO91" s="100" t="e">
        <f>$G$91</f>
        <v>#DIV/0!</v>
      </c>
      <c r="AP91" s="100" t="e">
        <f>$H$91</f>
        <v>#DIV/0!</v>
      </c>
      <c r="AQ91" s="100" t="e">
        <f>$I$91</f>
        <v>#DIV/0!</v>
      </c>
      <c r="AR91" s="100" t="e">
        <f>$J$91</f>
        <v>#DIV/0!</v>
      </c>
      <c r="AS91" s="100" t="e">
        <f>$K$91</f>
        <v>#DIV/0!</v>
      </c>
      <c r="AT91" s="100" t="e">
        <f>$L$91</f>
        <v>#DIV/0!</v>
      </c>
      <c r="AU91" s="100" t="e">
        <f>$M$91</f>
        <v>#DIV/0!</v>
      </c>
      <c r="AV91" s="100" t="e">
        <f>$N$91</f>
        <v>#DIV/0!</v>
      </c>
      <c r="AW91" s="100" t="e">
        <f>$O$91</f>
        <v>#DIV/0!</v>
      </c>
      <c r="AX91" s="100" t="e">
        <f>$P$91</f>
        <v>#DIV/0!</v>
      </c>
      <c r="AY91" s="100" t="e">
        <f>$Q$91</f>
        <v>#DIV/0!</v>
      </c>
      <c r="AZ91" s="100" t="e">
        <f>$R$91</f>
        <v>#DIV/0!</v>
      </c>
      <c r="BA91" s="100" t="e">
        <f>$S$91</f>
        <v>#DIV/0!</v>
      </c>
      <c r="BB91" s="100" t="e">
        <f>$T$91</f>
        <v>#DIV/0!</v>
      </c>
      <c r="BC91" s="100" t="e">
        <f>$U$91</f>
        <v>#DIV/0!</v>
      </c>
      <c r="BD91" s="100" t="e">
        <f>$V$91</f>
        <v>#DIV/0!</v>
      </c>
      <c r="BE91" s="100" t="e">
        <f>$W$91</f>
        <v>#DIV/0!</v>
      </c>
      <c r="BF91" s="100" t="e">
        <f>$X$91</f>
        <v>#DIV/0!</v>
      </c>
      <c r="BG91" s="100" t="e">
        <f>$Y$91</f>
        <v>#DIV/0!</v>
      </c>
      <c r="BH91" s="100" t="e">
        <f>$Z$91</f>
        <v>#DIV/0!</v>
      </c>
      <c r="BI91" s="100" t="e">
        <f>$AA$91</f>
        <v>#DIV/0!</v>
      </c>
      <c r="BJ91" s="100" t="e">
        <f>$AB$91</f>
        <v>#DIV/0!</v>
      </c>
      <c r="BK91" s="100" t="e">
        <f>$AC$91</f>
        <v>#DIV/0!</v>
      </c>
      <c r="BL91" s="100" t="e">
        <f>$AD$91</f>
        <v>#DIV/0!</v>
      </c>
      <c r="BM91" s="100" t="e">
        <f>$AE$91</f>
        <v>#DIV/0!</v>
      </c>
      <c r="BN91" s="100" t="e">
        <f>$AF$91</f>
        <v>#DIV/0!</v>
      </c>
    </row>
    <row r="92" spans="1:66">
      <c r="A92" s="68" t="s">
        <v>192</v>
      </c>
      <c r="B92" s="71" t="s">
        <v>158</v>
      </c>
      <c r="C92" s="100">
        <v>6.666666666666667</v>
      </c>
      <c r="D92" s="100">
        <v>2.1276595744680851</v>
      </c>
      <c r="E92" s="100">
        <v>5.1546391752577314</v>
      </c>
      <c r="F92" t="e">
        <f t="shared" si="1"/>
        <v>#DIV/0!</v>
      </c>
      <c r="G92" t="e">
        <f t="shared" si="5"/>
        <v>#DIV/0!</v>
      </c>
      <c r="H92" t="e">
        <f t="shared" si="5"/>
        <v>#DIV/0!</v>
      </c>
      <c r="I92" t="e">
        <f t="shared" si="5"/>
        <v>#DIV/0!</v>
      </c>
      <c r="J92" t="e">
        <f t="shared" si="5"/>
        <v>#DIV/0!</v>
      </c>
      <c r="K92" t="e">
        <f t="shared" si="5"/>
        <v>#DIV/0!</v>
      </c>
      <c r="L92" t="e">
        <f t="shared" si="5"/>
        <v>#DIV/0!</v>
      </c>
      <c r="M92" t="e">
        <f t="shared" si="5"/>
        <v>#DIV/0!</v>
      </c>
      <c r="N92" t="e">
        <f t="shared" si="5"/>
        <v>#DIV/0!</v>
      </c>
      <c r="O92" t="e">
        <f t="shared" si="5"/>
        <v>#DIV/0!</v>
      </c>
      <c r="P92" t="e">
        <f t="shared" si="5"/>
        <v>#DIV/0!</v>
      </c>
      <c r="Q92" t="e">
        <f t="shared" si="5"/>
        <v>#DIV/0!</v>
      </c>
      <c r="R92" t="e">
        <f t="shared" si="5"/>
        <v>#DIV/0!</v>
      </c>
      <c r="S92" t="e">
        <f t="shared" si="5"/>
        <v>#DIV/0!</v>
      </c>
      <c r="T92" t="e">
        <f t="shared" si="5"/>
        <v>#DIV/0!</v>
      </c>
      <c r="U92" t="e">
        <f t="shared" si="5"/>
        <v>#DIV/0!</v>
      </c>
      <c r="V92" t="e">
        <f t="shared" si="5"/>
        <v>#DIV/0!</v>
      </c>
      <c r="W92" t="e">
        <f t="shared" si="5"/>
        <v>#DIV/0!</v>
      </c>
      <c r="X92" t="e">
        <f t="shared" si="5"/>
        <v>#DIV/0!</v>
      </c>
      <c r="Y92" t="e">
        <f t="shared" si="5"/>
        <v>#DIV/0!</v>
      </c>
      <c r="Z92" t="e">
        <f t="shared" si="5"/>
        <v>#DIV/0!</v>
      </c>
      <c r="AA92" t="e">
        <f t="shared" si="5"/>
        <v>#DIV/0!</v>
      </c>
      <c r="AB92" t="e">
        <f t="shared" si="5"/>
        <v>#DIV/0!</v>
      </c>
      <c r="AC92" t="e">
        <f t="shared" si="5"/>
        <v>#DIV/0!</v>
      </c>
      <c r="AD92" t="e">
        <f t="shared" si="5"/>
        <v>#DIV/0!</v>
      </c>
      <c r="AE92" t="e">
        <f t="shared" si="5"/>
        <v>#DIV/0!</v>
      </c>
      <c r="AF92" t="e">
        <f t="shared" si="5"/>
        <v>#DIV/0!</v>
      </c>
      <c r="AG92" s="82"/>
      <c r="AH92" s="256"/>
      <c r="AI92" s="254"/>
      <c r="AJ92" s="96"/>
      <c r="AK92" s="100">
        <f>$C$92</f>
        <v>6.666666666666667</v>
      </c>
      <c r="AL92" s="100">
        <f>$D$92</f>
        <v>2.1276595744680851</v>
      </c>
      <c r="AM92" s="100">
        <f>$E$92</f>
        <v>5.1546391752577314</v>
      </c>
      <c r="AN92" s="100" t="e">
        <f>$F$92</f>
        <v>#DIV/0!</v>
      </c>
      <c r="AO92" s="100" t="e">
        <f>$G$92</f>
        <v>#DIV/0!</v>
      </c>
      <c r="AP92" s="100" t="e">
        <f>$H$92</f>
        <v>#DIV/0!</v>
      </c>
      <c r="AQ92" s="100" t="e">
        <f>$I$92</f>
        <v>#DIV/0!</v>
      </c>
      <c r="AR92" s="100" t="e">
        <f>$J$92</f>
        <v>#DIV/0!</v>
      </c>
      <c r="AS92" s="100" t="e">
        <f>$K$92</f>
        <v>#DIV/0!</v>
      </c>
      <c r="AT92" s="100" t="e">
        <f>$L$92</f>
        <v>#DIV/0!</v>
      </c>
      <c r="AU92" s="100" t="e">
        <f>$M$92</f>
        <v>#DIV/0!</v>
      </c>
      <c r="AV92" s="100" t="e">
        <f>$N$92</f>
        <v>#DIV/0!</v>
      </c>
      <c r="AW92" s="100" t="e">
        <f>$O$92</f>
        <v>#DIV/0!</v>
      </c>
      <c r="AX92" s="100" t="e">
        <f>$P$92</f>
        <v>#DIV/0!</v>
      </c>
      <c r="AY92" s="100" t="e">
        <f>$Q$92</f>
        <v>#DIV/0!</v>
      </c>
      <c r="AZ92" s="100" t="e">
        <f>$R$92</f>
        <v>#DIV/0!</v>
      </c>
      <c r="BA92" s="100" t="e">
        <f>$S$92</f>
        <v>#DIV/0!</v>
      </c>
      <c r="BB92" s="100" t="e">
        <f>$T$92</f>
        <v>#DIV/0!</v>
      </c>
      <c r="BC92" s="100" t="e">
        <f>$U$92</f>
        <v>#DIV/0!</v>
      </c>
      <c r="BD92" s="100" t="e">
        <f>$V$92</f>
        <v>#DIV/0!</v>
      </c>
      <c r="BE92" s="100" t="e">
        <f>$W$92</f>
        <v>#DIV/0!</v>
      </c>
      <c r="BF92" s="100" t="e">
        <f>$X$92</f>
        <v>#DIV/0!</v>
      </c>
      <c r="BG92" s="100" t="e">
        <f>$Y$92</f>
        <v>#DIV/0!</v>
      </c>
      <c r="BH92" s="100" t="e">
        <f>$Z$92</f>
        <v>#DIV/0!</v>
      </c>
      <c r="BI92" s="100" t="e">
        <f>$AA$92</f>
        <v>#DIV/0!</v>
      </c>
      <c r="BJ92" s="100" t="e">
        <f>$AB$92</f>
        <v>#DIV/0!</v>
      </c>
      <c r="BK92" s="100" t="e">
        <f>$AC$92</f>
        <v>#DIV/0!</v>
      </c>
      <c r="BL92" s="100" t="e">
        <f>$AD$92</f>
        <v>#DIV/0!</v>
      </c>
      <c r="BM92" s="100" t="e">
        <f>$AE$92</f>
        <v>#DIV/0!</v>
      </c>
      <c r="BN92" s="100" t="e">
        <f>$AF$92</f>
        <v>#DIV/0!</v>
      </c>
    </row>
    <row r="93" spans="1:66">
      <c r="A93" s="68"/>
      <c r="B93" s="71"/>
      <c r="C93" s="100"/>
      <c r="E93" s="100"/>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242"/>
      <c r="AI93" s="254"/>
      <c r="AJ93" s="96"/>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row>
    <row r="94" spans="1:66">
      <c r="A94" s="69" t="s">
        <v>268</v>
      </c>
      <c r="C94" s="100">
        <v>5.427631578947369</v>
      </c>
      <c r="D94" s="100">
        <v>4.0674603174603172</v>
      </c>
      <c r="E94" s="100">
        <v>5.1236749116607774</v>
      </c>
      <c r="F94" t="e">
        <f t="shared" si="1"/>
        <v>#DIV/0!</v>
      </c>
      <c r="G94" t="e">
        <f t="shared" si="1"/>
        <v>#DIV/0!</v>
      </c>
      <c r="H94" t="e">
        <f t="shared" si="1"/>
        <v>#DIV/0!</v>
      </c>
      <c r="I94" t="e">
        <f t="shared" si="1"/>
        <v>#DIV/0!</v>
      </c>
      <c r="J94" t="e">
        <f t="shared" si="1"/>
        <v>#DIV/0!</v>
      </c>
      <c r="K94" t="e">
        <f t="shared" si="1"/>
        <v>#DIV/0!</v>
      </c>
      <c r="L94" t="e">
        <f t="shared" si="1"/>
        <v>#DIV/0!</v>
      </c>
      <c r="M94" t="e">
        <f t="shared" si="1"/>
        <v>#DIV/0!</v>
      </c>
      <c r="N94" t="e">
        <f t="shared" si="1"/>
        <v>#DIV/0!</v>
      </c>
      <c r="O94" t="e">
        <f t="shared" si="1"/>
        <v>#DIV/0!</v>
      </c>
      <c r="P94" t="e">
        <f t="shared" si="1"/>
        <v>#DIV/0!</v>
      </c>
      <c r="Q94" t="e">
        <f t="shared" si="1"/>
        <v>#DIV/0!</v>
      </c>
      <c r="R94" t="e">
        <f t="shared" si="1"/>
        <v>#DIV/0!</v>
      </c>
      <c r="S94" t="e">
        <f t="shared" si="1"/>
        <v>#DIV/0!</v>
      </c>
      <c r="T94" t="e">
        <f t="shared" si="1"/>
        <v>#DIV/0!</v>
      </c>
      <c r="U94" t="e">
        <f t="shared" si="1"/>
        <v>#DIV/0!</v>
      </c>
      <c r="V94" t="e">
        <f t="shared" ref="G94:AF98" si="6">1/0</f>
        <v>#DIV/0!</v>
      </c>
      <c r="W94" t="e">
        <f t="shared" si="6"/>
        <v>#DIV/0!</v>
      </c>
      <c r="X94" t="e">
        <f t="shared" si="6"/>
        <v>#DIV/0!</v>
      </c>
      <c r="Y94" t="e">
        <f t="shared" si="6"/>
        <v>#DIV/0!</v>
      </c>
      <c r="Z94" t="e">
        <f t="shared" si="6"/>
        <v>#DIV/0!</v>
      </c>
      <c r="AA94" t="e">
        <f t="shared" si="6"/>
        <v>#DIV/0!</v>
      </c>
      <c r="AB94" t="e">
        <f t="shared" si="6"/>
        <v>#DIV/0!</v>
      </c>
      <c r="AC94" t="e">
        <f t="shared" si="6"/>
        <v>#DIV/0!</v>
      </c>
      <c r="AD94" t="e">
        <f t="shared" si="6"/>
        <v>#DIV/0!</v>
      </c>
      <c r="AE94" t="e">
        <f t="shared" si="6"/>
        <v>#DIV/0!</v>
      </c>
      <c r="AF94" t="e">
        <f t="shared" si="6"/>
        <v>#DIV/0!</v>
      </c>
      <c r="AG94" s="82"/>
      <c r="AH94" s="96"/>
      <c r="AI94" s="96"/>
      <c r="AJ94" s="96"/>
      <c r="AK94" s="100">
        <f>$C$94</f>
        <v>5.427631578947369</v>
      </c>
      <c r="AL94" s="100">
        <f>$D$94</f>
        <v>4.0674603174603172</v>
      </c>
      <c r="AM94" s="100">
        <f>$E$94</f>
        <v>5.1236749116607774</v>
      </c>
      <c r="AN94" s="100" t="e">
        <f>$F$94</f>
        <v>#DIV/0!</v>
      </c>
      <c r="AO94" s="100" t="e">
        <f>$G$94</f>
        <v>#DIV/0!</v>
      </c>
      <c r="AP94" s="100" t="e">
        <f>$H$94</f>
        <v>#DIV/0!</v>
      </c>
      <c r="AQ94" s="100" t="e">
        <f>$I$94</f>
        <v>#DIV/0!</v>
      </c>
      <c r="AR94" s="100" t="e">
        <f>$J$94</f>
        <v>#DIV/0!</v>
      </c>
      <c r="AS94" s="100" t="e">
        <f>$K$94</f>
        <v>#DIV/0!</v>
      </c>
      <c r="AT94" s="100" t="e">
        <f>$L$94</f>
        <v>#DIV/0!</v>
      </c>
      <c r="AU94" s="100" t="e">
        <f>$M$94</f>
        <v>#DIV/0!</v>
      </c>
      <c r="AV94" s="100" t="e">
        <f>$N$94</f>
        <v>#DIV/0!</v>
      </c>
      <c r="AW94" s="100" t="e">
        <f>$O$94</f>
        <v>#DIV/0!</v>
      </c>
      <c r="AX94" s="100" t="e">
        <f>$P$94</f>
        <v>#DIV/0!</v>
      </c>
      <c r="AY94" s="100" t="e">
        <f>$Q$94</f>
        <v>#DIV/0!</v>
      </c>
      <c r="AZ94" s="100" t="e">
        <f>$R$94</f>
        <v>#DIV/0!</v>
      </c>
      <c r="BA94" s="100" t="e">
        <f>$S$94</f>
        <v>#DIV/0!</v>
      </c>
      <c r="BB94" s="100" t="e">
        <f>$T$94</f>
        <v>#DIV/0!</v>
      </c>
      <c r="BC94" s="100" t="e">
        <f>$U$94</f>
        <v>#DIV/0!</v>
      </c>
      <c r="BD94" s="100" t="e">
        <f>$V$94</f>
        <v>#DIV/0!</v>
      </c>
      <c r="BE94" s="100" t="e">
        <f>$W$94</f>
        <v>#DIV/0!</v>
      </c>
      <c r="BF94" s="100" t="e">
        <f>$X$94</f>
        <v>#DIV/0!</v>
      </c>
      <c r="BG94" s="100" t="e">
        <f>$Y$94</f>
        <v>#DIV/0!</v>
      </c>
      <c r="BH94" s="100" t="e">
        <f>$Z$94</f>
        <v>#DIV/0!</v>
      </c>
      <c r="BI94" s="100" t="e">
        <f>$AA$94</f>
        <v>#DIV/0!</v>
      </c>
      <c r="BJ94" s="100" t="e">
        <f>$AB$94</f>
        <v>#DIV/0!</v>
      </c>
      <c r="BK94" s="100" t="e">
        <f>$AC$94</f>
        <v>#DIV/0!</v>
      </c>
      <c r="BL94" s="100" t="e">
        <f>$AD$94</f>
        <v>#DIV/0!</v>
      </c>
      <c r="BM94" s="100" t="e">
        <f>$AE$94</f>
        <v>#DIV/0!</v>
      </c>
      <c r="BN94" s="100" t="e">
        <f>$AF$94</f>
        <v>#DIV/0!</v>
      </c>
    </row>
    <row r="95" spans="1:66">
      <c r="A95" s="69" t="s">
        <v>269</v>
      </c>
      <c r="C95" s="100">
        <v>6.1509785647716679</v>
      </c>
      <c r="D95" s="100">
        <v>6.1197041022192336</v>
      </c>
      <c r="E95" s="167">
        <v>6.3346990230066176</v>
      </c>
      <c r="F95" t="e">
        <f t="shared" si="1"/>
        <v>#DIV/0!</v>
      </c>
      <c r="G95" t="e">
        <f t="shared" si="6"/>
        <v>#DIV/0!</v>
      </c>
      <c r="H95" t="e">
        <f t="shared" si="6"/>
        <v>#DIV/0!</v>
      </c>
      <c r="I95" t="e">
        <f t="shared" si="6"/>
        <v>#DIV/0!</v>
      </c>
      <c r="J95" t="e">
        <f t="shared" si="6"/>
        <v>#DIV/0!</v>
      </c>
      <c r="K95" t="e">
        <f t="shared" si="6"/>
        <v>#DIV/0!</v>
      </c>
      <c r="L95" t="e">
        <f t="shared" si="6"/>
        <v>#DIV/0!</v>
      </c>
      <c r="M95" t="e">
        <f t="shared" si="6"/>
        <v>#DIV/0!</v>
      </c>
      <c r="N95" t="e">
        <f t="shared" si="6"/>
        <v>#DIV/0!</v>
      </c>
      <c r="O95" t="e">
        <f t="shared" si="6"/>
        <v>#DIV/0!</v>
      </c>
      <c r="P95" t="e">
        <f t="shared" si="6"/>
        <v>#DIV/0!</v>
      </c>
      <c r="Q95" t="e">
        <f t="shared" si="6"/>
        <v>#DIV/0!</v>
      </c>
      <c r="R95" t="e">
        <f t="shared" si="6"/>
        <v>#DIV/0!</v>
      </c>
      <c r="S95" t="e">
        <f t="shared" si="6"/>
        <v>#DIV/0!</v>
      </c>
      <c r="T95" t="e">
        <f t="shared" si="6"/>
        <v>#DIV/0!</v>
      </c>
      <c r="U95" t="e">
        <f t="shared" si="6"/>
        <v>#DIV/0!</v>
      </c>
      <c r="V95" t="e">
        <f t="shared" si="6"/>
        <v>#DIV/0!</v>
      </c>
      <c r="W95" t="e">
        <f t="shared" si="6"/>
        <v>#DIV/0!</v>
      </c>
      <c r="X95" t="e">
        <f t="shared" si="6"/>
        <v>#DIV/0!</v>
      </c>
      <c r="Y95" t="e">
        <f t="shared" si="6"/>
        <v>#DIV/0!</v>
      </c>
      <c r="Z95" t="e">
        <f t="shared" si="6"/>
        <v>#DIV/0!</v>
      </c>
      <c r="AA95" t="e">
        <f t="shared" si="6"/>
        <v>#DIV/0!</v>
      </c>
      <c r="AB95" t="e">
        <f t="shared" si="6"/>
        <v>#DIV/0!</v>
      </c>
      <c r="AC95" t="e">
        <f t="shared" si="6"/>
        <v>#DIV/0!</v>
      </c>
      <c r="AD95" t="e">
        <f t="shared" si="6"/>
        <v>#DIV/0!</v>
      </c>
      <c r="AE95" t="e">
        <f t="shared" si="6"/>
        <v>#DIV/0!</v>
      </c>
      <c r="AF95" t="e">
        <f t="shared" si="6"/>
        <v>#DIV/0!</v>
      </c>
      <c r="AG95" s="82"/>
      <c r="AH95" s="82"/>
      <c r="AI95" s="82"/>
      <c r="AJ95" s="82"/>
      <c r="AK95" s="100">
        <f>$C$95</f>
        <v>6.1509785647716679</v>
      </c>
      <c r="AL95" s="100">
        <f>$D$95</f>
        <v>6.1197041022192336</v>
      </c>
      <c r="AM95" s="100">
        <f>$E$95</f>
        <v>6.3346990230066176</v>
      </c>
      <c r="AN95" s="100" t="e">
        <f>$F$95</f>
        <v>#DIV/0!</v>
      </c>
      <c r="AO95" s="100" t="e">
        <f>$G$95</f>
        <v>#DIV/0!</v>
      </c>
      <c r="AP95" s="100" t="e">
        <f>$H$95</f>
        <v>#DIV/0!</v>
      </c>
      <c r="AQ95" s="100" t="e">
        <f>$I$95</f>
        <v>#DIV/0!</v>
      </c>
      <c r="AR95" s="100" t="e">
        <f>$J$95</f>
        <v>#DIV/0!</v>
      </c>
      <c r="AS95" s="100" t="e">
        <f>$K$95</f>
        <v>#DIV/0!</v>
      </c>
      <c r="AT95" s="100" t="e">
        <f>$L$95</f>
        <v>#DIV/0!</v>
      </c>
      <c r="AU95" s="100" t="e">
        <f>$M$95</f>
        <v>#DIV/0!</v>
      </c>
      <c r="AV95" s="100" t="e">
        <f>$N$95</f>
        <v>#DIV/0!</v>
      </c>
      <c r="AW95" s="100" t="e">
        <f>$O$95</f>
        <v>#DIV/0!</v>
      </c>
      <c r="AX95" s="100" t="e">
        <f>$P$95</f>
        <v>#DIV/0!</v>
      </c>
      <c r="AY95" s="100" t="e">
        <f>$Q$95</f>
        <v>#DIV/0!</v>
      </c>
      <c r="AZ95" s="100" t="e">
        <f>$R$95</f>
        <v>#DIV/0!</v>
      </c>
      <c r="BA95" s="100" t="e">
        <f>$S$95</f>
        <v>#DIV/0!</v>
      </c>
      <c r="BB95" s="100" t="e">
        <f>$T$95</f>
        <v>#DIV/0!</v>
      </c>
      <c r="BC95" s="100" t="e">
        <f>$U$95</f>
        <v>#DIV/0!</v>
      </c>
      <c r="BD95" s="100" t="e">
        <f>$V$95</f>
        <v>#DIV/0!</v>
      </c>
      <c r="BE95" s="100" t="e">
        <f>$W$95</f>
        <v>#DIV/0!</v>
      </c>
      <c r="BF95" s="100" t="e">
        <f>$X$95</f>
        <v>#DIV/0!</v>
      </c>
      <c r="BG95" s="100" t="e">
        <f>$Y$95</f>
        <v>#DIV/0!</v>
      </c>
      <c r="BH95" s="100" t="e">
        <f>$Z$95</f>
        <v>#DIV/0!</v>
      </c>
      <c r="BI95" s="100" t="e">
        <f>$AA$95</f>
        <v>#DIV/0!</v>
      </c>
      <c r="BJ95" s="100" t="e">
        <f>$AB$95</f>
        <v>#DIV/0!</v>
      </c>
      <c r="BK95" s="100" t="e">
        <f>$AC$95</f>
        <v>#DIV/0!</v>
      </c>
      <c r="BL95" s="100" t="e">
        <f>$AD$95</f>
        <v>#DIV/0!</v>
      </c>
      <c r="BM95" s="100" t="e">
        <f>$AE$95</f>
        <v>#DIV/0!</v>
      </c>
      <c r="BN95" s="100" t="e">
        <f>$AF$95</f>
        <v>#DIV/0!</v>
      </c>
    </row>
    <row r="96" spans="1:66">
      <c r="A96" s="69" t="s">
        <v>270</v>
      </c>
      <c r="C96" s="100">
        <v>5.4377880184331797</v>
      </c>
      <c r="D96" s="100">
        <v>3.7145650048875858</v>
      </c>
      <c r="E96" s="167">
        <v>4.7685834502103788</v>
      </c>
      <c r="F96" t="e">
        <f t="shared" si="1"/>
        <v>#DIV/0!</v>
      </c>
      <c r="G96" t="e">
        <f t="shared" si="6"/>
        <v>#DIV/0!</v>
      </c>
      <c r="H96" t="e">
        <f t="shared" si="6"/>
        <v>#DIV/0!</v>
      </c>
      <c r="I96" t="e">
        <f t="shared" si="6"/>
        <v>#DIV/0!</v>
      </c>
      <c r="J96" t="e">
        <f t="shared" si="6"/>
        <v>#DIV/0!</v>
      </c>
      <c r="K96" t="e">
        <f t="shared" si="6"/>
        <v>#DIV/0!</v>
      </c>
      <c r="L96" t="e">
        <f t="shared" si="6"/>
        <v>#DIV/0!</v>
      </c>
      <c r="M96" t="e">
        <f t="shared" si="6"/>
        <v>#DIV/0!</v>
      </c>
      <c r="N96" t="e">
        <f t="shared" si="6"/>
        <v>#DIV/0!</v>
      </c>
      <c r="O96" t="e">
        <f t="shared" si="6"/>
        <v>#DIV/0!</v>
      </c>
      <c r="P96" t="e">
        <f t="shared" si="6"/>
        <v>#DIV/0!</v>
      </c>
      <c r="Q96" t="e">
        <f t="shared" si="6"/>
        <v>#DIV/0!</v>
      </c>
      <c r="R96" t="e">
        <f t="shared" si="6"/>
        <v>#DIV/0!</v>
      </c>
      <c r="S96" t="e">
        <f t="shared" si="6"/>
        <v>#DIV/0!</v>
      </c>
      <c r="T96" t="e">
        <f t="shared" si="6"/>
        <v>#DIV/0!</v>
      </c>
      <c r="U96" t="e">
        <f t="shared" si="6"/>
        <v>#DIV/0!</v>
      </c>
      <c r="V96" t="e">
        <f t="shared" si="6"/>
        <v>#DIV/0!</v>
      </c>
      <c r="W96" t="e">
        <f t="shared" si="6"/>
        <v>#DIV/0!</v>
      </c>
      <c r="X96" t="e">
        <f t="shared" si="6"/>
        <v>#DIV/0!</v>
      </c>
      <c r="Y96" t="e">
        <f t="shared" si="6"/>
        <v>#DIV/0!</v>
      </c>
      <c r="Z96" t="e">
        <f t="shared" si="6"/>
        <v>#DIV/0!</v>
      </c>
      <c r="AA96" t="e">
        <f t="shared" si="6"/>
        <v>#DIV/0!</v>
      </c>
      <c r="AB96" t="e">
        <f t="shared" si="6"/>
        <v>#DIV/0!</v>
      </c>
      <c r="AC96" t="e">
        <f t="shared" si="6"/>
        <v>#DIV/0!</v>
      </c>
      <c r="AD96" t="e">
        <f t="shared" si="6"/>
        <v>#DIV/0!</v>
      </c>
      <c r="AE96" t="e">
        <f t="shared" si="6"/>
        <v>#DIV/0!</v>
      </c>
      <c r="AF96" t="e">
        <f t="shared" si="6"/>
        <v>#DIV/0!</v>
      </c>
      <c r="AG96" s="82"/>
      <c r="AH96" s="82"/>
      <c r="AI96" s="82"/>
      <c r="AJ96" s="82"/>
      <c r="AK96" s="100">
        <f>$C$96</f>
        <v>5.4377880184331797</v>
      </c>
      <c r="AL96" s="100">
        <f>$D$96</f>
        <v>3.7145650048875858</v>
      </c>
      <c r="AM96" s="100">
        <f>$E$96</f>
        <v>4.7685834502103788</v>
      </c>
      <c r="AN96" s="100" t="e">
        <f>$F$96</f>
        <v>#DIV/0!</v>
      </c>
      <c r="AO96" s="100" t="e">
        <f>$G$96</f>
        <v>#DIV/0!</v>
      </c>
      <c r="AP96" s="100" t="e">
        <f>$H$96</f>
        <v>#DIV/0!</v>
      </c>
      <c r="AQ96" s="100" t="e">
        <f>$I$96</f>
        <v>#DIV/0!</v>
      </c>
      <c r="AR96" s="100" t="e">
        <f>$J$96</f>
        <v>#DIV/0!</v>
      </c>
      <c r="AS96" s="100" t="e">
        <f>$K$96</f>
        <v>#DIV/0!</v>
      </c>
      <c r="AT96" s="100" t="e">
        <f>$L$96</f>
        <v>#DIV/0!</v>
      </c>
      <c r="AU96" s="100" t="e">
        <f>$M$96</f>
        <v>#DIV/0!</v>
      </c>
      <c r="AV96" s="100" t="e">
        <f>$N$96</f>
        <v>#DIV/0!</v>
      </c>
      <c r="AW96" s="100" t="e">
        <f>$O$96</f>
        <v>#DIV/0!</v>
      </c>
      <c r="AX96" s="100" t="e">
        <f>$P$96</f>
        <v>#DIV/0!</v>
      </c>
      <c r="AY96" s="100" t="e">
        <f>$Q$96</f>
        <v>#DIV/0!</v>
      </c>
      <c r="AZ96" s="100" t="e">
        <f>$R$96</f>
        <v>#DIV/0!</v>
      </c>
      <c r="BA96" s="100" t="e">
        <f>$S$96</f>
        <v>#DIV/0!</v>
      </c>
      <c r="BB96" s="100" t="e">
        <f>$T$96</f>
        <v>#DIV/0!</v>
      </c>
      <c r="BC96" s="100" t="e">
        <f>$U$96</f>
        <v>#DIV/0!</v>
      </c>
      <c r="BD96" s="100" t="e">
        <f>$V$96</f>
        <v>#DIV/0!</v>
      </c>
      <c r="BE96" s="100" t="e">
        <f>$W$96</f>
        <v>#DIV/0!</v>
      </c>
      <c r="BF96" s="100" t="e">
        <f>$X$96</f>
        <v>#DIV/0!</v>
      </c>
      <c r="BG96" s="100" t="e">
        <f>$Y$96</f>
        <v>#DIV/0!</v>
      </c>
      <c r="BH96" s="100" t="e">
        <f>$Z$96</f>
        <v>#DIV/0!</v>
      </c>
      <c r="BI96" s="100" t="e">
        <f>$AA$96</f>
        <v>#DIV/0!</v>
      </c>
      <c r="BJ96" s="100" t="e">
        <f>$AB$96</f>
        <v>#DIV/0!</v>
      </c>
      <c r="BK96" s="100" t="e">
        <f>$AC$96</f>
        <v>#DIV/0!</v>
      </c>
      <c r="BL96" s="100" t="e">
        <f>$AD$96</f>
        <v>#DIV/0!</v>
      </c>
      <c r="BM96" s="100" t="e">
        <f>$AE$96</f>
        <v>#DIV/0!</v>
      </c>
      <c r="BN96" s="100" t="e">
        <f>$AF$96</f>
        <v>#DIV/0!</v>
      </c>
    </row>
    <row r="97" spans="1:66">
      <c r="A97" s="69" t="s">
        <v>271</v>
      </c>
      <c r="C97" s="100">
        <v>4.6538024971623155</v>
      </c>
      <c r="D97" s="100">
        <v>4.107981220657277</v>
      </c>
      <c r="E97" s="167">
        <v>4.5505617977528088</v>
      </c>
      <c r="F97" t="e">
        <f t="shared" si="1"/>
        <v>#DIV/0!</v>
      </c>
      <c r="G97" t="e">
        <f t="shared" si="6"/>
        <v>#DIV/0!</v>
      </c>
      <c r="H97" t="e">
        <f t="shared" si="6"/>
        <v>#DIV/0!</v>
      </c>
      <c r="I97" t="e">
        <f t="shared" si="6"/>
        <v>#DIV/0!</v>
      </c>
      <c r="J97" t="e">
        <f t="shared" si="6"/>
        <v>#DIV/0!</v>
      </c>
      <c r="K97" t="e">
        <f t="shared" si="6"/>
        <v>#DIV/0!</v>
      </c>
      <c r="L97" t="e">
        <f t="shared" si="6"/>
        <v>#DIV/0!</v>
      </c>
      <c r="M97" t="e">
        <f t="shared" si="6"/>
        <v>#DIV/0!</v>
      </c>
      <c r="N97" t="e">
        <f t="shared" si="6"/>
        <v>#DIV/0!</v>
      </c>
      <c r="O97" t="e">
        <f t="shared" si="6"/>
        <v>#DIV/0!</v>
      </c>
      <c r="P97" t="e">
        <f t="shared" si="6"/>
        <v>#DIV/0!</v>
      </c>
      <c r="Q97" t="e">
        <f t="shared" si="6"/>
        <v>#DIV/0!</v>
      </c>
      <c r="R97" t="e">
        <f t="shared" si="6"/>
        <v>#DIV/0!</v>
      </c>
      <c r="S97" t="e">
        <f t="shared" si="6"/>
        <v>#DIV/0!</v>
      </c>
      <c r="T97" t="e">
        <f t="shared" si="6"/>
        <v>#DIV/0!</v>
      </c>
      <c r="U97" t="e">
        <f t="shared" si="6"/>
        <v>#DIV/0!</v>
      </c>
      <c r="V97" t="e">
        <f t="shared" si="6"/>
        <v>#DIV/0!</v>
      </c>
      <c r="W97" t="e">
        <f t="shared" si="6"/>
        <v>#DIV/0!</v>
      </c>
      <c r="X97" t="e">
        <f t="shared" si="6"/>
        <v>#DIV/0!</v>
      </c>
      <c r="Y97" t="e">
        <f t="shared" si="6"/>
        <v>#DIV/0!</v>
      </c>
      <c r="Z97" t="e">
        <f t="shared" si="6"/>
        <v>#DIV/0!</v>
      </c>
      <c r="AA97" t="e">
        <f t="shared" si="6"/>
        <v>#DIV/0!</v>
      </c>
      <c r="AB97" t="e">
        <f t="shared" si="6"/>
        <v>#DIV/0!</v>
      </c>
      <c r="AC97" t="e">
        <f t="shared" si="6"/>
        <v>#DIV/0!</v>
      </c>
      <c r="AD97" t="e">
        <f t="shared" si="6"/>
        <v>#DIV/0!</v>
      </c>
      <c r="AE97" t="e">
        <f t="shared" si="6"/>
        <v>#DIV/0!</v>
      </c>
      <c r="AF97" t="e">
        <f t="shared" si="6"/>
        <v>#DIV/0!</v>
      </c>
      <c r="AG97" s="82"/>
      <c r="AH97" s="82"/>
      <c r="AI97" s="82"/>
      <c r="AJ97" s="82"/>
      <c r="AK97" s="100">
        <f>$C$97</f>
        <v>4.6538024971623155</v>
      </c>
      <c r="AL97" s="100">
        <f>$D$97</f>
        <v>4.107981220657277</v>
      </c>
      <c r="AM97" s="100">
        <f>$E$97</f>
        <v>4.5505617977528088</v>
      </c>
      <c r="AN97" s="100" t="e">
        <f>$F$97</f>
        <v>#DIV/0!</v>
      </c>
      <c r="AO97" s="100" t="e">
        <f>$G$97</f>
        <v>#DIV/0!</v>
      </c>
      <c r="AP97" s="100" t="e">
        <f>$H$97</f>
        <v>#DIV/0!</v>
      </c>
      <c r="AQ97" s="100" t="e">
        <f>$I$97</f>
        <v>#DIV/0!</v>
      </c>
      <c r="AR97" s="100" t="e">
        <f>$J$97</f>
        <v>#DIV/0!</v>
      </c>
      <c r="AS97" s="100" t="e">
        <f>$K$97</f>
        <v>#DIV/0!</v>
      </c>
      <c r="AT97" s="100" t="e">
        <f>$L$97</f>
        <v>#DIV/0!</v>
      </c>
      <c r="AU97" s="100" t="e">
        <f>$M$97</f>
        <v>#DIV/0!</v>
      </c>
      <c r="AV97" s="100" t="e">
        <f>$N$97</f>
        <v>#DIV/0!</v>
      </c>
      <c r="AW97" s="100" t="e">
        <f>$O$97</f>
        <v>#DIV/0!</v>
      </c>
      <c r="AX97" s="100" t="e">
        <f>$P$97</f>
        <v>#DIV/0!</v>
      </c>
      <c r="AY97" s="100" t="e">
        <f>$Q$97</f>
        <v>#DIV/0!</v>
      </c>
      <c r="AZ97" s="100" t="e">
        <f>$R$97</f>
        <v>#DIV/0!</v>
      </c>
      <c r="BA97" s="100" t="e">
        <f>$S$97</f>
        <v>#DIV/0!</v>
      </c>
      <c r="BB97" s="100" t="e">
        <f>$T$97</f>
        <v>#DIV/0!</v>
      </c>
      <c r="BC97" s="100" t="e">
        <f>$U$97</f>
        <v>#DIV/0!</v>
      </c>
      <c r="BD97" s="100" t="e">
        <f>$V$97</f>
        <v>#DIV/0!</v>
      </c>
      <c r="BE97" s="100" t="e">
        <f>$W$97</f>
        <v>#DIV/0!</v>
      </c>
      <c r="BF97" s="100" t="e">
        <f>$X$97</f>
        <v>#DIV/0!</v>
      </c>
      <c r="BG97" s="100" t="e">
        <f>$Y$97</f>
        <v>#DIV/0!</v>
      </c>
      <c r="BH97" s="100" t="e">
        <f>$Z$97</f>
        <v>#DIV/0!</v>
      </c>
      <c r="BI97" s="100" t="e">
        <f>$AA$97</f>
        <v>#DIV/0!</v>
      </c>
      <c r="BJ97" s="100" t="e">
        <f>$AB$97</f>
        <v>#DIV/0!</v>
      </c>
      <c r="BK97" s="100" t="e">
        <f>$AC$97</f>
        <v>#DIV/0!</v>
      </c>
      <c r="BL97" s="100" t="e">
        <f>$AD$97</f>
        <v>#DIV/0!</v>
      </c>
      <c r="BM97" s="100" t="e">
        <f>$AE$97</f>
        <v>#DIV/0!</v>
      </c>
      <c r="BN97" s="100" t="e">
        <f>$AF$97</f>
        <v>#DIV/0!</v>
      </c>
    </row>
    <row r="98" spans="1:66">
      <c r="A98" s="69" t="s">
        <v>209</v>
      </c>
      <c r="C98" s="100">
        <v>5.7476635514018692</v>
      </c>
      <c r="D98" s="100">
        <v>5.0348698758292221</v>
      </c>
      <c r="E98" s="167">
        <v>5.6240553655238248</v>
      </c>
      <c r="F98" t="e">
        <f t="shared" si="1"/>
        <v>#DIV/0!</v>
      </c>
      <c r="G98" t="e">
        <f t="shared" si="6"/>
        <v>#DIV/0!</v>
      </c>
      <c r="H98" t="e">
        <f t="shared" si="6"/>
        <v>#DIV/0!</v>
      </c>
      <c r="I98" t="e">
        <f t="shared" si="6"/>
        <v>#DIV/0!</v>
      </c>
      <c r="J98" t="e">
        <f t="shared" si="6"/>
        <v>#DIV/0!</v>
      </c>
      <c r="K98" t="e">
        <f t="shared" si="6"/>
        <v>#DIV/0!</v>
      </c>
      <c r="L98" t="e">
        <f t="shared" si="6"/>
        <v>#DIV/0!</v>
      </c>
      <c r="M98" t="e">
        <f t="shared" si="6"/>
        <v>#DIV/0!</v>
      </c>
      <c r="N98" t="e">
        <f t="shared" si="6"/>
        <v>#DIV/0!</v>
      </c>
      <c r="O98" t="e">
        <f t="shared" si="6"/>
        <v>#DIV/0!</v>
      </c>
      <c r="P98" t="e">
        <f t="shared" si="6"/>
        <v>#DIV/0!</v>
      </c>
      <c r="Q98" t="e">
        <f t="shared" si="6"/>
        <v>#DIV/0!</v>
      </c>
      <c r="R98" t="e">
        <f t="shared" si="6"/>
        <v>#DIV/0!</v>
      </c>
      <c r="S98" t="e">
        <f t="shared" si="6"/>
        <v>#DIV/0!</v>
      </c>
      <c r="T98" t="e">
        <f t="shared" si="6"/>
        <v>#DIV/0!</v>
      </c>
      <c r="U98" t="e">
        <f t="shared" si="6"/>
        <v>#DIV/0!</v>
      </c>
      <c r="V98" t="e">
        <f t="shared" si="6"/>
        <v>#DIV/0!</v>
      </c>
      <c r="W98" t="e">
        <f t="shared" si="6"/>
        <v>#DIV/0!</v>
      </c>
      <c r="X98" t="e">
        <f t="shared" si="6"/>
        <v>#DIV/0!</v>
      </c>
      <c r="Y98" t="e">
        <f t="shared" si="6"/>
        <v>#DIV/0!</v>
      </c>
      <c r="Z98" t="e">
        <f t="shared" si="6"/>
        <v>#DIV/0!</v>
      </c>
      <c r="AA98" t="e">
        <f t="shared" si="6"/>
        <v>#DIV/0!</v>
      </c>
      <c r="AB98" t="e">
        <f t="shared" si="6"/>
        <v>#DIV/0!</v>
      </c>
      <c r="AC98" t="e">
        <f t="shared" si="6"/>
        <v>#DIV/0!</v>
      </c>
      <c r="AD98" t="e">
        <f t="shared" si="6"/>
        <v>#DIV/0!</v>
      </c>
      <c r="AE98" t="e">
        <f t="shared" si="6"/>
        <v>#DIV/0!</v>
      </c>
      <c r="AF98" t="e">
        <f t="shared" si="6"/>
        <v>#DIV/0!</v>
      </c>
      <c r="AG98" s="82"/>
      <c r="AH98" s="82"/>
      <c r="AI98" s="82"/>
      <c r="AJ98" s="82"/>
      <c r="AK98" s="100">
        <f>$C$98</f>
        <v>5.7476635514018692</v>
      </c>
      <c r="AL98" s="100">
        <f>$D$98</f>
        <v>5.0348698758292221</v>
      </c>
      <c r="AM98" s="100">
        <f>$E$98</f>
        <v>5.6240553655238248</v>
      </c>
      <c r="AN98" s="100" t="e">
        <f>$F$98</f>
        <v>#DIV/0!</v>
      </c>
      <c r="AO98" s="100" t="e">
        <f>$G$98</f>
        <v>#DIV/0!</v>
      </c>
      <c r="AP98" s="100" t="e">
        <f>$H$98</f>
        <v>#DIV/0!</v>
      </c>
      <c r="AQ98" s="100" t="e">
        <f>$I$98</f>
        <v>#DIV/0!</v>
      </c>
      <c r="AR98" s="100" t="e">
        <f>$J$98</f>
        <v>#DIV/0!</v>
      </c>
      <c r="AS98" s="100" t="e">
        <f>$K$98</f>
        <v>#DIV/0!</v>
      </c>
      <c r="AT98" s="100" t="e">
        <f>$L$98</f>
        <v>#DIV/0!</v>
      </c>
      <c r="AU98" s="100" t="e">
        <f>$M$98</f>
        <v>#DIV/0!</v>
      </c>
      <c r="AV98" s="100" t="e">
        <f>$N$98</f>
        <v>#DIV/0!</v>
      </c>
      <c r="AW98" s="100" t="e">
        <f>$O$98</f>
        <v>#DIV/0!</v>
      </c>
      <c r="AX98" s="100" t="e">
        <f>$P$98</f>
        <v>#DIV/0!</v>
      </c>
      <c r="AY98" s="100" t="e">
        <f>$Q$98</f>
        <v>#DIV/0!</v>
      </c>
      <c r="AZ98" s="100" t="e">
        <f>$R$98</f>
        <v>#DIV/0!</v>
      </c>
      <c r="BA98" s="100" t="e">
        <f>$S$98</f>
        <v>#DIV/0!</v>
      </c>
      <c r="BB98" s="100" t="e">
        <f>$T$98</f>
        <v>#DIV/0!</v>
      </c>
      <c r="BC98" s="100" t="e">
        <f>$U$98</f>
        <v>#DIV/0!</v>
      </c>
      <c r="BD98" s="100" t="e">
        <f>$V$98</f>
        <v>#DIV/0!</v>
      </c>
      <c r="BE98" s="100" t="e">
        <f>$W$98</f>
        <v>#DIV/0!</v>
      </c>
      <c r="BF98" s="100" t="e">
        <f>$X$98</f>
        <v>#DIV/0!</v>
      </c>
      <c r="BG98" s="100" t="e">
        <f>$Y$98</f>
        <v>#DIV/0!</v>
      </c>
      <c r="BH98" s="100" t="e">
        <f>$Z$98</f>
        <v>#DIV/0!</v>
      </c>
      <c r="BI98" s="100" t="e">
        <f>$AA$98</f>
        <v>#DIV/0!</v>
      </c>
      <c r="BJ98" s="100" t="e">
        <f>$AB$98</f>
        <v>#DIV/0!</v>
      </c>
      <c r="BK98" s="100" t="e">
        <f>$AC$98</f>
        <v>#DIV/0!</v>
      </c>
      <c r="BL98" s="100" t="e">
        <f>$AD$98</f>
        <v>#DIV/0!</v>
      </c>
      <c r="BM98" s="100" t="e">
        <f>$AE$98</f>
        <v>#DIV/0!</v>
      </c>
      <c r="BN98" s="100" t="e">
        <f>$AF$98</f>
        <v>#DIV/0!</v>
      </c>
    </row>
    <row r="99" spans="1:66">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
      <c r="AJ99" s="8"/>
    </row>
    <row r="100" spans="1:66">
      <c r="C100" s="8"/>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
      <c r="AJ100" s="8"/>
    </row>
    <row r="101" spans="1:66">
      <c r="C101" s="8"/>
      <c r="D101" s="8"/>
      <c r="E101" s="8"/>
      <c r="F101" s="8"/>
      <c r="G101" s="82"/>
      <c r="H101" s="8"/>
      <c r="I101" s="8"/>
      <c r="J101" s="8"/>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
    </row>
    <row r="102" spans="1:66">
      <c r="A102" s="116" t="s">
        <v>266</v>
      </c>
      <c r="B102" s="114" t="s">
        <v>267</v>
      </c>
      <c r="C102" s="168"/>
      <c r="D102" s="168"/>
      <c r="E102" s="8"/>
      <c r="F102" s="8"/>
      <c r="G102" s="82"/>
      <c r="H102" s="8"/>
      <c r="I102" s="8"/>
      <c r="J102" s="8"/>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row>
    <row r="103" spans="1:66">
      <c r="C103" s="8"/>
      <c r="D103" s="8"/>
      <c r="E103" s="8"/>
      <c r="F103" s="8"/>
      <c r="G103" s="82"/>
      <c r="H103" s="8"/>
      <c r="I103" s="8"/>
      <c r="J103" s="8"/>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row>
    <row r="104" spans="1:66">
      <c r="C104" s="8"/>
      <c r="D104" s="8"/>
      <c r="E104" s="8"/>
      <c r="F104" s="8"/>
      <c r="G104" s="82"/>
      <c r="H104" s="8"/>
      <c r="I104" s="8"/>
      <c r="J104" s="8"/>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row>
    <row r="105" spans="1:66">
      <c r="C105" s="8"/>
      <c r="D105" s="8"/>
      <c r="E105" s="8"/>
      <c r="F105" s="8"/>
      <c r="G105" s="82"/>
      <c r="H105" s="8"/>
      <c r="I105" s="8"/>
      <c r="J105" s="8"/>
      <c r="K105" s="82"/>
      <c r="L105" s="82"/>
      <c r="M105" s="82"/>
      <c r="N105" s="82"/>
      <c r="O105" s="82"/>
      <c r="P105" s="82"/>
      <c r="Q105" s="82"/>
      <c r="R105" s="82"/>
      <c r="S105" s="82"/>
      <c r="T105" s="82"/>
      <c r="U105" s="82"/>
      <c r="V105" s="82"/>
      <c r="W105" s="82"/>
      <c r="X105" s="82"/>
      <c r="Y105" s="82"/>
      <c r="Z105" s="82"/>
      <c r="AA105" s="82"/>
      <c r="AB105" s="82"/>
      <c r="AC105" s="82"/>
      <c r="AD105" s="8"/>
      <c r="AE105" s="8"/>
      <c r="AF105" s="8"/>
      <c r="AG105" s="8"/>
    </row>
    <row r="106" spans="1:66">
      <c r="C106" s="8"/>
      <c r="D106" s="8"/>
      <c r="E106" s="8"/>
      <c r="F106" s="8"/>
      <c r="G106" s="82"/>
      <c r="H106" s="8"/>
      <c r="I106" s="8"/>
      <c r="J106" s="8"/>
      <c r="K106" s="8"/>
      <c r="L106" s="8"/>
      <c r="M106" s="8"/>
      <c r="N106" s="8"/>
      <c r="O106" s="8"/>
      <c r="P106" s="8"/>
      <c r="Q106" s="8"/>
      <c r="R106" s="8"/>
      <c r="S106" s="82"/>
      <c r="T106" s="82"/>
      <c r="U106" s="82"/>
      <c r="V106" s="82"/>
      <c r="W106" s="82"/>
      <c r="X106" s="82"/>
      <c r="Y106" s="82"/>
      <c r="Z106" s="82"/>
      <c r="AA106" s="82"/>
      <c r="AB106" s="82"/>
      <c r="AC106" s="82"/>
      <c r="AD106" s="8"/>
      <c r="AE106" s="8"/>
      <c r="AF106" s="8"/>
      <c r="AG106" s="8"/>
    </row>
    <row r="107" spans="1:66">
      <c r="C107" s="8"/>
      <c r="D107" s="8"/>
      <c r="E107" s="8"/>
      <c r="F107" s="8"/>
      <c r="G107" s="8"/>
      <c r="H107" s="8"/>
      <c r="I107" s="8"/>
      <c r="J107" s="8"/>
      <c r="K107" s="8"/>
      <c r="L107" s="8"/>
      <c r="M107" s="8"/>
      <c r="N107" s="8"/>
      <c r="O107" s="8"/>
      <c r="P107" s="8"/>
      <c r="Q107" s="8"/>
      <c r="R107" s="8"/>
      <c r="S107" s="82"/>
      <c r="T107" s="82"/>
      <c r="U107" s="82"/>
      <c r="V107" s="82"/>
      <c r="W107" s="82"/>
      <c r="X107" s="82"/>
      <c r="Y107" s="82"/>
      <c r="Z107" s="82"/>
      <c r="AA107" s="82"/>
      <c r="AB107" s="82"/>
      <c r="AC107" s="82"/>
      <c r="AD107" s="8"/>
      <c r="AE107" s="8"/>
      <c r="AF107" s="8"/>
      <c r="AG107" s="8"/>
    </row>
    <row r="108" spans="1:66">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row>
    <row r="109" spans="1:66">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66">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66">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row>
    <row r="112" spans="1:66">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row>
    <row r="113" spans="3:33">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row>
    <row r="114" spans="3:33">
      <c r="I114" s="8"/>
      <c r="J114" s="8"/>
      <c r="K114" s="8"/>
      <c r="L114" s="8"/>
      <c r="M114" s="8"/>
      <c r="N114" s="8"/>
      <c r="O114" s="8"/>
      <c r="P114" s="8"/>
      <c r="Q114" s="8"/>
      <c r="R114" s="8"/>
      <c r="S114" s="8"/>
      <c r="T114" s="8"/>
      <c r="U114" s="8"/>
      <c r="V114" s="8"/>
      <c r="W114" s="8"/>
      <c r="X114" s="8"/>
      <c r="Y114" s="8"/>
      <c r="Z114" s="8"/>
    </row>
  </sheetData>
  <mergeCells count="33">
    <mergeCell ref="O45:Q45"/>
    <mergeCell ref="A45:B45"/>
    <mergeCell ref="C45:E45"/>
    <mergeCell ref="F45:H45"/>
    <mergeCell ref="I45:K45"/>
    <mergeCell ref="L45:N45"/>
    <mergeCell ref="BC46:BE46"/>
    <mergeCell ref="BF46:BH46"/>
    <mergeCell ref="BI46:BK46"/>
    <mergeCell ref="BL46:BN46"/>
    <mergeCell ref="AK45:BN45"/>
    <mergeCell ref="AK46:AM46"/>
    <mergeCell ref="AN46:AP46"/>
    <mergeCell ref="AQ46:AS46"/>
    <mergeCell ref="AT46:AV46"/>
    <mergeCell ref="AW46:AY46"/>
    <mergeCell ref="AZ46:BB46"/>
    <mergeCell ref="B9:L9"/>
    <mergeCell ref="K2:M2"/>
    <mergeCell ref="AH70:AI70"/>
    <mergeCell ref="AH71:AI71"/>
    <mergeCell ref="A3:H3"/>
    <mergeCell ref="B5:L5"/>
    <mergeCell ref="B6:L6"/>
    <mergeCell ref="B7:L7"/>
    <mergeCell ref="B8:L8"/>
    <mergeCell ref="AH46:AI46"/>
    <mergeCell ref="R45:T45"/>
    <mergeCell ref="U45:W45"/>
    <mergeCell ref="X45:Z45"/>
    <mergeCell ref="AA45:AC45"/>
    <mergeCell ref="AD45:AF45"/>
    <mergeCell ref="AH45:AI45"/>
  </mergeCells>
  <conditionalFormatting sqref="D42:I43">
    <cfRule type="expression" dxfId="31" priority="5">
      <formula>ISERROR(D42)</formula>
    </cfRule>
  </conditionalFormatting>
  <conditionalFormatting sqref="C47:AF98">
    <cfRule type="expression" dxfId="30" priority="3">
      <formula>ISERROR(C47)</formula>
    </cfRule>
  </conditionalFormatting>
  <conditionalFormatting sqref="AK47:BN98">
    <cfRule type="expression" dxfId="29" priority="2">
      <formula>ISERROR(AK47)</formula>
    </cfRule>
  </conditionalFormatting>
  <conditionalFormatting sqref="C12:BA41">
    <cfRule type="expression" dxfId="28" priority="1">
      <formula>ISERROR(C12)</formula>
    </cfRule>
  </conditionalFormatting>
  <hyperlinks>
    <hyperlink ref="K2" location="'Information och Innehåll'!A1" display="Tillbaka till Information och Innehåll"/>
    <hyperlink ref="AH48" location="V1.1.1!A1" display="V1.1.1"/>
    <hyperlink ref="AH49" location="V1.1.2!A1" display="V1.1.2"/>
    <hyperlink ref="AH50" location="V1.1.3!A1" display="V1.1.3"/>
    <hyperlink ref="AH51" location="V2.1.1!A1" display="V2.1.1"/>
    <hyperlink ref="AH52" location="V2.1.2!A1" display="V2.1.2"/>
    <hyperlink ref="AH54" location="V3.1.2!A1" display="V3.1.2"/>
    <hyperlink ref="AH53" location="V3.1.1!A1" display="V3.1.1"/>
    <hyperlink ref="AH55" location="V3.1.3!A1" display="V3.1.3"/>
    <hyperlink ref="AH57" location="V4.1.1!A1" display="V4.1.1"/>
    <hyperlink ref="AH58" location="V4.2.1!A1" display="V4.2.1"/>
    <hyperlink ref="AH59" location="V4.2.2!A1" display="V4.2.2"/>
    <hyperlink ref="AH60" location="V4.2.3!A1" display="V4.2.3"/>
    <hyperlink ref="AH61" location="V4.2.4!A1" display="V4.2.4"/>
    <hyperlink ref="AH62" location="V5.1.1!A1" display="V5.1.1"/>
    <hyperlink ref="AH63" location="V5.1.2!A1" display="V5.1.2"/>
    <hyperlink ref="AI48" location="B1.1.1!A1" display="B1.1.1"/>
    <hyperlink ref="AI49" location="B1.1.2!A1" display="B1.1.2"/>
    <hyperlink ref="AI50" location="B1.2.1!A1" display="B1.2.1"/>
    <hyperlink ref="AI51" location="B1.2.2!A1" display="B1.2.2"/>
    <hyperlink ref="AI52" location="B1.2.3!A1" display="B1.2.3"/>
    <hyperlink ref="AI53" location="B2.1.1!A1" display="B2.1.1"/>
    <hyperlink ref="AI55" location="B2.2.1!A1" display="B2.2.1"/>
    <hyperlink ref="AI56" location="B2.2.2!A1" display="B2.2.2"/>
    <hyperlink ref="AI57" location="B2.2.3!A1" display="B2.2.3"/>
    <hyperlink ref="AI58" location="B2.2.4!A1" display="B2.2.4"/>
    <hyperlink ref="AI59" location="B3.1.1!A1" display="B3.1.1"/>
    <hyperlink ref="AI60" location="B3.1.2!A1" display="B3.1.2"/>
    <hyperlink ref="AI63" location="B4.1.1!A1" display="B4.1.1"/>
    <hyperlink ref="AI64" location="B5.1.1!A1" display="B5.1.1"/>
    <hyperlink ref="AI65" location="B5.1.2!A1" display="B5.1.2"/>
    <hyperlink ref="AI66" location="B5.1.3!A1" display="B5.1.3"/>
    <hyperlink ref="AI61" location="B3.1.3!A1" display="B3.1.3"/>
    <hyperlink ref="AI54" location="B2.1.2!A1" display="B2.1.2"/>
    <hyperlink ref="AH64" location="V5.1.3!A1" display="V5.1.3"/>
    <hyperlink ref="AI62" location="B3.2.1!A1" display="B3.2.1"/>
    <hyperlink ref="AH56" location="B3.2.1!A1" display="V3.2.1"/>
    <hyperlink ref="AH73" location="'V1.1.1 DATA'!A1" display="V1.1.1"/>
    <hyperlink ref="AH74" location="'V1.1.2 DATA'!A1" display="V1.1.2"/>
    <hyperlink ref="AH75" location="'V1.1.3 Data'!A1" display="V1.1.3"/>
    <hyperlink ref="AH76" location="'V2.1.1 DATA'!A1" display="V2.1.1"/>
    <hyperlink ref="AH77" location="'V2.1.2 DATA'!A1" display="V2.1.2"/>
    <hyperlink ref="AH79" location="'V3.1.2 DATA'!A1" display="V3.1.2"/>
    <hyperlink ref="AH78" location="'V3.1.1 DATA'!A1" display="V3.1.1"/>
    <hyperlink ref="AH80" location="'V3.1.3 DATA'!A1" display="V3.1.3"/>
    <hyperlink ref="AH81" location="'V3.2.1 DATA'!A1" display="V3.2.1"/>
    <hyperlink ref="AH82" location="'V4.1.1 DATA'!A1" display="V4.1.1"/>
    <hyperlink ref="AH83" location="'V4.2.1 DATA'!A1" display="V4.2.1"/>
    <hyperlink ref="AH85" location="'V4.2.3 DATA'!A1" display="V4.2.3"/>
    <hyperlink ref="AH86" location="'V4.2.4 DATA'!A1" display="V4.2.4"/>
    <hyperlink ref="AH87" location="'V5.1.1 DATA'!A1" display="V5.1.1"/>
    <hyperlink ref="AH88" location="'V5.1.2 DATA'!A1" display="V5.1.2"/>
    <hyperlink ref="AI73" location="'B1.1.1 DATA'!A1" display="B1.1.1"/>
    <hyperlink ref="AI74" location="'B1.1.2 DATA'!A1" display="B1.1.2"/>
    <hyperlink ref="AI75" location="'B1.2.1 DATA'!A1" display="B1.2.1"/>
    <hyperlink ref="AI76" location="'B1.2.2 DATA'!A1" display="B1.2.2"/>
    <hyperlink ref="AI77" location="'B1.2.3 DATA'!A1" display="B1.2.3"/>
    <hyperlink ref="AI78" location="'B2.1.1 DATA'!A1" display="B2.1.1"/>
    <hyperlink ref="AI80" location="'B2.2.1 DATA'!A1" display="B2.2.1"/>
    <hyperlink ref="AI81" location="'B2.2.2 DATA'!A1" display="B2.2.2"/>
    <hyperlink ref="AI82" location="'B2.2.3 DATA'!A1" display="B2.2.3"/>
    <hyperlink ref="AI83" location="'B2.2.4 DATA'!A1" display="B2.2.4"/>
    <hyperlink ref="AI84" location="'B3.1.1 DATA'!A1" display="B3.1.1"/>
    <hyperlink ref="AI85" location="'B3.1.2 DATA'!A1" display="B3.1.2"/>
    <hyperlink ref="AI87" location="'B3.2.1 DATA'!A1" display="B3.2.1"/>
    <hyperlink ref="AI88" location="'B4.1.1 DATA'!A1" display="B4.1.1"/>
    <hyperlink ref="AI89" location="'B5.1.1 DATA'!A1" display="B5.1.1"/>
    <hyperlink ref="AI90" location="'B5.1.2 DATA'!A1" display="B5.1.2"/>
    <hyperlink ref="AI91" location="'B5.1.3 DATA'!A1" display="B5.1.3"/>
    <hyperlink ref="AI79" location="'B2.1.2 DATA'!A1" display="B2.1.2"/>
    <hyperlink ref="AH89" location="'V5.1.3 DATA'!A1" display="V5.1.3"/>
    <hyperlink ref="AI86" location="'B3.1.3 DATA'!A1" display="B3.1.3"/>
    <hyperlink ref="AH84" location="'V4.2.2 DATA'!A1" display="V4.2.2"/>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18366"/>
  </sheetPr>
  <dimension ref="A2:AA57"/>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1" ht="21">
      <c r="P2" s="10"/>
      <c r="Q2" s="11"/>
      <c r="R2" s="11"/>
    </row>
    <row r="3" spans="1:21" ht="23.25">
      <c r="B3" s="338" t="s">
        <v>404</v>
      </c>
      <c r="C3" s="338"/>
      <c r="D3" s="338"/>
      <c r="E3" s="338"/>
      <c r="F3" s="338"/>
      <c r="G3" s="338"/>
      <c r="H3" s="338"/>
      <c r="I3" s="338"/>
      <c r="J3" s="338"/>
      <c r="K3" s="338"/>
      <c r="L3" s="338"/>
      <c r="M3" s="338"/>
      <c r="N3" s="338"/>
      <c r="O3" s="338"/>
      <c r="P3" s="338"/>
      <c r="Q3" s="338"/>
      <c r="R3" s="338"/>
      <c r="S3" s="338"/>
      <c r="T3" s="338"/>
    </row>
    <row r="4" spans="1:21" ht="30.75">
      <c r="B4" s="366" t="s">
        <v>498</v>
      </c>
      <c r="C4" s="366"/>
      <c r="D4" s="366"/>
      <c r="E4" s="366"/>
      <c r="F4" s="366"/>
      <c r="G4" s="366"/>
      <c r="H4" s="366"/>
      <c r="I4" s="366"/>
      <c r="J4" s="366"/>
      <c r="K4" s="366"/>
      <c r="L4" s="366"/>
      <c r="M4" s="366"/>
      <c r="N4" s="366"/>
      <c r="O4" s="366"/>
      <c r="P4" s="366"/>
      <c r="Q4" s="366"/>
      <c r="R4" s="366"/>
      <c r="S4" s="366"/>
      <c r="T4" s="366"/>
    </row>
    <row r="5" spans="1:21" ht="18">
      <c r="B5" s="340" t="s">
        <v>313</v>
      </c>
      <c r="C5" s="340"/>
      <c r="D5" s="340"/>
      <c r="E5" s="340"/>
      <c r="F5" s="340"/>
      <c r="G5" s="340"/>
      <c r="H5" s="340"/>
      <c r="I5" s="340"/>
      <c r="J5" s="340"/>
      <c r="K5" s="340"/>
      <c r="L5" s="340"/>
      <c r="M5" s="340"/>
      <c r="N5" s="340"/>
      <c r="O5" s="340"/>
      <c r="P5" s="340"/>
      <c r="Q5" s="340"/>
      <c r="R5" s="340"/>
      <c r="S5" s="340"/>
      <c r="T5" s="340"/>
    </row>
    <row r="6" spans="1:21">
      <c r="P6" s="11"/>
      <c r="Q6" s="11"/>
      <c r="R6" s="11"/>
    </row>
    <row r="7" spans="1:21" ht="15.75">
      <c r="B7" s="26" t="s">
        <v>35</v>
      </c>
      <c r="E7" s="27">
        <v>42977</v>
      </c>
      <c r="I7" s="114"/>
      <c r="P7" s="11"/>
      <c r="Q7" s="342" t="s">
        <v>44</v>
      </c>
      <c r="R7" s="342"/>
      <c r="S7" s="342"/>
      <c r="T7" s="342"/>
    </row>
    <row r="8" spans="1:21">
      <c r="P8" s="11"/>
      <c r="Q8" s="11"/>
      <c r="R8" s="11"/>
    </row>
    <row r="9" spans="1:21" ht="23.65" thickBot="1">
      <c r="B9" s="341" t="s">
        <v>7</v>
      </c>
      <c r="C9" s="341"/>
      <c r="D9" s="341"/>
      <c r="E9" s="341"/>
      <c r="F9" s="341"/>
      <c r="G9" s="341"/>
      <c r="H9" s="341"/>
      <c r="I9" s="341"/>
      <c r="J9" s="341"/>
      <c r="K9" s="341"/>
      <c r="L9" s="341"/>
      <c r="N9" s="331" t="s">
        <v>38</v>
      </c>
      <c r="O9" s="331"/>
      <c r="P9" s="331"/>
      <c r="Q9" s="331"/>
      <c r="R9" s="331"/>
      <c r="S9" s="331"/>
      <c r="T9" s="331"/>
    </row>
    <row r="10" spans="1:21" ht="23.25">
      <c r="B10" s="33"/>
      <c r="C10" s="33"/>
      <c r="D10" s="33"/>
      <c r="E10" s="33"/>
      <c r="F10" s="33"/>
      <c r="G10" s="33"/>
      <c r="H10" s="33"/>
      <c r="I10" s="33"/>
      <c r="J10" s="33"/>
      <c r="K10" s="33"/>
      <c r="L10" s="33"/>
      <c r="N10" s="31"/>
      <c r="O10" s="31"/>
      <c r="P10" s="31"/>
      <c r="Q10" s="31"/>
      <c r="R10" s="31"/>
      <c r="S10" s="31"/>
      <c r="T10" s="31"/>
    </row>
    <row r="11" spans="1:21">
      <c r="B11" s="336" t="s">
        <v>40</v>
      </c>
      <c r="C11" s="336"/>
      <c r="D11" s="336"/>
      <c r="E11" s="336"/>
      <c r="F11" s="336"/>
      <c r="G11" s="336"/>
      <c r="H11" s="336"/>
      <c r="I11" s="336"/>
      <c r="J11" s="336"/>
      <c r="K11" s="336"/>
      <c r="L11" s="336"/>
      <c r="N11" s="87" t="s">
        <v>211</v>
      </c>
      <c r="O11" s="87" t="s">
        <v>286</v>
      </c>
      <c r="P11" s="86"/>
      <c r="Q11" s="86"/>
      <c r="T11" s="86"/>
    </row>
    <row r="12" spans="1:21">
      <c r="B12" s="1"/>
      <c r="C12" s="337" t="s">
        <v>608</v>
      </c>
      <c r="D12" s="337"/>
      <c r="E12" s="337"/>
      <c r="F12" s="337"/>
      <c r="G12" s="337"/>
      <c r="H12" s="337"/>
      <c r="I12" s="337"/>
      <c r="J12" s="337"/>
      <c r="K12" s="337"/>
      <c r="L12" s="337"/>
      <c r="N12" s="87" t="s">
        <v>287</v>
      </c>
      <c r="O12" s="86" t="s">
        <v>42</v>
      </c>
      <c r="P12" s="86" t="s">
        <v>6</v>
      </c>
      <c r="Q12" s="86" t="s">
        <v>5</v>
      </c>
      <c r="R12" s="2"/>
      <c r="S12" s="2"/>
      <c r="T12" s="86"/>
    </row>
    <row r="13" spans="1:21">
      <c r="B13" s="32"/>
      <c r="C13" s="332" t="s">
        <v>609</v>
      </c>
      <c r="D13" s="332"/>
      <c r="E13" s="332"/>
      <c r="F13" s="332"/>
      <c r="G13" s="332"/>
      <c r="H13" s="332"/>
      <c r="I13" s="332"/>
      <c r="J13" s="332"/>
      <c r="K13" s="332"/>
      <c r="L13" s="332"/>
      <c r="N13" s="88">
        <v>2016</v>
      </c>
      <c r="O13" s="86">
        <v>0.16683687679881165</v>
      </c>
      <c r="P13" s="86">
        <v>0.13452655889145496</v>
      </c>
      <c r="Q13" s="86">
        <v>0.19460465116279069</v>
      </c>
      <c r="R13" s="2"/>
      <c r="S13" s="2"/>
      <c r="T13" s="86"/>
    </row>
    <row r="14" spans="1:21">
      <c r="B14" s="32"/>
      <c r="C14" s="333" t="s">
        <v>292</v>
      </c>
      <c r="D14" s="333"/>
      <c r="E14" s="333"/>
      <c r="F14" s="333"/>
      <c r="G14" s="333"/>
      <c r="H14" s="333"/>
      <c r="I14" s="333"/>
      <c r="J14" s="333"/>
      <c r="K14" s="333"/>
      <c r="L14" s="333"/>
      <c r="N14" s="88">
        <v>2017</v>
      </c>
      <c r="O14" s="86"/>
      <c r="P14" s="86"/>
      <c r="Q14" s="86"/>
      <c r="R14" s="2"/>
      <c r="S14" s="2"/>
      <c r="T14" s="86"/>
      <c r="U14" s="2"/>
    </row>
    <row r="15" spans="1:21">
      <c r="B15" s="32"/>
      <c r="C15" s="333" t="s">
        <v>612</v>
      </c>
      <c r="D15" s="333"/>
      <c r="E15" s="333"/>
      <c r="F15" s="333"/>
      <c r="G15" s="333"/>
      <c r="H15" s="333"/>
      <c r="I15" s="333"/>
      <c r="J15" s="333"/>
      <c r="K15" s="333"/>
      <c r="L15" s="333"/>
      <c r="N15" s="88">
        <v>2018</v>
      </c>
      <c r="O15" s="86"/>
      <c r="P15" s="86"/>
      <c r="Q15" s="86"/>
      <c r="R15" s="2"/>
      <c r="S15" s="2"/>
      <c r="T15" s="86"/>
      <c r="U15" s="2"/>
    </row>
    <row r="16" spans="1:21">
      <c r="A16" s="3"/>
      <c r="B16" s="32"/>
      <c r="C16" s="47"/>
      <c r="D16" s="47"/>
      <c r="E16" s="47"/>
      <c r="F16" s="47"/>
      <c r="G16" s="47"/>
      <c r="H16" s="47"/>
      <c r="I16" s="47"/>
      <c r="J16" s="47"/>
      <c r="K16" s="47"/>
      <c r="L16" s="32"/>
      <c r="N16" s="88">
        <v>2019</v>
      </c>
      <c r="O16" s="86"/>
      <c r="P16" s="86"/>
      <c r="Q16" s="86"/>
      <c r="R16" s="2"/>
      <c r="S16" s="2"/>
      <c r="T16" s="86"/>
      <c r="U16" s="2"/>
    </row>
    <row r="17" spans="1:26" ht="14.45" customHeight="1">
      <c r="A17" s="3"/>
      <c r="B17" s="336" t="s">
        <v>41</v>
      </c>
      <c r="C17" s="336"/>
      <c r="D17" s="336"/>
      <c r="E17" s="336"/>
      <c r="F17" s="336"/>
      <c r="G17" s="336"/>
      <c r="H17" s="336"/>
      <c r="I17" s="336"/>
      <c r="J17" s="336"/>
      <c r="K17" s="336"/>
      <c r="L17" s="336"/>
      <c r="N17" s="88">
        <v>2020</v>
      </c>
      <c r="O17" s="86"/>
      <c r="P17" s="86"/>
      <c r="Q17" s="86"/>
      <c r="R17" s="2"/>
      <c r="S17" s="2"/>
      <c r="T17" s="86"/>
      <c r="U17" s="2"/>
    </row>
    <row r="18" spans="1:26" ht="14.45" customHeight="1">
      <c r="A18" s="3"/>
      <c r="B18" s="119"/>
      <c r="C18" s="333" t="s">
        <v>295</v>
      </c>
      <c r="D18" s="333"/>
      <c r="E18" s="333"/>
      <c r="F18" s="333"/>
      <c r="G18" s="333"/>
      <c r="H18" s="333"/>
      <c r="I18" s="333"/>
      <c r="J18" s="333"/>
      <c r="K18" s="333"/>
      <c r="L18" s="333"/>
      <c r="N18" s="88">
        <v>2021</v>
      </c>
      <c r="O18" s="86"/>
      <c r="P18" s="86"/>
      <c r="Q18" s="86"/>
      <c r="R18" s="2"/>
      <c r="S18" s="2"/>
      <c r="T18" s="86"/>
      <c r="U18" s="2"/>
    </row>
    <row r="19" spans="1:26" ht="14.45" customHeight="1">
      <c r="A19" s="3"/>
      <c r="B19" s="117"/>
      <c r="C19" s="333" t="s">
        <v>359</v>
      </c>
      <c r="D19" s="333"/>
      <c r="E19" s="333"/>
      <c r="F19" s="333"/>
      <c r="G19" s="333"/>
      <c r="H19" s="333"/>
      <c r="I19" s="333"/>
      <c r="J19" s="333"/>
      <c r="K19" s="333"/>
      <c r="L19" s="333"/>
      <c r="N19" s="88">
        <v>2022</v>
      </c>
      <c r="O19" s="86"/>
      <c r="P19" s="86"/>
      <c r="Q19" s="86"/>
      <c r="R19" s="2"/>
      <c r="S19" s="2"/>
      <c r="T19" s="86"/>
      <c r="U19" s="2"/>
    </row>
    <row r="20" spans="1:26" ht="14.45" customHeight="1">
      <c r="A20" s="3"/>
      <c r="B20" s="117"/>
      <c r="C20" s="333" t="s">
        <v>369</v>
      </c>
      <c r="D20" s="333"/>
      <c r="E20" s="333"/>
      <c r="F20" s="333"/>
      <c r="G20" s="333"/>
      <c r="H20" s="333"/>
      <c r="I20" s="333"/>
      <c r="J20" s="333"/>
      <c r="K20" s="333"/>
      <c r="L20" s="333"/>
      <c r="N20" s="88">
        <v>2023</v>
      </c>
      <c r="O20" s="86"/>
      <c r="P20" s="86"/>
      <c r="Q20" s="86"/>
      <c r="R20" s="2"/>
      <c r="S20" s="2"/>
      <c r="T20" s="86"/>
      <c r="U20" s="2"/>
    </row>
    <row r="21" spans="1:26" ht="14.45" customHeight="1">
      <c r="A21" s="3"/>
      <c r="B21" s="117"/>
      <c r="C21" s="58" t="str">
        <f>"--&gt;"</f>
        <v>--&gt;</v>
      </c>
      <c r="D21" s="334" t="s">
        <v>285</v>
      </c>
      <c r="E21" s="334"/>
      <c r="F21" s="334"/>
      <c r="G21" s="334"/>
      <c r="H21" s="334"/>
      <c r="I21" s="334"/>
      <c r="J21" s="334"/>
      <c r="K21" s="334"/>
      <c r="L21" s="334"/>
      <c r="N21" s="88">
        <v>2024</v>
      </c>
      <c r="O21" s="86"/>
      <c r="P21" s="86"/>
      <c r="Q21" s="86"/>
      <c r="R21" s="2"/>
      <c r="S21" s="2"/>
      <c r="T21" s="86"/>
      <c r="U21" s="2"/>
    </row>
    <row r="22" spans="1:26">
      <c r="A22" s="3"/>
      <c r="B22" s="117"/>
      <c r="C22" s="117"/>
      <c r="D22" s="334"/>
      <c r="E22" s="334"/>
      <c r="F22" s="334"/>
      <c r="G22" s="334"/>
      <c r="H22" s="334"/>
      <c r="I22" s="334"/>
      <c r="J22" s="334"/>
      <c r="K22" s="334"/>
      <c r="L22" s="334"/>
      <c r="N22" s="88">
        <v>2025</v>
      </c>
      <c r="O22" s="86"/>
      <c r="P22" s="86"/>
      <c r="Q22" s="86"/>
      <c r="R22" s="86"/>
      <c r="S22" s="86"/>
      <c r="T22" s="86"/>
      <c r="U22" s="2"/>
    </row>
    <row r="23" spans="1:26" ht="14.45" customHeight="1">
      <c r="A23" s="3"/>
      <c r="B23" s="117"/>
      <c r="C23" s="333" t="s">
        <v>356</v>
      </c>
      <c r="D23" s="333"/>
      <c r="E23" s="333"/>
      <c r="F23" s="333"/>
      <c r="G23" s="333"/>
      <c r="H23" s="333"/>
      <c r="I23" s="333"/>
      <c r="J23" s="333"/>
      <c r="K23" s="333"/>
      <c r="L23" s="333"/>
      <c r="Q23" s="86"/>
      <c r="R23" s="86"/>
      <c r="S23" s="86"/>
      <c r="T23" s="86"/>
      <c r="U23" s="2"/>
    </row>
    <row r="24" spans="1:26">
      <c r="A24" s="3"/>
      <c r="B24" s="117"/>
      <c r="C24" s="333"/>
      <c r="D24" s="333"/>
      <c r="E24" s="333"/>
      <c r="F24" s="333"/>
      <c r="G24" s="333"/>
      <c r="H24" s="333"/>
      <c r="I24" s="333"/>
      <c r="J24" s="333"/>
      <c r="K24" s="333"/>
      <c r="L24" s="333"/>
      <c r="Q24" s="2"/>
      <c r="R24" s="2"/>
      <c r="S24" s="2"/>
      <c r="T24" s="2"/>
      <c r="U24" s="2"/>
    </row>
    <row r="25" spans="1:26">
      <c r="A25" s="3"/>
      <c r="B25" s="117"/>
      <c r="C25" s="333"/>
      <c r="D25" s="333"/>
      <c r="E25" s="333"/>
      <c r="F25" s="333"/>
      <c r="G25" s="333"/>
      <c r="H25" s="333"/>
      <c r="I25" s="333"/>
      <c r="J25" s="333"/>
      <c r="K25" s="333"/>
      <c r="L25" s="333"/>
      <c r="S25" s="11"/>
      <c r="T25" s="11"/>
    </row>
    <row r="26" spans="1:26" ht="14.45" customHeight="1">
      <c r="A26" s="3"/>
      <c r="B26" s="117"/>
      <c r="C26" s="335" t="s">
        <v>298</v>
      </c>
      <c r="D26" s="335"/>
      <c r="E26" s="335"/>
      <c r="F26" s="335"/>
      <c r="G26" s="335"/>
      <c r="H26" s="335"/>
      <c r="I26" s="335"/>
      <c r="J26" s="335"/>
      <c r="K26" s="335"/>
      <c r="L26" s="335"/>
      <c r="S26" s="11"/>
      <c r="T26" s="11"/>
    </row>
    <row r="27" spans="1:26">
      <c r="B27" s="118"/>
      <c r="C27" s="335"/>
      <c r="D27" s="335"/>
      <c r="E27" s="335"/>
      <c r="F27" s="335"/>
      <c r="G27" s="335"/>
      <c r="H27" s="335"/>
      <c r="I27" s="335"/>
      <c r="J27" s="335"/>
      <c r="K27" s="335"/>
      <c r="L27" s="335"/>
      <c r="Q27" s="2"/>
      <c r="S27" s="11"/>
      <c r="T27" s="11"/>
    </row>
    <row r="28" spans="1:26">
      <c r="B28" s="118"/>
      <c r="C28" s="335"/>
      <c r="D28" s="335"/>
      <c r="E28" s="335"/>
      <c r="F28" s="335"/>
      <c r="G28" s="335"/>
      <c r="H28" s="335"/>
      <c r="I28" s="335"/>
      <c r="J28" s="335"/>
      <c r="K28" s="335"/>
      <c r="L28" s="335"/>
      <c r="Q28" s="2"/>
      <c r="S28" s="11"/>
      <c r="T28" s="11"/>
    </row>
    <row r="29" spans="1:26">
      <c r="B29" s="83"/>
      <c r="C29" s="351"/>
      <c r="D29" s="351"/>
      <c r="E29" s="351"/>
      <c r="F29" s="351"/>
      <c r="G29" s="351"/>
      <c r="H29" s="351"/>
      <c r="I29" s="351"/>
      <c r="J29" s="351"/>
      <c r="K29" s="351"/>
      <c r="L29" s="351"/>
      <c r="S29" s="11"/>
      <c r="T29" s="11"/>
    </row>
    <row r="30" spans="1:26">
      <c r="B30" s="122"/>
      <c r="C30" s="351"/>
      <c r="D30" s="351"/>
      <c r="E30" s="351"/>
      <c r="F30" s="351"/>
      <c r="G30" s="351"/>
      <c r="H30" s="351"/>
      <c r="I30" s="351"/>
      <c r="J30" s="351"/>
      <c r="K30" s="351"/>
      <c r="L30" s="351"/>
      <c r="M30" s="9"/>
      <c r="N30" s="31"/>
      <c r="O30" s="34"/>
      <c r="P30" s="35"/>
      <c r="Q30" s="35"/>
      <c r="R30" s="35"/>
      <c r="S30" s="35"/>
      <c r="T30" s="31"/>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7">
      <c r="B34" s="1"/>
      <c r="C34" s="1"/>
      <c r="D34" s="1"/>
      <c r="E34" s="1"/>
      <c r="F34" s="1"/>
      <c r="G34" s="1"/>
      <c r="H34" s="1"/>
      <c r="I34" s="1"/>
      <c r="J34" s="1"/>
      <c r="K34" s="1"/>
      <c r="L34" s="1"/>
      <c r="M34" s="1"/>
      <c r="N34" s="1"/>
      <c r="O34" s="1"/>
      <c r="P34" s="1"/>
      <c r="Q34" s="1"/>
      <c r="R34" s="1"/>
      <c r="S34" s="1"/>
      <c r="T34" s="1"/>
      <c r="V34" s="56" t="s">
        <v>61</v>
      </c>
      <c r="W34" s="56" t="s">
        <v>62</v>
      </c>
      <c r="X34" s="11"/>
      <c r="Y34" s="56" t="s">
        <v>61</v>
      </c>
      <c r="Z34" s="56" t="s">
        <v>62</v>
      </c>
    </row>
    <row r="35" spans="1:27">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7">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7">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7">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7">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7">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7">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7">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7">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7">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7">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7">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c r="AA46" s="9"/>
    </row>
    <row r="47" spans="1:27">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c r="AA47" s="9"/>
    </row>
    <row r="48" spans="1:27">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c r="AA48" s="9"/>
    </row>
    <row r="49" spans="2:27">
      <c r="B49" s="1"/>
      <c r="C49" s="1"/>
      <c r="D49" s="1"/>
      <c r="E49" s="1"/>
      <c r="F49" s="1"/>
      <c r="G49" s="1"/>
      <c r="H49" s="1"/>
      <c r="I49" s="1"/>
      <c r="J49" s="1"/>
      <c r="K49" s="1"/>
      <c r="L49" s="1"/>
      <c r="M49" s="1"/>
      <c r="N49" s="1"/>
      <c r="O49" s="1"/>
      <c r="P49" s="1"/>
      <c r="Q49" s="1"/>
      <c r="R49" s="1"/>
      <c r="S49" s="1"/>
      <c r="T49" s="1"/>
      <c r="V49" s="244" t="s">
        <v>445</v>
      </c>
      <c r="W49" s="244" t="s">
        <v>462</v>
      </c>
      <c r="X49" s="9"/>
      <c r="Y49" s="244" t="s">
        <v>445</v>
      </c>
      <c r="Z49" s="244" t="s">
        <v>462</v>
      </c>
      <c r="AA49" s="9"/>
    </row>
    <row r="50" spans="2:27">
      <c r="B50" s="1"/>
      <c r="C50" s="1"/>
      <c r="D50" s="1"/>
      <c r="E50" s="1"/>
      <c r="F50" s="1"/>
      <c r="G50" s="1"/>
      <c r="H50" s="1"/>
      <c r="I50" s="1"/>
      <c r="J50" s="1"/>
      <c r="K50" s="1"/>
      <c r="L50" s="1"/>
      <c r="M50" s="1"/>
      <c r="N50" s="1"/>
      <c r="O50" s="1"/>
      <c r="P50" s="1"/>
      <c r="Q50" s="1"/>
      <c r="R50" s="1"/>
      <c r="S50" s="1"/>
      <c r="T50" s="1"/>
      <c r="V50" s="246" t="s">
        <v>446</v>
      </c>
      <c r="W50" s="244" t="s">
        <v>463</v>
      </c>
      <c r="X50" s="9"/>
      <c r="Y50" s="246" t="s">
        <v>446</v>
      </c>
      <c r="Z50" s="244" t="s">
        <v>463</v>
      </c>
      <c r="AA50" s="9"/>
    </row>
    <row r="51" spans="2:27">
      <c r="B51" s="1"/>
      <c r="C51" s="1"/>
      <c r="D51" s="1"/>
      <c r="E51" s="1"/>
      <c r="F51" s="1"/>
      <c r="G51" s="1"/>
      <c r="H51" s="1"/>
      <c r="I51" s="1"/>
      <c r="J51" s="1"/>
      <c r="K51" s="1"/>
      <c r="L51" s="1"/>
      <c r="M51" s="1"/>
      <c r="N51" s="1"/>
      <c r="O51" s="1"/>
      <c r="P51" s="1"/>
      <c r="Q51" s="1"/>
      <c r="R51" s="1"/>
      <c r="S51" s="1"/>
      <c r="T51" s="1"/>
      <c r="V51" s="247" t="s">
        <v>447</v>
      </c>
      <c r="W51" s="244" t="s">
        <v>464</v>
      </c>
      <c r="X51" s="9"/>
      <c r="Y51" s="247" t="s">
        <v>447</v>
      </c>
      <c r="Z51" s="244" t="s">
        <v>464</v>
      </c>
      <c r="AA51" s="9"/>
    </row>
    <row r="52" spans="2:27">
      <c r="B52" s="1"/>
      <c r="C52" s="1"/>
      <c r="D52" s="1"/>
      <c r="E52" s="1"/>
      <c r="F52" s="1"/>
      <c r="G52" s="1"/>
      <c r="H52" s="1"/>
      <c r="I52" s="1"/>
      <c r="J52" s="1"/>
      <c r="K52" s="1"/>
      <c r="L52" s="1"/>
      <c r="M52" s="1"/>
      <c r="N52" s="1"/>
      <c r="O52" s="1"/>
      <c r="P52" s="1"/>
      <c r="Q52" s="1"/>
      <c r="R52" s="1"/>
      <c r="S52" s="1"/>
      <c r="T52" s="1"/>
      <c r="V52" s="295"/>
      <c r="W52" s="244" t="s">
        <v>465</v>
      </c>
      <c r="X52" s="9"/>
      <c r="Y52" s="284"/>
      <c r="Z52" s="244" t="s">
        <v>465</v>
      </c>
      <c r="AA52" s="9"/>
    </row>
    <row r="53" spans="2:27">
      <c r="B53" s="1"/>
      <c r="C53" s="1"/>
      <c r="D53" s="1"/>
      <c r="E53" s="1"/>
      <c r="F53" s="1"/>
      <c r="G53" s="1"/>
      <c r="H53" s="1"/>
      <c r="I53" s="1"/>
      <c r="J53" s="1"/>
      <c r="K53" s="1"/>
      <c r="L53" s="1"/>
      <c r="M53" s="1"/>
      <c r="N53" s="1"/>
      <c r="O53" s="1"/>
      <c r="P53" s="1"/>
      <c r="Q53" s="1"/>
      <c r="R53" s="1"/>
      <c r="S53" s="1"/>
      <c r="T53" s="1"/>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row r="56" spans="2:27">
      <c r="V56" s="9"/>
      <c r="W56" s="9"/>
      <c r="X56" s="9"/>
      <c r="Y56" s="9"/>
      <c r="Z56" s="9"/>
      <c r="AA56" s="9"/>
    </row>
    <row r="57" spans="2:27">
      <c r="V57" s="9"/>
      <c r="W57" s="9"/>
      <c r="X57" s="9"/>
      <c r="Y57" s="9"/>
      <c r="Z57" s="9"/>
      <c r="AA57" s="9"/>
    </row>
  </sheetData>
  <mergeCells count="24">
    <mergeCell ref="C12:L12"/>
    <mergeCell ref="C13:L13"/>
    <mergeCell ref="C14:L14"/>
    <mergeCell ref="B3:T3"/>
    <mergeCell ref="B4:T4"/>
    <mergeCell ref="B5:T5"/>
    <mergeCell ref="B9:L9"/>
    <mergeCell ref="N9:T9"/>
    <mergeCell ref="Y32:Z32"/>
    <mergeCell ref="Y33:Z33"/>
    <mergeCell ref="Q7:T7"/>
    <mergeCell ref="V33:W33"/>
    <mergeCell ref="C15:L15"/>
    <mergeCell ref="B17:L17"/>
    <mergeCell ref="C18:L18"/>
    <mergeCell ref="C19:L19"/>
    <mergeCell ref="C20:L20"/>
    <mergeCell ref="D21:L22"/>
    <mergeCell ref="C23:L25"/>
    <mergeCell ref="C26:L28"/>
    <mergeCell ref="C29:L30"/>
    <mergeCell ref="B32:T32"/>
    <mergeCell ref="V32:W32"/>
    <mergeCell ref="B11:L11"/>
  </mergeCells>
  <hyperlinks>
    <hyperlink ref="Q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B49073"/>
  </sheetPr>
  <dimension ref="A1:BN118"/>
  <sheetViews>
    <sheetView showGridLines="0" showRowColHeaders="0" zoomScale="70" zoomScaleNormal="70" workbookViewId="0"/>
  </sheetViews>
  <sheetFormatPr defaultRowHeight="14.25"/>
  <cols>
    <col min="1" max="1" width="15.796875" customWidth="1"/>
    <col min="2" max="2" width="26.796875" customWidth="1"/>
    <col min="3" max="32" width="15.796875" customWidth="1"/>
    <col min="33" max="52" width="12.796875" customWidth="1"/>
  </cols>
  <sheetData>
    <row r="1" spans="1:59" ht="15.75">
      <c r="A1" s="26" t="s">
        <v>276</v>
      </c>
      <c r="B1" s="84"/>
      <c r="C1" s="84"/>
      <c r="D1" s="84"/>
      <c r="E1" s="84"/>
      <c r="F1" s="84"/>
      <c r="G1" s="84"/>
      <c r="H1" s="84"/>
      <c r="J1" s="114" t="s">
        <v>272</v>
      </c>
    </row>
    <row r="2" spans="1:59" ht="15.75">
      <c r="A2" s="26" t="s">
        <v>34</v>
      </c>
      <c r="D2" s="27">
        <v>42977</v>
      </c>
      <c r="K2" s="342" t="s">
        <v>44</v>
      </c>
      <c r="L2" s="342"/>
      <c r="M2" s="342"/>
    </row>
    <row r="3" spans="1:59" ht="23.25">
      <c r="A3" s="354" t="s">
        <v>7</v>
      </c>
      <c r="B3" s="354"/>
      <c r="C3" s="354"/>
      <c r="D3" s="354"/>
      <c r="E3" s="354"/>
      <c r="F3" s="354"/>
      <c r="G3" s="354"/>
      <c r="H3" s="354"/>
      <c r="I3" s="198"/>
      <c r="J3" s="198"/>
      <c r="K3" s="198"/>
      <c r="L3" s="198"/>
      <c r="M3" s="198"/>
    </row>
    <row r="4" spans="1:59">
      <c r="A4" s="119"/>
      <c r="B4" s="119"/>
      <c r="C4" s="119"/>
      <c r="D4" s="119"/>
      <c r="E4" s="119"/>
      <c r="F4" s="119"/>
      <c r="G4" s="119"/>
      <c r="H4" s="119"/>
      <c r="I4" s="119"/>
      <c r="J4" s="119"/>
      <c r="K4" s="119"/>
      <c r="L4" s="119"/>
      <c r="M4" s="119"/>
    </row>
    <row r="5" spans="1:59">
      <c r="A5" s="119"/>
      <c r="B5" s="352" t="s">
        <v>374</v>
      </c>
      <c r="C5" s="352"/>
      <c r="D5" s="352"/>
      <c r="E5" s="352"/>
      <c r="F5" s="352"/>
      <c r="G5" s="352"/>
      <c r="H5" s="352"/>
      <c r="I5" s="352"/>
      <c r="J5" s="352"/>
      <c r="K5" s="352"/>
      <c r="L5" s="352"/>
      <c r="M5" s="119"/>
    </row>
    <row r="6" spans="1:59">
      <c r="A6" s="119"/>
      <c r="B6" s="352" t="s">
        <v>360</v>
      </c>
      <c r="C6" s="352"/>
      <c r="D6" s="352"/>
      <c r="E6" s="352"/>
      <c r="F6" s="352"/>
      <c r="G6" s="352"/>
      <c r="H6" s="352"/>
      <c r="I6" s="352"/>
      <c r="J6" s="352"/>
      <c r="K6" s="352"/>
      <c r="L6" s="352"/>
      <c r="M6" s="119"/>
    </row>
    <row r="7" spans="1:59">
      <c r="A7" s="119"/>
      <c r="B7" s="353" t="s">
        <v>610</v>
      </c>
      <c r="C7" s="353"/>
      <c r="D7" s="353"/>
      <c r="E7" s="353"/>
      <c r="F7" s="353"/>
      <c r="G7" s="353"/>
      <c r="H7" s="353"/>
      <c r="I7" s="353"/>
      <c r="J7" s="353"/>
      <c r="K7" s="353"/>
      <c r="L7" s="353"/>
      <c r="M7" s="119"/>
    </row>
    <row r="8" spans="1:59">
      <c r="A8" s="119"/>
      <c r="B8" s="353" t="s">
        <v>611</v>
      </c>
      <c r="C8" s="353"/>
      <c r="D8" s="353"/>
      <c r="E8" s="353"/>
      <c r="F8" s="353"/>
      <c r="G8" s="353"/>
      <c r="H8" s="353"/>
      <c r="I8" s="353"/>
      <c r="J8" s="353"/>
      <c r="K8" s="353"/>
      <c r="L8" s="353"/>
      <c r="M8" s="119"/>
    </row>
    <row r="9" spans="1:59">
      <c r="A9" s="119"/>
      <c r="B9" s="353"/>
      <c r="C9" s="353"/>
      <c r="D9" s="353"/>
      <c r="E9" s="353"/>
      <c r="F9" s="353"/>
      <c r="G9" s="353"/>
      <c r="H9" s="353"/>
      <c r="I9" s="353"/>
      <c r="J9" s="353"/>
      <c r="K9" s="353"/>
      <c r="L9" s="353"/>
      <c r="M9" s="119"/>
    </row>
    <row r="10" spans="1:59" ht="15.75">
      <c r="A10" s="26"/>
      <c r="D10" s="27"/>
    </row>
    <row r="11" spans="1:59">
      <c r="A11" s="133" t="s">
        <v>2</v>
      </c>
      <c r="B11" s="133" t="s">
        <v>3</v>
      </c>
      <c r="C11" s="133" t="s">
        <v>159</v>
      </c>
      <c r="D11" s="133" t="s">
        <v>194</v>
      </c>
      <c r="E11" s="133" t="s">
        <v>189</v>
      </c>
      <c r="F11" s="133" t="s">
        <v>184</v>
      </c>
      <c r="G11" s="133" t="s">
        <v>182</v>
      </c>
      <c r="H11" s="133" t="s">
        <v>164</v>
      </c>
      <c r="I11" s="133" t="s">
        <v>154</v>
      </c>
      <c r="J11" s="133" t="s">
        <v>167</v>
      </c>
      <c r="K11" s="133" t="s">
        <v>168</v>
      </c>
      <c r="L11" s="133" t="s">
        <v>169</v>
      </c>
      <c r="M11" s="133" t="s">
        <v>160</v>
      </c>
      <c r="N11" s="133" t="s">
        <v>179</v>
      </c>
      <c r="O11" s="133" t="s">
        <v>170</v>
      </c>
      <c r="P11" s="133" t="s">
        <v>152</v>
      </c>
      <c r="Q11" s="133" t="s">
        <v>146</v>
      </c>
      <c r="R11" s="133" t="s">
        <v>171</v>
      </c>
      <c r="S11" s="133" t="s">
        <v>185</v>
      </c>
      <c r="T11" s="133" t="s">
        <v>142</v>
      </c>
      <c r="U11" s="133" t="s">
        <v>148</v>
      </c>
      <c r="V11" s="133" t="s">
        <v>156</v>
      </c>
      <c r="W11" s="133" t="s">
        <v>149</v>
      </c>
      <c r="X11" s="133" t="s">
        <v>157</v>
      </c>
      <c r="Y11" s="133" t="s">
        <v>172</v>
      </c>
      <c r="Z11" s="133" t="s">
        <v>173</v>
      </c>
      <c r="AA11" s="133" t="s">
        <v>147</v>
      </c>
      <c r="AB11" s="133" t="s">
        <v>193</v>
      </c>
      <c r="AC11" s="133" t="s">
        <v>190</v>
      </c>
      <c r="AD11" s="133" t="s">
        <v>187</v>
      </c>
      <c r="AE11" s="133" t="s">
        <v>145</v>
      </c>
      <c r="AF11" s="133" t="s">
        <v>174</v>
      </c>
      <c r="AG11" s="133" t="s">
        <v>175</v>
      </c>
      <c r="AH11" s="133" t="s">
        <v>161</v>
      </c>
      <c r="AI11" s="133" t="s">
        <v>186</v>
      </c>
      <c r="AJ11" s="133" t="s">
        <v>191</v>
      </c>
      <c r="AK11" s="133" t="s">
        <v>176</v>
      </c>
      <c r="AL11" s="133" t="s">
        <v>150</v>
      </c>
      <c r="AM11" s="133" t="s">
        <v>183</v>
      </c>
      <c r="AN11" s="133" t="s">
        <v>177</v>
      </c>
      <c r="AO11" s="133" t="s">
        <v>180</v>
      </c>
      <c r="AP11" s="133" t="s">
        <v>151</v>
      </c>
      <c r="AQ11" s="133" t="s">
        <v>144</v>
      </c>
      <c r="AR11" s="133" t="s">
        <v>192</v>
      </c>
      <c r="AS11" s="133" t="s">
        <v>268</v>
      </c>
      <c r="AT11" s="133" t="s">
        <v>269</v>
      </c>
      <c r="AU11" s="133" t="s">
        <v>270</v>
      </c>
      <c r="AV11" s="133" t="s">
        <v>271</v>
      </c>
      <c r="AW11" s="133" t="s">
        <v>209</v>
      </c>
      <c r="AX11" s="43"/>
      <c r="AY11" s="43"/>
      <c r="AZ11" s="43"/>
      <c r="BA11" s="43"/>
      <c r="BB11" s="43"/>
      <c r="BC11" s="43"/>
      <c r="BD11" s="43"/>
      <c r="BE11" s="43"/>
      <c r="BF11" s="43"/>
      <c r="BG11" s="9"/>
    </row>
    <row r="12" spans="1:59">
      <c r="A12" s="2">
        <v>2016</v>
      </c>
      <c r="B12" t="s">
        <v>5</v>
      </c>
      <c r="C12" s="199">
        <f>0.01*$C$47</f>
        <v>0.15555555555555556</v>
      </c>
      <c r="D12" s="199">
        <f>0.01*$C$48</f>
        <v>8.7591240875912413E-2</v>
      </c>
      <c r="E12" s="199">
        <f>0.01*$C$49</f>
        <v>0</v>
      </c>
      <c r="F12" s="199">
        <f>0.01*$C$50</f>
        <v>0</v>
      </c>
      <c r="G12" s="199">
        <f>0.01*$C$51</f>
        <v>0</v>
      </c>
      <c r="H12" s="199">
        <f>0.01*$C$52</f>
        <v>0.18072289156626506</v>
      </c>
      <c r="I12" s="199">
        <f>0.01*$C$53</f>
        <v>0.22671804752729607</v>
      </c>
      <c r="J12" s="199">
        <f>0.01*$C$54</f>
        <v>0</v>
      </c>
      <c r="K12" s="199">
        <f>0.01*$C$55</f>
        <v>0</v>
      </c>
      <c r="L12" s="199">
        <f>0.01*$C$56</f>
        <v>0</v>
      </c>
      <c r="M12" s="199">
        <f>0.01*$C$57</f>
        <v>0.16528925619834714</v>
      </c>
      <c r="N12" s="199">
        <f>0.01*$C$58</f>
        <v>0.24444444444444444</v>
      </c>
      <c r="O12" s="199">
        <f>0.01*$C$59</f>
        <v>0.10204081632653061</v>
      </c>
      <c r="P12" s="199">
        <f>0.01*$C$60</f>
        <v>0</v>
      </c>
      <c r="Q12" s="199">
        <f>0.01*$C$61</f>
        <v>0.23333333333333334</v>
      </c>
      <c r="R12" s="199">
        <f>0.01*$C$62</f>
        <v>0.17117117117117117</v>
      </c>
      <c r="S12" s="199">
        <f>0.01*$C$63</f>
        <v>0.16153846153846155</v>
      </c>
      <c r="T12" s="199">
        <f>0.01*$C$64</f>
        <v>0</v>
      </c>
      <c r="U12" s="199">
        <f>0.01*$C$65</f>
        <v>0</v>
      </c>
      <c r="V12" s="199">
        <f>0.01*$C$66</f>
        <v>0.23622047244094491</v>
      </c>
      <c r="W12" s="199">
        <f>0.01*$C$67</f>
        <v>0</v>
      </c>
      <c r="X12" s="199">
        <f>0.01*$C$68</f>
        <v>0.17475728155339806</v>
      </c>
      <c r="Y12" s="199">
        <f>0.01*$C$69</f>
        <v>0.13043478260869565</v>
      </c>
      <c r="Z12" s="199">
        <f>0.01*$C$70</f>
        <v>0.17256637168141592</v>
      </c>
      <c r="AA12" s="199">
        <f>0.01*$C$71</f>
        <v>0</v>
      </c>
      <c r="AB12" s="199">
        <f>0.01*$C$72</f>
        <v>0.12612612612612611</v>
      </c>
      <c r="AC12" s="199">
        <f>0.01*$C$73</f>
        <v>0</v>
      </c>
      <c r="AD12" s="199">
        <f>0.01*$C$74</f>
        <v>0</v>
      </c>
      <c r="AE12" s="199">
        <f>0.01*$C$75</f>
        <v>0</v>
      </c>
      <c r="AF12" s="199">
        <f>0.01*$C$76</f>
        <v>0.12</v>
      </c>
      <c r="AG12" s="199">
        <f>0.01*$C$77</f>
        <v>0</v>
      </c>
      <c r="AH12" s="199">
        <f>0.01*$C$78</f>
        <v>8.8888888888888892E-2</v>
      </c>
      <c r="AI12" s="199">
        <f>0.01*$C$79</f>
        <v>0</v>
      </c>
      <c r="AJ12" s="199">
        <f>0.01*$C$80</f>
        <v>0.1965065502183406</v>
      </c>
      <c r="AK12" s="199">
        <f>0.01*$C$81</f>
        <v>0</v>
      </c>
      <c r="AL12" s="199">
        <f>0.01*$C$82</f>
        <v>0.20707070707070707</v>
      </c>
      <c r="AM12" s="199">
        <f>0.01*$C$83</f>
        <v>0</v>
      </c>
      <c r="AN12" s="199">
        <f>0.01*$C$84</f>
        <v>8.3333333333333329E-2</v>
      </c>
      <c r="AO12" s="199">
        <f>0.01*$C$85</f>
        <v>0</v>
      </c>
      <c r="AP12" s="199">
        <f>0.01*$C$86</f>
        <v>0.24</v>
      </c>
      <c r="AQ12" s="199">
        <f>0.01*$C$87</f>
        <v>0</v>
      </c>
      <c r="AR12" s="199">
        <f>0.01*$C$88</f>
        <v>0</v>
      </c>
      <c r="AS12" s="199">
        <f>0.01*$C$90</f>
        <v>0.21147715196599362</v>
      </c>
      <c r="AT12" s="199">
        <f>0.01*$C$91</f>
        <v>0.20618955512572534</v>
      </c>
      <c r="AU12" s="199">
        <f>0.01*$C$92</f>
        <v>0.14723926380368099</v>
      </c>
      <c r="AV12" s="199">
        <f>0.01*$C$93</f>
        <v>0.19761273209549071</v>
      </c>
      <c r="AW12" s="199">
        <f>0.01*$C$94</f>
        <v>0.19460465116279069</v>
      </c>
      <c r="AX12" s="174"/>
      <c r="AY12" s="174"/>
      <c r="AZ12" s="174"/>
      <c r="BA12" s="174"/>
      <c r="BB12" s="174"/>
      <c r="BC12" s="174"/>
      <c r="BD12" s="174"/>
      <c r="BE12" s="174"/>
      <c r="BF12" s="174"/>
      <c r="BG12" s="9"/>
    </row>
    <row r="13" spans="1:59">
      <c r="A13">
        <v>2016</v>
      </c>
      <c r="B13" t="s">
        <v>6</v>
      </c>
      <c r="C13" s="199">
        <f>0.01*$D$47</f>
        <v>0.12790697674418605</v>
      </c>
      <c r="D13" s="199">
        <f>0.01*$D$48</f>
        <v>0.10526315789473684</v>
      </c>
      <c r="E13" s="199">
        <f>0.01*$D$49</f>
        <v>0</v>
      </c>
      <c r="F13" s="199">
        <f>0.01*$D$50</f>
        <v>0</v>
      </c>
      <c r="G13" s="199">
        <f>0.01*$D$51</f>
        <v>0</v>
      </c>
      <c r="H13" s="199">
        <f>0.01*$D$52</f>
        <v>5.9405940594059403E-2</v>
      </c>
      <c r="I13" s="199">
        <f>0.01*$D$53</f>
        <v>0.16026490066225166</v>
      </c>
      <c r="J13" s="199">
        <f>0.01*$D$54</f>
        <v>0</v>
      </c>
      <c r="K13" s="199">
        <f>0.01*$D$55</f>
        <v>0</v>
      </c>
      <c r="L13" s="199">
        <f>0.01*$D$56</f>
        <v>0</v>
      </c>
      <c r="M13" s="199">
        <f>0.01*$D$57</f>
        <v>0.2030075187969925</v>
      </c>
      <c r="N13" s="199">
        <f>0.01*$D$58</f>
        <v>0.12925170068027211</v>
      </c>
      <c r="O13" s="199">
        <f>0.01*$D$59</f>
        <v>0.14906832298136646</v>
      </c>
      <c r="P13" s="199">
        <f>0.01*$D$60</f>
        <v>0</v>
      </c>
      <c r="Q13" s="199">
        <f>0.01*$D$61</f>
        <v>0.10638297872340426</v>
      </c>
      <c r="R13" s="199">
        <f>0.01*$D$62</f>
        <v>9.5890410958904104E-2</v>
      </c>
      <c r="S13" s="199">
        <f>0.01*$D$63</f>
        <v>0.18320610687022901</v>
      </c>
      <c r="T13" s="199">
        <f>0.01*$D$64</f>
        <v>0</v>
      </c>
      <c r="U13" s="199">
        <f>0.01*$D$65</f>
        <v>0</v>
      </c>
      <c r="V13" s="199">
        <f>0.01*$D$66</f>
        <v>0.13868613138686131</v>
      </c>
      <c r="W13" s="199">
        <f>0.01*$D$67</f>
        <v>0</v>
      </c>
      <c r="X13" s="199">
        <f>0.01*$D$68</f>
        <v>0.26</v>
      </c>
      <c r="Y13" s="199">
        <f>0.01*$D$69</f>
        <v>0.13698630136986301</v>
      </c>
      <c r="Z13" s="199">
        <f>0.01*$D$70</f>
        <v>0.13775510204081631</v>
      </c>
      <c r="AA13" s="199">
        <f>0.01*$D$71</f>
        <v>0</v>
      </c>
      <c r="AB13" s="199">
        <f>0.01*$D$72</f>
        <v>0.11650485436893204</v>
      </c>
      <c r="AC13" s="199">
        <f>0.01*$D$73</f>
        <v>0</v>
      </c>
      <c r="AD13" s="199">
        <f>0.01*$D$74</f>
        <v>0</v>
      </c>
      <c r="AE13" s="199">
        <f>0.01*$D$75</f>
        <v>0</v>
      </c>
      <c r="AF13" s="199">
        <f>0.01*$D$76</f>
        <v>3.9215686274509803E-2</v>
      </c>
      <c r="AG13" s="199">
        <f>0.01*$D$77</f>
        <v>0</v>
      </c>
      <c r="AH13" s="199">
        <f>0.01*$D$78</f>
        <v>8.8888888888888892E-2</v>
      </c>
      <c r="AI13" s="199">
        <f>0.01*$D$79</f>
        <v>0</v>
      </c>
      <c r="AJ13" s="199">
        <f>0.01*$D$80</f>
        <v>8.2417582417582416E-2</v>
      </c>
      <c r="AK13" s="199">
        <f>0.01*$D$81</f>
        <v>0</v>
      </c>
      <c r="AL13" s="199">
        <f>0.01*$D$82</f>
        <v>0.14925373134328357</v>
      </c>
      <c r="AM13" s="199">
        <f>0.01*$D$83</f>
        <v>0</v>
      </c>
      <c r="AN13" s="199">
        <f>0.01*$D$84</f>
        <v>5.3571428571428568E-2</v>
      </c>
      <c r="AO13" s="199">
        <f>0.01*$D$85</f>
        <v>0</v>
      </c>
      <c r="AP13" s="199">
        <f>0.01*$D$86</f>
        <v>8.8495575221238937E-2</v>
      </c>
      <c r="AQ13" s="199">
        <f>0.01*$D$87</f>
        <v>0</v>
      </c>
      <c r="AR13" s="199">
        <f>0.01*$D$88</f>
        <v>0</v>
      </c>
      <c r="AS13" s="199">
        <f>0.01*$D$90</f>
        <v>9.8203592814371257E-2</v>
      </c>
      <c r="AT13" s="199">
        <f>0.01*$D$91</f>
        <v>0.15378517637732858</v>
      </c>
      <c r="AU13" s="199">
        <f>0.01*$D$92</f>
        <v>0.10278372591006424</v>
      </c>
      <c r="AV13" s="199">
        <f>0.01*$D$93</f>
        <v>0.15374507227332457</v>
      </c>
      <c r="AW13" s="199">
        <f>0.01*$D$94</f>
        <v>0.13452655889145496</v>
      </c>
      <c r="AX13" s="174"/>
      <c r="AY13" s="174"/>
      <c r="AZ13" s="174"/>
      <c r="BA13" s="174"/>
      <c r="BB13" s="174"/>
      <c r="BC13" s="174"/>
      <c r="BD13" s="174"/>
      <c r="BE13" s="174"/>
      <c r="BF13" s="174"/>
      <c r="BG13" s="9"/>
    </row>
    <row r="14" spans="1:59">
      <c r="A14" s="2">
        <v>2016</v>
      </c>
      <c r="B14" t="s">
        <v>42</v>
      </c>
      <c r="C14" s="199">
        <f>0.01*$E$47</f>
        <v>0.14207650273224043</v>
      </c>
      <c r="D14" s="199">
        <f>0.01*$E$48</f>
        <v>0.10108303249097472</v>
      </c>
      <c r="E14" s="199">
        <f>0.01*$E$49</f>
        <v>0.14545454545454545</v>
      </c>
      <c r="F14" s="199">
        <f>0.01*$E$50</f>
        <v>0.125</v>
      </c>
      <c r="G14" s="199">
        <f>0.01*$E$51</f>
        <v>0.20779220779220781</v>
      </c>
      <c r="H14" s="199">
        <f>0.01*$E$52</f>
        <v>0.11351351351351353</v>
      </c>
      <c r="I14" s="199">
        <f>0.01*$E$53</f>
        <v>0.19814932992980219</v>
      </c>
      <c r="J14" s="199">
        <f>0.01*$E$54</f>
        <v>0.14606741573033707</v>
      </c>
      <c r="K14" s="199">
        <f>0.01*$E$55</f>
        <v>4.6875E-2</v>
      </c>
      <c r="L14" s="199">
        <f>0.01*$E$56</f>
        <v>0.14754098360655737</v>
      </c>
      <c r="M14" s="199">
        <f>0.01*$E$57</f>
        <v>0.1875</v>
      </c>
      <c r="N14" s="199">
        <f>0.01*$E$58</f>
        <v>0.19696969696969696</v>
      </c>
      <c r="O14" s="199">
        <f>0.01*$E$59</f>
        <v>0.12460063897763578</v>
      </c>
      <c r="P14" s="199">
        <f>0.01*$E$60</f>
        <v>0.16393442622950818</v>
      </c>
      <c r="Q14" s="199">
        <f>0.01*$E$61</f>
        <v>0.1875</v>
      </c>
      <c r="R14" s="199">
        <f>0.01*$E$62</f>
        <v>0.14285714285714285</v>
      </c>
      <c r="S14" s="199">
        <f>0.01*$E$63</f>
        <v>0.17293233082706766</v>
      </c>
      <c r="T14" s="199">
        <f>0.01*$E$64</f>
        <v>8.771929824561403E-2</v>
      </c>
      <c r="U14" s="199">
        <f>0.01*$E$65</f>
        <v>8.6956521739130432E-2</v>
      </c>
      <c r="V14" s="199">
        <f>0.01*$E$66</f>
        <v>0.18283582089552242</v>
      </c>
      <c r="W14" s="199">
        <f>0.01*$E$67</f>
        <v>0.11827956989247312</v>
      </c>
      <c r="X14" s="199">
        <f>0.01*$E$68</f>
        <v>0.22009569377990432</v>
      </c>
      <c r="Y14" s="199">
        <f>0.01*$E$69</f>
        <v>0.13194444444444445</v>
      </c>
      <c r="Z14" s="199">
        <f>0.01*$E$70</f>
        <v>0.15456674473067916</v>
      </c>
      <c r="AA14" s="199">
        <f>0.01*$E$71</f>
        <v>0.13793103448275862</v>
      </c>
      <c r="AB14" s="199">
        <f>0.01*$E$72</f>
        <v>0.12093023255813953</v>
      </c>
      <c r="AC14" s="199">
        <f>0.01*$E$73</f>
        <v>5.7142857142857148E-2</v>
      </c>
      <c r="AD14" s="199">
        <f>0.01*$E$74</f>
        <v>0.15492957746478872</v>
      </c>
      <c r="AE14" s="199">
        <f>0.01*$E$75</f>
        <v>0.17241379310344829</v>
      </c>
      <c r="AF14" s="199">
        <f>0.01*$E$76</f>
        <v>7.9207920792079209E-2</v>
      </c>
      <c r="AG14" s="199">
        <f>0.01*$E$77</f>
        <v>9.2105263157894732E-2</v>
      </c>
      <c r="AH14" s="199">
        <f>0.01*$E$78</f>
        <v>8.7912087912087919E-2</v>
      </c>
      <c r="AI14" s="199">
        <f>0.01*$E$79</f>
        <v>0.18085106382978727</v>
      </c>
      <c r="AJ14" s="199">
        <f>0.01*$E$80</f>
        <v>0.15238095238095239</v>
      </c>
      <c r="AK14" s="199">
        <f>0.01*$E$81</f>
        <v>0.15</v>
      </c>
      <c r="AL14" s="199">
        <f>0.01*$E$82</f>
        <v>0.17936117936117937</v>
      </c>
      <c r="AM14" s="199">
        <f>0.01*$E$83</f>
        <v>0.1111111111111111</v>
      </c>
      <c r="AN14" s="199">
        <f>0.01*$E$84</f>
        <v>6.9767441860465115E-2</v>
      </c>
      <c r="AO14" s="199">
        <f>0.01*$E$85</f>
        <v>0.11224489795918369</v>
      </c>
      <c r="AP14" s="199">
        <f>0.01*$E$86</f>
        <v>0.17358490566037735</v>
      </c>
      <c r="AQ14" s="199">
        <f>0.01*$E$87</f>
        <v>0.25974025974025972</v>
      </c>
      <c r="AR14" s="199">
        <f>0.01*$E$88</f>
        <v>0.14606741573033707</v>
      </c>
      <c r="AS14" s="199">
        <f>0.01*$E$90</f>
        <v>0.16004415011037529</v>
      </c>
      <c r="AT14" s="199">
        <f>0.01*$E$91</f>
        <v>0.18338768463456742</v>
      </c>
      <c r="AU14" s="199">
        <f>0.01*$E$92</f>
        <v>0.12480660134089737</v>
      </c>
      <c r="AV14" s="199">
        <f>0.01*$E$93</f>
        <v>0.17585983127839069</v>
      </c>
      <c r="AW14" s="199">
        <f>0.01*$E$94</f>
        <v>0.16683687679881165</v>
      </c>
      <c r="AX14" s="174"/>
      <c r="AY14" s="174"/>
      <c r="AZ14" s="174"/>
      <c r="BA14" s="174"/>
      <c r="BB14" s="174"/>
      <c r="BC14" s="174"/>
      <c r="BD14" s="174"/>
      <c r="BE14" s="174"/>
      <c r="BF14" s="174"/>
      <c r="BG14" s="9"/>
    </row>
    <row r="15" spans="1:59">
      <c r="A15">
        <v>2017</v>
      </c>
      <c r="B15" t="s">
        <v>5</v>
      </c>
      <c r="C15" s="199" t="e">
        <f>0.01*$F$47</f>
        <v>#DIV/0!</v>
      </c>
      <c r="D15" s="199" t="e">
        <f>0.01*$F$48</f>
        <v>#DIV/0!</v>
      </c>
      <c r="E15" s="199" t="e">
        <f>0.01*$F$49</f>
        <v>#DIV/0!</v>
      </c>
      <c r="F15" s="199" t="e">
        <f>0.01*$F$50</f>
        <v>#DIV/0!</v>
      </c>
      <c r="G15" s="199" t="e">
        <f>0.01*$F$51</f>
        <v>#DIV/0!</v>
      </c>
      <c r="H15" s="199" t="e">
        <f>0.01*$F$52</f>
        <v>#DIV/0!</v>
      </c>
      <c r="I15" s="199" t="e">
        <f>0.01*$F$53</f>
        <v>#DIV/0!</v>
      </c>
      <c r="J15" s="199" t="e">
        <f>0.01*$F$54</f>
        <v>#DIV/0!</v>
      </c>
      <c r="K15" s="199" t="e">
        <f>0.01*$F$55</f>
        <v>#DIV/0!</v>
      </c>
      <c r="L15" s="199" t="e">
        <f>0.01*$F$56</f>
        <v>#DIV/0!</v>
      </c>
      <c r="M15" s="199" t="e">
        <f>0.01*$F$57</f>
        <v>#DIV/0!</v>
      </c>
      <c r="N15" s="199" t="e">
        <f>0.01*$F$58</f>
        <v>#DIV/0!</v>
      </c>
      <c r="O15" s="199" t="e">
        <f>0.01*$F$59</f>
        <v>#DIV/0!</v>
      </c>
      <c r="P15" s="199" t="e">
        <f>0.01*$F$60</f>
        <v>#DIV/0!</v>
      </c>
      <c r="Q15" s="199" t="e">
        <f>0.01*$F$61</f>
        <v>#DIV/0!</v>
      </c>
      <c r="R15" s="199" t="e">
        <f>0.01*$F$62</f>
        <v>#DIV/0!</v>
      </c>
      <c r="S15" s="199" t="e">
        <f>0.01*$F$63</f>
        <v>#DIV/0!</v>
      </c>
      <c r="T15" s="199" t="e">
        <f>0.01*$F$64</f>
        <v>#DIV/0!</v>
      </c>
      <c r="U15" s="199" t="e">
        <f>0.01*$F$65</f>
        <v>#DIV/0!</v>
      </c>
      <c r="V15" s="199" t="e">
        <f>0.01*$F$66</f>
        <v>#DIV/0!</v>
      </c>
      <c r="W15" s="199" t="e">
        <f>0.01*$F$67</f>
        <v>#DIV/0!</v>
      </c>
      <c r="X15" s="199" t="e">
        <f>0.01*$F$68</f>
        <v>#DIV/0!</v>
      </c>
      <c r="Y15" s="199" t="e">
        <f>0.01*$F$69</f>
        <v>#DIV/0!</v>
      </c>
      <c r="Z15" s="199" t="e">
        <f>0.01*$F$70</f>
        <v>#DIV/0!</v>
      </c>
      <c r="AA15" s="199" t="e">
        <f>0.01*$F$71</f>
        <v>#DIV/0!</v>
      </c>
      <c r="AB15" s="199" t="e">
        <f>0.01*$F$72</f>
        <v>#DIV/0!</v>
      </c>
      <c r="AC15" s="199" t="e">
        <f>0.01*$F$73</f>
        <v>#DIV/0!</v>
      </c>
      <c r="AD15" s="199" t="e">
        <f>0.01*$F$74</f>
        <v>#DIV/0!</v>
      </c>
      <c r="AE15" s="199" t="e">
        <f>0.01*$F$75</f>
        <v>#DIV/0!</v>
      </c>
      <c r="AF15" s="199" t="e">
        <f>0.01*$F$76</f>
        <v>#DIV/0!</v>
      </c>
      <c r="AG15" s="199" t="e">
        <f>0.01*$F$77</f>
        <v>#DIV/0!</v>
      </c>
      <c r="AH15" s="199" t="e">
        <f>0.01*$F$78</f>
        <v>#DIV/0!</v>
      </c>
      <c r="AI15" s="199" t="e">
        <f>0.01*$F$79</f>
        <v>#DIV/0!</v>
      </c>
      <c r="AJ15" s="199" t="e">
        <f>0.01*$F$80</f>
        <v>#DIV/0!</v>
      </c>
      <c r="AK15" s="199" t="e">
        <f>0.01*$F$81</f>
        <v>#DIV/0!</v>
      </c>
      <c r="AL15" s="199" t="e">
        <f>0.01*$F$82</f>
        <v>#DIV/0!</v>
      </c>
      <c r="AM15" s="199" t="e">
        <f>0.01*$F$83</f>
        <v>#DIV/0!</v>
      </c>
      <c r="AN15" s="199" t="e">
        <f>0.01*$F$84</f>
        <v>#DIV/0!</v>
      </c>
      <c r="AO15" s="199" t="e">
        <f>0.01*$F$85</f>
        <v>#DIV/0!</v>
      </c>
      <c r="AP15" s="199" t="e">
        <f>0.01*$F$86</f>
        <v>#DIV/0!</v>
      </c>
      <c r="AQ15" s="199" t="e">
        <f>0.01*$F$87</f>
        <v>#DIV/0!</v>
      </c>
      <c r="AR15" s="199" t="e">
        <f>0.01*$F$88</f>
        <v>#DIV/0!</v>
      </c>
      <c r="AS15" s="199" t="e">
        <f>0.01*$F$90</f>
        <v>#DIV/0!</v>
      </c>
      <c r="AT15" s="199" t="e">
        <f>0.01*$F$91</f>
        <v>#DIV/0!</v>
      </c>
      <c r="AU15" s="199" t="e">
        <f>0.01*$F$92</f>
        <v>#DIV/0!</v>
      </c>
      <c r="AV15" s="199" t="e">
        <f>0.01*$F$93</f>
        <v>#DIV/0!</v>
      </c>
      <c r="AW15" s="199" t="e">
        <f>0.01*$F$94</f>
        <v>#DIV/0!</v>
      </c>
      <c r="AX15" s="174"/>
      <c r="AY15" s="174"/>
      <c r="AZ15" s="174"/>
      <c r="BA15" s="174"/>
      <c r="BB15" s="174"/>
      <c r="BC15" s="174"/>
      <c r="BD15" s="174"/>
      <c r="BE15" s="174"/>
      <c r="BF15" s="174"/>
      <c r="BG15" s="9"/>
    </row>
    <row r="16" spans="1:59">
      <c r="A16" s="2">
        <v>2017</v>
      </c>
      <c r="B16" t="s">
        <v>6</v>
      </c>
      <c r="C16" s="199" t="e">
        <f>0.01*$G$47</f>
        <v>#DIV/0!</v>
      </c>
      <c r="D16" s="199" t="e">
        <f>0.01*$G$48</f>
        <v>#DIV/0!</v>
      </c>
      <c r="E16" s="199" t="e">
        <f>0.01*$G$49</f>
        <v>#DIV/0!</v>
      </c>
      <c r="F16" s="199" t="e">
        <f>0.01*$G$50</f>
        <v>#DIV/0!</v>
      </c>
      <c r="G16" s="199" t="e">
        <f>0.01*$G$51</f>
        <v>#DIV/0!</v>
      </c>
      <c r="H16" s="199" t="e">
        <f>0.01*$G$52</f>
        <v>#DIV/0!</v>
      </c>
      <c r="I16" s="199" t="e">
        <f>0.01*$G$53</f>
        <v>#DIV/0!</v>
      </c>
      <c r="J16" s="199" t="e">
        <f>0.01*$G$54</f>
        <v>#DIV/0!</v>
      </c>
      <c r="K16" s="199" t="e">
        <f>0.01*$G$55</f>
        <v>#DIV/0!</v>
      </c>
      <c r="L16" s="199" t="e">
        <f>0.01*$G$56</f>
        <v>#DIV/0!</v>
      </c>
      <c r="M16" s="199" t="e">
        <f>0.01*$G$57</f>
        <v>#DIV/0!</v>
      </c>
      <c r="N16" s="199" t="e">
        <f>0.01*$G$58</f>
        <v>#DIV/0!</v>
      </c>
      <c r="O16" s="199" t="e">
        <f>0.01*$G$59</f>
        <v>#DIV/0!</v>
      </c>
      <c r="P16" s="199" t="e">
        <f>0.01*$G$60</f>
        <v>#DIV/0!</v>
      </c>
      <c r="Q16" s="199" t="e">
        <f>0.01*$G$61</f>
        <v>#DIV/0!</v>
      </c>
      <c r="R16" s="199" t="e">
        <f>0.01*$G$62</f>
        <v>#DIV/0!</v>
      </c>
      <c r="S16" s="199" t="e">
        <f>0.01*$G$63</f>
        <v>#DIV/0!</v>
      </c>
      <c r="T16" s="199" t="e">
        <f>0.01*$G$64</f>
        <v>#DIV/0!</v>
      </c>
      <c r="U16" s="199" t="e">
        <f>0.01*$G$65</f>
        <v>#DIV/0!</v>
      </c>
      <c r="V16" s="199" t="e">
        <f>0.01*$G$66</f>
        <v>#DIV/0!</v>
      </c>
      <c r="W16" s="199" t="e">
        <f>0.01*$G$67</f>
        <v>#DIV/0!</v>
      </c>
      <c r="X16" s="199" t="e">
        <f>0.01*$G$68</f>
        <v>#DIV/0!</v>
      </c>
      <c r="Y16" s="199" t="e">
        <f>0.01*$G$69</f>
        <v>#DIV/0!</v>
      </c>
      <c r="Z16" s="199" t="e">
        <f>0.01*$G$70</f>
        <v>#DIV/0!</v>
      </c>
      <c r="AA16" s="199" t="e">
        <f>0.01*$G$71</f>
        <v>#DIV/0!</v>
      </c>
      <c r="AB16" s="199" t="e">
        <f>0.01*$G$72</f>
        <v>#DIV/0!</v>
      </c>
      <c r="AC16" s="199" t="e">
        <f>0.01*$G$73</f>
        <v>#DIV/0!</v>
      </c>
      <c r="AD16" s="199" t="e">
        <f>0.01*$G$74</f>
        <v>#DIV/0!</v>
      </c>
      <c r="AE16" s="199" t="e">
        <f>0.01*$G$75</f>
        <v>#DIV/0!</v>
      </c>
      <c r="AF16" s="199" t="e">
        <f>0.01*$G$76</f>
        <v>#DIV/0!</v>
      </c>
      <c r="AG16" s="199" t="e">
        <f>0.01*$G$77</f>
        <v>#DIV/0!</v>
      </c>
      <c r="AH16" s="199" t="e">
        <f>0.01*$G$78</f>
        <v>#DIV/0!</v>
      </c>
      <c r="AI16" s="199" t="e">
        <f>0.01*$G$79</f>
        <v>#DIV/0!</v>
      </c>
      <c r="AJ16" s="199" t="e">
        <f>0.01*$G$80</f>
        <v>#DIV/0!</v>
      </c>
      <c r="AK16" s="199" t="e">
        <f>0.01*$G$81</f>
        <v>#DIV/0!</v>
      </c>
      <c r="AL16" s="199" t="e">
        <f>0.01*$G$82</f>
        <v>#DIV/0!</v>
      </c>
      <c r="AM16" s="199" t="e">
        <f>0.01*$G$83</f>
        <v>#DIV/0!</v>
      </c>
      <c r="AN16" s="199" t="e">
        <f>0.01*$G$84</f>
        <v>#DIV/0!</v>
      </c>
      <c r="AO16" s="199" t="e">
        <f>0.01*$G$85</f>
        <v>#DIV/0!</v>
      </c>
      <c r="AP16" s="199" t="e">
        <f>0.01*$G$86</f>
        <v>#DIV/0!</v>
      </c>
      <c r="AQ16" s="199" t="e">
        <f>0.01*$G$87</f>
        <v>#DIV/0!</v>
      </c>
      <c r="AR16" s="199" t="e">
        <f>0.01*$G$88</f>
        <v>#DIV/0!</v>
      </c>
      <c r="AS16" s="199" t="e">
        <f>0.01*$G$90</f>
        <v>#DIV/0!</v>
      </c>
      <c r="AT16" s="199" t="e">
        <f>0.01*$G$91</f>
        <v>#DIV/0!</v>
      </c>
      <c r="AU16" s="199" t="e">
        <f>0.01*$G$92</f>
        <v>#DIV/0!</v>
      </c>
      <c r="AV16" s="199" t="e">
        <f>0.01*$G$93</f>
        <v>#DIV/0!</v>
      </c>
      <c r="AW16" s="199" t="e">
        <f>0.01*$G$94</f>
        <v>#DIV/0!</v>
      </c>
      <c r="AX16" s="174"/>
      <c r="AY16" s="174"/>
      <c r="AZ16" s="174"/>
      <c r="BA16" s="174"/>
      <c r="BB16" s="174"/>
      <c r="BC16" s="174"/>
      <c r="BD16" s="174"/>
      <c r="BE16" s="174"/>
      <c r="BF16" s="174"/>
      <c r="BG16" s="9"/>
    </row>
    <row r="17" spans="1:59">
      <c r="A17">
        <v>2017</v>
      </c>
      <c r="B17" t="s">
        <v>42</v>
      </c>
      <c r="C17" s="199" t="e">
        <f>0.01*$H$47</f>
        <v>#DIV/0!</v>
      </c>
      <c r="D17" s="199" t="e">
        <f>0.01*$H$48</f>
        <v>#DIV/0!</v>
      </c>
      <c r="E17" s="199" t="e">
        <f>0.01*$H$49</f>
        <v>#DIV/0!</v>
      </c>
      <c r="F17" s="199" t="e">
        <f>0.01*$H$50</f>
        <v>#DIV/0!</v>
      </c>
      <c r="G17" s="199" t="e">
        <f>0.01*$H$51</f>
        <v>#DIV/0!</v>
      </c>
      <c r="H17" s="199" t="e">
        <f>0.01*$H$52</f>
        <v>#DIV/0!</v>
      </c>
      <c r="I17" s="199" t="e">
        <f>0.01*$H$53</f>
        <v>#DIV/0!</v>
      </c>
      <c r="J17" s="199" t="e">
        <f>0.01*$H$54</f>
        <v>#DIV/0!</v>
      </c>
      <c r="K17" s="199" t="e">
        <f>0.01*$H$55</f>
        <v>#DIV/0!</v>
      </c>
      <c r="L17" s="199" t="e">
        <f>0.01*$H$56</f>
        <v>#DIV/0!</v>
      </c>
      <c r="M17" s="199" t="e">
        <f>0.01*$H$57</f>
        <v>#DIV/0!</v>
      </c>
      <c r="N17" s="199" t="e">
        <f>0.01*$H$58</f>
        <v>#DIV/0!</v>
      </c>
      <c r="O17" s="199" t="e">
        <f>0.01*$H$59</f>
        <v>#DIV/0!</v>
      </c>
      <c r="P17" s="199" t="e">
        <f>0.01*$H$60</f>
        <v>#DIV/0!</v>
      </c>
      <c r="Q17" s="199" t="e">
        <f>0.01*$H$61</f>
        <v>#DIV/0!</v>
      </c>
      <c r="R17" s="199" t="e">
        <f>0.01*$H$62</f>
        <v>#DIV/0!</v>
      </c>
      <c r="S17" s="199" t="e">
        <f>0.01*$H$63</f>
        <v>#DIV/0!</v>
      </c>
      <c r="T17" s="199" t="e">
        <f>0.01*$H$64</f>
        <v>#DIV/0!</v>
      </c>
      <c r="U17" s="199" t="e">
        <f>0.01*$H$65</f>
        <v>#DIV/0!</v>
      </c>
      <c r="V17" s="199" t="e">
        <f>0.01*$H$66</f>
        <v>#DIV/0!</v>
      </c>
      <c r="W17" s="199" t="e">
        <f>0.01*$H$67</f>
        <v>#DIV/0!</v>
      </c>
      <c r="X17" s="199" t="e">
        <f>0.01*$H$68</f>
        <v>#DIV/0!</v>
      </c>
      <c r="Y17" s="199" t="e">
        <f>0.01*$H$69</f>
        <v>#DIV/0!</v>
      </c>
      <c r="Z17" s="199" t="e">
        <f>0.01*$H$70</f>
        <v>#DIV/0!</v>
      </c>
      <c r="AA17" s="199" t="e">
        <f>0.01*$H$71</f>
        <v>#DIV/0!</v>
      </c>
      <c r="AB17" s="199" t="e">
        <f>0.01*$H$72</f>
        <v>#DIV/0!</v>
      </c>
      <c r="AC17" s="199" t="e">
        <f>0.01*$H$73</f>
        <v>#DIV/0!</v>
      </c>
      <c r="AD17" s="199" t="e">
        <f>0.01*$H$74</f>
        <v>#DIV/0!</v>
      </c>
      <c r="AE17" s="199" t="e">
        <f>0.01*$H$75</f>
        <v>#DIV/0!</v>
      </c>
      <c r="AF17" s="199" t="e">
        <f>0.01*$H$76</f>
        <v>#DIV/0!</v>
      </c>
      <c r="AG17" s="199" t="e">
        <f>0.01*$H$77</f>
        <v>#DIV/0!</v>
      </c>
      <c r="AH17" s="199" t="e">
        <f>0.01*$H$78</f>
        <v>#DIV/0!</v>
      </c>
      <c r="AI17" s="199" t="e">
        <f>0.01*$H$79</f>
        <v>#DIV/0!</v>
      </c>
      <c r="AJ17" s="199" t="e">
        <f>0.01*$H$80</f>
        <v>#DIV/0!</v>
      </c>
      <c r="AK17" s="199" t="e">
        <f>0.01*$H$81</f>
        <v>#DIV/0!</v>
      </c>
      <c r="AL17" s="199" t="e">
        <f>0.01*$H$82</f>
        <v>#DIV/0!</v>
      </c>
      <c r="AM17" s="199" t="e">
        <f>0.01*$H$83</f>
        <v>#DIV/0!</v>
      </c>
      <c r="AN17" s="199" t="e">
        <f>0.01*$H$84</f>
        <v>#DIV/0!</v>
      </c>
      <c r="AO17" s="199" t="e">
        <f>0.01*$H$85</f>
        <v>#DIV/0!</v>
      </c>
      <c r="AP17" s="199" t="e">
        <f>0.01*$H$86</f>
        <v>#DIV/0!</v>
      </c>
      <c r="AQ17" s="199" t="e">
        <f>0.01*$H$87</f>
        <v>#DIV/0!</v>
      </c>
      <c r="AR17" s="199" t="e">
        <f>0.01*$H$88</f>
        <v>#DIV/0!</v>
      </c>
      <c r="AS17" s="199" t="e">
        <f>0.01*$H$90</f>
        <v>#DIV/0!</v>
      </c>
      <c r="AT17" s="199" t="e">
        <f>0.01*$H$91</f>
        <v>#DIV/0!</v>
      </c>
      <c r="AU17" s="199" t="e">
        <f>0.01*$H$92</f>
        <v>#DIV/0!</v>
      </c>
      <c r="AV17" s="199" t="e">
        <f>0.01*$H$93</f>
        <v>#DIV/0!</v>
      </c>
      <c r="AW17" s="199" t="e">
        <f>0.01*$H$94</f>
        <v>#DIV/0!</v>
      </c>
      <c r="AX17" s="174"/>
      <c r="AY17" s="174"/>
      <c r="AZ17" s="174"/>
      <c r="BA17" s="174"/>
      <c r="BB17" s="174"/>
      <c r="BC17" s="174"/>
      <c r="BD17" s="174"/>
      <c r="BE17" s="174"/>
      <c r="BF17" s="174"/>
      <c r="BG17" s="9"/>
    </row>
    <row r="18" spans="1:59">
      <c r="A18" s="2">
        <v>2018</v>
      </c>
      <c r="B18" t="s">
        <v>5</v>
      </c>
      <c r="C18" s="199" t="e">
        <f>0.01*$I$47</f>
        <v>#DIV/0!</v>
      </c>
      <c r="D18" s="199" t="e">
        <f>0.01*$I$48</f>
        <v>#DIV/0!</v>
      </c>
      <c r="E18" s="199" t="e">
        <f>0.01*$I$49</f>
        <v>#DIV/0!</v>
      </c>
      <c r="F18" s="199" t="e">
        <f>0.01*$I$50</f>
        <v>#DIV/0!</v>
      </c>
      <c r="G18" s="199" t="e">
        <f>0.01*$I$51</f>
        <v>#DIV/0!</v>
      </c>
      <c r="H18" s="199" t="e">
        <f>0.01*$I$52</f>
        <v>#DIV/0!</v>
      </c>
      <c r="I18" s="199" t="e">
        <f>0.01*$I$53</f>
        <v>#DIV/0!</v>
      </c>
      <c r="J18" s="199" t="e">
        <f>0.01*$I$54</f>
        <v>#DIV/0!</v>
      </c>
      <c r="K18" s="199" t="e">
        <f>0.01*$I$55</f>
        <v>#DIV/0!</v>
      </c>
      <c r="L18" s="199" t="e">
        <f>0.01*$I$56</f>
        <v>#DIV/0!</v>
      </c>
      <c r="M18" s="199" t="e">
        <f>0.01*$I$57</f>
        <v>#DIV/0!</v>
      </c>
      <c r="N18" s="199" t="e">
        <f>0.01*$I$58</f>
        <v>#DIV/0!</v>
      </c>
      <c r="O18" s="199" t="e">
        <f>0.01*$I$59</f>
        <v>#DIV/0!</v>
      </c>
      <c r="P18" s="199" t="e">
        <f>0.01*$I$60</f>
        <v>#DIV/0!</v>
      </c>
      <c r="Q18" s="199" t="e">
        <f>0.01*$I$61</f>
        <v>#DIV/0!</v>
      </c>
      <c r="R18" s="199" t="e">
        <f>0.01*$I$62</f>
        <v>#DIV/0!</v>
      </c>
      <c r="S18" s="199" t="e">
        <f>0.01*$I$63</f>
        <v>#DIV/0!</v>
      </c>
      <c r="T18" s="199" t="e">
        <f>0.01*$I$64</f>
        <v>#DIV/0!</v>
      </c>
      <c r="U18" s="199" t="e">
        <f>0.01*$I$65</f>
        <v>#DIV/0!</v>
      </c>
      <c r="V18" s="199" t="e">
        <f>0.01*$I$66</f>
        <v>#DIV/0!</v>
      </c>
      <c r="W18" s="199" t="e">
        <f>0.01*$I$67</f>
        <v>#DIV/0!</v>
      </c>
      <c r="X18" s="199" t="e">
        <f>0.01*$I$68</f>
        <v>#DIV/0!</v>
      </c>
      <c r="Y18" s="199" t="e">
        <f>0.01*$I$69</f>
        <v>#DIV/0!</v>
      </c>
      <c r="Z18" s="199" t="e">
        <f>0.01*$I$70</f>
        <v>#DIV/0!</v>
      </c>
      <c r="AA18" s="199" t="e">
        <f>0.01*$I$71</f>
        <v>#DIV/0!</v>
      </c>
      <c r="AB18" s="199" t="e">
        <f>0.01*$I$72</f>
        <v>#DIV/0!</v>
      </c>
      <c r="AC18" s="199" t="e">
        <f>0.01*$I$73</f>
        <v>#DIV/0!</v>
      </c>
      <c r="AD18" s="199" t="e">
        <f>0.01*$I$74</f>
        <v>#DIV/0!</v>
      </c>
      <c r="AE18" s="199" t="e">
        <f>0.01*$I$75</f>
        <v>#DIV/0!</v>
      </c>
      <c r="AF18" s="199" t="e">
        <f>0.01*$I$76</f>
        <v>#DIV/0!</v>
      </c>
      <c r="AG18" s="199" t="e">
        <f>0.01*$I$77</f>
        <v>#DIV/0!</v>
      </c>
      <c r="AH18" s="199" t="e">
        <f>0.01*$I$78</f>
        <v>#DIV/0!</v>
      </c>
      <c r="AI18" s="199" t="e">
        <f>0.01*$I$79</f>
        <v>#DIV/0!</v>
      </c>
      <c r="AJ18" s="199" t="e">
        <f>0.01*$I$80</f>
        <v>#DIV/0!</v>
      </c>
      <c r="AK18" s="199" t="e">
        <f>0.01*$I$81</f>
        <v>#DIV/0!</v>
      </c>
      <c r="AL18" s="199" t="e">
        <f>0.01*$I$82</f>
        <v>#DIV/0!</v>
      </c>
      <c r="AM18" s="199" t="e">
        <f>0.01*$I$83</f>
        <v>#DIV/0!</v>
      </c>
      <c r="AN18" s="199" t="e">
        <f>0.01*$I$84</f>
        <v>#DIV/0!</v>
      </c>
      <c r="AO18" s="199" t="e">
        <f>0.01*$I$85</f>
        <v>#DIV/0!</v>
      </c>
      <c r="AP18" s="199" t="e">
        <f>0.01*$I$86</f>
        <v>#DIV/0!</v>
      </c>
      <c r="AQ18" s="199" t="e">
        <f>0.01*$I$87</f>
        <v>#DIV/0!</v>
      </c>
      <c r="AR18" s="199" t="e">
        <f>0.01*$I$88</f>
        <v>#DIV/0!</v>
      </c>
      <c r="AS18" s="199" t="e">
        <f>0.01*$I$90</f>
        <v>#DIV/0!</v>
      </c>
      <c r="AT18" s="199" t="e">
        <f>0.01*$I$91</f>
        <v>#DIV/0!</v>
      </c>
      <c r="AU18" s="199" t="e">
        <f>0.01*$I$92</f>
        <v>#DIV/0!</v>
      </c>
      <c r="AV18" s="199" t="e">
        <f>0.01*$I$93</f>
        <v>#DIV/0!</v>
      </c>
      <c r="AW18" s="199" t="e">
        <f>0.01*$I$94</f>
        <v>#DIV/0!</v>
      </c>
      <c r="AX18" s="174"/>
      <c r="AY18" s="174"/>
      <c r="AZ18" s="174"/>
      <c r="BA18" s="174"/>
      <c r="BB18" s="174"/>
      <c r="BC18" s="174"/>
      <c r="BD18" s="174"/>
      <c r="BE18" s="174"/>
      <c r="BF18" s="174"/>
      <c r="BG18" s="9"/>
    </row>
    <row r="19" spans="1:59">
      <c r="A19">
        <v>2018</v>
      </c>
      <c r="B19" t="s">
        <v>6</v>
      </c>
      <c r="C19" s="199" t="e">
        <f>0.01*$J$47</f>
        <v>#DIV/0!</v>
      </c>
      <c r="D19" s="199" t="e">
        <f>0.01*$J$48</f>
        <v>#DIV/0!</v>
      </c>
      <c r="E19" s="199" t="e">
        <f>0.01*$J$49</f>
        <v>#DIV/0!</v>
      </c>
      <c r="F19" s="199" t="e">
        <f>0.01*$J$50</f>
        <v>#DIV/0!</v>
      </c>
      <c r="G19" s="199" t="e">
        <f>0.01*$J$51</f>
        <v>#DIV/0!</v>
      </c>
      <c r="H19" s="199" t="e">
        <f>0.01*$J$52</f>
        <v>#DIV/0!</v>
      </c>
      <c r="I19" s="199" t="e">
        <f>0.01*$J$53</f>
        <v>#DIV/0!</v>
      </c>
      <c r="J19" s="199" t="e">
        <f>0.01*$J$54</f>
        <v>#DIV/0!</v>
      </c>
      <c r="K19" s="199" t="e">
        <f>0.01*$J$55</f>
        <v>#DIV/0!</v>
      </c>
      <c r="L19" s="199" t="e">
        <f>0.01*$J$56</f>
        <v>#DIV/0!</v>
      </c>
      <c r="M19" s="199" t="e">
        <f>0.01*$J$57</f>
        <v>#DIV/0!</v>
      </c>
      <c r="N19" s="199" t="e">
        <f>0.01*$J$58</f>
        <v>#DIV/0!</v>
      </c>
      <c r="O19" s="199" t="e">
        <f>0.01*$J$59</f>
        <v>#DIV/0!</v>
      </c>
      <c r="P19" s="199" t="e">
        <f>0.01*$J$60</f>
        <v>#DIV/0!</v>
      </c>
      <c r="Q19" s="199" t="e">
        <f>0.01*$J$61</f>
        <v>#DIV/0!</v>
      </c>
      <c r="R19" s="199" t="e">
        <f>0.01*$J$62</f>
        <v>#DIV/0!</v>
      </c>
      <c r="S19" s="199" t="e">
        <f>0.01*$J$63</f>
        <v>#DIV/0!</v>
      </c>
      <c r="T19" s="199" t="e">
        <f>0.01*$J$64</f>
        <v>#DIV/0!</v>
      </c>
      <c r="U19" s="199" t="e">
        <f>0.01*$J$65</f>
        <v>#DIV/0!</v>
      </c>
      <c r="V19" s="199" t="e">
        <f>0.01*$J$66</f>
        <v>#DIV/0!</v>
      </c>
      <c r="W19" s="199" t="e">
        <f>0.01*$J$67</f>
        <v>#DIV/0!</v>
      </c>
      <c r="X19" s="199" t="e">
        <f>0.01*$J$68</f>
        <v>#DIV/0!</v>
      </c>
      <c r="Y19" s="199" t="e">
        <f>0.01*$J$69</f>
        <v>#DIV/0!</v>
      </c>
      <c r="Z19" s="199" t="e">
        <f>0.01*$J$70</f>
        <v>#DIV/0!</v>
      </c>
      <c r="AA19" s="199" t="e">
        <f>0.01*$J$71</f>
        <v>#DIV/0!</v>
      </c>
      <c r="AB19" s="199" t="e">
        <f>0.01*$J$72</f>
        <v>#DIV/0!</v>
      </c>
      <c r="AC19" s="199" t="e">
        <f>0.01*$J$73</f>
        <v>#DIV/0!</v>
      </c>
      <c r="AD19" s="199" t="e">
        <f>0.01*$J$74</f>
        <v>#DIV/0!</v>
      </c>
      <c r="AE19" s="199" t="e">
        <f>0.01*$J$75</f>
        <v>#DIV/0!</v>
      </c>
      <c r="AF19" s="199" t="e">
        <f>0.01*$J$76</f>
        <v>#DIV/0!</v>
      </c>
      <c r="AG19" s="199" t="e">
        <f>0.01*$J$77</f>
        <v>#DIV/0!</v>
      </c>
      <c r="AH19" s="199" t="e">
        <f>0.01*$J$78</f>
        <v>#DIV/0!</v>
      </c>
      <c r="AI19" s="199" t="e">
        <f>0.01*$J$79</f>
        <v>#DIV/0!</v>
      </c>
      <c r="AJ19" s="199" t="e">
        <f>0.01*$J$80</f>
        <v>#DIV/0!</v>
      </c>
      <c r="AK19" s="199" t="e">
        <f>0.01*$J$81</f>
        <v>#DIV/0!</v>
      </c>
      <c r="AL19" s="199" t="e">
        <f>0.01*$J$82</f>
        <v>#DIV/0!</v>
      </c>
      <c r="AM19" s="199" t="e">
        <f>0.01*$J$83</f>
        <v>#DIV/0!</v>
      </c>
      <c r="AN19" s="199" t="e">
        <f>0.01*$J$84</f>
        <v>#DIV/0!</v>
      </c>
      <c r="AO19" s="199" t="e">
        <f>0.01*$J$85</f>
        <v>#DIV/0!</v>
      </c>
      <c r="AP19" s="199" t="e">
        <f>0.01*$J$86</f>
        <v>#DIV/0!</v>
      </c>
      <c r="AQ19" s="199" t="e">
        <f>0.01*$J$87</f>
        <v>#DIV/0!</v>
      </c>
      <c r="AR19" s="199" t="e">
        <f>0.01*$J$88</f>
        <v>#DIV/0!</v>
      </c>
      <c r="AS19" s="199" t="e">
        <f>0.01*$J$90</f>
        <v>#DIV/0!</v>
      </c>
      <c r="AT19" s="199" t="e">
        <f>0.01*$J$91</f>
        <v>#DIV/0!</v>
      </c>
      <c r="AU19" s="199" t="e">
        <f>0.01*$J$92</f>
        <v>#DIV/0!</v>
      </c>
      <c r="AV19" s="199" t="e">
        <f>0.01*$J$93</f>
        <v>#DIV/0!</v>
      </c>
      <c r="AW19" s="199" t="e">
        <f>0.01*$J$94</f>
        <v>#DIV/0!</v>
      </c>
      <c r="AX19" s="174"/>
      <c r="AY19" s="174"/>
      <c r="AZ19" s="174"/>
      <c r="BA19" s="174"/>
      <c r="BB19" s="174"/>
      <c r="BC19" s="174"/>
      <c r="BD19" s="174"/>
      <c r="BE19" s="174"/>
      <c r="BF19" s="174"/>
      <c r="BG19" s="9"/>
    </row>
    <row r="20" spans="1:59">
      <c r="A20" s="2">
        <v>2018</v>
      </c>
      <c r="B20" t="s">
        <v>42</v>
      </c>
      <c r="C20" s="199" t="e">
        <f>0.01*$K$47</f>
        <v>#DIV/0!</v>
      </c>
      <c r="D20" s="199" t="e">
        <f>0.01*$K$48</f>
        <v>#DIV/0!</v>
      </c>
      <c r="E20" s="199" t="e">
        <f>0.01*$K$49</f>
        <v>#DIV/0!</v>
      </c>
      <c r="F20" s="199" t="e">
        <f>0.01*$K$50</f>
        <v>#DIV/0!</v>
      </c>
      <c r="G20" s="199" t="e">
        <f>0.01*$K$51</f>
        <v>#DIV/0!</v>
      </c>
      <c r="H20" s="199" t="e">
        <f>0.01*$K$52</f>
        <v>#DIV/0!</v>
      </c>
      <c r="I20" s="199" t="e">
        <f>0.01*$K$53</f>
        <v>#DIV/0!</v>
      </c>
      <c r="J20" s="199" t="e">
        <f>0.01*$K$54</f>
        <v>#DIV/0!</v>
      </c>
      <c r="K20" s="199" t="e">
        <f>0.01*$K$55</f>
        <v>#DIV/0!</v>
      </c>
      <c r="L20" s="199" t="e">
        <f>0.01*$K$56</f>
        <v>#DIV/0!</v>
      </c>
      <c r="M20" s="199" t="e">
        <f>0.01*$K$57</f>
        <v>#DIV/0!</v>
      </c>
      <c r="N20" s="199" t="e">
        <f>0.01*$K$58</f>
        <v>#DIV/0!</v>
      </c>
      <c r="O20" s="199" t="e">
        <f>0.01*$K$59</f>
        <v>#DIV/0!</v>
      </c>
      <c r="P20" s="199" t="e">
        <f>0.01*$K$60</f>
        <v>#DIV/0!</v>
      </c>
      <c r="Q20" s="199" t="e">
        <f>0.01*$K$61</f>
        <v>#DIV/0!</v>
      </c>
      <c r="R20" s="199" t="e">
        <f>0.01*$K$62</f>
        <v>#DIV/0!</v>
      </c>
      <c r="S20" s="199" t="e">
        <f>0.01*$K$63</f>
        <v>#DIV/0!</v>
      </c>
      <c r="T20" s="199" t="e">
        <f>0.01*$K$64</f>
        <v>#DIV/0!</v>
      </c>
      <c r="U20" s="199" t="e">
        <f>0.01*$K$65</f>
        <v>#DIV/0!</v>
      </c>
      <c r="V20" s="199" t="e">
        <f>0.01*$K$66</f>
        <v>#DIV/0!</v>
      </c>
      <c r="W20" s="199" t="e">
        <f>0.01*$K$67</f>
        <v>#DIV/0!</v>
      </c>
      <c r="X20" s="199" t="e">
        <f>0.01*$K$68</f>
        <v>#DIV/0!</v>
      </c>
      <c r="Y20" s="199" t="e">
        <f>0.01*$K$69</f>
        <v>#DIV/0!</v>
      </c>
      <c r="Z20" s="199" t="e">
        <f>0.01*$K$70</f>
        <v>#DIV/0!</v>
      </c>
      <c r="AA20" s="199" t="e">
        <f>0.01*$K$71</f>
        <v>#DIV/0!</v>
      </c>
      <c r="AB20" s="199" t="e">
        <f>0.01*$K$72</f>
        <v>#DIV/0!</v>
      </c>
      <c r="AC20" s="199" t="e">
        <f>0.01*$K$73</f>
        <v>#DIV/0!</v>
      </c>
      <c r="AD20" s="199" t="e">
        <f>0.01*$K$74</f>
        <v>#DIV/0!</v>
      </c>
      <c r="AE20" s="199" t="e">
        <f>0.01*$K$75</f>
        <v>#DIV/0!</v>
      </c>
      <c r="AF20" s="199" t="e">
        <f>0.01*$K$76</f>
        <v>#DIV/0!</v>
      </c>
      <c r="AG20" s="199" t="e">
        <f>0.01*$K$77</f>
        <v>#DIV/0!</v>
      </c>
      <c r="AH20" s="199" t="e">
        <f>0.01*$K$78</f>
        <v>#DIV/0!</v>
      </c>
      <c r="AI20" s="199" t="e">
        <f>0.01*$K$79</f>
        <v>#DIV/0!</v>
      </c>
      <c r="AJ20" s="199" t="e">
        <f>0.01*$K$80</f>
        <v>#DIV/0!</v>
      </c>
      <c r="AK20" s="199" t="e">
        <f>0.01*$K$81</f>
        <v>#DIV/0!</v>
      </c>
      <c r="AL20" s="199" t="e">
        <f>0.01*$K$82</f>
        <v>#DIV/0!</v>
      </c>
      <c r="AM20" s="199" t="e">
        <f>0.01*$K$83</f>
        <v>#DIV/0!</v>
      </c>
      <c r="AN20" s="199" t="e">
        <f>0.01*$K$84</f>
        <v>#DIV/0!</v>
      </c>
      <c r="AO20" s="199" t="e">
        <f>0.01*$K$85</f>
        <v>#DIV/0!</v>
      </c>
      <c r="AP20" s="199" t="e">
        <f>0.01*$K$86</f>
        <v>#DIV/0!</v>
      </c>
      <c r="AQ20" s="199" t="e">
        <f>0.01*$K$87</f>
        <v>#DIV/0!</v>
      </c>
      <c r="AR20" s="199" t="e">
        <f>0.01*$K$88</f>
        <v>#DIV/0!</v>
      </c>
      <c r="AS20" s="199" t="e">
        <f>0.01*$K$90</f>
        <v>#DIV/0!</v>
      </c>
      <c r="AT20" s="199" t="e">
        <f>0.01*$K$91</f>
        <v>#DIV/0!</v>
      </c>
      <c r="AU20" s="199" t="e">
        <f>0.01*$K$92</f>
        <v>#DIV/0!</v>
      </c>
      <c r="AV20" s="199" t="e">
        <f>0.01*$K$93</f>
        <v>#DIV/0!</v>
      </c>
      <c r="AW20" s="199" t="e">
        <f>0.01*$K$94</f>
        <v>#DIV/0!</v>
      </c>
      <c r="AX20" s="174"/>
      <c r="AY20" s="174"/>
      <c r="AZ20" s="174"/>
      <c r="BA20" s="174"/>
      <c r="BB20" s="174"/>
      <c r="BC20" s="174"/>
      <c r="BD20" s="174"/>
      <c r="BE20" s="174"/>
      <c r="BF20" s="174"/>
      <c r="BG20" s="9"/>
    </row>
    <row r="21" spans="1:59">
      <c r="A21">
        <v>2019</v>
      </c>
      <c r="B21" t="s">
        <v>5</v>
      </c>
      <c r="C21" s="199" t="e">
        <f>0.01*$L$47</f>
        <v>#DIV/0!</v>
      </c>
      <c r="D21" s="199" t="e">
        <f>0.01*$L$48</f>
        <v>#DIV/0!</v>
      </c>
      <c r="E21" s="199" t="e">
        <f>0.01*$L$49</f>
        <v>#DIV/0!</v>
      </c>
      <c r="F21" s="199" t="e">
        <f>0.01*$L$50</f>
        <v>#DIV/0!</v>
      </c>
      <c r="G21" s="199" t="e">
        <f>0.01*$L$51</f>
        <v>#DIV/0!</v>
      </c>
      <c r="H21" s="199" t="e">
        <f>0.01*$L$52</f>
        <v>#DIV/0!</v>
      </c>
      <c r="I21" s="199" t="e">
        <f>0.01*$L$53</f>
        <v>#DIV/0!</v>
      </c>
      <c r="J21" s="199" t="e">
        <f>0.01*$L$54</f>
        <v>#DIV/0!</v>
      </c>
      <c r="K21" s="199" t="e">
        <f>0.01*$L$55</f>
        <v>#DIV/0!</v>
      </c>
      <c r="L21" s="199" t="e">
        <f>0.01*$L$56</f>
        <v>#DIV/0!</v>
      </c>
      <c r="M21" s="199" t="e">
        <f>0.01*$L$57</f>
        <v>#DIV/0!</v>
      </c>
      <c r="N21" s="199" t="e">
        <f>0.01*$L$58</f>
        <v>#DIV/0!</v>
      </c>
      <c r="O21" s="199" t="e">
        <f>0.01*$L$59</f>
        <v>#DIV/0!</v>
      </c>
      <c r="P21" s="199" t="e">
        <f>0.01*$L$60</f>
        <v>#DIV/0!</v>
      </c>
      <c r="Q21" s="199" t="e">
        <f>0.01*$L$61</f>
        <v>#DIV/0!</v>
      </c>
      <c r="R21" s="199" t="e">
        <f>0.01*$L$62</f>
        <v>#DIV/0!</v>
      </c>
      <c r="S21" s="199" t="e">
        <f>0.01*$L$63</f>
        <v>#DIV/0!</v>
      </c>
      <c r="T21" s="199" t="e">
        <f>0.01*$L$64</f>
        <v>#DIV/0!</v>
      </c>
      <c r="U21" s="199" t="e">
        <f>0.01*$L$65</f>
        <v>#DIV/0!</v>
      </c>
      <c r="V21" s="199" t="e">
        <f>0.01*$L$66</f>
        <v>#DIV/0!</v>
      </c>
      <c r="W21" s="199" t="e">
        <f>0.01*$L$67</f>
        <v>#DIV/0!</v>
      </c>
      <c r="X21" s="199" t="e">
        <f>0.01*$L$68</f>
        <v>#DIV/0!</v>
      </c>
      <c r="Y21" s="199" t="e">
        <f>0.01*$L$69</f>
        <v>#DIV/0!</v>
      </c>
      <c r="Z21" s="199" t="e">
        <f>0.01*$L$70</f>
        <v>#DIV/0!</v>
      </c>
      <c r="AA21" s="199" t="e">
        <f>0.01*$L$71</f>
        <v>#DIV/0!</v>
      </c>
      <c r="AB21" s="199" t="e">
        <f>0.01*$L$72</f>
        <v>#DIV/0!</v>
      </c>
      <c r="AC21" s="199" t="e">
        <f>0.01*$L$73</f>
        <v>#DIV/0!</v>
      </c>
      <c r="AD21" s="199" t="e">
        <f>0.01*$L$74</f>
        <v>#DIV/0!</v>
      </c>
      <c r="AE21" s="199" t="e">
        <f>0.01*$L$75</f>
        <v>#DIV/0!</v>
      </c>
      <c r="AF21" s="199" t="e">
        <f>0.01*$L$76</f>
        <v>#DIV/0!</v>
      </c>
      <c r="AG21" s="199" t="e">
        <f>0.01*$L$77</f>
        <v>#DIV/0!</v>
      </c>
      <c r="AH21" s="199" t="e">
        <f>0.01*$L$78</f>
        <v>#DIV/0!</v>
      </c>
      <c r="AI21" s="199" t="e">
        <f>0.01*$L$79</f>
        <v>#DIV/0!</v>
      </c>
      <c r="AJ21" s="199" t="e">
        <f>0.01*$L$80</f>
        <v>#DIV/0!</v>
      </c>
      <c r="AK21" s="199" t="e">
        <f>0.01*$L$81</f>
        <v>#DIV/0!</v>
      </c>
      <c r="AL21" s="199" t="e">
        <f>0.01*$L$82</f>
        <v>#DIV/0!</v>
      </c>
      <c r="AM21" s="199" t="e">
        <f>0.01*$L$83</f>
        <v>#DIV/0!</v>
      </c>
      <c r="AN21" s="199" t="e">
        <f>0.01*$L$84</f>
        <v>#DIV/0!</v>
      </c>
      <c r="AO21" s="199" t="e">
        <f>0.01*$L$85</f>
        <v>#DIV/0!</v>
      </c>
      <c r="AP21" s="199" t="e">
        <f>0.01*$L$86</f>
        <v>#DIV/0!</v>
      </c>
      <c r="AQ21" s="199" t="e">
        <f>0.01*$L$87</f>
        <v>#DIV/0!</v>
      </c>
      <c r="AR21" s="199" t="e">
        <f>0.01*$L$88</f>
        <v>#DIV/0!</v>
      </c>
      <c r="AS21" s="199" t="e">
        <f>0.01*$L$90</f>
        <v>#DIV/0!</v>
      </c>
      <c r="AT21" s="199" t="e">
        <f>0.01*$L$91</f>
        <v>#DIV/0!</v>
      </c>
      <c r="AU21" s="199" t="e">
        <f>0.01*$L$92</f>
        <v>#DIV/0!</v>
      </c>
      <c r="AV21" s="199" t="e">
        <f>0.01*$L$93</f>
        <v>#DIV/0!</v>
      </c>
      <c r="AW21" s="199" t="e">
        <f>0.01*$L$94</f>
        <v>#DIV/0!</v>
      </c>
      <c r="AX21" s="174"/>
      <c r="AY21" s="174"/>
      <c r="AZ21" s="174"/>
      <c r="BA21" s="174"/>
      <c r="BB21" s="174"/>
      <c r="BC21" s="174"/>
      <c r="BD21" s="174"/>
      <c r="BE21" s="174"/>
      <c r="BF21" s="174"/>
      <c r="BG21" s="9"/>
    </row>
    <row r="22" spans="1:59">
      <c r="A22" s="2">
        <v>2019</v>
      </c>
      <c r="B22" t="s">
        <v>6</v>
      </c>
      <c r="C22" s="199" t="e">
        <f>0.01*$M$47</f>
        <v>#DIV/0!</v>
      </c>
      <c r="D22" s="199" t="e">
        <f>0.01*$M$48</f>
        <v>#DIV/0!</v>
      </c>
      <c r="E22" s="199" t="e">
        <f>0.01*$M$49</f>
        <v>#DIV/0!</v>
      </c>
      <c r="F22" s="199" t="e">
        <f>0.01*$M$50</f>
        <v>#DIV/0!</v>
      </c>
      <c r="G22" s="199" t="e">
        <f>0.01*$M$51</f>
        <v>#DIV/0!</v>
      </c>
      <c r="H22" s="199" t="e">
        <f>0.01*$M$52</f>
        <v>#DIV/0!</v>
      </c>
      <c r="I22" s="199" t="e">
        <f>0.01*$M$53</f>
        <v>#DIV/0!</v>
      </c>
      <c r="J22" s="199" t="e">
        <f>0.01*$M$54</f>
        <v>#DIV/0!</v>
      </c>
      <c r="K22" s="199" t="e">
        <f>0.01*$M$55</f>
        <v>#DIV/0!</v>
      </c>
      <c r="L22" s="199" t="e">
        <f>0.01*$M$56</f>
        <v>#DIV/0!</v>
      </c>
      <c r="M22" s="199" t="e">
        <f>0.01*$M$57</f>
        <v>#DIV/0!</v>
      </c>
      <c r="N22" s="199" t="e">
        <f>0.01*$M$58</f>
        <v>#DIV/0!</v>
      </c>
      <c r="O22" s="199" t="e">
        <f>0.01*$M$59</f>
        <v>#DIV/0!</v>
      </c>
      <c r="P22" s="199" t="e">
        <f>0.01*$M$60</f>
        <v>#DIV/0!</v>
      </c>
      <c r="Q22" s="199" t="e">
        <f>0.01*$M$61</f>
        <v>#DIV/0!</v>
      </c>
      <c r="R22" s="199" t="e">
        <f>0.01*$M$62</f>
        <v>#DIV/0!</v>
      </c>
      <c r="S22" s="199" t="e">
        <f>0.01*$M$63</f>
        <v>#DIV/0!</v>
      </c>
      <c r="T22" s="199" t="e">
        <f>0.01*$M$64</f>
        <v>#DIV/0!</v>
      </c>
      <c r="U22" s="199" t="e">
        <f>0.01*$M$65</f>
        <v>#DIV/0!</v>
      </c>
      <c r="V22" s="199" t="e">
        <f>0.01*$M$66</f>
        <v>#DIV/0!</v>
      </c>
      <c r="W22" s="199" t="e">
        <f>0.01*$M$67</f>
        <v>#DIV/0!</v>
      </c>
      <c r="X22" s="199" t="e">
        <f>0.01*$M$68</f>
        <v>#DIV/0!</v>
      </c>
      <c r="Y22" s="199" t="e">
        <f>0.01*$M$69</f>
        <v>#DIV/0!</v>
      </c>
      <c r="Z22" s="199" t="e">
        <f>0.01*$M$70</f>
        <v>#DIV/0!</v>
      </c>
      <c r="AA22" s="199" t="e">
        <f>0.01*$M$71</f>
        <v>#DIV/0!</v>
      </c>
      <c r="AB22" s="199" t="e">
        <f>0.01*$M$72</f>
        <v>#DIV/0!</v>
      </c>
      <c r="AC22" s="199" t="e">
        <f>0.01*$M$73</f>
        <v>#DIV/0!</v>
      </c>
      <c r="AD22" s="199" t="e">
        <f>0.01*$M$74</f>
        <v>#DIV/0!</v>
      </c>
      <c r="AE22" s="199" t="e">
        <f>0.01*$M$75</f>
        <v>#DIV/0!</v>
      </c>
      <c r="AF22" s="199" t="e">
        <f>0.01*$M$76</f>
        <v>#DIV/0!</v>
      </c>
      <c r="AG22" s="199" t="e">
        <f>0.01*$M$77</f>
        <v>#DIV/0!</v>
      </c>
      <c r="AH22" s="199" t="e">
        <f>0.01*$M$78</f>
        <v>#DIV/0!</v>
      </c>
      <c r="AI22" s="199" t="e">
        <f>0.01*$M$79</f>
        <v>#DIV/0!</v>
      </c>
      <c r="AJ22" s="199" t="e">
        <f>0.01*$M$80</f>
        <v>#DIV/0!</v>
      </c>
      <c r="AK22" s="199" t="e">
        <f>0.01*$M$81</f>
        <v>#DIV/0!</v>
      </c>
      <c r="AL22" s="199" t="e">
        <f>0.01*$M$82</f>
        <v>#DIV/0!</v>
      </c>
      <c r="AM22" s="199" t="e">
        <f>0.01*$M$83</f>
        <v>#DIV/0!</v>
      </c>
      <c r="AN22" s="199" t="e">
        <f>0.01*$M$84</f>
        <v>#DIV/0!</v>
      </c>
      <c r="AO22" s="199" t="e">
        <f>0.01*$M$85</f>
        <v>#DIV/0!</v>
      </c>
      <c r="AP22" s="199" t="e">
        <f>0.01*$M$86</f>
        <v>#DIV/0!</v>
      </c>
      <c r="AQ22" s="199" t="e">
        <f>0.01*$M$87</f>
        <v>#DIV/0!</v>
      </c>
      <c r="AR22" s="199" t="e">
        <f>0.01*$M$88</f>
        <v>#DIV/0!</v>
      </c>
      <c r="AS22" s="199" t="e">
        <f>0.01*$M$90</f>
        <v>#DIV/0!</v>
      </c>
      <c r="AT22" s="199" t="e">
        <f>0.01*$M$91</f>
        <v>#DIV/0!</v>
      </c>
      <c r="AU22" s="199" t="e">
        <f>0.01*$M$92</f>
        <v>#DIV/0!</v>
      </c>
      <c r="AV22" s="199" t="e">
        <f>0.01*$M$93</f>
        <v>#DIV/0!</v>
      </c>
      <c r="AW22" s="199" t="e">
        <f>0.01*$M$94</f>
        <v>#DIV/0!</v>
      </c>
      <c r="AX22" s="174"/>
      <c r="AY22" s="174"/>
      <c r="AZ22" s="174"/>
      <c r="BA22" s="174"/>
      <c r="BB22" s="174"/>
      <c r="BC22" s="174"/>
      <c r="BD22" s="174"/>
      <c r="BE22" s="174"/>
      <c r="BF22" s="174"/>
      <c r="BG22" s="9"/>
    </row>
    <row r="23" spans="1:59">
      <c r="A23">
        <v>2019</v>
      </c>
      <c r="B23" t="s">
        <v>42</v>
      </c>
      <c r="C23" s="199" t="e">
        <f>0.01*$N$47</f>
        <v>#DIV/0!</v>
      </c>
      <c r="D23" s="199" t="e">
        <f>0.01*$N$48</f>
        <v>#DIV/0!</v>
      </c>
      <c r="E23" s="199" t="e">
        <f>0.01*$N$49</f>
        <v>#DIV/0!</v>
      </c>
      <c r="F23" s="199" t="e">
        <f>0.01*$N$50</f>
        <v>#DIV/0!</v>
      </c>
      <c r="G23" s="199" t="e">
        <f>0.01*$N$51</f>
        <v>#DIV/0!</v>
      </c>
      <c r="H23" s="199" t="e">
        <f>0.01*$N$52</f>
        <v>#DIV/0!</v>
      </c>
      <c r="I23" s="199" t="e">
        <f>0.01*$N$53</f>
        <v>#DIV/0!</v>
      </c>
      <c r="J23" s="199" t="e">
        <f>0.01*$N$54</f>
        <v>#DIV/0!</v>
      </c>
      <c r="K23" s="199" t="e">
        <f>0.01*$N$55</f>
        <v>#DIV/0!</v>
      </c>
      <c r="L23" s="199" t="e">
        <f>0.01*$N$56</f>
        <v>#DIV/0!</v>
      </c>
      <c r="M23" s="199" t="e">
        <f>0.01*$N$57</f>
        <v>#DIV/0!</v>
      </c>
      <c r="N23" s="199" t="e">
        <f>0.01*$N$58</f>
        <v>#DIV/0!</v>
      </c>
      <c r="O23" s="199" t="e">
        <f>0.01*$N$59</f>
        <v>#DIV/0!</v>
      </c>
      <c r="P23" s="199" t="e">
        <f>0.01*$N$60</f>
        <v>#DIV/0!</v>
      </c>
      <c r="Q23" s="199" t="e">
        <f>0.01*$N$61</f>
        <v>#DIV/0!</v>
      </c>
      <c r="R23" s="199" t="e">
        <f>0.01*$N$62</f>
        <v>#DIV/0!</v>
      </c>
      <c r="S23" s="199" t="e">
        <f>0.01*$N$63</f>
        <v>#DIV/0!</v>
      </c>
      <c r="T23" s="199" t="e">
        <f>0.01*$N$64</f>
        <v>#DIV/0!</v>
      </c>
      <c r="U23" s="199" t="e">
        <f>0.01*$N$65</f>
        <v>#DIV/0!</v>
      </c>
      <c r="V23" s="199" t="e">
        <f>0.01*$N$66</f>
        <v>#DIV/0!</v>
      </c>
      <c r="W23" s="199" t="e">
        <f>0.01*$N$67</f>
        <v>#DIV/0!</v>
      </c>
      <c r="X23" s="199" t="e">
        <f>0.01*$N$68</f>
        <v>#DIV/0!</v>
      </c>
      <c r="Y23" s="199" t="e">
        <f>0.01*$N$69</f>
        <v>#DIV/0!</v>
      </c>
      <c r="Z23" s="199" t="e">
        <f>0.01*$N$70</f>
        <v>#DIV/0!</v>
      </c>
      <c r="AA23" s="199" t="e">
        <f>0.01*$N$71</f>
        <v>#DIV/0!</v>
      </c>
      <c r="AB23" s="199" t="e">
        <f>0.01*$N$72</f>
        <v>#DIV/0!</v>
      </c>
      <c r="AC23" s="199" t="e">
        <f>0.01*$N$73</f>
        <v>#DIV/0!</v>
      </c>
      <c r="AD23" s="199" t="e">
        <f>0.01*$N$74</f>
        <v>#DIV/0!</v>
      </c>
      <c r="AE23" s="199" t="e">
        <f>0.01*$N$75</f>
        <v>#DIV/0!</v>
      </c>
      <c r="AF23" s="199" t="e">
        <f>0.01*$N$76</f>
        <v>#DIV/0!</v>
      </c>
      <c r="AG23" s="199" t="e">
        <f>0.01*$N$77</f>
        <v>#DIV/0!</v>
      </c>
      <c r="AH23" s="199" t="e">
        <f>0.01*$N$78</f>
        <v>#DIV/0!</v>
      </c>
      <c r="AI23" s="199" t="e">
        <f>0.01*$N$79</f>
        <v>#DIV/0!</v>
      </c>
      <c r="AJ23" s="199" t="e">
        <f>0.01*$N$80</f>
        <v>#DIV/0!</v>
      </c>
      <c r="AK23" s="199" t="e">
        <f>0.01*$N$81</f>
        <v>#DIV/0!</v>
      </c>
      <c r="AL23" s="199" t="e">
        <f>0.01*$N$82</f>
        <v>#DIV/0!</v>
      </c>
      <c r="AM23" s="199" t="e">
        <f>0.01*$N$83</f>
        <v>#DIV/0!</v>
      </c>
      <c r="AN23" s="199" t="e">
        <f>0.01*$N$84</f>
        <v>#DIV/0!</v>
      </c>
      <c r="AO23" s="199" t="e">
        <f>0.01*$N$85</f>
        <v>#DIV/0!</v>
      </c>
      <c r="AP23" s="199" t="e">
        <f>0.01*$N$86</f>
        <v>#DIV/0!</v>
      </c>
      <c r="AQ23" s="199" t="e">
        <f>0.01*$N$87</f>
        <v>#DIV/0!</v>
      </c>
      <c r="AR23" s="199" t="e">
        <f>0.01*$N$88</f>
        <v>#DIV/0!</v>
      </c>
      <c r="AS23" s="199" t="e">
        <f>0.01*$N$90</f>
        <v>#DIV/0!</v>
      </c>
      <c r="AT23" s="199" t="e">
        <f>0.01*$N$91</f>
        <v>#DIV/0!</v>
      </c>
      <c r="AU23" s="199" t="e">
        <f>0.01*$N$92</f>
        <v>#DIV/0!</v>
      </c>
      <c r="AV23" s="199" t="e">
        <f>0.01*$N$93</f>
        <v>#DIV/0!</v>
      </c>
      <c r="AW23" s="199" t="e">
        <f>0.01*$N$94</f>
        <v>#DIV/0!</v>
      </c>
      <c r="AX23" s="174"/>
      <c r="AY23" s="174"/>
      <c r="AZ23" s="174"/>
      <c r="BA23" s="174"/>
      <c r="BB23" s="174"/>
      <c r="BC23" s="174"/>
      <c r="BD23" s="174"/>
      <c r="BE23" s="174"/>
      <c r="BF23" s="174"/>
      <c r="BG23" s="9"/>
    </row>
    <row r="24" spans="1:59">
      <c r="A24" s="2">
        <v>2020</v>
      </c>
      <c r="B24" t="s">
        <v>5</v>
      </c>
      <c r="C24" s="199" t="e">
        <f>0.01*$O$47</f>
        <v>#DIV/0!</v>
      </c>
      <c r="D24" s="199" t="e">
        <f>0.01*$O$48</f>
        <v>#DIV/0!</v>
      </c>
      <c r="E24" s="199" t="e">
        <f>0.01*$O$49</f>
        <v>#DIV/0!</v>
      </c>
      <c r="F24" s="199" t="e">
        <f>0.01*$O$50</f>
        <v>#DIV/0!</v>
      </c>
      <c r="G24" s="199" t="e">
        <f>0.01*$O$51</f>
        <v>#DIV/0!</v>
      </c>
      <c r="H24" s="199" t="e">
        <f>0.01*$O$52</f>
        <v>#DIV/0!</v>
      </c>
      <c r="I24" s="199" t="e">
        <f>0.01*$O$53</f>
        <v>#DIV/0!</v>
      </c>
      <c r="J24" s="199" t="e">
        <f>0.01*$O$54</f>
        <v>#DIV/0!</v>
      </c>
      <c r="K24" s="199" t="e">
        <f>0.01*$O$55</f>
        <v>#DIV/0!</v>
      </c>
      <c r="L24" s="199" t="e">
        <f>0.01*$O$56</f>
        <v>#DIV/0!</v>
      </c>
      <c r="M24" s="199" t="e">
        <f>0.01*$O$57</f>
        <v>#DIV/0!</v>
      </c>
      <c r="N24" s="199" t="e">
        <f>0.01*$O$58</f>
        <v>#DIV/0!</v>
      </c>
      <c r="O24" s="199" t="e">
        <f>0.01*$O$59</f>
        <v>#DIV/0!</v>
      </c>
      <c r="P24" s="199" t="e">
        <f>0.01*$O$60</f>
        <v>#DIV/0!</v>
      </c>
      <c r="Q24" s="199" t="e">
        <f>0.01*$O$61</f>
        <v>#DIV/0!</v>
      </c>
      <c r="R24" s="199" t="e">
        <f>0.01*$O$62</f>
        <v>#DIV/0!</v>
      </c>
      <c r="S24" s="199" t="e">
        <f>0.01*$O$63</f>
        <v>#DIV/0!</v>
      </c>
      <c r="T24" s="199" t="e">
        <f>0.01*$O$64</f>
        <v>#DIV/0!</v>
      </c>
      <c r="U24" s="199" t="e">
        <f>0.01*$O$65</f>
        <v>#DIV/0!</v>
      </c>
      <c r="V24" s="199" t="e">
        <f>0.01*$O$66</f>
        <v>#DIV/0!</v>
      </c>
      <c r="W24" s="199" t="e">
        <f>0.01*$O$67</f>
        <v>#DIV/0!</v>
      </c>
      <c r="X24" s="199" t="e">
        <f>0.01*$O$68</f>
        <v>#DIV/0!</v>
      </c>
      <c r="Y24" s="199" t="e">
        <f>0.01*$O$69</f>
        <v>#DIV/0!</v>
      </c>
      <c r="Z24" s="199" t="e">
        <f>0.01*$O$70</f>
        <v>#DIV/0!</v>
      </c>
      <c r="AA24" s="199" t="e">
        <f>0.01*$O$71</f>
        <v>#DIV/0!</v>
      </c>
      <c r="AB24" s="199" t="e">
        <f>0.01*$O$72</f>
        <v>#DIV/0!</v>
      </c>
      <c r="AC24" s="199" t="e">
        <f>0.01*$O$73</f>
        <v>#DIV/0!</v>
      </c>
      <c r="AD24" s="199" t="e">
        <f>0.01*$O$74</f>
        <v>#DIV/0!</v>
      </c>
      <c r="AE24" s="199" t="e">
        <f>0.01*$O$75</f>
        <v>#DIV/0!</v>
      </c>
      <c r="AF24" s="199" t="e">
        <f>0.01*$O$76</f>
        <v>#DIV/0!</v>
      </c>
      <c r="AG24" s="199" t="e">
        <f>0.01*$O$77</f>
        <v>#DIV/0!</v>
      </c>
      <c r="AH24" s="199" t="e">
        <f>0.01*$O$78</f>
        <v>#DIV/0!</v>
      </c>
      <c r="AI24" s="199" t="e">
        <f>0.01*$O$79</f>
        <v>#DIV/0!</v>
      </c>
      <c r="AJ24" s="199" t="e">
        <f>0.01*$O$80</f>
        <v>#DIV/0!</v>
      </c>
      <c r="AK24" s="199" t="e">
        <f>0.01*$O$81</f>
        <v>#DIV/0!</v>
      </c>
      <c r="AL24" s="199" t="e">
        <f>0.01*$O$82</f>
        <v>#DIV/0!</v>
      </c>
      <c r="AM24" s="199" t="e">
        <f>0.01*$O$83</f>
        <v>#DIV/0!</v>
      </c>
      <c r="AN24" s="199" t="e">
        <f>0.01*$O$84</f>
        <v>#DIV/0!</v>
      </c>
      <c r="AO24" s="199" t="e">
        <f>0.01*$O$85</f>
        <v>#DIV/0!</v>
      </c>
      <c r="AP24" s="199" t="e">
        <f>0.01*$O$86</f>
        <v>#DIV/0!</v>
      </c>
      <c r="AQ24" s="199" t="e">
        <f>0.01*$O$87</f>
        <v>#DIV/0!</v>
      </c>
      <c r="AR24" s="199" t="e">
        <f>0.01*$O$88</f>
        <v>#DIV/0!</v>
      </c>
      <c r="AS24" s="199" t="e">
        <f>0.01*$O$90</f>
        <v>#DIV/0!</v>
      </c>
      <c r="AT24" s="199" t="e">
        <f>0.01*$O$91</f>
        <v>#DIV/0!</v>
      </c>
      <c r="AU24" s="199" t="e">
        <f>0.01*$O$92</f>
        <v>#DIV/0!</v>
      </c>
      <c r="AV24" s="199" t="e">
        <f>0.01*$O$93</f>
        <v>#DIV/0!</v>
      </c>
      <c r="AW24" s="199" t="e">
        <f>0.01*$O$94</f>
        <v>#DIV/0!</v>
      </c>
      <c r="AX24" s="174"/>
      <c r="AY24" s="174"/>
      <c r="AZ24" s="174"/>
      <c r="BA24" s="174"/>
      <c r="BB24" s="174"/>
      <c r="BC24" s="174"/>
      <c r="BD24" s="174"/>
      <c r="BE24" s="174"/>
      <c r="BF24" s="174"/>
      <c r="BG24" s="9"/>
    </row>
    <row r="25" spans="1:59">
      <c r="A25">
        <v>2020</v>
      </c>
      <c r="B25" t="s">
        <v>6</v>
      </c>
      <c r="C25" s="199" t="e">
        <f>0.01*$P$47</f>
        <v>#DIV/0!</v>
      </c>
      <c r="D25" s="199" t="e">
        <f>0.01*$P$48</f>
        <v>#DIV/0!</v>
      </c>
      <c r="E25" s="199" t="e">
        <f>0.01*$P$49</f>
        <v>#DIV/0!</v>
      </c>
      <c r="F25" s="199" t="e">
        <f>0.01*$P$50</f>
        <v>#DIV/0!</v>
      </c>
      <c r="G25" s="199" t="e">
        <f>0.01*$P$51</f>
        <v>#DIV/0!</v>
      </c>
      <c r="H25" s="199" t="e">
        <f>0.01*$P$52</f>
        <v>#DIV/0!</v>
      </c>
      <c r="I25" s="199" t="e">
        <f>0.01*$P$53</f>
        <v>#DIV/0!</v>
      </c>
      <c r="J25" s="199" t="e">
        <f>0.01*$P$54</f>
        <v>#DIV/0!</v>
      </c>
      <c r="K25" s="199" t="e">
        <f>0.01*$P$55</f>
        <v>#DIV/0!</v>
      </c>
      <c r="L25" s="199" t="e">
        <f>0.01*$P$56</f>
        <v>#DIV/0!</v>
      </c>
      <c r="M25" s="199" t="e">
        <f>0.01*$P$57</f>
        <v>#DIV/0!</v>
      </c>
      <c r="N25" s="199" t="e">
        <f>0.01*$P$58</f>
        <v>#DIV/0!</v>
      </c>
      <c r="O25" s="199" t="e">
        <f>0.01*$P$59</f>
        <v>#DIV/0!</v>
      </c>
      <c r="P25" s="199" t="e">
        <f>0.01*$P$60</f>
        <v>#DIV/0!</v>
      </c>
      <c r="Q25" s="199" t="e">
        <f>0.01*$P$61</f>
        <v>#DIV/0!</v>
      </c>
      <c r="R25" s="199" t="e">
        <f>0.01*$P$62</f>
        <v>#DIV/0!</v>
      </c>
      <c r="S25" s="199" t="e">
        <f>0.01*$P$63</f>
        <v>#DIV/0!</v>
      </c>
      <c r="T25" s="199" t="e">
        <f>0.01*$P$64</f>
        <v>#DIV/0!</v>
      </c>
      <c r="U25" s="199" t="e">
        <f>0.01*$P$65</f>
        <v>#DIV/0!</v>
      </c>
      <c r="V25" s="199" t="e">
        <f>0.01*$P$66</f>
        <v>#DIV/0!</v>
      </c>
      <c r="W25" s="199" t="e">
        <f>0.01*$P$67</f>
        <v>#DIV/0!</v>
      </c>
      <c r="X25" s="199" t="e">
        <f>0.01*$P$68</f>
        <v>#DIV/0!</v>
      </c>
      <c r="Y25" s="199" t="e">
        <f>0.01*$P$69</f>
        <v>#DIV/0!</v>
      </c>
      <c r="Z25" s="199" t="e">
        <f>0.01*$P$70</f>
        <v>#DIV/0!</v>
      </c>
      <c r="AA25" s="199" t="e">
        <f>0.01*$P$71</f>
        <v>#DIV/0!</v>
      </c>
      <c r="AB25" s="199" t="e">
        <f>0.01*$P$72</f>
        <v>#DIV/0!</v>
      </c>
      <c r="AC25" s="199" t="e">
        <f>0.01*$P$73</f>
        <v>#DIV/0!</v>
      </c>
      <c r="AD25" s="199" t="e">
        <f>0.01*$P$74</f>
        <v>#DIV/0!</v>
      </c>
      <c r="AE25" s="199" t="e">
        <f>0.01*$P$75</f>
        <v>#DIV/0!</v>
      </c>
      <c r="AF25" s="199" t="e">
        <f>0.01*$P$76</f>
        <v>#DIV/0!</v>
      </c>
      <c r="AG25" s="199" t="e">
        <f>0.01*$P$77</f>
        <v>#DIV/0!</v>
      </c>
      <c r="AH25" s="199" t="e">
        <f>0.01*$P$78</f>
        <v>#DIV/0!</v>
      </c>
      <c r="AI25" s="199" t="e">
        <f>0.01*$P$79</f>
        <v>#DIV/0!</v>
      </c>
      <c r="AJ25" s="199" t="e">
        <f>0.01*$P$80</f>
        <v>#DIV/0!</v>
      </c>
      <c r="AK25" s="199" t="e">
        <f>0.01*$P$81</f>
        <v>#DIV/0!</v>
      </c>
      <c r="AL25" s="199" t="e">
        <f>0.01*$P$82</f>
        <v>#DIV/0!</v>
      </c>
      <c r="AM25" s="199" t="e">
        <f>0.01*$P$83</f>
        <v>#DIV/0!</v>
      </c>
      <c r="AN25" s="199" t="e">
        <f>0.01*$P$84</f>
        <v>#DIV/0!</v>
      </c>
      <c r="AO25" s="199" t="e">
        <f>0.01*$P$85</f>
        <v>#DIV/0!</v>
      </c>
      <c r="AP25" s="199" t="e">
        <f>0.01*$P$86</f>
        <v>#DIV/0!</v>
      </c>
      <c r="AQ25" s="199" t="e">
        <f>0.01*$P$87</f>
        <v>#DIV/0!</v>
      </c>
      <c r="AR25" s="199" t="e">
        <f>0.01*$P$88</f>
        <v>#DIV/0!</v>
      </c>
      <c r="AS25" s="199" t="e">
        <f>0.01*$P$90</f>
        <v>#DIV/0!</v>
      </c>
      <c r="AT25" s="199" t="e">
        <f>0.01*$P$91</f>
        <v>#DIV/0!</v>
      </c>
      <c r="AU25" s="199" t="e">
        <f>0.01*$P$92</f>
        <v>#DIV/0!</v>
      </c>
      <c r="AV25" s="199" t="e">
        <f>0.01*$P$93</f>
        <v>#DIV/0!</v>
      </c>
      <c r="AW25" s="199" t="e">
        <f>0.01*$P$94</f>
        <v>#DIV/0!</v>
      </c>
      <c r="AX25" s="174"/>
      <c r="AY25" s="174"/>
      <c r="AZ25" s="174"/>
      <c r="BA25" s="174"/>
      <c r="BB25" s="174"/>
      <c r="BC25" s="174"/>
      <c r="BD25" s="174"/>
      <c r="BE25" s="174"/>
      <c r="BF25" s="174"/>
      <c r="BG25" s="9"/>
    </row>
    <row r="26" spans="1:59">
      <c r="A26" s="2">
        <v>2020</v>
      </c>
      <c r="B26" t="s">
        <v>42</v>
      </c>
      <c r="C26" s="199" t="e">
        <f>0.01*$Q$47</f>
        <v>#DIV/0!</v>
      </c>
      <c r="D26" s="199" t="e">
        <f>0.01*$Q$48</f>
        <v>#DIV/0!</v>
      </c>
      <c r="E26" s="199" t="e">
        <f>0.01*$Q$49</f>
        <v>#DIV/0!</v>
      </c>
      <c r="F26" s="199" t="e">
        <f>0.01*$Q$50</f>
        <v>#DIV/0!</v>
      </c>
      <c r="G26" s="199" t="e">
        <f>0.01*$Q$51</f>
        <v>#DIV/0!</v>
      </c>
      <c r="H26" s="199" t="e">
        <f>0.01*$Q$52</f>
        <v>#DIV/0!</v>
      </c>
      <c r="I26" s="199" t="e">
        <f>0.01*$Q$53</f>
        <v>#DIV/0!</v>
      </c>
      <c r="J26" s="199" t="e">
        <f>0.01*$Q$54</f>
        <v>#DIV/0!</v>
      </c>
      <c r="K26" s="199" t="e">
        <f>0.01*$Q$55</f>
        <v>#DIV/0!</v>
      </c>
      <c r="L26" s="199" t="e">
        <f>0.01*$Q$56</f>
        <v>#DIV/0!</v>
      </c>
      <c r="M26" s="199" t="e">
        <f>0.01*$Q$57</f>
        <v>#DIV/0!</v>
      </c>
      <c r="N26" s="199" t="e">
        <f>0.01*$Q$58</f>
        <v>#DIV/0!</v>
      </c>
      <c r="O26" s="199" t="e">
        <f>0.01*$Q$59</f>
        <v>#DIV/0!</v>
      </c>
      <c r="P26" s="199" t="e">
        <f>0.01*$Q$60</f>
        <v>#DIV/0!</v>
      </c>
      <c r="Q26" s="199" t="e">
        <f>0.01*$Q$61</f>
        <v>#DIV/0!</v>
      </c>
      <c r="R26" s="199" t="e">
        <f>0.01*$Q$62</f>
        <v>#DIV/0!</v>
      </c>
      <c r="S26" s="199" t="e">
        <f>0.01*$Q$63</f>
        <v>#DIV/0!</v>
      </c>
      <c r="T26" s="199" t="e">
        <f>0.01*$Q$64</f>
        <v>#DIV/0!</v>
      </c>
      <c r="U26" s="199" t="e">
        <f>0.01*$Q$65</f>
        <v>#DIV/0!</v>
      </c>
      <c r="V26" s="199" t="e">
        <f>0.01*$Q$66</f>
        <v>#DIV/0!</v>
      </c>
      <c r="W26" s="199" t="e">
        <f>0.01*$Q$67</f>
        <v>#DIV/0!</v>
      </c>
      <c r="X26" s="199" t="e">
        <f>0.01*$Q$68</f>
        <v>#DIV/0!</v>
      </c>
      <c r="Y26" s="199" t="e">
        <f>0.01*$Q$69</f>
        <v>#DIV/0!</v>
      </c>
      <c r="Z26" s="199" t="e">
        <f>0.01*$Q$70</f>
        <v>#DIV/0!</v>
      </c>
      <c r="AA26" s="199" t="e">
        <f>0.01*$Q$71</f>
        <v>#DIV/0!</v>
      </c>
      <c r="AB26" s="199" t="e">
        <f>0.01*$Q$72</f>
        <v>#DIV/0!</v>
      </c>
      <c r="AC26" s="199" t="e">
        <f>0.01*$Q$73</f>
        <v>#DIV/0!</v>
      </c>
      <c r="AD26" s="199" t="e">
        <f>0.01*$Q$74</f>
        <v>#DIV/0!</v>
      </c>
      <c r="AE26" s="199" t="e">
        <f>0.01*$Q$75</f>
        <v>#DIV/0!</v>
      </c>
      <c r="AF26" s="199" t="e">
        <f>0.01*$Q$76</f>
        <v>#DIV/0!</v>
      </c>
      <c r="AG26" s="199" t="e">
        <f>0.01*$Q$77</f>
        <v>#DIV/0!</v>
      </c>
      <c r="AH26" s="199" t="e">
        <f>0.01*$Q$78</f>
        <v>#DIV/0!</v>
      </c>
      <c r="AI26" s="199" t="e">
        <f>0.01*$Q$79</f>
        <v>#DIV/0!</v>
      </c>
      <c r="AJ26" s="199" t="e">
        <f>0.01*$Q$80</f>
        <v>#DIV/0!</v>
      </c>
      <c r="AK26" s="199" t="e">
        <f>0.01*$Q$81</f>
        <v>#DIV/0!</v>
      </c>
      <c r="AL26" s="199" t="e">
        <f>0.01*$Q$82</f>
        <v>#DIV/0!</v>
      </c>
      <c r="AM26" s="199" t="e">
        <f>0.01*$Q$83</f>
        <v>#DIV/0!</v>
      </c>
      <c r="AN26" s="199" t="e">
        <f>0.01*$Q$84</f>
        <v>#DIV/0!</v>
      </c>
      <c r="AO26" s="199" t="e">
        <f>0.01*$Q$85</f>
        <v>#DIV/0!</v>
      </c>
      <c r="AP26" s="199" t="e">
        <f>0.01*$Q$86</f>
        <v>#DIV/0!</v>
      </c>
      <c r="AQ26" s="199" t="e">
        <f>0.01*$Q$87</f>
        <v>#DIV/0!</v>
      </c>
      <c r="AR26" s="199" t="e">
        <f>0.01*$Q$88</f>
        <v>#DIV/0!</v>
      </c>
      <c r="AS26" s="199" t="e">
        <f>0.01*$Q$90</f>
        <v>#DIV/0!</v>
      </c>
      <c r="AT26" s="199" t="e">
        <f>0.01*$Q$91</f>
        <v>#DIV/0!</v>
      </c>
      <c r="AU26" s="199" t="e">
        <f>0.01*$Q$92</f>
        <v>#DIV/0!</v>
      </c>
      <c r="AV26" s="199" t="e">
        <f>0.01*$Q$93</f>
        <v>#DIV/0!</v>
      </c>
      <c r="AW26" s="199" t="e">
        <f>0.01*$Q$94</f>
        <v>#DIV/0!</v>
      </c>
      <c r="AX26" s="174"/>
      <c r="AY26" s="174"/>
      <c r="AZ26" s="174"/>
      <c r="BA26" s="174"/>
      <c r="BB26" s="174"/>
      <c r="BC26" s="174"/>
      <c r="BD26" s="174"/>
      <c r="BE26" s="174"/>
      <c r="BF26" s="174"/>
      <c r="BG26" s="9"/>
    </row>
    <row r="27" spans="1:59">
      <c r="A27">
        <v>2021</v>
      </c>
      <c r="B27" t="s">
        <v>5</v>
      </c>
      <c r="C27" s="199" t="e">
        <f>0.01*$R$47</f>
        <v>#DIV/0!</v>
      </c>
      <c r="D27" s="199" t="e">
        <f>0.01*$R$48</f>
        <v>#DIV/0!</v>
      </c>
      <c r="E27" s="199" t="e">
        <f>0.01*$R$49</f>
        <v>#DIV/0!</v>
      </c>
      <c r="F27" s="199" t="e">
        <f>0.01*$R$50</f>
        <v>#DIV/0!</v>
      </c>
      <c r="G27" s="199" t="e">
        <f>0.01*$R$51</f>
        <v>#DIV/0!</v>
      </c>
      <c r="H27" s="199" t="e">
        <f>0.01*$R$52</f>
        <v>#DIV/0!</v>
      </c>
      <c r="I27" s="199" t="e">
        <f>0.01*$R$53</f>
        <v>#DIV/0!</v>
      </c>
      <c r="J27" s="199" t="e">
        <f>0.01*$R$54</f>
        <v>#DIV/0!</v>
      </c>
      <c r="K27" s="199" t="e">
        <f>0.01*$R$55</f>
        <v>#DIV/0!</v>
      </c>
      <c r="L27" s="199" t="e">
        <f>0.01*$R$56</f>
        <v>#DIV/0!</v>
      </c>
      <c r="M27" s="199" t="e">
        <f>0.01*$R$57</f>
        <v>#DIV/0!</v>
      </c>
      <c r="N27" s="199" t="e">
        <f>0.01*$R$58</f>
        <v>#DIV/0!</v>
      </c>
      <c r="O27" s="199" t="e">
        <f>0.01*$R$59</f>
        <v>#DIV/0!</v>
      </c>
      <c r="P27" s="199" t="e">
        <f>0.01*$R$60</f>
        <v>#DIV/0!</v>
      </c>
      <c r="Q27" s="199" t="e">
        <f>0.01*$R$61</f>
        <v>#DIV/0!</v>
      </c>
      <c r="R27" s="199" t="e">
        <f>0.01*$R$62</f>
        <v>#DIV/0!</v>
      </c>
      <c r="S27" s="199" t="e">
        <f>0.01*$R$63</f>
        <v>#DIV/0!</v>
      </c>
      <c r="T27" s="199" t="e">
        <f>0.01*$R$64</f>
        <v>#DIV/0!</v>
      </c>
      <c r="U27" s="199" t="e">
        <f>0.01*$R$65</f>
        <v>#DIV/0!</v>
      </c>
      <c r="V27" s="199" t="e">
        <f>0.01*$R$66</f>
        <v>#DIV/0!</v>
      </c>
      <c r="W27" s="199" t="e">
        <f>0.01*$R$67</f>
        <v>#DIV/0!</v>
      </c>
      <c r="X27" s="199" t="e">
        <f>0.01*$R$68</f>
        <v>#DIV/0!</v>
      </c>
      <c r="Y27" s="199" t="e">
        <f>0.01*$R$69</f>
        <v>#DIV/0!</v>
      </c>
      <c r="Z27" s="199" t="e">
        <f>0.01*$R$70</f>
        <v>#DIV/0!</v>
      </c>
      <c r="AA27" s="199" t="e">
        <f>0.01*$R$71</f>
        <v>#DIV/0!</v>
      </c>
      <c r="AB27" s="199" t="e">
        <f>0.01*$R$72</f>
        <v>#DIV/0!</v>
      </c>
      <c r="AC27" s="199" t="e">
        <f>0.01*$R$73</f>
        <v>#DIV/0!</v>
      </c>
      <c r="AD27" s="199" t="e">
        <f>0.01*$R$74</f>
        <v>#DIV/0!</v>
      </c>
      <c r="AE27" s="199" t="e">
        <f>0.01*$R$75</f>
        <v>#DIV/0!</v>
      </c>
      <c r="AF27" s="199" t="e">
        <f>0.01*$R$76</f>
        <v>#DIV/0!</v>
      </c>
      <c r="AG27" s="199" t="e">
        <f>0.01*$R$77</f>
        <v>#DIV/0!</v>
      </c>
      <c r="AH27" s="199" t="e">
        <f>0.01*$R$78</f>
        <v>#DIV/0!</v>
      </c>
      <c r="AI27" s="199" t="e">
        <f>0.01*$R$79</f>
        <v>#DIV/0!</v>
      </c>
      <c r="AJ27" s="199" t="e">
        <f>0.01*$R$80</f>
        <v>#DIV/0!</v>
      </c>
      <c r="AK27" s="199" t="e">
        <f>0.01*$R$81</f>
        <v>#DIV/0!</v>
      </c>
      <c r="AL27" s="199" t="e">
        <f>0.01*$R$82</f>
        <v>#DIV/0!</v>
      </c>
      <c r="AM27" s="199" t="e">
        <f>0.01*$R$83</f>
        <v>#DIV/0!</v>
      </c>
      <c r="AN27" s="199" t="e">
        <f>0.01*$R$84</f>
        <v>#DIV/0!</v>
      </c>
      <c r="AO27" s="199" t="e">
        <f>0.01*$R$85</f>
        <v>#DIV/0!</v>
      </c>
      <c r="AP27" s="199" t="e">
        <f>0.01*$R$86</f>
        <v>#DIV/0!</v>
      </c>
      <c r="AQ27" s="199" t="e">
        <f>0.01*$R$87</f>
        <v>#DIV/0!</v>
      </c>
      <c r="AR27" s="199" t="e">
        <f>0.01*$R$88</f>
        <v>#DIV/0!</v>
      </c>
      <c r="AS27" s="199" t="e">
        <f>0.01*$R$90</f>
        <v>#DIV/0!</v>
      </c>
      <c r="AT27" s="199" t="e">
        <f>0.01*$R$91</f>
        <v>#DIV/0!</v>
      </c>
      <c r="AU27" s="199" t="e">
        <f>0.01*$R$92</f>
        <v>#DIV/0!</v>
      </c>
      <c r="AV27" s="199" t="e">
        <f>0.01*$R$93</f>
        <v>#DIV/0!</v>
      </c>
      <c r="AW27" s="199" t="e">
        <f>0.01*$R$94</f>
        <v>#DIV/0!</v>
      </c>
      <c r="AX27" s="174"/>
      <c r="AY27" s="174"/>
      <c r="AZ27" s="174"/>
      <c r="BA27" s="174"/>
      <c r="BB27" s="174"/>
      <c r="BC27" s="174"/>
      <c r="BD27" s="174"/>
      <c r="BE27" s="174"/>
      <c r="BF27" s="174"/>
      <c r="BG27" s="9"/>
    </row>
    <row r="28" spans="1:59">
      <c r="A28" s="2">
        <v>2021</v>
      </c>
      <c r="B28" t="s">
        <v>6</v>
      </c>
      <c r="C28" s="199" t="e">
        <f>$S$47</f>
        <v>#DIV/0!</v>
      </c>
      <c r="D28" s="199" t="e">
        <f>$S$48</f>
        <v>#DIV/0!</v>
      </c>
      <c r="E28" s="199" t="e">
        <f>$S$49</f>
        <v>#DIV/0!</v>
      </c>
      <c r="F28" s="199" t="e">
        <f>$S$50</f>
        <v>#DIV/0!</v>
      </c>
      <c r="G28" s="199" t="e">
        <f>$S$51</f>
        <v>#DIV/0!</v>
      </c>
      <c r="H28" s="199" t="e">
        <f>$S$52</f>
        <v>#DIV/0!</v>
      </c>
      <c r="I28" s="199" t="e">
        <f>$S$53</f>
        <v>#DIV/0!</v>
      </c>
      <c r="J28" s="199" t="e">
        <f>$S$54</f>
        <v>#DIV/0!</v>
      </c>
      <c r="K28" s="199" t="e">
        <f>$S$55</f>
        <v>#DIV/0!</v>
      </c>
      <c r="L28" s="199" t="e">
        <f>$S$56</f>
        <v>#DIV/0!</v>
      </c>
      <c r="M28" s="199" t="e">
        <f>$S$57</f>
        <v>#DIV/0!</v>
      </c>
      <c r="N28" s="199" t="e">
        <f>$S$58</f>
        <v>#DIV/0!</v>
      </c>
      <c r="O28" s="199" t="e">
        <f>$S$59</f>
        <v>#DIV/0!</v>
      </c>
      <c r="P28" s="199" t="e">
        <f>$S$60</f>
        <v>#DIV/0!</v>
      </c>
      <c r="Q28" s="199" t="e">
        <f>$S$61</f>
        <v>#DIV/0!</v>
      </c>
      <c r="R28" s="199" t="e">
        <f>$S$62</f>
        <v>#DIV/0!</v>
      </c>
      <c r="S28" s="199" t="e">
        <f>$S$63</f>
        <v>#DIV/0!</v>
      </c>
      <c r="T28" s="199" t="e">
        <f>$S$64</f>
        <v>#DIV/0!</v>
      </c>
      <c r="U28" s="199" t="e">
        <f>$S$65</f>
        <v>#DIV/0!</v>
      </c>
      <c r="V28" s="199" t="e">
        <f>$S$66</f>
        <v>#DIV/0!</v>
      </c>
      <c r="W28" s="199" t="e">
        <f>$S$67</f>
        <v>#DIV/0!</v>
      </c>
      <c r="X28" s="199" t="e">
        <f>$S$68</f>
        <v>#DIV/0!</v>
      </c>
      <c r="Y28" s="199" t="e">
        <f>$S$69</f>
        <v>#DIV/0!</v>
      </c>
      <c r="Z28" s="199" t="e">
        <f>$S$70</f>
        <v>#DIV/0!</v>
      </c>
      <c r="AA28" s="199" t="e">
        <f>$S$71</f>
        <v>#DIV/0!</v>
      </c>
      <c r="AB28" s="199" t="e">
        <f>$S$72</f>
        <v>#DIV/0!</v>
      </c>
      <c r="AC28" s="199" t="e">
        <f>$S$73</f>
        <v>#DIV/0!</v>
      </c>
      <c r="AD28" s="199" t="e">
        <f>$S$74</f>
        <v>#DIV/0!</v>
      </c>
      <c r="AE28" s="199" t="e">
        <f>$S$75</f>
        <v>#DIV/0!</v>
      </c>
      <c r="AF28" s="199" t="e">
        <f>$S$76</f>
        <v>#DIV/0!</v>
      </c>
      <c r="AG28" s="199" t="e">
        <f>$S$77</f>
        <v>#DIV/0!</v>
      </c>
      <c r="AH28" s="199" t="e">
        <f>$S$78</f>
        <v>#DIV/0!</v>
      </c>
      <c r="AI28" s="199" t="e">
        <f>$S$79</f>
        <v>#DIV/0!</v>
      </c>
      <c r="AJ28" s="199" t="e">
        <f>$S$80</f>
        <v>#DIV/0!</v>
      </c>
      <c r="AK28" s="199" t="e">
        <f>$S$81</f>
        <v>#DIV/0!</v>
      </c>
      <c r="AL28" s="199" t="e">
        <f>$S$82</f>
        <v>#DIV/0!</v>
      </c>
      <c r="AM28" s="199" t="e">
        <f>$S$83</f>
        <v>#DIV/0!</v>
      </c>
      <c r="AN28" s="199" t="e">
        <f>$S$84</f>
        <v>#DIV/0!</v>
      </c>
      <c r="AO28" s="199" t="e">
        <f>$S$85</f>
        <v>#DIV/0!</v>
      </c>
      <c r="AP28" s="199" t="e">
        <f>$S$86</f>
        <v>#DIV/0!</v>
      </c>
      <c r="AQ28" s="199" t="e">
        <f>$S$87</f>
        <v>#DIV/0!</v>
      </c>
      <c r="AR28" s="199" t="e">
        <f>$S$88</f>
        <v>#DIV/0!</v>
      </c>
      <c r="AS28" s="199" t="e">
        <f>$S$90</f>
        <v>#DIV/0!</v>
      </c>
      <c r="AT28" s="199" t="e">
        <f>$S$91</f>
        <v>#DIV/0!</v>
      </c>
      <c r="AU28" s="199" t="e">
        <f>$S$92</f>
        <v>#DIV/0!</v>
      </c>
      <c r="AV28" s="199" t="e">
        <f>$S$93</f>
        <v>#DIV/0!</v>
      </c>
      <c r="AW28" s="199" t="e">
        <f>$S$94</f>
        <v>#DIV/0!</v>
      </c>
      <c r="AX28" s="9"/>
      <c r="AY28" s="37"/>
      <c r="AZ28" s="9"/>
      <c r="BA28" s="9"/>
      <c r="BB28" s="9"/>
      <c r="BC28" s="9"/>
      <c r="BD28" s="9"/>
      <c r="BE28" s="9"/>
      <c r="BF28" s="9"/>
      <c r="BG28" s="9"/>
    </row>
    <row r="29" spans="1:59">
      <c r="A29" s="2">
        <v>2021</v>
      </c>
      <c r="B29" t="s">
        <v>42</v>
      </c>
      <c r="C29" s="199" t="e">
        <f>$T$47</f>
        <v>#DIV/0!</v>
      </c>
      <c r="D29" s="199" t="e">
        <f>$T$48</f>
        <v>#DIV/0!</v>
      </c>
      <c r="E29" s="199" t="e">
        <f>$T$49</f>
        <v>#DIV/0!</v>
      </c>
      <c r="F29" s="199" t="e">
        <f>$T$50</f>
        <v>#DIV/0!</v>
      </c>
      <c r="G29" s="199" t="e">
        <f>$T$51</f>
        <v>#DIV/0!</v>
      </c>
      <c r="H29" s="199" t="e">
        <f>$T$52</f>
        <v>#DIV/0!</v>
      </c>
      <c r="I29" s="199" t="e">
        <f>$T$53</f>
        <v>#DIV/0!</v>
      </c>
      <c r="J29" s="199" t="e">
        <f>$T$54</f>
        <v>#DIV/0!</v>
      </c>
      <c r="K29" s="199" t="e">
        <f>$T$55</f>
        <v>#DIV/0!</v>
      </c>
      <c r="L29" s="199" t="e">
        <f>$T$56</f>
        <v>#DIV/0!</v>
      </c>
      <c r="M29" s="199" t="e">
        <f>$T$57</f>
        <v>#DIV/0!</v>
      </c>
      <c r="N29" s="199" t="e">
        <f>$T$58</f>
        <v>#DIV/0!</v>
      </c>
      <c r="O29" s="199" t="e">
        <f>$T$59</f>
        <v>#DIV/0!</v>
      </c>
      <c r="P29" s="199" t="e">
        <f>$T$60</f>
        <v>#DIV/0!</v>
      </c>
      <c r="Q29" s="199" t="e">
        <f>$T$61</f>
        <v>#DIV/0!</v>
      </c>
      <c r="R29" s="199" t="e">
        <f>$T$62</f>
        <v>#DIV/0!</v>
      </c>
      <c r="S29" s="199" t="e">
        <f>$T$63</f>
        <v>#DIV/0!</v>
      </c>
      <c r="T29" s="199" t="e">
        <f>$T$64</f>
        <v>#DIV/0!</v>
      </c>
      <c r="U29" s="199" t="e">
        <f>$T$65</f>
        <v>#DIV/0!</v>
      </c>
      <c r="V29" s="199" t="e">
        <f>$T$66</f>
        <v>#DIV/0!</v>
      </c>
      <c r="W29" s="199" t="e">
        <f>$T$67</f>
        <v>#DIV/0!</v>
      </c>
      <c r="X29" s="199" t="e">
        <f>$T$68</f>
        <v>#DIV/0!</v>
      </c>
      <c r="Y29" s="199" t="e">
        <f>$T$69</f>
        <v>#DIV/0!</v>
      </c>
      <c r="Z29" s="199" t="e">
        <f>$T$70</f>
        <v>#DIV/0!</v>
      </c>
      <c r="AA29" s="199" t="e">
        <f>$T$71</f>
        <v>#DIV/0!</v>
      </c>
      <c r="AB29" s="199" t="e">
        <f>$T$72</f>
        <v>#DIV/0!</v>
      </c>
      <c r="AC29" s="199" t="e">
        <f>$T$73</f>
        <v>#DIV/0!</v>
      </c>
      <c r="AD29" s="199" t="e">
        <f>$T$74</f>
        <v>#DIV/0!</v>
      </c>
      <c r="AE29" s="199" t="e">
        <f>$T$75</f>
        <v>#DIV/0!</v>
      </c>
      <c r="AF29" s="199" t="e">
        <f>$T$76</f>
        <v>#DIV/0!</v>
      </c>
      <c r="AG29" s="199" t="e">
        <f>$T$77</f>
        <v>#DIV/0!</v>
      </c>
      <c r="AH29" s="199" t="e">
        <f>$T$78</f>
        <v>#DIV/0!</v>
      </c>
      <c r="AI29" s="199" t="e">
        <f>$T$79</f>
        <v>#DIV/0!</v>
      </c>
      <c r="AJ29" s="199" t="e">
        <f>$T$80</f>
        <v>#DIV/0!</v>
      </c>
      <c r="AK29" s="199" t="e">
        <f>$T$81</f>
        <v>#DIV/0!</v>
      </c>
      <c r="AL29" s="199" t="e">
        <f>$T$82</f>
        <v>#DIV/0!</v>
      </c>
      <c r="AM29" s="199" t="e">
        <f>$T$83</f>
        <v>#DIV/0!</v>
      </c>
      <c r="AN29" s="199" t="e">
        <f>$T$84</f>
        <v>#DIV/0!</v>
      </c>
      <c r="AO29" s="199" t="e">
        <f>$T$85</f>
        <v>#DIV/0!</v>
      </c>
      <c r="AP29" s="199" t="e">
        <f>$T$86</f>
        <v>#DIV/0!</v>
      </c>
      <c r="AQ29" s="199" t="e">
        <f>$T$87</f>
        <v>#DIV/0!</v>
      </c>
      <c r="AR29" s="199" t="e">
        <f>$T$88</f>
        <v>#DIV/0!</v>
      </c>
      <c r="AS29" s="199" t="e">
        <f>$T$90</f>
        <v>#DIV/0!</v>
      </c>
      <c r="AT29" s="199" t="e">
        <f>$T$91</f>
        <v>#DIV/0!</v>
      </c>
      <c r="AU29" s="199" t="e">
        <f>$T$92</f>
        <v>#DIV/0!</v>
      </c>
      <c r="AV29" s="199" t="e">
        <f>$T$93</f>
        <v>#DIV/0!</v>
      </c>
      <c r="AW29" s="199" t="e">
        <f>$T$94</f>
        <v>#DIV/0!</v>
      </c>
      <c r="AX29" s="9"/>
      <c r="AY29" s="37"/>
      <c r="AZ29" s="9"/>
      <c r="BA29" s="9"/>
      <c r="BB29" s="9"/>
      <c r="BC29" s="9"/>
      <c r="BD29" s="9"/>
      <c r="BE29" s="9"/>
      <c r="BF29" s="9"/>
      <c r="BG29" s="9"/>
    </row>
    <row r="30" spans="1:59">
      <c r="A30" s="2">
        <v>2022</v>
      </c>
      <c r="B30" t="s">
        <v>5</v>
      </c>
      <c r="C30" s="199" t="e">
        <f>$U$47</f>
        <v>#DIV/0!</v>
      </c>
      <c r="D30" s="199" t="e">
        <f>$U$48</f>
        <v>#DIV/0!</v>
      </c>
      <c r="E30" s="199" t="e">
        <f>$U$49</f>
        <v>#DIV/0!</v>
      </c>
      <c r="F30" s="199" t="e">
        <f>$U$50</f>
        <v>#DIV/0!</v>
      </c>
      <c r="G30" s="199" t="e">
        <f>$U$51</f>
        <v>#DIV/0!</v>
      </c>
      <c r="H30" s="199" t="e">
        <f>$U$52</f>
        <v>#DIV/0!</v>
      </c>
      <c r="I30" s="199" t="e">
        <f>$U$53</f>
        <v>#DIV/0!</v>
      </c>
      <c r="J30" s="199" t="e">
        <f>$U$54</f>
        <v>#DIV/0!</v>
      </c>
      <c r="K30" s="199" t="e">
        <f>$U$55</f>
        <v>#DIV/0!</v>
      </c>
      <c r="L30" s="199" t="e">
        <f>$U$56</f>
        <v>#DIV/0!</v>
      </c>
      <c r="M30" s="199" t="e">
        <f>$U$57</f>
        <v>#DIV/0!</v>
      </c>
      <c r="N30" s="199" t="e">
        <f>$U$58</f>
        <v>#DIV/0!</v>
      </c>
      <c r="O30" s="199" t="e">
        <f>$U$59</f>
        <v>#DIV/0!</v>
      </c>
      <c r="P30" s="199" t="e">
        <f>$U$60</f>
        <v>#DIV/0!</v>
      </c>
      <c r="Q30" s="199" t="e">
        <f>$U$61</f>
        <v>#DIV/0!</v>
      </c>
      <c r="R30" s="199" t="e">
        <f>$U$62</f>
        <v>#DIV/0!</v>
      </c>
      <c r="S30" s="199" t="e">
        <f>$U$63</f>
        <v>#DIV/0!</v>
      </c>
      <c r="T30" s="199" t="e">
        <f>$U$64</f>
        <v>#DIV/0!</v>
      </c>
      <c r="U30" s="199" t="e">
        <f>$U$65</f>
        <v>#DIV/0!</v>
      </c>
      <c r="V30" s="199" t="e">
        <f>$U$66</f>
        <v>#DIV/0!</v>
      </c>
      <c r="W30" s="199" t="e">
        <f>$U$67</f>
        <v>#DIV/0!</v>
      </c>
      <c r="X30" s="199" t="e">
        <f>$U$68</f>
        <v>#DIV/0!</v>
      </c>
      <c r="Y30" s="199" t="e">
        <f>$U$69</f>
        <v>#DIV/0!</v>
      </c>
      <c r="Z30" s="199" t="e">
        <f>$U$70</f>
        <v>#DIV/0!</v>
      </c>
      <c r="AA30" s="199" t="e">
        <f>$U$71</f>
        <v>#DIV/0!</v>
      </c>
      <c r="AB30" s="199" t="e">
        <f>$U$72</f>
        <v>#DIV/0!</v>
      </c>
      <c r="AC30" s="199" t="e">
        <f>$U$73</f>
        <v>#DIV/0!</v>
      </c>
      <c r="AD30" s="199" t="e">
        <f>$U$74</f>
        <v>#DIV/0!</v>
      </c>
      <c r="AE30" s="199" t="e">
        <f>$U$75</f>
        <v>#DIV/0!</v>
      </c>
      <c r="AF30" s="199" t="e">
        <f>$U$76</f>
        <v>#DIV/0!</v>
      </c>
      <c r="AG30" s="199" t="e">
        <f>$U$77</f>
        <v>#DIV/0!</v>
      </c>
      <c r="AH30" s="199" t="e">
        <f>$U$78</f>
        <v>#DIV/0!</v>
      </c>
      <c r="AI30" s="199" t="e">
        <f>$U$79</f>
        <v>#DIV/0!</v>
      </c>
      <c r="AJ30" s="199" t="e">
        <f>$U$80</f>
        <v>#DIV/0!</v>
      </c>
      <c r="AK30" s="199" t="e">
        <f>$U$81</f>
        <v>#DIV/0!</v>
      </c>
      <c r="AL30" s="199" t="e">
        <f>$U$82</f>
        <v>#DIV/0!</v>
      </c>
      <c r="AM30" s="199" t="e">
        <f>$U$83</f>
        <v>#DIV/0!</v>
      </c>
      <c r="AN30" s="199" t="e">
        <f>$U$84</f>
        <v>#DIV/0!</v>
      </c>
      <c r="AO30" s="199" t="e">
        <f>$U$85</f>
        <v>#DIV/0!</v>
      </c>
      <c r="AP30" s="199" t="e">
        <f>$U$86</f>
        <v>#DIV/0!</v>
      </c>
      <c r="AQ30" s="199" t="e">
        <f>$U$87</f>
        <v>#DIV/0!</v>
      </c>
      <c r="AR30" s="199" t="e">
        <f>$U$88</f>
        <v>#DIV/0!</v>
      </c>
      <c r="AS30" s="199" t="e">
        <f>$U$90</f>
        <v>#DIV/0!</v>
      </c>
      <c r="AT30" s="199" t="e">
        <f>$U$91</f>
        <v>#DIV/0!</v>
      </c>
      <c r="AU30" s="199" t="e">
        <f>$U$92</f>
        <v>#DIV/0!</v>
      </c>
      <c r="AV30" s="199" t="e">
        <f>$U$93</f>
        <v>#DIV/0!</v>
      </c>
      <c r="AW30" s="199" t="e">
        <f>$U$94</f>
        <v>#DIV/0!</v>
      </c>
      <c r="AX30" s="9"/>
      <c r="AY30" s="37"/>
      <c r="AZ30" s="9"/>
      <c r="BA30" s="9"/>
      <c r="BB30" s="9"/>
      <c r="BC30" s="9"/>
      <c r="BD30" s="9"/>
      <c r="BE30" s="9"/>
      <c r="BF30" s="9"/>
      <c r="BG30" s="9"/>
    </row>
    <row r="31" spans="1:59">
      <c r="A31" s="2">
        <v>2022</v>
      </c>
      <c r="B31" t="s">
        <v>6</v>
      </c>
      <c r="C31" s="199" t="e">
        <f>$V$47</f>
        <v>#DIV/0!</v>
      </c>
      <c r="D31" s="199" t="e">
        <f>$V$48</f>
        <v>#DIV/0!</v>
      </c>
      <c r="E31" s="199" t="e">
        <f>$V$49</f>
        <v>#DIV/0!</v>
      </c>
      <c r="F31" s="199" t="e">
        <f>$V$50</f>
        <v>#DIV/0!</v>
      </c>
      <c r="G31" s="199" t="e">
        <f>$V$51</f>
        <v>#DIV/0!</v>
      </c>
      <c r="H31" s="199" t="e">
        <f>$V$52</f>
        <v>#DIV/0!</v>
      </c>
      <c r="I31" s="199" t="e">
        <f>$V$53</f>
        <v>#DIV/0!</v>
      </c>
      <c r="J31" s="199" t="e">
        <f>$V$54</f>
        <v>#DIV/0!</v>
      </c>
      <c r="K31" s="199" t="e">
        <f>$V$55</f>
        <v>#DIV/0!</v>
      </c>
      <c r="L31" s="199" t="e">
        <f>$V$56</f>
        <v>#DIV/0!</v>
      </c>
      <c r="M31" s="199" t="e">
        <f>$V$57</f>
        <v>#DIV/0!</v>
      </c>
      <c r="N31" s="199" t="e">
        <f>$V$58</f>
        <v>#DIV/0!</v>
      </c>
      <c r="O31" s="199" t="e">
        <f>$V$59</f>
        <v>#DIV/0!</v>
      </c>
      <c r="P31" s="199" t="e">
        <f>$V$60</f>
        <v>#DIV/0!</v>
      </c>
      <c r="Q31" s="199" t="e">
        <f>$V$61</f>
        <v>#DIV/0!</v>
      </c>
      <c r="R31" s="199" t="e">
        <f>$V$62</f>
        <v>#DIV/0!</v>
      </c>
      <c r="S31" s="199" t="e">
        <f>$V$63</f>
        <v>#DIV/0!</v>
      </c>
      <c r="T31" s="199" t="e">
        <f>$V$64</f>
        <v>#DIV/0!</v>
      </c>
      <c r="U31" s="199" t="e">
        <f>$V$65</f>
        <v>#DIV/0!</v>
      </c>
      <c r="V31" s="199" t="e">
        <f>$V$66</f>
        <v>#DIV/0!</v>
      </c>
      <c r="W31" s="199" t="e">
        <f>$V$67</f>
        <v>#DIV/0!</v>
      </c>
      <c r="X31" s="199" t="e">
        <f>$V$68</f>
        <v>#DIV/0!</v>
      </c>
      <c r="Y31" s="199" t="e">
        <f>$V$69</f>
        <v>#DIV/0!</v>
      </c>
      <c r="Z31" s="199" t="e">
        <f>$V$70</f>
        <v>#DIV/0!</v>
      </c>
      <c r="AA31" s="199" t="e">
        <f>$V$71</f>
        <v>#DIV/0!</v>
      </c>
      <c r="AB31" s="199" t="e">
        <f>$V$72</f>
        <v>#DIV/0!</v>
      </c>
      <c r="AC31" s="199" t="e">
        <f>$V$73</f>
        <v>#DIV/0!</v>
      </c>
      <c r="AD31" s="199" t="e">
        <f>$V$74</f>
        <v>#DIV/0!</v>
      </c>
      <c r="AE31" s="199" t="e">
        <f>$V$75</f>
        <v>#DIV/0!</v>
      </c>
      <c r="AF31" s="199" t="e">
        <f>$V$76</f>
        <v>#DIV/0!</v>
      </c>
      <c r="AG31" s="199" t="e">
        <f>$V$77</f>
        <v>#DIV/0!</v>
      </c>
      <c r="AH31" s="199" t="e">
        <f>$V$78</f>
        <v>#DIV/0!</v>
      </c>
      <c r="AI31" s="199" t="e">
        <f>$V$79</f>
        <v>#DIV/0!</v>
      </c>
      <c r="AJ31" s="199" t="e">
        <f>$V$80</f>
        <v>#DIV/0!</v>
      </c>
      <c r="AK31" s="199" t="e">
        <f>$V$81</f>
        <v>#DIV/0!</v>
      </c>
      <c r="AL31" s="199" t="e">
        <f>$V$82</f>
        <v>#DIV/0!</v>
      </c>
      <c r="AM31" s="199" t="e">
        <f>$V$83</f>
        <v>#DIV/0!</v>
      </c>
      <c r="AN31" s="199" t="e">
        <f>$V$84</f>
        <v>#DIV/0!</v>
      </c>
      <c r="AO31" s="199" t="e">
        <f>$V$85</f>
        <v>#DIV/0!</v>
      </c>
      <c r="AP31" s="199" t="e">
        <f>$V$86</f>
        <v>#DIV/0!</v>
      </c>
      <c r="AQ31" s="199" t="e">
        <f>$V$87</f>
        <v>#DIV/0!</v>
      </c>
      <c r="AR31" s="199" t="e">
        <f>$V$88</f>
        <v>#DIV/0!</v>
      </c>
      <c r="AS31" s="199" t="e">
        <f>$V$90</f>
        <v>#DIV/0!</v>
      </c>
      <c r="AT31" s="199" t="e">
        <f>$V$91</f>
        <v>#DIV/0!</v>
      </c>
      <c r="AU31" s="199" t="e">
        <f>$V$92</f>
        <v>#DIV/0!</v>
      </c>
      <c r="AV31" s="199" t="e">
        <f>$V$93</f>
        <v>#DIV/0!</v>
      </c>
      <c r="AW31" s="199" t="e">
        <f>$V$94</f>
        <v>#DIV/0!</v>
      </c>
      <c r="AX31" s="9"/>
      <c r="AY31" s="37"/>
      <c r="AZ31" s="9"/>
      <c r="BA31" s="9"/>
      <c r="BB31" s="9"/>
      <c r="BC31" s="9"/>
      <c r="BD31" s="9"/>
      <c r="BE31" s="9"/>
      <c r="BF31" s="9"/>
      <c r="BG31" s="9"/>
    </row>
    <row r="32" spans="1:59">
      <c r="A32" s="2">
        <v>2022</v>
      </c>
      <c r="B32" t="s">
        <v>42</v>
      </c>
      <c r="C32" s="199" t="e">
        <f>$W$47</f>
        <v>#DIV/0!</v>
      </c>
      <c r="D32" s="199" t="e">
        <f>$W$48</f>
        <v>#DIV/0!</v>
      </c>
      <c r="E32" s="199" t="e">
        <f>$W$49</f>
        <v>#DIV/0!</v>
      </c>
      <c r="F32" s="199" t="e">
        <f>$W$50</f>
        <v>#DIV/0!</v>
      </c>
      <c r="G32" s="199" t="e">
        <f>$W$51</f>
        <v>#DIV/0!</v>
      </c>
      <c r="H32" s="199" t="e">
        <f>$W$52</f>
        <v>#DIV/0!</v>
      </c>
      <c r="I32" s="199" t="e">
        <f>$W$53</f>
        <v>#DIV/0!</v>
      </c>
      <c r="J32" s="199" t="e">
        <f>$W$54</f>
        <v>#DIV/0!</v>
      </c>
      <c r="K32" s="199" t="e">
        <f>$W$55</f>
        <v>#DIV/0!</v>
      </c>
      <c r="L32" s="199" t="e">
        <f>$W$56</f>
        <v>#DIV/0!</v>
      </c>
      <c r="M32" s="199" t="e">
        <f>$W$57</f>
        <v>#DIV/0!</v>
      </c>
      <c r="N32" s="199" t="e">
        <f>$W$58</f>
        <v>#DIV/0!</v>
      </c>
      <c r="O32" s="199" t="e">
        <f>$W$59</f>
        <v>#DIV/0!</v>
      </c>
      <c r="P32" s="199" t="e">
        <f>$W$60</f>
        <v>#DIV/0!</v>
      </c>
      <c r="Q32" s="199" t="e">
        <f>$W$61</f>
        <v>#DIV/0!</v>
      </c>
      <c r="R32" s="199" t="e">
        <f>$W$62</f>
        <v>#DIV/0!</v>
      </c>
      <c r="S32" s="199" t="e">
        <f>$W$63</f>
        <v>#DIV/0!</v>
      </c>
      <c r="T32" s="199" t="e">
        <f>$W$64</f>
        <v>#DIV/0!</v>
      </c>
      <c r="U32" s="199" t="e">
        <f>$W$65</f>
        <v>#DIV/0!</v>
      </c>
      <c r="V32" s="199" t="e">
        <f>$W$66</f>
        <v>#DIV/0!</v>
      </c>
      <c r="W32" s="199" t="e">
        <f>$W$67</f>
        <v>#DIV/0!</v>
      </c>
      <c r="X32" s="199" t="e">
        <f>$W$68</f>
        <v>#DIV/0!</v>
      </c>
      <c r="Y32" s="199" t="e">
        <f>$W$69</f>
        <v>#DIV/0!</v>
      </c>
      <c r="Z32" s="199" t="e">
        <f>$W$70</f>
        <v>#DIV/0!</v>
      </c>
      <c r="AA32" s="199" t="e">
        <f>$W$71</f>
        <v>#DIV/0!</v>
      </c>
      <c r="AB32" s="199" t="e">
        <f>$W$72</f>
        <v>#DIV/0!</v>
      </c>
      <c r="AC32" s="199" t="e">
        <f>$W$73</f>
        <v>#DIV/0!</v>
      </c>
      <c r="AD32" s="199" t="e">
        <f>$W$74</f>
        <v>#DIV/0!</v>
      </c>
      <c r="AE32" s="199" t="e">
        <f>$W$75</f>
        <v>#DIV/0!</v>
      </c>
      <c r="AF32" s="199" t="e">
        <f>$W$76</f>
        <v>#DIV/0!</v>
      </c>
      <c r="AG32" s="199" t="e">
        <f>$W$77</f>
        <v>#DIV/0!</v>
      </c>
      <c r="AH32" s="199" t="e">
        <f>$W$78</f>
        <v>#DIV/0!</v>
      </c>
      <c r="AI32" s="199" t="e">
        <f>$W$79</f>
        <v>#DIV/0!</v>
      </c>
      <c r="AJ32" s="199" t="e">
        <f>$W$80</f>
        <v>#DIV/0!</v>
      </c>
      <c r="AK32" s="199" t="e">
        <f>$W$81</f>
        <v>#DIV/0!</v>
      </c>
      <c r="AL32" s="199" t="e">
        <f>$W$82</f>
        <v>#DIV/0!</v>
      </c>
      <c r="AM32" s="199" t="e">
        <f>$W$83</f>
        <v>#DIV/0!</v>
      </c>
      <c r="AN32" s="199" t="e">
        <f>$W$84</f>
        <v>#DIV/0!</v>
      </c>
      <c r="AO32" s="199" t="e">
        <f>$W$85</f>
        <v>#DIV/0!</v>
      </c>
      <c r="AP32" s="199" t="e">
        <f>$W$86</f>
        <v>#DIV/0!</v>
      </c>
      <c r="AQ32" s="199" t="e">
        <f>$W$87</f>
        <v>#DIV/0!</v>
      </c>
      <c r="AR32" s="199" t="e">
        <f>$W$88</f>
        <v>#DIV/0!</v>
      </c>
      <c r="AS32" s="199" t="e">
        <f>$W$90</f>
        <v>#DIV/0!</v>
      </c>
      <c r="AT32" s="199" t="e">
        <f>$W$91</f>
        <v>#DIV/0!</v>
      </c>
      <c r="AU32" s="199" t="e">
        <f>$W$92</f>
        <v>#DIV/0!</v>
      </c>
      <c r="AV32" s="199" t="e">
        <f>$W$93</f>
        <v>#DIV/0!</v>
      </c>
      <c r="AW32" s="199" t="e">
        <f>$W$94</f>
        <v>#DIV/0!</v>
      </c>
      <c r="AY32" s="2"/>
    </row>
    <row r="33" spans="1:66">
      <c r="A33" s="2">
        <v>2023</v>
      </c>
      <c r="B33" t="s">
        <v>5</v>
      </c>
      <c r="C33" s="199" t="e">
        <f>$X$47</f>
        <v>#DIV/0!</v>
      </c>
      <c r="D33" s="199" t="e">
        <f>$X$48</f>
        <v>#DIV/0!</v>
      </c>
      <c r="E33" s="199" t="e">
        <f>$X$49</f>
        <v>#DIV/0!</v>
      </c>
      <c r="F33" s="199" t="e">
        <f>$X$50</f>
        <v>#DIV/0!</v>
      </c>
      <c r="G33" s="199" t="e">
        <f>$X$51</f>
        <v>#DIV/0!</v>
      </c>
      <c r="H33" s="199" t="e">
        <f>$X$52</f>
        <v>#DIV/0!</v>
      </c>
      <c r="I33" s="199" t="e">
        <f>$X$53</f>
        <v>#DIV/0!</v>
      </c>
      <c r="J33" s="199" t="e">
        <f>$X$54</f>
        <v>#DIV/0!</v>
      </c>
      <c r="K33" s="199" t="e">
        <f>$X$55</f>
        <v>#DIV/0!</v>
      </c>
      <c r="L33" s="199" t="e">
        <f>$X$56</f>
        <v>#DIV/0!</v>
      </c>
      <c r="M33" s="199" t="e">
        <f>$X$57</f>
        <v>#DIV/0!</v>
      </c>
      <c r="N33" s="199" t="e">
        <f>$X$58</f>
        <v>#DIV/0!</v>
      </c>
      <c r="O33" s="199" t="e">
        <f>$X$59</f>
        <v>#DIV/0!</v>
      </c>
      <c r="P33" s="199" t="e">
        <f>$X$60</f>
        <v>#DIV/0!</v>
      </c>
      <c r="Q33" s="199" t="e">
        <f>$X$61</f>
        <v>#DIV/0!</v>
      </c>
      <c r="R33" s="199" t="e">
        <f>$X$62</f>
        <v>#DIV/0!</v>
      </c>
      <c r="S33" s="199" t="e">
        <f>$X$63</f>
        <v>#DIV/0!</v>
      </c>
      <c r="T33" s="199" t="e">
        <f>$X$64</f>
        <v>#DIV/0!</v>
      </c>
      <c r="U33" s="199" t="e">
        <f>$X$65</f>
        <v>#DIV/0!</v>
      </c>
      <c r="V33" s="199" t="e">
        <f>$X$66</f>
        <v>#DIV/0!</v>
      </c>
      <c r="W33" s="199" t="e">
        <f>$X$67</f>
        <v>#DIV/0!</v>
      </c>
      <c r="X33" s="199" t="e">
        <f>$X$68</f>
        <v>#DIV/0!</v>
      </c>
      <c r="Y33" s="199" t="e">
        <f>$X$69</f>
        <v>#DIV/0!</v>
      </c>
      <c r="Z33" s="199" t="e">
        <f>$X$70</f>
        <v>#DIV/0!</v>
      </c>
      <c r="AA33" s="199" t="e">
        <f>$X$71</f>
        <v>#DIV/0!</v>
      </c>
      <c r="AB33" s="199" t="e">
        <f>$X$72</f>
        <v>#DIV/0!</v>
      </c>
      <c r="AC33" s="199" t="e">
        <f>$X$73</f>
        <v>#DIV/0!</v>
      </c>
      <c r="AD33" s="199" t="e">
        <f>$X$74</f>
        <v>#DIV/0!</v>
      </c>
      <c r="AE33" s="199" t="e">
        <f>$X$75</f>
        <v>#DIV/0!</v>
      </c>
      <c r="AF33" s="199" t="e">
        <f>$X$76</f>
        <v>#DIV/0!</v>
      </c>
      <c r="AG33" s="199" t="e">
        <f>$X$77</f>
        <v>#DIV/0!</v>
      </c>
      <c r="AH33" s="199" t="e">
        <f>$X$78</f>
        <v>#DIV/0!</v>
      </c>
      <c r="AI33" s="199" t="e">
        <f>$X$79</f>
        <v>#DIV/0!</v>
      </c>
      <c r="AJ33" s="199" t="e">
        <f>$X$80</f>
        <v>#DIV/0!</v>
      </c>
      <c r="AK33" s="199" t="e">
        <f>$X$81</f>
        <v>#DIV/0!</v>
      </c>
      <c r="AL33" s="199" t="e">
        <f>$X$82</f>
        <v>#DIV/0!</v>
      </c>
      <c r="AM33" s="199" t="e">
        <f>$X$83</f>
        <v>#DIV/0!</v>
      </c>
      <c r="AN33" s="199" t="e">
        <f>$X$84</f>
        <v>#DIV/0!</v>
      </c>
      <c r="AO33" s="199" t="e">
        <f>$X$85</f>
        <v>#DIV/0!</v>
      </c>
      <c r="AP33" s="199" t="e">
        <f>$X$86</f>
        <v>#DIV/0!</v>
      </c>
      <c r="AQ33" s="199" t="e">
        <f>$X$87</f>
        <v>#DIV/0!</v>
      </c>
      <c r="AR33" s="199" t="e">
        <f>$X$88</f>
        <v>#DIV/0!</v>
      </c>
      <c r="AS33" s="199" t="e">
        <f>$X$90</f>
        <v>#DIV/0!</v>
      </c>
      <c r="AT33" s="199" t="e">
        <f>$X$91</f>
        <v>#DIV/0!</v>
      </c>
      <c r="AU33" s="199" t="e">
        <f>$X$92</f>
        <v>#DIV/0!</v>
      </c>
      <c r="AV33" s="199" t="e">
        <f>$X$93</f>
        <v>#DIV/0!</v>
      </c>
      <c r="AW33" s="199" t="e">
        <f>$X$94</f>
        <v>#DIV/0!</v>
      </c>
      <c r="AY33" s="2"/>
    </row>
    <row r="34" spans="1:66">
      <c r="A34" s="2">
        <v>2023</v>
      </c>
      <c r="B34" t="s">
        <v>6</v>
      </c>
      <c r="C34" s="199" t="e">
        <f>$Y$47</f>
        <v>#DIV/0!</v>
      </c>
      <c r="D34" s="199" t="e">
        <f>$Y$48</f>
        <v>#DIV/0!</v>
      </c>
      <c r="E34" s="199" t="e">
        <f>$Y$49</f>
        <v>#DIV/0!</v>
      </c>
      <c r="F34" s="199" t="e">
        <f>$Y$50</f>
        <v>#DIV/0!</v>
      </c>
      <c r="G34" s="199" t="e">
        <f>$Y$51</f>
        <v>#DIV/0!</v>
      </c>
      <c r="H34" s="199" t="e">
        <f>$Y$52</f>
        <v>#DIV/0!</v>
      </c>
      <c r="I34" s="199" t="e">
        <f>$Y$53</f>
        <v>#DIV/0!</v>
      </c>
      <c r="J34" s="199" t="e">
        <f>$Y$54</f>
        <v>#DIV/0!</v>
      </c>
      <c r="K34" s="199" t="e">
        <f>$Y$55</f>
        <v>#DIV/0!</v>
      </c>
      <c r="L34" s="199" t="e">
        <f>$Y$56</f>
        <v>#DIV/0!</v>
      </c>
      <c r="M34" s="199" t="e">
        <f>$Y$57</f>
        <v>#DIV/0!</v>
      </c>
      <c r="N34" s="199" t="e">
        <f>$Y$58</f>
        <v>#DIV/0!</v>
      </c>
      <c r="O34" s="199" t="e">
        <f>$Y$59</f>
        <v>#DIV/0!</v>
      </c>
      <c r="P34" s="199" t="e">
        <f>$Y$60</f>
        <v>#DIV/0!</v>
      </c>
      <c r="Q34" s="199" t="e">
        <f>$Y$61</f>
        <v>#DIV/0!</v>
      </c>
      <c r="R34" s="199" t="e">
        <f>$Y$62</f>
        <v>#DIV/0!</v>
      </c>
      <c r="S34" s="199" t="e">
        <f>$Y$63</f>
        <v>#DIV/0!</v>
      </c>
      <c r="T34" s="199" t="e">
        <f>$Y$64</f>
        <v>#DIV/0!</v>
      </c>
      <c r="U34" s="199" t="e">
        <f>$Y$65</f>
        <v>#DIV/0!</v>
      </c>
      <c r="V34" s="199" t="e">
        <f>$Y$66</f>
        <v>#DIV/0!</v>
      </c>
      <c r="W34" s="199" t="e">
        <f>$Y$67</f>
        <v>#DIV/0!</v>
      </c>
      <c r="X34" s="199" t="e">
        <f>$Y$68</f>
        <v>#DIV/0!</v>
      </c>
      <c r="Y34" s="199" t="e">
        <f>$Y$69</f>
        <v>#DIV/0!</v>
      </c>
      <c r="Z34" s="199" t="e">
        <f>$Y$70</f>
        <v>#DIV/0!</v>
      </c>
      <c r="AA34" s="199" t="e">
        <f>$Y$71</f>
        <v>#DIV/0!</v>
      </c>
      <c r="AB34" s="199" t="e">
        <f>$Y$72</f>
        <v>#DIV/0!</v>
      </c>
      <c r="AC34" s="199" t="e">
        <f>$Y$73</f>
        <v>#DIV/0!</v>
      </c>
      <c r="AD34" s="199" t="e">
        <f>$Y$74</f>
        <v>#DIV/0!</v>
      </c>
      <c r="AE34" s="199" t="e">
        <f>$Y$75</f>
        <v>#DIV/0!</v>
      </c>
      <c r="AF34" s="199" t="e">
        <f>$Y$76</f>
        <v>#DIV/0!</v>
      </c>
      <c r="AG34" s="199" t="e">
        <f>$Y$77</f>
        <v>#DIV/0!</v>
      </c>
      <c r="AH34" s="199" t="e">
        <f>$Y$78</f>
        <v>#DIV/0!</v>
      </c>
      <c r="AI34" s="199" t="e">
        <f>$Y$79</f>
        <v>#DIV/0!</v>
      </c>
      <c r="AJ34" s="199" t="e">
        <f>$Y$80</f>
        <v>#DIV/0!</v>
      </c>
      <c r="AK34" s="199" t="e">
        <f>$Y$81</f>
        <v>#DIV/0!</v>
      </c>
      <c r="AL34" s="199" t="e">
        <f>$Y$82</f>
        <v>#DIV/0!</v>
      </c>
      <c r="AM34" s="199" t="e">
        <f>$Y$83</f>
        <v>#DIV/0!</v>
      </c>
      <c r="AN34" s="199" t="e">
        <f>$Y$84</f>
        <v>#DIV/0!</v>
      </c>
      <c r="AO34" s="199" t="e">
        <f>$Y$85</f>
        <v>#DIV/0!</v>
      </c>
      <c r="AP34" s="199" t="e">
        <f>$Y$86</f>
        <v>#DIV/0!</v>
      </c>
      <c r="AQ34" s="199" t="e">
        <f>$Y$87</f>
        <v>#DIV/0!</v>
      </c>
      <c r="AR34" s="199" t="e">
        <f>$Y$88</f>
        <v>#DIV/0!</v>
      </c>
      <c r="AS34" s="199" t="e">
        <f>$Y$90</f>
        <v>#DIV/0!</v>
      </c>
      <c r="AT34" s="199" t="e">
        <f>$Y$91</f>
        <v>#DIV/0!</v>
      </c>
      <c r="AU34" s="199" t="e">
        <f>$Y$92</f>
        <v>#DIV/0!</v>
      </c>
      <c r="AV34" s="199" t="e">
        <f>$Y$93</f>
        <v>#DIV/0!</v>
      </c>
      <c r="AW34" s="199" t="e">
        <f>$Y$94</f>
        <v>#DIV/0!</v>
      </c>
      <c r="AY34" s="2"/>
    </row>
    <row r="35" spans="1:66">
      <c r="A35" s="2">
        <v>2023</v>
      </c>
      <c r="B35" t="s">
        <v>42</v>
      </c>
      <c r="C35" s="199" t="e">
        <f>$Z$47</f>
        <v>#DIV/0!</v>
      </c>
      <c r="D35" s="199" t="e">
        <f>$Z$48</f>
        <v>#DIV/0!</v>
      </c>
      <c r="E35" s="199" t="e">
        <f>$Z$49</f>
        <v>#DIV/0!</v>
      </c>
      <c r="F35" s="199" t="e">
        <f>$Z$50</f>
        <v>#DIV/0!</v>
      </c>
      <c r="G35" s="199" t="e">
        <f>$Z$51</f>
        <v>#DIV/0!</v>
      </c>
      <c r="H35" s="199" t="e">
        <f>$Z$52</f>
        <v>#DIV/0!</v>
      </c>
      <c r="I35" s="199" t="e">
        <f>$Z$53</f>
        <v>#DIV/0!</v>
      </c>
      <c r="J35" s="199" t="e">
        <f>$Z$54</f>
        <v>#DIV/0!</v>
      </c>
      <c r="K35" s="199" t="e">
        <f>$Z$55</f>
        <v>#DIV/0!</v>
      </c>
      <c r="L35" s="199" t="e">
        <f>$Z$56</f>
        <v>#DIV/0!</v>
      </c>
      <c r="M35" s="199" t="e">
        <f>$Z$57</f>
        <v>#DIV/0!</v>
      </c>
      <c r="N35" s="199" t="e">
        <f>$Z$58</f>
        <v>#DIV/0!</v>
      </c>
      <c r="O35" s="199" t="e">
        <f>$Z$59</f>
        <v>#DIV/0!</v>
      </c>
      <c r="P35" s="199" t="e">
        <f>$Z$60</f>
        <v>#DIV/0!</v>
      </c>
      <c r="Q35" s="199" t="e">
        <f>$Z$61</f>
        <v>#DIV/0!</v>
      </c>
      <c r="R35" s="199" t="e">
        <f>$Z$62</f>
        <v>#DIV/0!</v>
      </c>
      <c r="S35" s="199" t="e">
        <f>$Z$63</f>
        <v>#DIV/0!</v>
      </c>
      <c r="T35" s="199" t="e">
        <f>$Z$64</f>
        <v>#DIV/0!</v>
      </c>
      <c r="U35" s="199" t="e">
        <f>$Z$65</f>
        <v>#DIV/0!</v>
      </c>
      <c r="V35" s="199" t="e">
        <f>$Z$66</f>
        <v>#DIV/0!</v>
      </c>
      <c r="W35" s="199" t="e">
        <f>$Z$67</f>
        <v>#DIV/0!</v>
      </c>
      <c r="X35" s="199" t="e">
        <f>$Z$68</f>
        <v>#DIV/0!</v>
      </c>
      <c r="Y35" s="199" t="e">
        <f>$Z$69</f>
        <v>#DIV/0!</v>
      </c>
      <c r="Z35" s="199" t="e">
        <f>$Z$70</f>
        <v>#DIV/0!</v>
      </c>
      <c r="AA35" s="199" t="e">
        <f>$Z$71</f>
        <v>#DIV/0!</v>
      </c>
      <c r="AB35" s="199" t="e">
        <f>$Z$72</f>
        <v>#DIV/0!</v>
      </c>
      <c r="AC35" s="199" t="e">
        <f>$Z$73</f>
        <v>#DIV/0!</v>
      </c>
      <c r="AD35" s="199" t="e">
        <f>$Z$74</f>
        <v>#DIV/0!</v>
      </c>
      <c r="AE35" s="199" t="e">
        <f>$Z$75</f>
        <v>#DIV/0!</v>
      </c>
      <c r="AF35" s="199" t="e">
        <f>$Z$76</f>
        <v>#DIV/0!</v>
      </c>
      <c r="AG35" s="199" t="e">
        <f>$Z$77</f>
        <v>#DIV/0!</v>
      </c>
      <c r="AH35" s="199" t="e">
        <f>$Z$78</f>
        <v>#DIV/0!</v>
      </c>
      <c r="AI35" s="199" t="e">
        <f>$Z$79</f>
        <v>#DIV/0!</v>
      </c>
      <c r="AJ35" s="199" t="e">
        <f>$Z$80</f>
        <v>#DIV/0!</v>
      </c>
      <c r="AK35" s="199" t="e">
        <f>$Z$81</f>
        <v>#DIV/0!</v>
      </c>
      <c r="AL35" s="199" t="e">
        <f>$Z$82</f>
        <v>#DIV/0!</v>
      </c>
      <c r="AM35" s="199" t="e">
        <f>$Z$83</f>
        <v>#DIV/0!</v>
      </c>
      <c r="AN35" s="199" t="e">
        <f>$Z$84</f>
        <v>#DIV/0!</v>
      </c>
      <c r="AO35" s="199" t="e">
        <f>$Z$85</f>
        <v>#DIV/0!</v>
      </c>
      <c r="AP35" s="199" t="e">
        <f>$Z$86</f>
        <v>#DIV/0!</v>
      </c>
      <c r="AQ35" s="199" t="e">
        <f>$Z$87</f>
        <v>#DIV/0!</v>
      </c>
      <c r="AR35" s="199" t="e">
        <f>$Z$88</f>
        <v>#DIV/0!</v>
      </c>
      <c r="AS35" s="199" t="e">
        <f>$Z$90</f>
        <v>#DIV/0!</v>
      </c>
      <c r="AT35" s="199" t="e">
        <f>$Z$91</f>
        <v>#DIV/0!</v>
      </c>
      <c r="AU35" s="199" t="e">
        <f>$Z$92</f>
        <v>#DIV/0!</v>
      </c>
      <c r="AV35" s="199" t="e">
        <f>$Z$93</f>
        <v>#DIV/0!</v>
      </c>
      <c r="AW35" s="199" t="e">
        <f>$Z$94</f>
        <v>#DIV/0!</v>
      </c>
      <c r="AY35" s="2"/>
    </row>
    <row r="36" spans="1:66">
      <c r="A36" s="2">
        <v>2024</v>
      </c>
      <c r="B36" t="s">
        <v>5</v>
      </c>
      <c r="C36" s="199" t="e">
        <f>$AA$47</f>
        <v>#DIV/0!</v>
      </c>
      <c r="D36" s="199" t="e">
        <f>$AA$48</f>
        <v>#DIV/0!</v>
      </c>
      <c r="E36" s="199" t="e">
        <f>$AA$49</f>
        <v>#DIV/0!</v>
      </c>
      <c r="F36" s="199" t="e">
        <f>$AA$50</f>
        <v>#DIV/0!</v>
      </c>
      <c r="G36" s="199" t="e">
        <f>$AA$51</f>
        <v>#DIV/0!</v>
      </c>
      <c r="H36" s="199" t="e">
        <f>$AA$52</f>
        <v>#DIV/0!</v>
      </c>
      <c r="I36" s="199" t="e">
        <f>$AA$53</f>
        <v>#DIV/0!</v>
      </c>
      <c r="J36" s="199" t="e">
        <f>$AA$54</f>
        <v>#DIV/0!</v>
      </c>
      <c r="K36" s="199" t="e">
        <f>$AA$55</f>
        <v>#DIV/0!</v>
      </c>
      <c r="L36" s="199" t="e">
        <f>$AA$56</f>
        <v>#DIV/0!</v>
      </c>
      <c r="M36" s="199" t="e">
        <f>$AA$57</f>
        <v>#DIV/0!</v>
      </c>
      <c r="N36" s="199" t="e">
        <f>$AA$58</f>
        <v>#DIV/0!</v>
      </c>
      <c r="O36" s="199" t="e">
        <f>$AA$59</f>
        <v>#DIV/0!</v>
      </c>
      <c r="P36" s="199" t="e">
        <f>$AA$60</f>
        <v>#DIV/0!</v>
      </c>
      <c r="Q36" s="199" t="e">
        <f>$AA$61</f>
        <v>#DIV/0!</v>
      </c>
      <c r="R36" s="199" t="e">
        <f>$AA$62</f>
        <v>#DIV/0!</v>
      </c>
      <c r="S36" s="199" t="e">
        <f>$AA$63</f>
        <v>#DIV/0!</v>
      </c>
      <c r="T36" s="199" t="e">
        <f>$AA$64</f>
        <v>#DIV/0!</v>
      </c>
      <c r="U36" s="199" t="e">
        <f>$AA$65</f>
        <v>#DIV/0!</v>
      </c>
      <c r="V36" s="199" t="e">
        <f>$AA$66</f>
        <v>#DIV/0!</v>
      </c>
      <c r="W36" s="199" t="e">
        <f>$AA$67</f>
        <v>#DIV/0!</v>
      </c>
      <c r="X36" s="199" t="e">
        <f>$AA$68</f>
        <v>#DIV/0!</v>
      </c>
      <c r="Y36" s="199" t="e">
        <f>$AA$69</f>
        <v>#DIV/0!</v>
      </c>
      <c r="Z36" s="199" t="e">
        <f>$AA$70</f>
        <v>#DIV/0!</v>
      </c>
      <c r="AA36" s="199" t="e">
        <f>$AA$71</f>
        <v>#DIV/0!</v>
      </c>
      <c r="AB36" s="199" t="e">
        <f>$AA$72</f>
        <v>#DIV/0!</v>
      </c>
      <c r="AC36" s="199" t="e">
        <f>$AA$73</f>
        <v>#DIV/0!</v>
      </c>
      <c r="AD36" s="199" t="e">
        <f>$AA$74</f>
        <v>#DIV/0!</v>
      </c>
      <c r="AE36" s="199" t="e">
        <f>$AA$75</f>
        <v>#DIV/0!</v>
      </c>
      <c r="AF36" s="199" t="e">
        <f>$AA$76</f>
        <v>#DIV/0!</v>
      </c>
      <c r="AG36" s="199" t="e">
        <f>$AA$77</f>
        <v>#DIV/0!</v>
      </c>
      <c r="AH36" s="199" t="e">
        <f>$AA$78</f>
        <v>#DIV/0!</v>
      </c>
      <c r="AI36" s="199" t="e">
        <f>$AA$79</f>
        <v>#DIV/0!</v>
      </c>
      <c r="AJ36" s="199" t="e">
        <f>$AA$80</f>
        <v>#DIV/0!</v>
      </c>
      <c r="AK36" s="199" t="e">
        <f>$AA$81</f>
        <v>#DIV/0!</v>
      </c>
      <c r="AL36" s="199" t="e">
        <f>$AA$82</f>
        <v>#DIV/0!</v>
      </c>
      <c r="AM36" s="199" t="e">
        <f>$AA$83</f>
        <v>#DIV/0!</v>
      </c>
      <c r="AN36" s="199" t="e">
        <f>$AA$84</f>
        <v>#DIV/0!</v>
      </c>
      <c r="AO36" s="199" t="e">
        <f>$AA$85</f>
        <v>#DIV/0!</v>
      </c>
      <c r="AP36" s="199" t="e">
        <f>$AA$86</f>
        <v>#DIV/0!</v>
      </c>
      <c r="AQ36" s="199" t="e">
        <f>$AA$87</f>
        <v>#DIV/0!</v>
      </c>
      <c r="AR36" s="199" t="e">
        <f>$AA$88</f>
        <v>#DIV/0!</v>
      </c>
      <c r="AS36" s="199" t="e">
        <f>$AA$90</f>
        <v>#DIV/0!</v>
      </c>
      <c r="AT36" s="199" t="e">
        <f>$AA$91</f>
        <v>#DIV/0!</v>
      </c>
      <c r="AU36" s="199" t="e">
        <f>$AA$92</f>
        <v>#DIV/0!</v>
      </c>
      <c r="AV36" s="199" t="e">
        <f>$AA$93</f>
        <v>#DIV/0!</v>
      </c>
      <c r="AW36" s="199" t="e">
        <f>$AA$94</f>
        <v>#DIV/0!</v>
      </c>
      <c r="AY36" s="2"/>
    </row>
    <row r="37" spans="1:66">
      <c r="A37" s="2">
        <v>2024</v>
      </c>
      <c r="B37" t="s">
        <v>6</v>
      </c>
      <c r="C37" s="199" t="e">
        <f>$AB$47</f>
        <v>#DIV/0!</v>
      </c>
      <c r="D37" s="199" t="e">
        <f>$AB$48</f>
        <v>#DIV/0!</v>
      </c>
      <c r="E37" s="199" t="e">
        <f>$AB$49</f>
        <v>#DIV/0!</v>
      </c>
      <c r="F37" s="199" t="e">
        <f>$AB$50</f>
        <v>#DIV/0!</v>
      </c>
      <c r="G37" s="199" t="e">
        <f>$AB$51</f>
        <v>#DIV/0!</v>
      </c>
      <c r="H37" s="199" t="e">
        <f>$AB$52</f>
        <v>#DIV/0!</v>
      </c>
      <c r="I37" s="199" t="e">
        <f>$AB$53</f>
        <v>#DIV/0!</v>
      </c>
      <c r="J37" s="199" t="e">
        <f>$AB$54</f>
        <v>#DIV/0!</v>
      </c>
      <c r="K37" s="199" t="e">
        <f>$AB$55</f>
        <v>#DIV/0!</v>
      </c>
      <c r="L37" s="199" t="e">
        <f>$AB$56</f>
        <v>#DIV/0!</v>
      </c>
      <c r="M37" s="199" t="e">
        <f>$AB$57</f>
        <v>#DIV/0!</v>
      </c>
      <c r="N37" s="199" t="e">
        <f>$AB$58</f>
        <v>#DIV/0!</v>
      </c>
      <c r="O37" s="199" t="e">
        <f>$AB$59</f>
        <v>#DIV/0!</v>
      </c>
      <c r="P37" s="199" t="e">
        <f>$AB$60</f>
        <v>#DIV/0!</v>
      </c>
      <c r="Q37" s="199" t="e">
        <f>$AB$61</f>
        <v>#DIV/0!</v>
      </c>
      <c r="R37" s="199" t="e">
        <f>$AB$62</f>
        <v>#DIV/0!</v>
      </c>
      <c r="S37" s="199" t="e">
        <f>$AB$63</f>
        <v>#DIV/0!</v>
      </c>
      <c r="T37" s="199" t="e">
        <f>$AB$64</f>
        <v>#DIV/0!</v>
      </c>
      <c r="U37" s="199" t="e">
        <f>$AB$65</f>
        <v>#DIV/0!</v>
      </c>
      <c r="V37" s="199" t="e">
        <f>$AB$66</f>
        <v>#DIV/0!</v>
      </c>
      <c r="W37" s="199" t="e">
        <f>$AB$67</f>
        <v>#DIV/0!</v>
      </c>
      <c r="X37" s="199" t="e">
        <f>$AB$68</f>
        <v>#DIV/0!</v>
      </c>
      <c r="Y37" s="199" t="e">
        <f>$AB$69</f>
        <v>#DIV/0!</v>
      </c>
      <c r="Z37" s="199" t="e">
        <f>$AB$70</f>
        <v>#DIV/0!</v>
      </c>
      <c r="AA37" s="199" t="e">
        <f>$AB$71</f>
        <v>#DIV/0!</v>
      </c>
      <c r="AB37" s="199" t="e">
        <f>$AB$72</f>
        <v>#DIV/0!</v>
      </c>
      <c r="AC37" s="199" t="e">
        <f>$AB$73</f>
        <v>#DIV/0!</v>
      </c>
      <c r="AD37" s="199" t="e">
        <f>$AB$74</f>
        <v>#DIV/0!</v>
      </c>
      <c r="AE37" s="199" t="e">
        <f>$AB$75</f>
        <v>#DIV/0!</v>
      </c>
      <c r="AF37" s="199" t="e">
        <f>$AB$76</f>
        <v>#DIV/0!</v>
      </c>
      <c r="AG37" s="199" t="e">
        <f>$AB$77</f>
        <v>#DIV/0!</v>
      </c>
      <c r="AH37" s="199" t="e">
        <f>$AB$78</f>
        <v>#DIV/0!</v>
      </c>
      <c r="AI37" s="199" t="e">
        <f>$AB$79</f>
        <v>#DIV/0!</v>
      </c>
      <c r="AJ37" s="199" t="e">
        <f>$AB$80</f>
        <v>#DIV/0!</v>
      </c>
      <c r="AK37" s="199" t="e">
        <f>$AB$81</f>
        <v>#DIV/0!</v>
      </c>
      <c r="AL37" s="199" t="e">
        <f>$AB$82</f>
        <v>#DIV/0!</v>
      </c>
      <c r="AM37" s="199" t="e">
        <f>$AB$83</f>
        <v>#DIV/0!</v>
      </c>
      <c r="AN37" s="199" t="e">
        <f>$AB$84</f>
        <v>#DIV/0!</v>
      </c>
      <c r="AO37" s="199" t="e">
        <f>$AB$85</f>
        <v>#DIV/0!</v>
      </c>
      <c r="AP37" s="199" t="e">
        <f>$AB$86</f>
        <v>#DIV/0!</v>
      </c>
      <c r="AQ37" s="199" t="e">
        <f>$AB$87</f>
        <v>#DIV/0!</v>
      </c>
      <c r="AR37" s="199" t="e">
        <f>$AB$88</f>
        <v>#DIV/0!</v>
      </c>
      <c r="AS37" s="199" t="e">
        <f>$AB$90</f>
        <v>#DIV/0!</v>
      </c>
      <c r="AT37" s="199" t="e">
        <f>$AB$91</f>
        <v>#DIV/0!</v>
      </c>
      <c r="AU37" s="199" t="e">
        <f>$AB$92</f>
        <v>#DIV/0!</v>
      </c>
      <c r="AV37" s="199" t="e">
        <f>$AB$93</f>
        <v>#DIV/0!</v>
      </c>
      <c r="AW37" s="199" t="e">
        <f>$AB$94</f>
        <v>#DIV/0!</v>
      </c>
      <c r="AY37" s="2"/>
    </row>
    <row r="38" spans="1:66">
      <c r="A38" s="2">
        <v>2024</v>
      </c>
      <c r="B38" t="s">
        <v>42</v>
      </c>
      <c r="C38" s="199" t="e">
        <f>$AC$47</f>
        <v>#DIV/0!</v>
      </c>
      <c r="D38" s="199" t="e">
        <f>$AC$48</f>
        <v>#DIV/0!</v>
      </c>
      <c r="E38" s="199" t="e">
        <f>$AC$49</f>
        <v>#DIV/0!</v>
      </c>
      <c r="F38" s="199" t="e">
        <f>$AC$50</f>
        <v>#DIV/0!</v>
      </c>
      <c r="G38" s="199" t="e">
        <f>$AC$51</f>
        <v>#DIV/0!</v>
      </c>
      <c r="H38" s="199" t="e">
        <f>$AC$52</f>
        <v>#DIV/0!</v>
      </c>
      <c r="I38" s="199" t="e">
        <f>$AC$53</f>
        <v>#DIV/0!</v>
      </c>
      <c r="J38" s="199" t="e">
        <f>$AC$54</f>
        <v>#DIV/0!</v>
      </c>
      <c r="K38" s="199" t="e">
        <f>$AC$55</f>
        <v>#DIV/0!</v>
      </c>
      <c r="L38" s="199" t="e">
        <f>$AC$56</f>
        <v>#DIV/0!</v>
      </c>
      <c r="M38" s="199" t="e">
        <f>$AC$57</f>
        <v>#DIV/0!</v>
      </c>
      <c r="N38" s="199" t="e">
        <f>$AC$58</f>
        <v>#DIV/0!</v>
      </c>
      <c r="O38" s="199" t="e">
        <f>$AC$59</f>
        <v>#DIV/0!</v>
      </c>
      <c r="P38" s="199" t="e">
        <f>$AC$60</f>
        <v>#DIV/0!</v>
      </c>
      <c r="Q38" s="199" t="e">
        <f>$AC$61</f>
        <v>#DIV/0!</v>
      </c>
      <c r="R38" s="199" t="e">
        <f>$AC$62</f>
        <v>#DIV/0!</v>
      </c>
      <c r="S38" s="199" t="e">
        <f>$AC$63</f>
        <v>#DIV/0!</v>
      </c>
      <c r="T38" s="199" t="e">
        <f>$AC$64</f>
        <v>#DIV/0!</v>
      </c>
      <c r="U38" s="199" t="e">
        <f>$AC$65</f>
        <v>#DIV/0!</v>
      </c>
      <c r="V38" s="199" t="e">
        <f>$AC$66</f>
        <v>#DIV/0!</v>
      </c>
      <c r="W38" s="199" t="e">
        <f>$AC$67</f>
        <v>#DIV/0!</v>
      </c>
      <c r="X38" s="199" t="e">
        <f>$AC$68</f>
        <v>#DIV/0!</v>
      </c>
      <c r="Y38" s="199" t="e">
        <f>$AC$69</f>
        <v>#DIV/0!</v>
      </c>
      <c r="Z38" s="199" t="e">
        <f>$AC$70</f>
        <v>#DIV/0!</v>
      </c>
      <c r="AA38" s="199" t="e">
        <f>$AC$71</f>
        <v>#DIV/0!</v>
      </c>
      <c r="AB38" s="199" t="e">
        <f>$AC$72</f>
        <v>#DIV/0!</v>
      </c>
      <c r="AC38" s="199" t="e">
        <f>$AC$73</f>
        <v>#DIV/0!</v>
      </c>
      <c r="AD38" s="199" t="e">
        <f>$AC$74</f>
        <v>#DIV/0!</v>
      </c>
      <c r="AE38" s="199" t="e">
        <f>$AC$75</f>
        <v>#DIV/0!</v>
      </c>
      <c r="AF38" s="199" t="e">
        <f>$AC$76</f>
        <v>#DIV/0!</v>
      </c>
      <c r="AG38" s="199" t="e">
        <f>$AC$77</f>
        <v>#DIV/0!</v>
      </c>
      <c r="AH38" s="199" t="e">
        <f>$AC$78</f>
        <v>#DIV/0!</v>
      </c>
      <c r="AI38" s="199" t="e">
        <f>$AC$79</f>
        <v>#DIV/0!</v>
      </c>
      <c r="AJ38" s="199" t="e">
        <f>$AC$80</f>
        <v>#DIV/0!</v>
      </c>
      <c r="AK38" s="199" t="e">
        <f>$AC$81</f>
        <v>#DIV/0!</v>
      </c>
      <c r="AL38" s="199" t="e">
        <f>$AC$82</f>
        <v>#DIV/0!</v>
      </c>
      <c r="AM38" s="199" t="e">
        <f>$AC$83</f>
        <v>#DIV/0!</v>
      </c>
      <c r="AN38" s="199" t="e">
        <f>$AC$84</f>
        <v>#DIV/0!</v>
      </c>
      <c r="AO38" s="199" t="e">
        <f>$AC$85</f>
        <v>#DIV/0!</v>
      </c>
      <c r="AP38" s="199" t="e">
        <f>$AC$86</f>
        <v>#DIV/0!</v>
      </c>
      <c r="AQ38" s="199" t="e">
        <f>$AC$87</f>
        <v>#DIV/0!</v>
      </c>
      <c r="AR38" s="199" t="e">
        <f>$AC$88</f>
        <v>#DIV/0!</v>
      </c>
      <c r="AS38" s="199" t="e">
        <f>$AC$90</f>
        <v>#DIV/0!</v>
      </c>
      <c r="AT38" s="199" t="e">
        <f>$AC$91</f>
        <v>#DIV/0!</v>
      </c>
      <c r="AU38" s="199" t="e">
        <f>$AC$92</f>
        <v>#DIV/0!</v>
      </c>
      <c r="AV38" s="199" t="e">
        <f>$AC$93</f>
        <v>#DIV/0!</v>
      </c>
      <c r="AW38" s="199" t="e">
        <f>$AC$94</f>
        <v>#DIV/0!</v>
      </c>
      <c r="AY38" s="2"/>
    </row>
    <row r="39" spans="1:66">
      <c r="A39" s="2">
        <v>2025</v>
      </c>
      <c r="B39" t="s">
        <v>5</v>
      </c>
      <c r="C39" s="199" t="e">
        <f>$AD$47</f>
        <v>#DIV/0!</v>
      </c>
      <c r="D39" s="199" t="e">
        <f>$AD$48</f>
        <v>#DIV/0!</v>
      </c>
      <c r="E39" s="199" t="e">
        <f>$AD$49</f>
        <v>#DIV/0!</v>
      </c>
      <c r="F39" s="199" t="e">
        <f>$AD$50</f>
        <v>#DIV/0!</v>
      </c>
      <c r="G39" s="199" t="e">
        <f>$AD$51</f>
        <v>#DIV/0!</v>
      </c>
      <c r="H39" s="199" t="e">
        <f>$AD$52</f>
        <v>#DIV/0!</v>
      </c>
      <c r="I39" s="199" t="e">
        <f>$AD$53</f>
        <v>#DIV/0!</v>
      </c>
      <c r="J39" s="199" t="e">
        <f>$AD$54</f>
        <v>#DIV/0!</v>
      </c>
      <c r="K39" s="199" t="e">
        <f>$AD$55</f>
        <v>#DIV/0!</v>
      </c>
      <c r="L39" s="199" t="e">
        <f>$AD$56</f>
        <v>#DIV/0!</v>
      </c>
      <c r="M39" s="199" t="e">
        <f>$AD$57</f>
        <v>#DIV/0!</v>
      </c>
      <c r="N39" s="199" t="e">
        <f>$AD$58</f>
        <v>#DIV/0!</v>
      </c>
      <c r="O39" s="199" t="e">
        <f>$AD$59</f>
        <v>#DIV/0!</v>
      </c>
      <c r="P39" s="199" t="e">
        <f>$AD$60</f>
        <v>#DIV/0!</v>
      </c>
      <c r="Q39" s="199" t="e">
        <f>$AD$61</f>
        <v>#DIV/0!</v>
      </c>
      <c r="R39" s="199" t="e">
        <f>$AD$62</f>
        <v>#DIV/0!</v>
      </c>
      <c r="S39" s="199" t="e">
        <f>$AD$63</f>
        <v>#DIV/0!</v>
      </c>
      <c r="T39" s="199" t="e">
        <f>$AD$64</f>
        <v>#DIV/0!</v>
      </c>
      <c r="U39" s="199" t="e">
        <f>$AD$65</f>
        <v>#DIV/0!</v>
      </c>
      <c r="V39" s="199" t="e">
        <f>$AD$66</f>
        <v>#DIV/0!</v>
      </c>
      <c r="W39" s="199" t="e">
        <f>$AD$67</f>
        <v>#DIV/0!</v>
      </c>
      <c r="X39" s="199" t="e">
        <f>$AD$68</f>
        <v>#DIV/0!</v>
      </c>
      <c r="Y39" s="199" t="e">
        <f>$AD$69</f>
        <v>#DIV/0!</v>
      </c>
      <c r="Z39" s="199" t="e">
        <f>$AD$70</f>
        <v>#DIV/0!</v>
      </c>
      <c r="AA39" s="199" t="e">
        <f>$AD$71</f>
        <v>#DIV/0!</v>
      </c>
      <c r="AB39" s="199" t="e">
        <f>$AD$72</f>
        <v>#DIV/0!</v>
      </c>
      <c r="AC39" s="199" t="e">
        <f>$AD$73</f>
        <v>#DIV/0!</v>
      </c>
      <c r="AD39" s="199" t="e">
        <f>$AD$74</f>
        <v>#DIV/0!</v>
      </c>
      <c r="AE39" s="199" t="e">
        <f>$AD$75</f>
        <v>#DIV/0!</v>
      </c>
      <c r="AF39" s="199" t="e">
        <f>$AD$76</f>
        <v>#DIV/0!</v>
      </c>
      <c r="AG39" s="199" t="e">
        <f>$AD$77</f>
        <v>#DIV/0!</v>
      </c>
      <c r="AH39" s="199" t="e">
        <f>$AD$78</f>
        <v>#DIV/0!</v>
      </c>
      <c r="AI39" s="199" t="e">
        <f>$AD$79</f>
        <v>#DIV/0!</v>
      </c>
      <c r="AJ39" s="199" t="e">
        <f>$AD$80</f>
        <v>#DIV/0!</v>
      </c>
      <c r="AK39" s="199" t="e">
        <f>$AD$81</f>
        <v>#DIV/0!</v>
      </c>
      <c r="AL39" s="199" t="e">
        <f>$AD$82</f>
        <v>#DIV/0!</v>
      </c>
      <c r="AM39" s="199" t="e">
        <f>$AD$83</f>
        <v>#DIV/0!</v>
      </c>
      <c r="AN39" s="199" t="e">
        <f>$AD$84</f>
        <v>#DIV/0!</v>
      </c>
      <c r="AO39" s="199" t="e">
        <f>$AD$85</f>
        <v>#DIV/0!</v>
      </c>
      <c r="AP39" s="199" t="e">
        <f>$AD$86</f>
        <v>#DIV/0!</v>
      </c>
      <c r="AQ39" s="199" t="e">
        <f>$AD$87</f>
        <v>#DIV/0!</v>
      </c>
      <c r="AR39" s="199" t="e">
        <f>$AD$88</f>
        <v>#DIV/0!</v>
      </c>
      <c r="AS39" s="199" t="e">
        <f>$AD$90</f>
        <v>#DIV/0!</v>
      </c>
      <c r="AT39" s="199" t="e">
        <f>$AD$91</f>
        <v>#DIV/0!</v>
      </c>
      <c r="AU39" s="199" t="e">
        <f>$AD$92</f>
        <v>#DIV/0!</v>
      </c>
      <c r="AV39" s="199" t="e">
        <f>$AD$93</f>
        <v>#DIV/0!</v>
      </c>
      <c r="AW39" s="199" t="e">
        <f>$AD$94</f>
        <v>#DIV/0!</v>
      </c>
      <c r="AY39" s="2"/>
    </row>
    <row r="40" spans="1:66">
      <c r="A40" s="2">
        <v>2025</v>
      </c>
      <c r="B40" t="s">
        <v>6</v>
      </c>
      <c r="C40" s="199" t="e">
        <f>$AE$47</f>
        <v>#DIV/0!</v>
      </c>
      <c r="D40" s="199" t="e">
        <f>$AE$48</f>
        <v>#DIV/0!</v>
      </c>
      <c r="E40" s="199" t="e">
        <f>$AE$49</f>
        <v>#DIV/0!</v>
      </c>
      <c r="F40" s="199" t="e">
        <f>$AE$50</f>
        <v>#DIV/0!</v>
      </c>
      <c r="G40" s="199" t="e">
        <f>$AE$51</f>
        <v>#DIV/0!</v>
      </c>
      <c r="H40" s="199" t="e">
        <f>$AE$52</f>
        <v>#DIV/0!</v>
      </c>
      <c r="I40" s="199" t="e">
        <f>$AE$53</f>
        <v>#DIV/0!</v>
      </c>
      <c r="J40" s="199" t="e">
        <f>$AE$54</f>
        <v>#DIV/0!</v>
      </c>
      <c r="K40" s="199" t="e">
        <f>$AE$55</f>
        <v>#DIV/0!</v>
      </c>
      <c r="L40" s="199" t="e">
        <f>$AE$56</f>
        <v>#DIV/0!</v>
      </c>
      <c r="M40" s="199" t="e">
        <f>$AE$57</f>
        <v>#DIV/0!</v>
      </c>
      <c r="N40" s="199" t="e">
        <f>$AE$58</f>
        <v>#DIV/0!</v>
      </c>
      <c r="O40" s="199" t="e">
        <f>$AE$59</f>
        <v>#DIV/0!</v>
      </c>
      <c r="P40" s="199" t="e">
        <f>$AE$60</f>
        <v>#DIV/0!</v>
      </c>
      <c r="Q40" s="199" t="e">
        <f>$AE$61</f>
        <v>#DIV/0!</v>
      </c>
      <c r="R40" s="199" t="e">
        <f>$AE$62</f>
        <v>#DIV/0!</v>
      </c>
      <c r="S40" s="199" t="e">
        <f>$AE$63</f>
        <v>#DIV/0!</v>
      </c>
      <c r="T40" s="199" t="e">
        <f>$AE$64</f>
        <v>#DIV/0!</v>
      </c>
      <c r="U40" s="199" t="e">
        <f>$AE$65</f>
        <v>#DIV/0!</v>
      </c>
      <c r="V40" s="199" t="e">
        <f>$AE$66</f>
        <v>#DIV/0!</v>
      </c>
      <c r="W40" s="199" t="e">
        <f>$AE$67</f>
        <v>#DIV/0!</v>
      </c>
      <c r="X40" s="199" t="e">
        <f>$AE$68</f>
        <v>#DIV/0!</v>
      </c>
      <c r="Y40" s="199" t="e">
        <f>$AE$69</f>
        <v>#DIV/0!</v>
      </c>
      <c r="Z40" s="199" t="e">
        <f>$AE$70</f>
        <v>#DIV/0!</v>
      </c>
      <c r="AA40" s="199" t="e">
        <f>$AE$71</f>
        <v>#DIV/0!</v>
      </c>
      <c r="AB40" s="199" t="e">
        <f>$AE$72</f>
        <v>#DIV/0!</v>
      </c>
      <c r="AC40" s="199" t="e">
        <f>$AE$73</f>
        <v>#DIV/0!</v>
      </c>
      <c r="AD40" s="199" t="e">
        <f>$AE$74</f>
        <v>#DIV/0!</v>
      </c>
      <c r="AE40" s="199" t="e">
        <f>$AE$75</f>
        <v>#DIV/0!</v>
      </c>
      <c r="AF40" s="199" t="e">
        <f>$AE$76</f>
        <v>#DIV/0!</v>
      </c>
      <c r="AG40" s="199" t="e">
        <f>$AE$77</f>
        <v>#DIV/0!</v>
      </c>
      <c r="AH40" s="199" t="e">
        <f>$AE$78</f>
        <v>#DIV/0!</v>
      </c>
      <c r="AI40" s="199" t="e">
        <f>$AE$79</f>
        <v>#DIV/0!</v>
      </c>
      <c r="AJ40" s="199" t="e">
        <f>$AE$80</f>
        <v>#DIV/0!</v>
      </c>
      <c r="AK40" s="199" t="e">
        <f>$AE$81</f>
        <v>#DIV/0!</v>
      </c>
      <c r="AL40" s="199" t="e">
        <f>$AE$82</f>
        <v>#DIV/0!</v>
      </c>
      <c r="AM40" s="199" t="e">
        <f>$AE$83</f>
        <v>#DIV/0!</v>
      </c>
      <c r="AN40" s="199" t="e">
        <f>$AE$84</f>
        <v>#DIV/0!</v>
      </c>
      <c r="AO40" s="199" t="e">
        <f>$AE$85</f>
        <v>#DIV/0!</v>
      </c>
      <c r="AP40" s="199" t="e">
        <f>$AE$86</f>
        <v>#DIV/0!</v>
      </c>
      <c r="AQ40" s="199" t="e">
        <f>$AE$87</f>
        <v>#DIV/0!</v>
      </c>
      <c r="AR40" s="199" t="e">
        <f>$AE$88</f>
        <v>#DIV/0!</v>
      </c>
      <c r="AS40" s="199" t="e">
        <f>$AE$90</f>
        <v>#DIV/0!</v>
      </c>
      <c r="AT40" s="199" t="e">
        <f>$AE$91</f>
        <v>#DIV/0!</v>
      </c>
      <c r="AU40" s="199" t="e">
        <f>$AE$92</f>
        <v>#DIV/0!</v>
      </c>
      <c r="AV40" s="199" t="e">
        <f>$AE$93</f>
        <v>#DIV/0!</v>
      </c>
      <c r="AW40" s="199" t="e">
        <f>$AE$94</f>
        <v>#DIV/0!</v>
      </c>
      <c r="AY40" s="2"/>
    </row>
    <row r="41" spans="1:66">
      <c r="A41" s="2">
        <v>2025</v>
      </c>
      <c r="B41" t="s">
        <v>42</v>
      </c>
      <c r="C41" s="199" t="e">
        <f>$AF$47</f>
        <v>#DIV/0!</v>
      </c>
      <c r="D41" s="199" t="e">
        <f>$AF$48</f>
        <v>#DIV/0!</v>
      </c>
      <c r="E41" s="199" t="e">
        <f>$AF$49</f>
        <v>#DIV/0!</v>
      </c>
      <c r="F41" s="199" t="e">
        <f>$AF$50</f>
        <v>#DIV/0!</v>
      </c>
      <c r="G41" s="199" t="e">
        <f>$AF$51</f>
        <v>#DIV/0!</v>
      </c>
      <c r="H41" s="199" t="e">
        <f>$AF$52</f>
        <v>#DIV/0!</v>
      </c>
      <c r="I41" s="199" t="e">
        <f>$AF$53</f>
        <v>#DIV/0!</v>
      </c>
      <c r="J41" s="199" t="e">
        <f>$AF$54</f>
        <v>#DIV/0!</v>
      </c>
      <c r="K41" s="199" t="e">
        <f>$AF$55</f>
        <v>#DIV/0!</v>
      </c>
      <c r="L41" s="199" t="e">
        <f>$AF$56</f>
        <v>#DIV/0!</v>
      </c>
      <c r="M41" s="199" t="e">
        <f>$AF$57</f>
        <v>#DIV/0!</v>
      </c>
      <c r="N41" s="199" t="e">
        <f>$AF$58</f>
        <v>#DIV/0!</v>
      </c>
      <c r="O41" s="199" t="e">
        <f>$AF$59</f>
        <v>#DIV/0!</v>
      </c>
      <c r="P41" s="199" t="e">
        <f>$AF$60</f>
        <v>#DIV/0!</v>
      </c>
      <c r="Q41" s="199" t="e">
        <f>$AF$61</f>
        <v>#DIV/0!</v>
      </c>
      <c r="R41" s="199" t="e">
        <f>$AF$62</f>
        <v>#DIV/0!</v>
      </c>
      <c r="S41" s="199" t="e">
        <f>$AF$63</f>
        <v>#DIV/0!</v>
      </c>
      <c r="T41" s="199" t="e">
        <f>$AF$64</f>
        <v>#DIV/0!</v>
      </c>
      <c r="U41" s="199" t="e">
        <f>$AF$65</f>
        <v>#DIV/0!</v>
      </c>
      <c r="V41" s="199" t="e">
        <f>$AF$66</f>
        <v>#DIV/0!</v>
      </c>
      <c r="W41" s="199" t="e">
        <f>$AF$67</f>
        <v>#DIV/0!</v>
      </c>
      <c r="X41" s="199" t="e">
        <f>$AF$68</f>
        <v>#DIV/0!</v>
      </c>
      <c r="Y41" s="199" t="e">
        <f>$AF$69</f>
        <v>#DIV/0!</v>
      </c>
      <c r="Z41" s="199" t="e">
        <f>$AF$70</f>
        <v>#DIV/0!</v>
      </c>
      <c r="AA41" s="199" t="e">
        <f>$AF$71</f>
        <v>#DIV/0!</v>
      </c>
      <c r="AB41" s="199" t="e">
        <f>$AF$72</f>
        <v>#DIV/0!</v>
      </c>
      <c r="AC41" s="199" t="e">
        <f>$AF$73</f>
        <v>#DIV/0!</v>
      </c>
      <c r="AD41" s="199" t="e">
        <f>$AF$74</f>
        <v>#DIV/0!</v>
      </c>
      <c r="AE41" s="199" t="e">
        <f>$AF$75</f>
        <v>#DIV/0!</v>
      </c>
      <c r="AF41" s="199" t="e">
        <f>$AF$76</f>
        <v>#DIV/0!</v>
      </c>
      <c r="AG41" s="199" t="e">
        <f>$AF$77</f>
        <v>#DIV/0!</v>
      </c>
      <c r="AH41" s="199" t="e">
        <f>$AF$78</f>
        <v>#DIV/0!</v>
      </c>
      <c r="AI41" s="199" t="e">
        <f>$AF$79</f>
        <v>#DIV/0!</v>
      </c>
      <c r="AJ41" s="199" t="e">
        <f>$AF$80</f>
        <v>#DIV/0!</v>
      </c>
      <c r="AK41" s="199" t="e">
        <f>$AF$81</f>
        <v>#DIV/0!</v>
      </c>
      <c r="AL41" s="199" t="e">
        <f>$AF$82</f>
        <v>#DIV/0!</v>
      </c>
      <c r="AM41" s="199" t="e">
        <f>$AF$83</f>
        <v>#DIV/0!</v>
      </c>
      <c r="AN41" s="199" t="e">
        <f>$AF$84</f>
        <v>#DIV/0!</v>
      </c>
      <c r="AO41" s="199" t="e">
        <f>$AF$85</f>
        <v>#DIV/0!</v>
      </c>
      <c r="AP41" s="199" t="e">
        <f>$AF$86</f>
        <v>#DIV/0!</v>
      </c>
      <c r="AQ41" s="199" t="e">
        <f>$AF$87</f>
        <v>#DIV/0!</v>
      </c>
      <c r="AR41" s="199" t="e">
        <f>$AF$88</f>
        <v>#DIV/0!</v>
      </c>
      <c r="AS41" s="199" t="e">
        <f>$AF$90</f>
        <v>#DIV/0!</v>
      </c>
      <c r="AT41" s="199" t="e">
        <f>$AF$91</f>
        <v>#DIV/0!</v>
      </c>
      <c r="AU41" s="199" t="e">
        <f>$AF$92</f>
        <v>#DIV/0!</v>
      </c>
      <c r="AV41" s="199" t="e">
        <f>$AF$93</f>
        <v>#DIV/0!</v>
      </c>
      <c r="AW41" s="199" t="e">
        <f>$AF$94</f>
        <v>#DIV/0!</v>
      </c>
      <c r="AY41" s="2"/>
    </row>
    <row r="42" spans="1:66">
      <c r="A42" s="2"/>
      <c r="D42" s="79"/>
      <c r="E42" s="79"/>
      <c r="F42" s="79"/>
      <c r="G42" s="79"/>
      <c r="H42" s="79"/>
      <c r="I42" s="79"/>
      <c r="Q42" s="8"/>
      <c r="R42" s="82"/>
      <c r="S42" s="82"/>
      <c r="T42" s="8"/>
      <c r="U42" s="8"/>
      <c r="V42" s="8"/>
      <c r="W42" s="8"/>
      <c r="X42" s="8"/>
      <c r="Y42" s="8"/>
      <c r="Z42" s="8"/>
      <c r="AA42" s="8"/>
      <c r="AB42" s="8"/>
      <c r="AC42" s="8"/>
      <c r="AD42" s="8"/>
    </row>
    <row r="43" spans="1:66">
      <c r="A43" s="2"/>
      <c r="D43" s="79"/>
      <c r="E43" s="79"/>
      <c r="F43" s="79"/>
      <c r="G43" s="79"/>
      <c r="H43" s="79"/>
      <c r="I43" s="79"/>
      <c r="Q43" s="8"/>
      <c r="R43" s="82"/>
      <c r="S43" s="82"/>
      <c r="T43" s="8"/>
      <c r="U43" s="8"/>
      <c r="V43" s="8"/>
      <c r="W43" s="8"/>
      <c r="X43" s="8"/>
      <c r="Y43" s="8"/>
      <c r="Z43" s="8"/>
      <c r="AA43" s="8"/>
      <c r="AB43" s="8"/>
      <c r="AC43" s="8"/>
      <c r="AD43" s="8"/>
    </row>
    <row r="44" spans="1:66">
      <c r="Q44" s="8"/>
      <c r="R44" s="82"/>
      <c r="S44" s="82"/>
      <c r="T44" s="82"/>
      <c r="U44" s="82"/>
      <c r="V44" s="82"/>
      <c r="W44" s="82"/>
      <c r="X44" s="82"/>
      <c r="Y44" s="82"/>
      <c r="Z44" s="82"/>
      <c r="AA44" s="82"/>
      <c r="AB44" s="82"/>
      <c r="AC44" s="82"/>
      <c r="AD44" s="8"/>
    </row>
    <row r="45" spans="1:66" ht="23.65" thickBot="1">
      <c r="A45" s="355" t="s">
        <v>195</v>
      </c>
      <c r="B45" s="355"/>
      <c r="C45" s="356">
        <v>2016</v>
      </c>
      <c r="D45" s="357"/>
      <c r="E45" s="358"/>
      <c r="F45" s="356">
        <v>2017</v>
      </c>
      <c r="G45" s="357"/>
      <c r="H45" s="358"/>
      <c r="I45" s="356">
        <v>2018</v>
      </c>
      <c r="J45" s="357"/>
      <c r="K45" s="358"/>
      <c r="L45" s="356">
        <v>2019</v>
      </c>
      <c r="M45" s="357"/>
      <c r="N45" s="358"/>
      <c r="O45" s="356">
        <v>2020</v>
      </c>
      <c r="P45" s="357"/>
      <c r="Q45" s="358"/>
      <c r="R45" s="356">
        <v>2021</v>
      </c>
      <c r="S45" s="357"/>
      <c r="T45" s="358"/>
      <c r="U45" s="356">
        <v>2022</v>
      </c>
      <c r="V45" s="357"/>
      <c r="W45" s="358"/>
      <c r="X45" s="356">
        <v>2023</v>
      </c>
      <c r="Y45" s="357"/>
      <c r="Z45" s="358"/>
      <c r="AA45" s="356">
        <v>2024</v>
      </c>
      <c r="AB45" s="357"/>
      <c r="AC45" s="358"/>
      <c r="AD45" s="356">
        <v>2025</v>
      </c>
      <c r="AE45" s="357"/>
      <c r="AF45" s="358"/>
      <c r="AG45" s="82"/>
      <c r="AH45" s="321" t="s">
        <v>46</v>
      </c>
      <c r="AI45" s="321"/>
      <c r="AJ45" s="82"/>
      <c r="AK45" s="368" t="s">
        <v>245</v>
      </c>
      <c r="AL45" s="368"/>
      <c r="AM45" s="368"/>
      <c r="AN45" s="368"/>
      <c r="AO45" s="368"/>
      <c r="AP45" s="368"/>
      <c r="AQ45" s="368"/>
      <c r="AR45" s="368"/>
      <c r="AS45" s="368"/>
      <c r="AT45" s="368"/>
      <c r="AU45" s="368"/>
      <c r="AV45" s="368"/>
      <c r="AW45" s="368"/>
      <c r="AX45" s="368"/>
      <c r="AY45" s="368"/>
      <c r="AZ45" s="368"/>
      <c r="BA45" s="368"/>
      <c r="BB45" s="368"/>
      <c r="BC45" s="368"/>
      <c r="BD45" s="368"/>
      <c r="BE45" s="368"/>
      <c r="BF45" s="368"/>
      <c r="BG45" s="368"/>
      <c r="BH45" s="368"/>
      <c r="BI45" s="368"/>
      <c r="BJ45" s="368"/>
      <c r="BK45" s="368"/>
      <c r="BL45" s="368"/>
      <c r="BM45" s="368"/>
      <c r="BN45" s="368"/>
    </row>
    <row r="46" spans="1:66" ht="18">
      <c r="A46" s="81" t="s">
        <v>199</v>
      </c>
      <c r="B46" s="80" t="s">
        <v>210</v>
      </c>
      <c r="C46" s="147" t="s">
        <v>5</v>
      </c>
      <c r="D46" s="148" t="s">
        <v>6</v>
      </c>
      <c r="E46" s="146" t="s">
        <v>42</v>
      </c>
      <c r="F46" s="148" t="s">
        <v>5</v>
      </c>
      <c r="G46" s="148" t="s">
        <v>6</v>
      </c>
      <c r="H46" s="146" t="s">
        <v>42</v>
      </c>
      <c r="I46" s="147" t="s">
        <v>5</v>
      </c>
      <c r="J46" s="148" t="s">
        <v>6</v>
      </c>
      <c r="K46" s="146" t="s">
        <v>42</v>
      </c>
      <c r="L46" s="148" t="s">
        <v>5</v>
      </c>
      <c r="M46" s="148" t="s">
        <v>6</v>
      </c>
      <c r="N46" s="146" t="s">
        <v>42</v>
      </c>
      <c r="O46" s="147" t="s">
        <v>5</v>
      </c>
      <c r="P46" s="148" t="s">
        <v>6</v>
      </c>
      <c r="Q46" s="146" t="s">
        <v>42</v>
      </c>
      <c r="R46" s="148" t="s">
        <v>5</v>
      </c>
      <c r="S46" s="148" t="s">
        <v>6</v>
      </c>
      <c r="T46" s="146" t="s">
        <v>42</v>
      </c>
      <c r="U46" s="147" t="s">
        <v>5</v>
      </c>
      <c r="V46" s="148" t="s">
        <v>6</v>
      </c>
      <c r="W46" s="146" t="s">
        <v>42</v>
      </c>
      <c r="X46" s="148" t="s">
        <v>5</v>
      </c>
      <c r="Y46" s="148" t="s">
        <v>6</v>
      </c>
      <c r="Z46" s="146" t="s">
        <v>42</v>
      </c>
      <c r="AA46" s="147" t="s">
        <v>5</v>
      </c>
      <c r="AB46" s="148" t="s">
        <v>6</v>
      </c>
      <c r="AC46" s="146" t="s">
        <v>42</v>
      </c>
      <c r="AD46" s="147" t="s">
        <v>5</v>
      </c>
      <c r="AE46" s="148" t="s">
        <v>6</v>
      </c>
      <c r="AF46" s="146" t="s">
        <v>42</v>
      </c>
      <c r="AG46" s="82"/>
      <c r="AH46" s="319" t="s">
        <v>65</v>
      </c>
      <c r="AI46" s="320"/>
      <c r="AJ46" s="82"/>
      <c r="AK46" s="369">
        <v>2016</v>
      </c>
      <c r="AL46" s="369"/>
      <c r="AM46" s="373"/>
      <c r="AN46" s="372">
        <v>2017</v>
      </c>
      <c r="AO46" s="369"/>
      <c r="AP46" s="373"/>
      <c r="AQ46" s="369">
        <v>2018</v>
      </c>
      <c r="AR46" s="369"/>
      <c r="AS46" s="373"/>
      <c r="AT46" s="372">
        <v>2019</v>
      </c>
      <c r="AU46" s="369"/>
      <c r="AV46" s="373"/>
      <c r="AW46" s="369">
        <v>2020</v>
      </c>
      <c r="AX46" s="369"/>
      <c r="AY46" s="373"/>
      <c r="AZ46" s="372">
        <v>2021</v>
      </c>
      <c r="BA46" s="369"/>
      <c r="BB46" s="373"/>
      <c r="BC46" s="369">
        <v>2022</v>
      </c>
      <c r="BD46" s="369"/>
      <c r="BE46" s="373"/>
      <c r="BF46" s="372">
        <v>2023</v>
      </c>
      <c r="BG46" s="369"/>
      <c r="BH46" s="373"/>
      <c r="BI46" s="369">
        <v>2024</v>
      </c>
      <c r="BJ46" s="369"/>
      <c r="BK46" s="373"/>
      <c r="BL46" s="372">
        <v>2025</v>
      </c>
      <c r="BM46" s="369"/>
      <c r="BN46" s="373"/>
    </row>
    <row r="47" spans="1:66">
      <c r="A47" s="69" t="s">
        <v>159</v>
      </c>
      <c r="B47" s="71" t="s">
        <v>162</v>
      </c>
      <c r="C47" s="104">
        <v>15.555555555555555</v>
      </c>
      <c r="D47" s="104">
        <v>12.790697674418606</v>
      </c>
      <c r="E47" s="104">
        <v>14.207650273224044</v>
      </c>
      <c r="F47" t="e">
        <f>1/0</f>
        <v>#DIV/0!</v>
      </c>
      <c r="G47" t="e">
        <f t="shared" ref="G47:AF57" si="0">1/0</f>
        <v>#DIV/0!</v>
      </c>
      <c r="H47" t="e">
        <f t="shared" si="0"/>
        <v>#DIV/0!</v>
      </c>
      <c r="I47" t="e">
        <f t="shared" si="0"/>
        <v>#DIV/0!</v>
      </c>
      <c r="J47" t="e">
        <f t="shared" si="0"/>
        <v>#DIV/0!</v>
      </c>
      <c r="K47" t="e">
        <f t="shared" si="0"/>
        <v>#DIV/0!</v>
      </c>
      <c r="L47" t="e">
        <f t="shared" si="0"/>
        <v>#DIV/0!</v>
      </c>
      <c r="M47" t="e">
        <f t="shared" si="0"/>
        <v>#DIV/0!</v>
      </c>
      <c r="N47" t="e">
        <f t="shared" si="0"/>
        <v>#DIV/0!</v>
      </c>
      <c r="O47" t="e">
        <f t="shared" si="0"/>
        <v>#DIV/0!</v>
      </c>
      <c r="P47" t="e">
        <f t="shared" si="0"/>
        <v>#DIV/0!</v>
      </c>
      <c r="Q47" t="e">
        <f t="shared" si="0"/>
        <v>#DIV/0!</v>
      </c>
      <c r="R47" t="e">
        <f t="shared" si="0"/>
        <v>#DIV/0!</v>
      </c>
      <c r="S47" t="e">
        <f t="shared" si="0"/>
        <v>#DIV/0!</v>
      </c>
      <c r="T47" t="e">
        <f t="shared" si="0"/>
        <v>#DIV/0!</v>
      </c>
      <c r="U47" t="e">
        <f t="shared" si="0"/>
        <v>#DIV/0!</v>
      </c>
      <c r="V47" t="e">
        <f t="shared" si="0"/>
        <v>#DIV/0!</v>
      </c>
      <c r="W47" t="e">
        <f t="shared" si="0"/>
        <v>#DIV/0!</v>
      </c>
      <c r="X47" t="e">
        <f t="shared" si="0"/>
        <v>#DIV/0!</v>
      </c>
      <c r="Y47" t="e">
        <f t="shared" si="0"/>
        <v>#DIV/0!</v>
      </c>
      <c r="Z47" t="e">
        <f t="shared" si="0"/>
        <v>#DIV/0!</v>
      </c>
      <c r="AA47" t="e">
        <f t="shared" si="0"/>
        <v>#DIV/0!</v>
      </c>
      <c r="AB47" t="e">
        <f t="shared" si="0"/>
        <v>#DIV/0!</v>
      </c>
      <c r="AC47" t="e">
        <f t="shared" si="0"/>
        <v>#DIV/0!</v>
      </c>
      <c r="AD47" t="e">
        <f t="shared" si="0"/>
        <v>#DIV/0!</v>
      </c>
      <c r="AE47" t="e">
        <f t="shared" si="0"/>
        <v>#DIV/0!</v>
      </c>
      <c r="AF47" t="e">
        <f t="shared" si="0"/>
        <v>#DIV/0!</v>
      </c>
      <c r="AG47" s="82"/>
      <c r="AH47" s="56" t="s">
        <v>61</v>
      </c>
      <c r="AI47" s="56" t="s">
        <v>62</v>
      </c>
      <c r="AJ47" s="82"/>
      <c r="AK47" s="182">
        <f>$C$47</f>
        <v>15.555555555555555</v>
      </c>
      <c r="AL47" s="182">
        <f>$D$47</f>
        <v>12.790697674418606</v>
      </c>
      <c r="AM47" s="182">
        <f>$E$47</f>
        <v>14.207650273224044</v>
      </c>
      <c r="AN47" s="182" t="e">
        <f>$F$47</f>
        <v>#DIV/0!</v>
      </c>
      <c r="AO47" s="182" t="e">
        <f>$G$47</f>
        <v>#DIV/0!</v>
      </c>
      <c r="AP47" s="182" t="e">
        <f>$H$47</f>
        <v>#DIV/0!</v>
      </c>
      <c r="AQ47" s="182" t="e">
        <f>$I$47</f>
        <v>#DIV/0!</v>
      </c>
      <c r="AR47" s="182" t="e">
        <f>$J$47</f>
        <v>#DIV/0!</v>
      </c>
      <c r="AS47" s="182" t="e">
        <f>$K$47</f>
        <v>#DIV/0!</v>
      </c>
      <c r="AT47" s="182" t="e">
        <f>$L$47</f>
        <v>#DIV/0!</v>
      </c>
      <c r="AU47" s="182" t="e">
        <f>$M$47</f>
        <v>#DIV/0!</v>
      </c>
      <c r="AV47" s="182" t="e">
        <f>$N$47</f>
        <v>#DIV/0!</v>
      </c>
      <c r="AW47" s="182" t="e">
        <f>$O$47</f>
        <v>#DIV/0!</v>
      </c>
      <c r="AX47" s="182" t="e">
        <f>$P$47</f>
        <v>#DIV/0!</v>
      </c>
      <c r="AY47" s="182" t="e">
        <f>$Q$47</f>
        <v>#DIV/0!</v>
      </c>
      <c r="AZ47" s="182" t="e">
        <f>$R$47</f>
        <v>#DIV/0!</v>
      </c>
      <c r="BA47" s="182" t="e">
        <f>$S$47</f>
        <v>#DIV/0!</v>
      </c>
      <c r="BB47" s="182" t="e">
        <f>$T$47</f>
        <v>#DIV/0!</v>
      </c>
      <c r="BC47" s="182" t="e">
        <f>$U$47</f>
        <v>#DIV/0!</v>
      </c>
      <c r="BD47" s="182" t="e">
        <f>$V$47</f>
        <v>#DIV/0!</v>
      </c>
      <c r="BE47" s="182" t="e">
        <f>$W$47</f>
        <v>#DIV/0!</v>
      </c>
      <c r="BF47" s="182" t="e">
        <f>$X$47</f>
        <v>#DIV/0!</v>
      </c>
      <c r="BG47" s="182" t="e">
        <f>$Y$47</f>
        <v>#DIV/0!</v>
      </c>
      <c r="BH47" s="182" t="e">
        <f>$Z$47</f>
        <v>#DIV/0!</v>
      </c>
      <c r="BI47" s="182" t="e">
        <f>$AA$47</f>
        <v>#DIV/0!</v>
      </c>
      <c r="BJ47" s="182" t="e">
        <f>$AB$47</f>
        <v>#DIV/0!</v>
      </c>
      <c r="BK47" s="182" t="e">
        <f>$AC$47</f>
        <v>#DIV/0!</v>
      </c>
      <c r="BL47" s="182" t="e">
        <f>$AD$47</f>
        <v>#DIV/0!</v>
      </c>
      <c r="BM47" s="182" t="e">
        <f>$AE$47</f>
        <v>#DIV/0!</v>
      </c>
      <c r="BN47" s="182" t="e">
        <f>$AF$47</f>
        <v>#DIV/0!</v>
      </c>
    </row>
    <row r="48" spans="1:66">
      <c r="A48" s="68" t="s">
        <v>194</v>
      </c>
      <c r="B48" s="71" t="s">
        <v>188</v>
      </c>
      <c r="C48" s="104">
        <v>8.7591240875912408</v>
      </c>
      <c r="D48" s="104">
        <v>10.526315789473683</v>
      </c>
      <c r="E48" s="104">
        <v>10.108303249097473</v>
      </c>
      <c r="F48" t="e">
        <f t="shared" ref="F48:U94" si="1">1/0</f>
        <v>#DIV/0!</v>
      </c>
      <c r="G48" t="e">
        <f t="shared" si="1"/>
        <v>#DIV/0!</v>
      </c>
      <c r="H48" t="e">
        <f t="shared" si="1"/>
        <v>#DIV/0!</v>
      </c>
      <c r="I48" t="e">
        <f t="shared" si="1"/>
        <v>#DIV/0!</v>
      </c>
      <c r="J48" t="e">
        <f t="shared" si="1"/>
        <v>#DIV/0!</v>
      </c>
      <c r="K48" t="e">
        <f t="shared" si="1"/>
        <v>#DIV/0!</v>
      </c>
      <c r="L48" t="e">
        <f t="shared" si="1"/>
        <v>#DIV/0!</v>
      </c>
      <c r="M48" t="e">
        <f t="shared" si="1"/>
        <v>#DIV/0!</v>
      </c>
      <c r="N48" t="e">
        <f t="shared" si="1"/>
        <v>#DIV/0!</v>
      </c>
      <c r="O48" t="e">
        <f t="shared" si="1"/>
        <v>#DIV/0!</v>
      </c>
      <c r="P48" t="e">
        <f t="shared" si="1"/>
        <v>#DIV/0!</v>
      </c>
      <c r="Q48" t="e">
        <f t="shared" si="1"/>
        <v>#DIV/0!</v>
      </c>
      <c r="R48" t="e">
        <f t="shared" si="1"/>
        <v>#DIV/0!</v>
      </c>
      <c r="S48" t="e">
        <f t="shared" si="1"/>
        <v>#DIV/0!</v>
      </c>
      <c r="T48" t="e">
        <f t="shared" si="1"/>
        <v>#DIV/0!</v>
      </c>
      <c r="U48" t="e">
        <f t="shared" si="1"/>
        <v>#DIV/0!</v>
      </c>
      <c r="V48" t="e">
        <f t="shared" si="0"/>
        <v>#DIV/0!</v>
      </c>
      <c r="W48" t="e">
        <f t="shared" si="0"/>
        <v>#DIV/0!</v>
      </c>
      <c r="X48" t="e">
        <f t="shared" si="0"/>
        <v>#DIV/0!</v>
      </c>
      <c r="Y48" t="e">
        <f t="shared" si="0"/>
        <v>#DIV/0!</v>
      </c>
      <c r="Z48" t="e">
        <f t="shared" si="0"/>
        <v>#DIV/0!</v>
      </c>
      <c r="AA48" t="e">
        <f t="shared" si="0"/>
        <v>#DIV/0!</v>
      </c>
      <c r="AB48" t="e">
        <f t="shared" si="0"/>
        <v>#DIV/0!</v>
      </c>
      <c r="AC48" t="e">
        <f t="shared" si="0"/>
        <v>#DIV/0!</v>
      </c>
      <c r="AD48" t="e">
        <f t="shared" si="0"/>
        <v>#DIV/0!</v>
      </c>
      <c r="AE48" t="e">
        <f t="shared" si="0"/>
        <v>#DIV/0!</v>
      </c>
      <c r="AF48" t="e">
        <f t="shared" si="0"/>
        <v>#DIV/0!</v>
      </c>
      <c r="AG48" s="82"/>
      <c r="AH48" s="244" t="s">
        <v>392</v>
      </c>
      <c r="AI48" s="244" t="s">
        <v>448</v>
      </c>
      <c r="AJ48" s="82"/>
      <c r="AK48" s="182">
        <f>$C$48</f>
        <v>8.7591240875912408</v>
      </c>
      <c r="AL48" s="182">
        <f>$D$48</f>
        <v>10.526315789473683</v>
      </c>
      <c r="AM48" s="182">
        <f>$E$48</f>
        <v>10.108303249097473</v>
      </c>
      <c r="AN48" s="182" t="e">
        <f>$F$48</f>
        <v>#DIV/0!</v>
      </c>
      <c r="AO48" s="182" t="e">
        <f>$G$48</f>
        <v>#DIV/0!</v>
      </c>
      <c r="AP48" s="182" t="e">
        <f>$H$48</f>
        <v>#DIV/0!</v>
      </c>
      <c r="AQ48" s="182" t="e">
        <f>$I$48</f>
        <v>#DIV/0!</v>
      </c>
      <c r="AR48" s="182" t="e">
        <f>$J$48</f>
        <v>#DIV/0!</v>
      </c>
      <c r="AS48" s="182" t="e">
        <f>$K$48</f>
        <v>#DIV/0!</v>
      </c>
      <c r="AT48" s="182" t="e">
        <f>$L$48</f>
        <v>#DIV/0!</v>
      </c>
      <c r="AU48" s="182" t="e">
        <f>$M$48</f>
        <v>#DIV/0!</v>
      </c>
      <c r="AV48" s="182" t="e">
        <f>$N$48</f>
        <v>#DIV/0!</v>
      </c>
      <c r="AW48" s="182" t="e">
        <f>$O$48</f>
        <v>#DIV/0!</v>
      </c>
      <c r="AX48" s="182" t="e">
        <f>$P$48</f>
        <v>#DIV/0!</v>
      </c>
      <c r="AY48" s="182" t="e">
        <f>$Q$48</f>
        <v>#DIV/0!</v>
      </c>
      <c r="AZ48" s="182" t="e">
        <f>$R$48</f>
        <v>#DIV/0!</v>
      </c>
      <c r="BA48" s="182" t="e">
        <f>$S$48</f>
        <v>#DIV/0!</v>
      </c>
      <c r="BB48" s="182" t="e">
        <f>$T$48</f>
        <v>#DIV/0!</v>
      </c>
      <c r="BC48" s="182" t="e">
        <f>$U$48</f>
        <v>#DIV/0!</v>
      </c>
      <c r="BD48" s="182" t="e">
        <f>$V$48</f>
        <v>#DIV/0!</v>
      </c>
      <c r="BE48" s="182" t="e">
        <f>$W$48</f>
        <v>#DIV/0!</v>
      </c>
      <c r="BF48" s="182" t="e">
        <f>$X$48</f>
        <v>#DIV/0!</v>
      </c>
      <c r="BG48" s="182" t="e">
        <f>$Y$48</f>
        <v>#DIV/0!</v>
      </c>
      <c r="BH48" s="182" t="e">
        <f>$Z$48</f>
        <v>#DIV/0!</v>
      </c>
      <c r="BI48" s="182" t="e">
        <f>$AA$48</f>
        <v>#DIV/0!</v>
      </c>
      <c r="BJ48" s="182" t="e">
        <f>$AB$48</f>
        <v>#DIV/0!</v>
      </c>
      <c r="BK48" s="182" t="e">
        <f>$AC$48</f>
        <v>#DIV/0!</v>
      </c>
      <c r="BL48" s="182" t="e">
        <f>$AD$48</f>
        <v>#DIV/0!</v>
      </c>
      <c r="BM48" s="182" t="e">
        <f>$AE$48</f>
        <v>#DIV/0!</v>
      </c>
      <c r="BN48" s="182" t="e">
        <f>$AF$48</f>
        <v>#DIV/0!</v>
      </c>
    </row>
    <row r="49" spans="1:66">
      <c r="A49" s="68" t="s">
        <v>189</v>
      </c>
      <c r="B49" t="s">
        <v>153</v>
      </c>
      <c r="C49" s="100"/>
      <c r="E49" s="104">
        <v>14.545454545454545</v>
      </c>
      <c r="F49" t="e">
        <f t="shared" si="1"/>
        <v>#DIV/0!</v>
      </c>
      <c r="G49" t="e">
        <f t="shared" si="0"/>
        <v>#DIV/0!</v>
      </c>
      <c r="H49" t="e">
        <f t="shared" si="0"/>
        <v>#DIV/0!</v>
      </c>
      <c r="I49" t="e">
        <f t="shared" si="0"/>
        <v>#DIV/0!</v>
      </c>
      <c r="J49" t="e">
        <f t="shared" si="0"/>
        <v>#DIV/0!</v>
      </c>
      <c r="K49" t="e">
        <f t="shared" si="0"/>
        <v>#DIV/0!</v>
      </c>
      <c r="L49" t="e">
        <f t="shared" si="0"/>
        <v>#DIV/0!</v>
      </c>
      <c r="M49" t="e">
        <f t="shared" si="0"/>
        <v>#DIV/0!</v>
      </c>
      <c r="N49" t="e">
        <f t="shared" si="0"/>
        <v>#DIV/0!</v>
      </c>
      <c r="O49" t="e">
        <f t="shared" si="0"/>
        <v>#DIV/0!</v>
      </c>
      <c r="P49" t="e">
        <f t="shared" si="0"/>
        <v>#DIV/0!</v>
      </c>
      <c r="Q49" t="e">
        <f t="shared" si="0"/>
        <v>#DIV/0!</v>
      </c>
      <c r="R49" t="e">
        <f t="shared" si="0"/>
        <v>#DIV/0!</v>
      </c>
      <c r="S49" t="e">
        <f t="shared" si="0"/>
        <v>#DIV/0!</v>
      </c>
      <c r="T49" t="e">
        <f t="shared" si="0"/>
        <v>#DIV/0!</v>
      </c>
      <c r="U49" t="e">
        <f t="shared" si="0"/>
        <v>#DIV/0!</v>
      </c>
      <c r="V49" t="e">
        <f t="shared" si="0"/>
        <v>#DIV/0!</v>
      </c>
      <c r="W49" t="e">
        <f t="shared" si="0"/>
        <v>#DIV/0!</v>
      </c>
      <c r="X49" t="e">
        <f t="shared" si="0"/>
        <v>#DIV/0!</v>
      </c>
      <c r="Y49" t="e">
        <f t="shared" si="0"/>
        <v>#DIV/0!</v>
      </c>
      <c r="Z49" t="e">
        <f t="shared" si="0"/>
        <v>#DIV/0!</v>
      </c>
      <c r="AA49" t="e">
        <f t="shared" si="0"/>
        <v>#DIV/0!</v>
      </c>
      <c r="AB49" t="e">
        <f t="shared" si="0"/>
        <v>#DIV/0!</v>
      </c>
      <c r="AC49" t="e">
        <f t="shared" si="0"/>
        <v>#DIV/0!</v>
      </c>
      <c r="AD49" t="e">
        <f t="shared" si="0"/>
        <v>#DIV/0!</v>
      </c>
      <c r="AE49" t="e">
        <f t="shared" si="0"/>
        <v>#DIV/0!</v>
      </c>
      <c r="AF49" t="e">
        <f t="shared" si="0"/>
        <v>#DIV/0!</v>
      </c>
      <c r="AG49" s="82"/>
      <c r="AH49" s="244" t="s">
        <v>393</v>
      </c>
      <c r="AI49" s="244" t="s">
        <v>449</v>
      </c>
      <c r="AJ49" s="82"/>
      <c r="AK49" s="182">
        <f>$C$49</f>
        <v>0</v>
      </c>
      <c r="AL49" s="182">
        <f>$D$49</f>
        <v>0</v>
      </c>
      <c r="AM49" s="182">
        <f>$E$49</f>
        <v>14.545454545454545</v>
      </c>
      <c r="AN49" s="182" t="e">
        <f>$F$49</f>
        <v>#DIV/0!</v>
      </c>
      <c r="AO49" s="182" t="e">
        <f>$G$49</f>
        <v>#DIV/0!</v>
      </c>
      <c r="AP49" s="182" t="e">
        <f>$H$49</f>
        <v>#DIV/0!</v>
      </c>
      <c r="AQ49" s="182" t="e">
        <f>$I$49</f>
        <v>#DIV/0!</v>
      </c>
      <c r="AR49" s="182" t="e">
        <f>$J$49</f>
        <v>#DIV/0!</v>
      </c>
      <c r="AS49" s="182" t="e">
        <f>$K$49</f>
        <v>#DIV/0!</v>
      </c>
      <c r="AT49" s="182" t="e">
        <f>$L$49</f>
        <v>#DIV/0!</v>
      </c>
      <c r="AU49" s="182" t="e">
        <f>$M$49</f>
        <v>#DIV/0!</v>
      </c>
      <c r="AV49" s="182" t="e">
        <f>$N$49</f>
        <v>#DIV/0!</v>
      </c>
      <c r="AW49" s="182" t="e">
        <f>$O$49</f>
        <v>#DIV/0!</v>
      </c>
      <c r="AX49" s="182" t="e">
        <f>$P$49</f>
        <v>#DIV/0!</v>
      </c>
      <c r="AY49" s="182" t="e">
        <f>$Q$49</f>
        <v>#DIV/0!</v>
      </c>
      <c r="AZ49" s="182" t="e">
        <f>$R$49</f>
        <v>#DIV/0!</v>
      </c>
      <c r="BA49" s="182" t="e">
        <f>$S$49</f>
        <v>#DIV/0!</v>
      </c>
      <c r="BB49" s="182" t="e">
        <f>$T$49</f>
        <v>#DIV/0!</v>
      </c>
      <c r="BC49" s="182" t="e">
        <f>$U$49</f>
        <v>#DIV/0!</v>
      </c>
      <c r="BD49" s="182" t="e">
        <f>$V$49</f>
        <v>#DIV/0!</v>
      </c>
      <c r="BE49" s="182" t="e">
        <f>$W$49</f>
        <v>#DIV/0!</v>
      </c>
      <c r="BF49" s="182" t="e">
        <f>$X$49</f>
        <v>#DIV/0!</v>
      </c>
      <c r="BG49" s="182" t="e">
        <f>$Y$49</f>
        <v>#DIV/0!</v>
      </c>
      <c r="BH49" s="182" t="e">
        <f>$Z$49</f>
        <v>#DIV/0!</v>
      </c>
      <c r="BI49" s="182" t="e">
        <f>$AA$49</f>
        <v>#DIV/0!</v>
      </c>
      <c r="BJ49" s="182" t="e">
        <f>$AB$49</f>
        <v>#DIV/0!</v>
      </c>
      <c r="BK49" s="182" t="e">
        <f>$AC$49</f>
        <v>#DIV/0!</v>
      </c>
      <c r="BL49" s="182" t="e">
        <f>$AD$49</f>
        <v>#DIV/0!</v>
      </c>
      <c r="BM49" s="182" t="e">
        <f>$AE$49</f>
        <v>#DIV/0!</v>
      </c>
      <c r="BN49" s="182" t="e">
        <f>$AF$49</f>
        <v>#DIV/0!</v>
      </c>
    </row>
    <row r="50" spans="1:66">
      <c r="A50" s="69" t="s">
        <v>184</v>
      </c>
      <c r="B50" s="71" t="s">
        <v>188</v>
      </c>
      <c r="C50" s="100"/>
      <c r="E50" s="104">
        <v>12.5</v>
      </c>
      <c r="F50" t="e">
        <f t="shared" si="1"/>
        <v>#DIV/0!</v>
      </c>
      <c r="G50" t="e">
        <f t="shared" si="0"/>
        <v>#DIV/0!</v>
      </c>
      <c r="H50" t="e">
        <f t="shared" si="0"/>
        <v>#DIV/0!</v>
      </c>
      <c r="I50" t="e">
        <f t="shared" si="0"/>
        <v>#DIV/0!</v>
      </c>
      <c r="J50" t="e">
        <f t="shared" si="0"/>
        <v>#DIV/0!</v>
      </c>
      <c r="K50" t="e">
        <f t="shared" si="0"/>
        <v>#DIV/0!</v>
      </c>
      <c r="L50" t="e">
        <f t="shared" si="0"/>
        <v>#DIV/0!</v>
      </c>
      <c r="M50" t="e">
        <f t="shared" si="0"/>
        <v>#DIV/0!</v>
      </c>
      <c r="N50" t="e">
        <f t="shared" si="0"/>
        <v>#DIV/0!</v>
      </c>
      <c r="O50" t="e">
        <f t="shared" si="0"/>
        <v>#DIV/0!</v>
      </c>
      <c r="P50" t="e">
        <f t="shared" si="0"/>
        <v>#DIV/0!</v>
      </c>
      <c r="Q50" t="e">
        <f t="shared" si="0"/>
        <v>#DIV/0!</v>
      </c>
      <c r="R50" t="e">
        <f t="shared" si="0"/>
        <v>#DIV/0!</v>
      </c>
      <c r="S50" t="e">
        <f t="shared" si="0"/>
        <v>#DIV/0!</v>
      </c>
      <c r="T50" t="e">
        <f t="shared" si="0"/>
        <v>#DIV/0!</v>
      </c>
      <c r="U50" t="e">
        <f t="shared" si="0"/>
        <v>#DIV/0!</v>
      </c>
      <c r="V50" t="e">
        <f t="shared" si="0"/>
        <v>#DIV/0!</v>
      </c>
      <c r="W50" t="e">
        <f t="shared" si="0"/>
        <v>#DIV/0!</v>
      </c>
      <c r="X50" t="e">
        <f t="shared" si="0"/>
        <v>#DIV/0!</v>
      </c>
      <c r="Y50" t="e">
        <f t="shared" si="0"/>
        <v>#DIV/0!</v>
      </c>
      <c r="Z50" t="e">
        <f t="shared" si="0"/>
        <v>#DIV/0!</v>
      </c>
      <c r="AA50" t="e">
        <f t="shared" si="0"/>
        <v>#DIV/0!</v>
      </c>
      <c r="AB50" t="e">
        <f t="shared" si="0"/>
        <v>#DIV/0!</v>
      </c>
      <c r="AC50" t="e">
        <f t="shared" si="0"/>
        <v>#DIV/0!</v>
      </c>
      <c r="AD50" t="e">
        <f t="shared" si="0"/>
        <v>#DIV/0!</v>
      </c>
      <c r="AE50" t="e">
        <f t="shared" si="0"/>
        <v>#DIV/0!</v>
      </c>
      <c r="AF50" t="e">
        <f t="shared" si="0"/>
        <v>#DIV/0!</v>
      </c>
      <c r="AG50" s="82"/>
      <c r="AH50" s="244" t="s">
        <v>394</v>
      </c>
      <c r="AI50" s="244" t="s">
        <v>450</v>
      </c>
      <c r="AJ50" s="82"/>
      <c r="AK50" s="182">
        <f>$C$50</f>
        <v>0</v>
      </c>
      <c r="AL50" s="182">
        <f>$D$50</f>
        <v>0</v>
      </c>
      <c r="AM50" s="182">
        <f>$E$50</f>
        <v>12.5</v>
      </c>
      <c r="AN50" s="182" t="e">
        <f>$F$50</f>
        <v>#DIV/0!</v>
      </c>
      <c r="AO50" s="182" t="e">
        <f>$G$50</f>
        <v>#DIV/0!</v>
      </c>
      <c r="AP50" s="182" t="e">
        <f>$H$50</f>
        <v>#DIV/0!</v>
      </c>
      <c r="AQ50" s="182" t="e">
        <f>$I$50</f>
        <v>#DIV/0!</v>
      </c>
      <c r="AR50" s="182" t="e">
        <f>$J$50</f>
        <v>#DIV/0!</v>
      </c>
      <c r="AS50" s="182" t="e">
        <f>$K$50</f>
        <v>#DIV/0!</v>
      </c>
      <c r="AT50" s="182" t="e">
        <f>$L$50</f>
        <v>#DIV/0!</v>
      </c>
      <c r="AU50" s="182" t="e">
        <f>$M$50</f>
        <v>#DIV/0!</v>
      </c>
      <c r="AV50" s="182" t="e">
        <f>$N$50</f>
        <v>#DIV/0!</v>
      </c>
      <c r="AW50" s="182" t="e">
        <f>$O$50</f>
        <v>#DIV/0!</v>
      </c>
      <c r="AX50" s="182" t="e">
        <f>$P$50</f>
        <v>#DIV/0!</v>
      </c>
      <c r="AY50" s="182" t="e">
        <f>$Q$50</f>
        <v>#DIV/0!</v>
      </c>
      <c r="AZ50" s="182" t="e">
        <f>$R$50</f>
        <v>#DIV/0!</v>
      </c>
      <c r="BA50" s="182" t="e">
        <f>$S$50</f>
        <v>#DIV/0!</v>
      </c>
      <c r="BB50" s="182" t="e">
        <f>$T$50</f>
        <v>#DIV/0!</v>
      </c>
      <c r="BC50" s="182" t="e">
        <f>$U$50</f>
        <v>#DIV/0!</v>
      </c>
      <c r="BD50" s="182" t="e">
        <f>$V$50</f>
        <v>#DIV/0!</v>
      </c>
      <c r="BE50" s="182" t="e">
        <f>$W$50</f>
        <v>#DIV/0!</v>
      </c>
      <c r="BF50" s="182" t="e">
        <f>$X$50</f>
        <v>#DIV/0!</v>
      </c>
      <c r="BG50" s="182" t="e">
        <f>$Y$50</f>
        <v>#DIV/0!</v>
      </c>
      <c r="BH50" s="182" t="e">
        <f>$Z$50</f>
        <v>#DIV/0!</v>
      </c>
      <c r="BI50" s="182" t="e">
        <f>$AA$50</f>
        <v>#DIV/0!</v>
      </c>
      <c r="BJ50" s="182" t="e">
        <f>$AB$50</f>
        <v>#DIV/0!</v>
      </c>
      <c r="BK50" s="182" t="e">
        <f>$AC$50</f>
        <v>#DIV/0!</v>
      </c>
      <c r="BL50" s="182" t="e">
        <f>$AD$50</f>
        <v>#DIV/0!</v>
      </c>
      <c r="BM50" s="182" t="e">
        <f>$AE$50</f>
        <v>#DIV/0!</v>
      </c>
      <c r="BN50" s="182" t="e">
        <f>$AF$50</f>
        <v>#DIV/0!</v>
      </c>
    </row>
    <row r="51" spans="1:66">
      <c r="A51" s="69" t="s">
        <v>182</v>
      </c>
      <c r="B51" s="71" t="s">
        <v>188</v>
      </c>
      <c r="C51" s="100"/>
      <c r="E51" s="104">
        <v>20.779220779220779</v>
      </c>
      <c r="F51" t="e">
        <f t="shared" si="1"/>
        <v>#DIV/0!</v>
      </c>
      <c r="G51" t="e">
        <f t="shared" si="0"/>
        <v>#DIV/0!</v>
      </c>
      <c r="H51" t="e">
        <f t="shared" si="0"/>
        <v>#DIV/0!</v>
      </c>
      <c r="I51" t="e">
        <f t="shared" si="0"/>
        <v>#DIV/0!</v>
      </c>
      <c r="J51" t="e">
        <f t="shared" si="0"/>
        <v>#DIV/0!</v>
      </c>
      <c r="K51" t="e">
        <f t="shared" si="0"/>
        <v>#DIV/0!</v>
      </c>
      <c r="L51" t="e">
        <f t="shared" si="0"/>
        <v>#DIV/0!</v>
      </c>
      <c r="M51" t="e">
        <f t="shared" si="0"/>
        <v>#DIV/0!</v>
      </c>
      <c r="N51" t="e">
        <f t="shared" si="0"/>
        <v>#DIV/0!</v>
      </c>
      <c r="O51" t="e">
        <f t="shared" si="0"/>
        <v>#DIV/0!</v>
      </c>
      <c r="P51" t="e">
        <f t="shared" si="0"/>
        <v>#DIV/0!</v>
      </c>
      <c r="Q51" t="e">
        <f t="shared" si="0"/>
        <v>#DIV/0!</v>
      </c>
      <c r="R51" t="e">
        <f t="shared" si="0"/>
        <v>#DIV/0!</v>
      </c>
      <c r="S51" t="e">
        <f t="shared" si="0"/>
        <v>#DIV/0!</v>
      </c>
      <c r="T51" t="e">
        <f t="shared" si="0"/>
        <v>#DIV/0!</v>
      </c>
      <c r="U51" t="e">
        <f t="shared" si="0"/>
        <v>#DIV/0!</v>
      </c>
      <c r="V51" t="e">
        <f t="shared" si="0"/>
        <v>#DIV/0!</v>
      </c>
      <c r="W51" t="e">
        <f t="shared" si="0"/>
        <v>#DIV/0!</v>
      </c>
      <c r="X51" t="e">
        <f t="shared" si="0"/>
        <v>#DIV/0!</v>
      </c>
      <c r="Y51" t="e">
        <f t="shared" si="0"/>
        <v>#DIV/0!</v>
      </c>
      <c r="Z51" t="e">
        <f t="shared" si="0"/>
        <v>#DIV/0!</v>
      </c>
      <c r="AA51" t="e">
        <f t="shared" si="0"/>
        <v>#DIV/0!</v>
      </c>
      <c r="AB51" t="e">
        <f t="shared" si="0"/>
        <v>#DIV/0!</v>
      </c>
      <c r="AC51" t="e">
        <f t="shared" si="0"/>
        <v>#DIV/0!</v>
      </c>
      <c r="AD51" t="e">
        <f t="shared" si="0"/>
        <v>#DIV/0!</v>
      </c>
      <c r="AE51" t="e">
        <f t="shared" si="0"/>
        <v>#DIV/0!</v>
      </c>
      <c r="AF51" t="e">
        <f t="shared" si="0"/>
        <v>#DIV/0!</v>
      </c>
      <c r="AG51" s="82"/>
      <c r="AH51" s="244" t="s">
        <v>434</v>
      </c>
      <c r="AI51" s="244" t="s">
        <v>451</v>
      </c>
      <c r="AJ51" s="82"/>
      <c r="AK51" s="182">
        <f>$C$51</f>
        <v>0</v>
      </c>
      <c r="AL51" s="182">
        <f>$D$51</f>
        <v>0</v>
      </c>
      <c r="AM51" s="182">
        <f>$E$51</f>
        <v>20.779220779220779</v>
      </c>
      <c r="AN51" s="182" t="e">
        <f>$F$51</f>
        <v>#DIV/0!</v>
      </c>
      <c r="AO51" s="182" t="e">
        <f>$G$51</f>
        <v>#DIV/0!</v>
      </c>
      <c r="AP51" s="182" t="e">
        <f>$H$51</f>
        <v>#DIV/0!</v>
      </c>
      <c r="AQ51" s="182" t="e">
        <f>$I$51</f>
        <v>#DIV/0!</v>
      </c>
      <c r="AR51" s="182" t="e">
        <f>$J$51</f>
        <v>#DIV/0!</v>
      </c>
      <c r="AS51" s="182" t="e">
        <f>$K$51</f>
        <v>#DIV/0!</v>
      </c>
      <c r="AT51" s="182" t="e">
        <f>$L$51</f>
        <v>#DIV/0!</v>
      </c>
      <c r="AU51" s="182" t="e">
        <f>$M$51</f>
        <v>#DIV/0!</v>
      </c>
      <c r="AV51" s="182" t="e">
        <f>$N$51</f>
        <v>#DIV/0!</v>
      </c>
      <c r="AW51" s="182" t="e">
        <f>$O$51</f>
        <v>#DIV/0!</v>
      </c>
      <c r="AX51" s="182" t="e">
        <f>$P$51</f>
        <v>#DIV/0!</v>
      </c>
      <c r="AY51" s="182" t="e">
        <f>$Q$51</f>
        <v>#DIV/0!</v>
      </c>
      <c r="AZ51" s="182" t="e">
        <f>$R$51</f>
        <v>#DIV/0!</v>
      </c>
      <c r="BA51" s="182" t="e">
        <f>$S$51</f>
        <v>#DIV/0!</v>
      </c>
      <c r="BB51" s="182" t="e">
        <f>$T$51</f>
        <v>#DIV/0!</v>
      </c>
      <c r="BC51" s="182" t="e">
        <f>$U$51</f>
        <v>#DIV/0!</v>
      </c>
      <c r="BD51" s="182" t="e">
        <f>$V$51</f>
        <v>#DIV/0!</v>
      </c>
      <c r="BE51" s="182" t="e">
        <f>$W$51</f>
        <v>#DIV/0!</v>
      </c>
      <c r="BF51" s="182" t="e">
        <f>$X$51</f>
        <v>#DIV/0!</v>
      </c>
      <c r="BG51" s="182" t="e">
        <f>$Y$51</f>
        <v>#DIV/0!</v>
      </c>
      <c r="BH51" s="182" t="e">
        <f>$Z$51</f>
        <v>#DIV/0!</v>
      </c>
      <c r="BI51" s="182" t="e">
        <f>$AA$51</f>
        <v>#DIV/0!</v>
      </c>
      <c r="BJ51" s="182" t="e">
        <f>$AB$51</f>
        <v>#DIV/0!</v>
      </c>
      <c r="BK51" s="182" t="e">
        <f>$AC$51</f>
        <v>#DIV/0!</v>
      </c>
      <c r="BL51" s="182" t="e">
        <f>$AD$51</f>
        <v>#DIV/0!</v>
      </c>
      <c r="BM51" s="182" t="e">
        <f>$AE$51</f>
        <v>#DIV/0!</v>
      </c>
      <c r="BN51" s="182" t="e">
        <f>$AF$51</f>
        <v>#DIV/0!</v>
      </c>
    </row>
    <row r="52" spans="1:66">
      <c r="A52" s="69" t="s">
        <v>164</v>
      </c>
      <c r="B52" s="71" t="s">
        <v>178</v>
      </c>
      <c r="C52" s="104">
        <v>18.072289156626507</v>
      </c>
      <c r="D52" s="104">
        <v>5.9405940594059405</v>
      </c>
      <c r="E52" s="104">
        <v>11.351351351351353</v>
      </c>
      <c r="F52" t="e">
        <f t="shared" si="1"/>
        <v>#DIV/0!</v>
      </c>
      <c r="G52" t="e">
        <f t="shared" si="0"/>
        <v>#DIV/0!</v>
      </c>
      <c r="H52" t="e">
        <f t="shared" si="0"/>
        <v>#DIV/0!</v>
      </c>
      <c r="I52" t="e">
        <f t="shared" si="0"/>
        <v>#DIV/0!</v>
      </c>
      <c r="J52" t="e">
        <f t="shared" si="0"/>
        <v>#DIV/0!</v>
      </c>
      <c r="K52" t="e">
        <f t="shared" si="0"/>
        <v>#DIV/0!</v>
      </c>
      <c r="L52" t="e">
        <f t="shared" si="0"/>
        <v>#DIV/0!</v>
      </c>
      <c r="M52" t="e">
        <f t="shared" si="0"/>
        <v>#DIV/0!</v>
      </c>
      <c r="N52" t="e">
        <f t="shared" si="0"/>
        <v>#DIV/0!</v>
      </c>
      <c r="O52" t="e">
        <f t="shared" si="0"/>
        <v>#DIV/0!</v>
      </c>
      <c r="P52" t="e">
        <f t="shared" si="0"/>
        <v>#DIV/0!</v>
      </c>
      <c r="Q52" t="e">
        <f t="shared" si="0"/>
        <v>#DIV/0!</v>
      </c>
      <c r="R52" t="e">
        <f t="shared" si="0"/>
        <v>#DIV/0!</v>
      </c>
      <c r="S52" t="e">
        <f t="shared" si="0"/>
        <v>#DIV/0!</v>
      </c>
      <c r="T52" t="e">
        <f t="shared" si="0"/>
        <v>#DIV/0!</v>
      </c>
      <c r="U52" t="e">
        <f t="shared" si="0"/>
        <v>#DIV/0!</v>
      </c>
      <c r="V52" t="e">
        <f t="shared" si="0"/>
        <v>#DIV/0!</v>
      </c>
      <c r="W52" t="e">
        <f t="shared" si="0"/>
        <v>#DIV/0!</v>
      </c>
      <c r="X52" t="e">
        <f t="shared" si="0"/>
        <v>#DIV/0!</v>
      </c>
      <c r="Y52" t="e">
        <f t="shared" si="0"/>
        <v>#DIV/0!</v>
      </c>
      <c r="Z52" t="e">
        <f t="shared" si="0"/>
        <v>#DIV/0!</v>
      </c>
      <c r="AA52" t="e">
        <f t="shared" si="0"/>
        <v>#DIV/0!</v>
      </c>
      <c r="AB52" t="e">
        <f t="shared" si="0"/>
        <v>#DIV/0!</v>
      </c>
      <c r="AC52" t="e">
        <f t="shared" si="0"/>
        <v>#DIV/0!</v>
      </c>
      <c r="AD52" t="e">
        <f t="shared" si="0"/>
        <v>#DIV/0!</v>
      </c>
      <c r="AE52" t="e">
        <f t="shared" si="0"/>
        <v>#DIV/0!</v>
      </c>
      <c r="AF52" t="e">
        <f t="shared" si="0"/>
        <v>#DIV/0!</v>
      </c>
      <c r="AG52" s="82"/>
      <c r="AH52" s="244" t="s">
        <v>435</v>
      </c>
      <c r="AI52" s="244" t="s">
        <v>452</v>
      </c>
      <c r="AJ52" s="82"/>
      <c r="AK52" s="182">
        <f>$C$52</f>
        <v>18.072289156626507</v>
      </c>
      <c r="AL52" s="182">
        <f>$D$52</f>
        <v>5.9405940594059405</v>
      </c>
      <c r="AM52" s="182">
        <f>$E$52</f>
        <v>11.351351351351353</v>
      </c>
      <c r="AN52" s="182" t="e">
        <f>$F$52</f>
        <v>#DIV/0!</v>
      </c>
      <c r="AO52" s="182" t="e">
        <f>$G$52</f>
        <v>#DIV/0!</v>
      </c>
      <c r="AP52" s="182" t="e">
        <f>$H$52</f>
        <v>#DIV/0!</v>
      </c>
      <c r="AQ52" s="182" t="e">
        <f>$I$52</f>
        <v>#DIV/0!</v>
      </c>
      <c r="AR52" s="182" t="e">
        <f>$J$52</f>
        <v>#DIV/0!</v>
      </c>
      <c r="AS52" s="182" t="e">
        <f>$K$52</f>
        <v>#DIV/0!</v>
      </c>
      <c r="AT52" s="182" t="e">
        <f>$L$52</f>
        <v>#DIV/0!</v>
      </c>
      <c r="AU52" s="182" t="e">
        <f>$M$52</f>
        <v>#DIV/0!</v>
      </c>
      <c r="AV52" s="182" t="e">
        <f>$N$52</f>
        <v>#DIV/0!</v>
      </c>
      <c r="AW52" s="182" t="e">
        <f>$O$52</f>
        <v>#DIV/0!</v>
      </c>
      <c r="AX52" s="182" t="e">
        <f>$P$52</f>
        <v>#DIV/0!</v>
      </c>
      <c r="AY52" s="182" t="e">
        <f>$Q$52</f>
        <v>#DIV/0!</v>
      </c>
      <c r="AZ52" s="182" t="e">
        <f>$R$52</f>
        <v>#DIV/0!</v>
      </c>
      <c r="BA52" s="182" t="e">
        <f>$S$52</f>
        <v>#DIV/0!</v>
      </c>
      <c r="BB52" s="182" t="e">
        <f>$T$52</f>
        <v>#DIV/0!</v>
      </c>
      <c r="BC52" s="182" t="e">
        <f>$U$52</f>
        <v>#DIV/0!</v>
      </c>
      <c r="BD52" s="182" t="e">
        <f>$V$52</f>
        <v>#DIV/0!</v>
      </c>
      <c r="BE52" s="182" t="e">
        <f>$W$52</f>
        <v>#DIV/0!</v>
      </c>
      <c r="BF52" s="182" t="e">
        <f>$X$52</f>
        <v>#DIV/0!</v>
      </c>
      <c r="BG52" s="182" t="e">
        <f>$Y$52</f>
        <v>#DIV/0!</v>
      </c>
      <c r="BH52" s="182" t="e">
        <f>$Z$52</f>
        <v>#DIV/0!</v>
      </c>
      <c r="BI52" s="182" t="e">
        <f>$AA$52</f>
        <v>#DIV/0!</v>
      </c>
      <c r="BJ52" s="182" t="e">
        <f>$AB$52</f>
        <v>#DIV/0!</v>
      </c>
      <c r="BK52" s="182" t="e">
        <f>$AC$52</f>
        <v>#DIV/0!</v>
      </c>
      <c r="BL52" s="182" t="e">
        <f>$AD$52</f>
        <v>#DIV/0!</v>
      </c>
      <c r="BM52" s="182" t="e">
        <f>$AE$52</f>
        <v>#DIV/0!</v>
      </c>
      <c r="BN52" s="182" t="e">
        <f>$AF$52</f>
        <v>#DIV/0!</v>
      </c>
    </row>
    <row r="53" spans="1:66">
      <c r="A53" s="69" t="s">
        <v>154</v>
      </c>
      <c r="B53" s="71" t="s">
        <v>158</v>
      </c>
      <c r="C53" s="104">
        <v>22.671804752729606</v>
      </c>
      <c r="D53" s="104">
        <v>16.026490066225165</v>
      </c>
      <c r="E53" s="104">
        <v>19.814932992980218</v>
      </c>
      <c r="F53" t="e">
        <f t="shared" si="1"/>
        <v>#DIV/0!</v>
      </c>
      <c r="G53" t="e">
        <f t="shared" si="0"/>
        <v>#DIV/0!</v>
      </c>
      <c r="H53" t="e">
        <f t="shared" si="0"/>
        <v>#DIV/0!</v>
      </c>
      <c r="I53" t="e">
        <f t="shared" si="0"/>
        <v>#DIV/0!</v>
      </c>
      <c r="J53" t="e">
        <f t="shared" si="0"/>
        <v>#DIV/0!</v>
      </c>
      <c r="K53" t="e">
        <f t="shared" si="0"/>
        <v>#DIV/0!</v>
      </c>
      <c r="L53" t="e">
        <f t="shared" si="0"/>
        <v>#DIV/0!</v>
      </c>
      <c r="M53" t="e">
        <f t="shared" si="0"/>
        <v>#DIV/0!</v>
      </c>
      <c r="N53" t="e">
        <f t="shared" si="0"/>
        <v>#DIV/0!</v>
      </c>
      <c r="O53" t="e">
        <f t="shared" si="0"/>
        <v>#DIV/0!</v>
      </c>
      <c r="P53" t="e">
        <f t="shared" si="0"/>
        <v>#DIV/0!</v>
      </c>
      <c r="Q53" t="e">
        <f t="shared" si="0"/>
        <v>#DIV/0!</v>
      </c>
      <c r="R53" t="e">
        <f t="shared" si="0"/>
        <v>#DIV/0!</v>
      </c>
      <c r="S53" t="e">
        <f t="shared" si="0"/>
        <v>#DIV/0!</v>
      </c>
      <c r="T53" t="e">
        <f t="shared" si="0"/>
        <v>#DIV/0!</v>
      </c>
      <c r="U53" t="e">
        <f t="shared" si="0"/>
        <v>#DIV/0!</v>
      </c>
      <c r="V53" t="e">
        <f t="shared" si="0"/>
        <v>#DIV/0!</v>
      </c>
      <c r="W53" t="e">
        <f t="shared" si="0"/>
        <v>#DIV/0!</v>
      </c>
      <c r="X53" t="e">
        <f t="shared" si="0"/>
        <v>#DIV/0!</v>
      </c>
      <c r="Y53" t="e">
        <f t="shared" si="0"/>
        <v>#DIV/0!</v>
      </c>
      <c r="Z53" t="e">
        <f t="shared" si="0"/>
        <v>#DIV/0!</v>
      </c>
      <c r="AA53" t="e">
        <f t="shared" si="0"/>
        <v>#DIV/0!</v>
      </c>
      <c r="AB53" t="e">
        <f t="shared" si="0"/>
        <v>#DIV/0!</v>
      </c>
      <c r="AC53" t="e">
        <f t="shared" si="0"/>
        <v>#DIV/0!</v>
      </c>
      <c r="AD53" t="e">
        <f t="shared" si="0"/>
        <v>#DIV/0!</v>
      </c>
      <c r="AE53" t="e">
        <f t="shared" si="0"/>
        <v>#DIV/0!</v>
      </c>
      <c r="AF53" t="e">
        <f t="shared" si="0"/>
        <v>#DIV/0!</v>
      </c>
      <c r="AG53" s="82"/>
      <c r="AH53" s="244" t="s">
        <v>436</v>
      </c>
      <c r="AI53" s="244" t="s">
        <v>453</v>
      </c>
      <c r="AJ53" s="82"/>
      <c r="AK53" s="182">
        <f>$C$53</f>
        <v>22.671804752729606</v>
      </c>
      <c r="AL53" s="182">
        <f>$D$53</f>
        <v>16.026490066225165</v>
      </c>
      <c r="AM53" s="182">
        <f>$E$53</f>
        <v>19.814932992980218</v>
      </c>
      <c r="AN53" s="182" t="e">
        <f>$F$53</f>
        <v>#DIV/0!</v>
      </c>
      <c r="AO53" s="182" t="e">
        <f>$G$53</f>
        <v>#DIV/0!</v>
      </c>
      <c r="AP53" s="182" t="e">
        <f>$H$53</f>
        <v>#DIV/0!</v>
      </c>
      <c r="AQ53" s="182" t="e">
        <f>$I$53</f>
        <v>#DIV/0!</v>
      </c>
      <c r="AR53" s="182" t="e">
        <f>$J$53</f>
        <v>#DIV/0!</v>
      </c>
      <c r="AS53" s="182" t="e">
        <f>$K$53</f>
        <v>#DIV/0!</v>
      </c>
      <c r="AT53" s="182" t="e">
        <f>$L$53</f>
        <v>#DIV/0!</v>
      </c>
      <c r="AU53" s="182" t="e">
        <f>$M$53</f>
        <v>#DIV/0!</v>
      </c>
      <c r="AV53" s="182" t="e">
        <f>$N$53</f>
        <v>#DIV/0!</v>
      </c>
      <c r="AW53" s="182" t="e">
        <f>$O$53</f>
        <v>#DIV/0!</v>
      </c>
      <c r="AX53" s="182" t="e">
        <f>$P$53</f>
        <v>#DIV/0!</v>
      </c>
      <c r="AY53" s="182" t="e">
        <f>$Q$53</f>
        <v>#DIV/0!</v>
      </c>
      <c r="AZ53" s="182" t="e">
        <f>$R$53</f>
        <v>#DIV/0!</v>
      </c>
      <c r="BA53" s="182" t="e">
        <f>$S$53</f>
        <v>#DIV/0!</v>
      </c>
      <c r="BB53" s="182" t="e">
        <f>$T$53</f>
        <v>#DIV/0!</v>
      </c>
      <c r="BC53" s="182" t="e">
        <f>$U$53</f>
        <v>#DIV/0!</v>
      </c>
      <c r="BD53" s="182" t="e">
        <f>$V$53</f>
        <v>#DIV/0!</v>
      </c>
      <c r="BE53" s="182" t="e">
        <f>$W$53</f>
        <v>#DIV/0!</v>
      </c>
      <c r="BF53" s="182" t="e">
        <f>$X$53</f>
        <v>#DIV/0!</v>
      </c>
      <c r="BG53" s="182" t="e">
        <f>$Y$53</f>
        <v>#DIV/0!</v>
      </c>
      <c r="BH53" s="182" t="e">
        <f>$Z$53</f>
        <v>#DIV/0!</v>
      </c>
      <c r="BI53" s="182" t="e">
        <f>$AA$53</f>
        <v>#DIV/0!</v>
      </c>
      <c r="BJ53" s="182" t="e">
        <f>$AB$53</f>
        <v>#DIV/0!</v>
      </c>
      <c r="BK53" s="182" t="e">
        <f>$AC$53</f>
        <v>#DIV/0!</v>
      </c>
      <c r="BL53" s="182" t="e">
        <f>$AD$53</f>
        <v>#DIV/0!</v>
      </c>
      <c r="BM53" s="182" t="e">
        <f>$AE$53</f>
        <v>#DIV/0!</v>
      </c>
      <c r="BN53" s="182" t="e">
        <f>$AF$53</f>
        <v>#DIV/0!</v>
      </c>
    </row>
    <row r="54" spans="1:66">
      <c r="A54" s="69" t="s">
        <v>167</v>
      </c>
      <c r="B54" s="71" t="s">
        <v>178</v>
      </c>
      <c r="C54" s="100"/>
      <c r="E54" s="104">
        <v>14.606741573033707</v>
      </c>
      <c r="F54" t="e">
        <f t="shared" si="1"/>
        <v>#DIV/0!</v>
      </c>
      <c r="G54" t="e">
        <f t="shared" si="0"/>
        <v>#DIV/0!</v>
      </c>
      <c r="H54" t="e">
        <f t="shared" si="0"/>
        <v>#DIV/0!</v>
      </c>
      <c r="I54" t="e">
        <f t="shared" si="0"/>
        <v>#DIV/0!</v>
      </c>
      <c r="J54" t="e">
        <f t="shared" si="0"/>
        <v>#DIV/0!</v>
      </c>
      <c r="K54" t="e">
        <f t="shared" si="0"/>
        <v>#DIV/0!</v>
      </c>
      <c r="L54" t="e">
        <f t="shared" si="0"/>
        <v>#DIV/0!</v>
      </c>
      <c r="M54" t="e">
        <f t="shared" si="0"/>
        <v>#DIV/0!</v>
      </c>
      <c r="N54" t="e">
        <f t="shared" si="0"/>
        <v>#DIV/0!</v>
      </c>
      <c r="O54" t="e">
        <f t="shared" si="0"/>
        <v>#DIV/0!</v>
      </c>
      <c r="P54" t="e">
        <f t="shared" si="0"/>
        <v>#DIV/0!</v>
      </c>
      <c r="Q54" t="e">
        <f t="shared" si="0"/>
        <v>#DIV/0!</v>
      </c>
      <c r="R54" t="e">
        <f t="shared" si="0"/>
        <v>#DIV/0!</v>
      </c>
      <c r="S54" t="e">
        <f t="shared" si="0"/>
        <v>#DIV/0!</v>
      </c>
      <c r="T54" t="e">
        <f t="shared" si="0"/>
        <v>#DIV/0!</v>
      </c>
      <c r="U54" t="e">
        <f t="shared" si="0"/>
        <v>#DIV/0!</v>
      </c>
      <c r="V54" t="e">
        <f t="shared" si="0"/>
        <v>#DIV/0!</v>
      </c>
      <c r="W54" t="e">
        <f t="shared" si="0"/>
        <v>#DIV/0!</v>
      </c>
      <c r="X54" t="e">
        <f t="shared" si="0"/>
        <v>#DIV/0!</v>
      </c>
      <c r="Y54" t="e">
        <f t="shared" si="0"/>
        <v>#DIV/0!</v>
      </c>
      <c r="Z54" t="e">
        <f t="shared" si="0"/>
        <v>#DIV/0!</v>
      </c>
      <c r="AA54" t="e">
        <f t="shared" si="0"/>
        <v>#DIV/0!</v>
      </c>
      <c r="AB54" t="e">
        <f t="shared" si="0"/>
        <v>#DIV/0!</v>
      </c>
      <c r="AC54" t="e">
        <f t="shared" si="0"/>
        <v>#DIV/0!</v>
      </c>
      <c r="AD54" t="e">
        <f t="shared" si="0"/>
        <v>#DIV/0!</v>
      </c>
      <c r="AE54" t="e">
        <f t="shared" si="0"/>
        <v>#DIV/0!</v>
      </c>
      <c r="AF54" t="e">
        <f t="shared" si="0"/>
        <v>#DIV/0!</v>
      </c>
      <c r="AG54" s="82"/>
      <c r="AH54" s="244" t="s">
        <v>437</v>
      </c>
      <c r="AI54" s="245" t="s">
        <v>454</v>
      </c>
      <c r="AJ54" s="82"/>
      <c r="AK54" s="182">
        <f>$C$54</f>
        <v>0</v>
      </c>
      <c r="AL54" s="182">
        <f>$D$54</f>
        <v>0</v>
      </c>
      <c r="AM54" s="182">
        <f>$E$54</f>
        <v>14.606741573033707</v>
      </c>
      <c r="AN54" s="182" t="e">
        <f>$F$54</f>
        <v>#DIV/0!</v>
      </c>
      <c r="AO54" s="182" t="e">
        <f>$G$54</f>
        <v>#DIV/0!</v>
      </c>
      <c r="AP54" s="182" t="e">
        <f>$H$54</f>
        <v>#DIV/0!</v>
      </c>
      <c r="AQ54" s="182" t="e">
        <f>$I$54</f>
        <v>#DIV/0!</v>
      </c>
      <c r="AR54" s="182" t="e">
        <f>$J$54</f>
        <v>#DIV/0!</v>
      </c>
      <c r="AS54" s="182" t="e">
        <f>$K$54</f>
        <v>#DIV/0!</v>
      </c>
      <c r="AT54" s="182" t="e">
        <f>$L$54</f>
        <v>#DIV/0!</v>
      </c>
      <c r="AU54" s="182" t="e">
        <f>$M$54</f>
        <v>#DIV/0!</v>
      </c>
      <c r="AV54" s="182" t="e">
        <f>$N$54</f>
        <v>#DIV/0!</v>
      </c>
      <c r="AW54" s="182" t="e">
        <f>$O$54</f>
        <v>#DIV/0!</v>
      </c>
      <c r="AX54" s="182" t="e">
        <f>$P$54</f>
        <v>#DIV/0!</v>
      </c>
      <c r="AY54" s="182" t="e">
        <f>$Q$54</f>
        <v>#DIV/0!</v>
      </c>
      <c r="AZ54" s="182" t="e">
        <f>$R$54</f>
        <v>#DIV/0!</v>
      </c>
      <c r="BA54" s="182" t="e">
        <f>$S$54</f>
        <v>#DIV/0!</v>
      </c>
      <c r="BB54" s="182" t="e">
        <f>$T$54</f>
        <v>#DIV/0!</v>
      </c>
      <c r="BC54" s="182" t="e">
        <f>$U$54</f>
        <v>#DIV/0!</v>
      </c>
      <c r="BD54" s="182" t="e">
        <f>$V$54</f>
        <v>#DIV/0!</v>
      </c>
      <c r="BE54" s="182" t="e">
        <f>$W$54</f>
        <v>#DIV/0!</v>
      </c>
      <c r="BF54" s="182" t="e">
        <f>$X$54</f>
        <v>#DIV/0!</v>
      </c>
      <c r="BG54" s="182" t="e">
        <f>$Y$54</f>
        <v>#DIV/0!</v>
      </c>
      <c r="BH54" s="182" t="e">
        <f>$Z$54</f>
        <v>#DIV/0!</v>
      </c>
      <c r="BI54" s="182" t="e">
        <f>$AA$54</f>
        <v>#DIV/0!</v>
      </c>
      <c r="BJ54" s="182" t="e">
        <f>$AB$54</f>
        <v>#DIV/0!</v>
      </c>
      <c r="BK54" s="182" t="e">
        <f>$AC$54</f>
        <v>#DIV/0!</v>
      </c>
      <c r="BL54" s="182" t="e">
        <f>$AD$54</f>
        <v>#DIV/0!</v>
      </c>
      <c r="BM54" s="182" t="e">
        <f>$AE$54</f>
        <v>#DIV/0!</v>
      </c>
      <c r="BN54" s="182" t="e">
        <f>$AF$54</f>
        <v>#DIV/0!</v>
      </c>
    </row>
    <row r="55" spans="1:66">
      <c r="A55" s="69" t="s">
        <v>168</v>
      </c>
      <c r="B55" s="71" t="s">
        <v>178</v>
      </c>
      <c r="C55" s="100"/>
      <c r="E55" s="104">
        <v>4.6875</v>
      </c>
      <c r="F55" t="e">
        <f t="shared" si="1"/>
        <v>#DIV/0!</v>
      </c>
      <c r="G55" t="e">
        <f t="shared" si="0"/>
        <v>#DIV/0!</v>
      </c>
      <c r="H55" t="e">
        <f t="shared" si="0"/>
        <v>#DIV/0!</v>
      </c>
      <c r="I55" t="e">
        <f t="shared" si="0"/>
        <v>#DIV/0!</v>
      </c>
      <c r="J55" t="e">
        <f t="shared" si="0"/>
        <v>#DIV/0!</v>
      </c>
      <c r="K55" t="e">
        <f t="shared" si="0"/>
        <v>#DIV/0!</v>
      </c>
      <c r="L55" t="e">
        <f t="shared" si="0"/>
        <v>#DIV/0!</v>
      </c>
      <c r="M55" t="e">
        <f t="shared" si="0"/>
        <v>#DIV/0!</v>
      </c>
      <c r="N55" t="e">
        <f t="shared" si="0"/>
        <v>#DIV/0!</v>
      </c>
      <c r="O55" t="e">
        <f t="shared" si="0"/>
        <v>#DIV/0!</v>
      </c>
      <c r="P55" t="e">
        <f t="shared" si="0"/>
        <v>#DIV/0!</v>
      </c>
      <c r="Q55" t="e">
        <f t="shared" si="0"/>
        <v>#DIV/0!</v>
      </c>
      <c r="R55" t="e">
        <f t="shared" si="0"/>
        <v>#DIV/0!</v>
      </c>
      <c r="S55" t="e">
        <f t="shared" si="0"/>
        <v>#DIV/0!</v>
      </c>
      <c r="T55" t="e">
        <f t="shared" si="0"/>
        <v>#DIV/0!</v>
      </c>
      <c r="U55" t="e">
        <f t="shared" si="0"/>
        <v>#DIV/0!</v>
      </c>
      <c r="V55" t="e">
        <f t="shared" si="0"/>
        <v>#DIV/0!</v>
      </c>
      <c r="W55" t="e">
        <f t="shared" si="0"/>
        <v>#DIV/0!</v>
      </c>
      <c r="X55" t="e">
        <f t="shared" si="0"/>
        <v>#DIV/0!</v>
      </c>
      <c r="Y55" t="e">
        <f t="shared" si="0"/>
        <v>#DIV/0!</v>
      </c>
      <c r="Z55" t="e">
        <f t="shared" si="0"/>
        <v>#DIV/0!</v>
      </c>
      <c r="AA55" t="e">
        <f t="shared" si="0"/>
        <v>#DIV/0!</v>
      </c>
      <c r="AB55" t="e">
        <f t="shared" si="0"/>
        <v>#DIV/0!</v>
      </c>
      <c r="AC55" t="e">
        <f t="shared" si="0"/>
        <v>#DIV/0!</v>
      </c>
      <c r="AD55" t="e">
        <f t="shared" si="0"/>
        <v>#DIV/0!</v>
      </c>
      <c r="AE55" t="e">
        <f t="shared" si="0"/>
        <v>#DIV/0!</v>
      </c>
      <c r="AF55" t="e">
        <f t="shared" si="0"/>
        <v>#DIV/0!</v>
      </c>
      <c r="AG55" s="82"/>
      <c r="AH55" s="244" t="s">
        <v>438</v>
      </c>
      <c r="AI55" s="244" t="s">
        <v>455</v>
      </c>
      <c r="AJ55" s="82"/>
      <c r="AK55" s="182">
        <f>$C$55</f>
        <v>0</v>
      </c>
      <c r="AL55" s="182">
        <f>$D$55</f>
        <v>0</v>
      </c>
      <c r="AM55" s="182">
        <f>$E$55</f>
        <v>4.6875</v>
      </c>
      <c r="AN55" s="182" t="e">
        <f>$F$55</f>
        <v>#DIV/0!</v>
      </c>
      <c r="AO55" s="182" t="e">
        <f>$G$55</f>
        <v>#DIV/0!</v>
      </c>
      <c r="AP55" s="182" t="e">
        <f>$H$55</f>
        <v>#DIV/0!</v>
      </c>
      <c r="AQ55" s="182" t="e">
        <f>$I$55</f>
        <v>#DIV/0!</v>
      </c>
      <c r="AR55" s="182" t="e">
        <f>$J$55</f>
        <v>#DIV/0!</v>
      </c>
      <c r="AS55" s="182" t="e">
        <f>$K$55</f>
        <v>#DIV/0!</v>
      </c>
      <c r="AT55" s="182" t="e">
        <f>$L$55</f>
        <v>#DIV/0!</v>
      </c>
      <c r="AU55" s="182" t="e">
        <f>$M$55</f>
        <v>#DIV/0!</v>
      </c>
      <c r="AV55" s="182" t="e">
        <f>$N$55</f>
        <v>#DIV/0!</v>
      </c>
      <c r="AW55" s="182" t="e">
        <f>$O$55</f>
        <v>#DIV/0!</v>
      </c>
      <c r="AX55" s="182" t="e">
        <f>$P$55</f>
        <v>#DIV/0!</v>
      </c>
      <c r="AY55" s="182" t="e">
        <f>$Q$55</f>
        <v>#DIV/0!</v>
      </c>
      <c r="AZ55" s="182" t="e">
        <f>$R$55</f>
        <v>#DIV/0!</v>
      </c>
      <c r="BA55" s="182" t="e">
        <f>$S$55</f>
        <v>#DIV/0!</v>
      </c>
      <c r="BB55" s="182" t="e">
        <f>$T$55</f>
        <v>#DIV/0!</v>
      </c>
      <c r="BC55" s="182" t="e">
        <f>$U$55</f>
        <v>#DIV/0!</v>
      </c>
      <c r="BD55" s="182" t="e">
        <f>$V$55</f>
        <v>#DIV/0!</v>
      </c>
      <c r="BE55" s="182" t="e">
        <f>$W$55</f>
        <v>#DIV/0!</v>
      </c>
      <c r="BF55" s="182" t="e">
        <f>$X$55</f>
        <v>#DIV/0!</v>
      </c>
      <c r="BG55" s="182" t="e">
        <f>$Y$55</f>
        <v>#DIV/0!</v>
      </c>
      <c r="BH55" s="182" t="e">
        <f>$Z$55</f>
        <v>#DIV/0!</v>
      </c>
      <c r="BI55" s="182" t="e">
        <f>$AA$55</f>
        <v>#DIV/0!</v>
      </c>
      <c r="BJ55" s="182" t="e">
        <f>$AB$55</f>
        <v>#DIV/0!</v>
      </c>
      <c r="BK55" s="182" t="e">
        <f>$AC$55</f>
        <v>#DIV/0!</v>
      </c>
      <c r="BL55" s="182" t="e">
        <f>$AD$55</f>
        <v>#DIV/0!</v>
      </c>
      <c r="BM55" s="182" t="e">
        <f>$AE$55</f>
        <v>#DIV/0!</v>
      </c>
      <c r="BN55" s="182" t="e">
        <f>$AF$55</f>
        <v>#DIV/0!</v>
      </c>
    </row>
    <row r="56" spans="1:66">
      <c r="A56" s="69" t="s">
        <v>169</v>
      </c>
      <c r="B56" s="71" t="s">
        <v>178</v>
      </c>
      <c r="C56" s="100"/>
      <c r="E56" s="104">
        <v>14.754098360655737</v>
      </c>
      <c r="F56" t="e">
        <f t="shared" si="1"/>
        <v>#DIV/0!</v>
      </c>
      <c r="G56" t="e">
        <f t="shared" si="0"/>
        <v>#DIV/0!</v>
      </c>
      <c r="H56" t="e">
        <f t="shared" si="0"/>
        <v>#DIV/0!</v>
      </c>
      <c r="I56" t="e">
        <f t="shared" si="0"/>
        <v>#DIV/0!</v>
      </c>
      <c r="J56" t="e">
        <f t="shared" si="0"/>
        <v>#DIV/0!</v>
      </c>
      <c r="K56" t="e">
        <f t="shared" si="0"/>
        <v>#DIV/0!</v>
      </c>
      <c r="L56" t="e">
        <f t="shared" si="0"/>
        <v>#DIV/0!</v>
      </c>
      <c r="M56" t="e">
        <f t="shared" si="0"/>
        <v>#DIV/0!</v>
      </c>
      <c r="N56" t="e">
        <f t="shared" si="0"/>
        <v>#DIV/0!</v>
      </c>
      <c r="O56" t="e">
        <f t="shared" si="0"/>
        <v>#DIV/0!</v>
      </c>
      <c r="P56" t="e">
        <f t="shared" si="0"/>
        <v>#DIV/0!</v>
      </c>
      <c r="Q56" t="e">
        <f t="shared" si="0"/>
        <v>#DIV/0!</v>
      </c>
      <c r="R56" t="e">
        <f t="shared" si="0"/>
        <v>#DIV/0!</v>
      </c>
      <c r="S56" t="e">
        <f t="shared" si="0"/>
        <v>#DIV/0!</v>
      </c>
      <c r="T56" t="e">
        <f t="shared" si="0"/>
        <v>#DIV/0!</v>
      </c>
      <c r="U56" t="e">
        <f t="shared" si="0"/>
        <v>#DIV/0!</v>
      </c>
      <c r="V56" t="e">
        <f t="shared" si="0"/>
        <v>#DIV/0!</v>
      </c>
      <c r="W56" t="e">
        <f t="shared" si="0"/>
        <v>#DIV/0!</v>
      </c>
      <c r="X56" t="e">
        <f t="shared" si="0"/>
        <v>#DIV/0!</v>
      </c>
      <c r="Y56" t="e">
        <f t="shared" si="0"/>
        <v>#DIV/0!</v>
      </c>
      <c r="Z56" t="e">
        <f t="shared" si="0"/>
        <v>#DIV/0!</v>
      </c>
      <c r="AA56" t="e">
        <f t="shared" si="0"/>
        <v>#DIV/0!</v>
      </c>
      <c r="AB56" t="e">
        <f t="shared" si="0"/>
        <v>#DIV/0!</v>
      </c>
      <c r="AC56" t="e">
        <f t="shared" si="0"/>
        <v>#DIV/0!</v>
      </c>
      <c r="AD56" t="e">
        <f t="shared" si="0"/>
        <v>#DIV/0!</v>
      </c>
      <c r="AE56" t="e">
        <f t="shared" si="0"/>
        <v>#DIV/0!</v>
      </c>
      <c r="AF56" t="e">
        <f t="shared" si="0"/>
        <v>#DIV/0!</v>
      </c>
      <c r="AG56" s="82"/>
      <c r="AH56" s="245" t="s">
        <v>439</v>
      </c>
      <c r="AI56" s="244" t="s">
        <v>456</v>
      </c>
      <c r="AJ56" s="82"/>
      <c r="AK56" s="182">
        <f>$C$56</f>
        <v>0</v>
      </c>
      <c r="AL56" s="182">
        <f>$D$56</f>
        <v>0</v>
      </c>
      <c r="AM56" s="182">
        <f>$E$56</f>
        <v>14.754098360655737</v>
      </c>
      <c r="AN56" s="182" t="e">
        <f>$F$56</f>
        <v>#DIV/0!</v>
      </c>
      <c r="AO56" s="182" t="e">
        <f>$G$56</f>
        <v>#DIV/0!</v>
      </c>
      <c r="AP56" s="182" t="e">
        <f>$H$56</f>
        <v>#DIV/0!</v>
      </c>
      <c r="AQ56" s="182" t="e">
        <f>$I$56</f>
        <v>#DIV/0!</v>
      </c>
      <c r="AR56" s="182" t="e">
        <f>$J$56</f>
        <v>#DIV/0!</v>
      </c>
      <c r="AS56" s="182" t="e">
        <f>$K$56</f>
        <v>#DIV/0!</v>
      </c>
      <c r="AT56" s="182" t="e">
        <f>$L$56</f>
        <v>#DIV/0!</v>
      </c>
      <c r="AU56" s="182" t="e">
        <f>$M$56</f>
        <v>#DIV/0!</v>
      </c>
      <c r="AV56" s="182" t="e">
        <f>$N$56</f>
        <v>#DIV/0!</v>
      </c>
      <c r="AW56" s="182" t="e">
        <f>$O$56</f>
        <v>#DIV/0!</v>
      </c>
      <c r="AX56" s="182" t="e">
        <f>$P$56</f>
        <v>#DIV/0!</v>
      </c>
      <c r="AY56" s="182" t="e">
        <f>$Q$56</f>
        <v>#DIV/0!</v>
      </c>
      <c r="AZ56" s="182" t="e">
        <f>$R$56</f>
        <v>#DIV/0!</v>
      </c>
      <c r="BA56" s="182" t="e">
        <f>$S$56</f>
        <v>#DIV/0!</v>
      </c>
      <c r="BB56" s="182" t="e">
        <f>$T$56</f>
        <v>#DIV/0!</v>
      </c>
      <c r="BC56" s="182" t="e">
        <f>$U$56</f>
        <v>#DIV/0!</v>
      </c>
      <c r="BD56" s="182" t="e">
        <f>$V$56</f>
        <v>#DIV/0!</v>
      </c>
      <c r="BE56" s="182" t="e">
        <f>$W$56</f>
        <v>#DIV/0!</v>
      </c>
      <c r="BF56" s="182" t="e">
        <f>$X$56</f>
        <v>#DIV/0!</v>
      </c>
      <c r="BG56" s="182" t="e">
        <f>$Y$56</f>
        <v>#DIV/0!</v>
      </c>
      <c r="BH56" s="182" t="e">
        <f>$Z$56</f>
        <v>#DIV/0!</v>
      </c>
      <c r="BI56" s="182" t="e">
        <f>$AA$56</f>
        <v>#DIV/0!</v>
      </c>
      <c r="BJ56" s="182" t="e">
        <f>$AB$56</f>
        <v>#DIV/0!</v>
      </c>
      <c r="BK56" s="182" t="e">
        <f>$AC$56</f>
        <v>#DIV/0!</v>
      </c>
      <c r="BL56" s="182" t="e">
        <f>$AD$56</f>
        <v>#DIV/0!</v>
      </c>
      <c r="BM56" s="182" t="e">
        <f>$AE$56</f>
        <v>#DIV/0!</v>
      </c>
      <c r="BN56" s="182" t="e">
        <f>$AF$56</f>
        <v>#DIV/0!</v>
      </c>
    </row>
    <row r="57" spans="1:66">
      <c r="A57" s="69" t="s">
        <v>160</v>
      </c>
      <c r="B57" s="71" t="s">
        <v>162</v>
      </c>
      <c r="C57" s="104">
        <v>16.528925619834713</v>
      </c>
      <c r="D57" s="104">
        <v>20.300751879699249</v>
      </c>
      <c r="E57" s="104">
        <v>18.75</v>
      </c>
      <c r="F57" t="e">
        <f t="shared" si="1"/>
        <v>#DIV/0!</v>
      </c>
      <c r="G57" t="e">
        <f t="shared" si="0"/>
        <v>#DIV/0!</v>
      </c>
      <c r="H57" t="e">
        <f t="shared" si="0"/>
        <v>#DIV/0!</v>
      </c>
      <c r="I57" t="e">
        <f t="shared" si="0"/>
        <v>#DIV/0!</v>
      </c>
      <c r="J57" t="e">
        <f t="shared" si="0"/>
        <v>#DIV/0!</v>
      </c>
      <c r="K57" t="e">
        <f t="shared" si="0"/>
        <v>#DIV/0!</v>
      </c>
      <c r="L57" t="e">
        <f t="shared" si="0"/>
        <v>#DIV/0!</v>
      </c>
      <c r="M57" t="e">
        <f t="shared" si="0"/>
        <v>#DIV/0!</v>
      </c>
      <c r="N57" t="e">
        <f t="shared" si="0"/>
        <v>#DIV/0!</v>
      </c>
      <c r="O57" t="e">
        <f t="shared" si="0"/>
        <v>#DIV/0!</v>
      </c>
      <c r="P57" t="e">
        <f t="shared" si="0"/>
        <v>#DIV/0!</v>
      </c>
      <c r="Q57" t="e">
        <f t="shared" ref="G57:AF67" si="2">1/0</f>
        <v>#DIV/0!</v>
      </c>
      <c r="R57" t="e">
        <f t="shared" si="2"/>
        <v>#DIV/0!</v>
      </c>
      <c r="S57" t="e">
        <f t="shared" si="2"/>
        <v>#DIV/0!</v>
      </c>
      <c r="T57" t="e">
        <f t="shared" si="2"/>
        <v>#DIV/0!</v>
      </c>
      <c r="U57" t="e">
        <f t="shared" si="2"/>
        <v>#DIV/0!</v>
      </c>
      <c r="V57" t="e">
        <f t="shared" si="2"/>
        <v>#DIV/0!</v>
      </c>
      <c r="W57" t="e">
        <f t="shared" si="2"/>
        <v>#DIV/0!</v>
      </c>
      <c r="X57" t="e">
        <f t="shared" si="2"/>
        <v>#DIV/0!</v>
      </c>
      <c r="Y57" t="e">
        <f t="shared" si="2"/>
        <v>#DIV/0!</v>
      </c>
      <c r="Z57" t="e">
        <f t="shared" si="2"/>
        <v>#DIV/0!</v>
      </c>
      <c r="AA57" t="e">
        <f t="shared" si="2"/>
        <v>#DIV/0!</v>
      </c>
      <c r="AB57" t="e">
        <f t="shared" si="2"/>
        <v>#DIV/0!</v>
      </c>
      <c r="AC57" t="e">
        <f t="shared" si="2"/>
        <v>#DIV/0!</v>
      </c>
      <c r="AD57" t="e">
        <f t="shared" si="2"/>
        <v>#DIV/0!</v>
      </c>
      <c r="AE57" t="e">
        <f t="shared" si="2"/>
        <v>#DIV/0!</v>
      </c>
      <c r="AF57" t="e">
        <f t="shared" si="2"/>
        <v>#DIV/0!</v>
      </c>
      <c r="AG57" s="82"/>
      <c r="AH57" s="244" t="s">
        <v>440</v>
      </c>
      <c r="AI57" s="244" t="s">
        <v>457</v>
      </c>
      <c r="AJ57" s="82"/>
      <c r="AK57" s="182">
        <f>$C$57</f>
        <v>16.528925619834713</v>
      </c>
      <c r="AL57" s="182">
        <f>$D$57</f>
        <v>20.300751879699249</v>
      </c>
      <c r="AM57" s="182">
        <f>$E$57</f>
        <v>18.75</v>
      </c>
      <c r="AN57" s="182" t="e">
        <f>$F$57</f>
        <v>#DIV/0!</v>
      </c>
      <c r="AO57" s="182" t="e">
        <f>$G$57</f>
        <v>#DIV/0!</v>
      </c>
      <c r="AP57" s="182" t="e">
        <f>$H$57</f>
        <v>#DIV/0!</v>
      </c>
      <c r="AQ57" s="182" t="e">
        <f>$I$57</f>
        <v>#DIV/0!</v>
      </c>
      <c r="AR57" s="182" t="e">
        <f>$J$57</f>
        <v>#DIV/0!</v>
      </c>
      <c r="AS57" s="182" t="e">
        <f>$K$57</f>
        <v>#DIV/0!</v>
      </c>
      <c r="AT57" s="182" t="e">
        <f>$L$57</f>
        <v>#DIV/0!</v>
      </c>
      <c r="AU57" s="182" t="e">
        <f>$M$57</f>
        <v>#DIV/0!</v>
      </c>
      <c r="AV57" s="182" t="e">
        <f>$N$57</f>
        <v>#DIV/0!</v>
      </c>
      <c r="AW57" s="182" t="e">
        <f>$O$57</f>
        <v>#DIV/0!</v>
      </c>
      <c r="AX57" s="182" t="e">
        <f>$P$57</f>
        <v>#DIV/0!</v>
      </c>
      <c r="AY57" s="182" t="e">
        <f>$Q$57</f>
        <v>#DIV/0!</v>
      </c>
      <c r="AZ57" s="182" t="e">
        <f>$R$57</f>
        <v>#DIV/0!</v>
      </c>
      <c r="BA57" s="182" t="e">
        <f>$S$57</f>
        <v>#DIV/0!</v>
      </c>
      <c r="BB57" s="182" t="e">
        <f>$T$57</f>
        <v>#DIV/0!</v>
      </c>
      <c r="BC57" s="182" t="e">
        <f>$U$57</f>
        <v>#DIV/0!</v>
      </c>
      <c r="BD57" s="182" t="e">
        <f>$V$57</f>
        <v>#DIV/0!</v>
      </c>
      <c r="BE57" s="182" t="e">
        <f>$W$57</f>
        <v>#DIV/0!</v>
      </c>
      <c r="BF57" s="182" t="e">
        <f>$X$57</f>
        <v>#DIV/0!</v>
      </c>
      <c r="BG57" s="182" t="e">
        <f>$Y$57</f>
        <v>#DIV/0!</v>
      </c>
      <c r="BH57" s="182" t="e">
        <f>$Z$57</f>
        <v>#DIV/0!</v>
      </c>
      <c r="BI57" s="182" t="e">
        <f>$AA$57</f>
        <v>#DIV/0!</v>
      </c>
      <c r="BJ57" s="182" t="e">
        <f>$AB$57</f>
        <v>#DIV/0!</v>
      </c>
      <c r="BK57" s="182" t="e">
        <f>$AC$57</f>
        <v>#DIV/0!</v>
      </c>
      <c r="BL57" s="182" t="e">
        <f>$AD$57</f>
        <v>#DIV/0!</v>
      </c>
      <c r="BM57" s="182" t="e">
        <f>$AE$57</f>
        <v>#DIV/0!</v>
      </c>
      <c r="BN57" s="182" t="e">
        <f>$AF$57</f>
        <v>#DIV/0!</v>
      </c>
    </row>
    <row r="58" spans="1:66">
      <c r="A58" s="69" t="s">
        <v>179</v>
      </c>
      <c r="B58" s="71" t="s">
        <v>188</v>
      </c>
      <c r="C58" s="104">
        <v>24.444444444444443</v>
      </c>
      <c r="D58" s="104">
        <v>12.925170068027212</v>
      </c>
      <c r="E58" s="104">
        <v>19.696969696969695</v>
      </c>
      <c r="F58" t="e">
        <f t="shared" si="1"/>
        <v>#DIV/0!</v>
      </c>
      <c r="G58" t="e">
        <f t="shared" si="2"/>
        <v>#DIV/0!</v>
      </c>
      <c r="H58" t="e">
        <f t="shared" si="2"/>
        <v>#DIV/0!</v>
      </c>
      <c r="I58" t="e">
        <f t="shared" si="2"/>
        <v>#DIV/0!</v>
      </c>
      <c r="J58" t="e">
        <f t="shared" si="2"/>
        <v>#DIV/0!</v>
      </c>
      <c r="K58" t="e">
        <f t="shared" si="2"/>
        <v>#DIV/0!</v>
      </c>
      <c r="L58" t="e">
        <f t="shared" si="2"/>
        <v>#DIV/0!</v>
      </c>
      <c r="M58" t="e">
        <f t="shared" si="2"/>
        <v>#DIV/0!</v>
      </c>
      <c r="N58" t="e">
        <f t="shared" si="2"/>
        <v>#DIV/0!</v>
      </c>
      <c r="O58" t="e">
        <f t="shared" si="2"/>
        <v>#DIV/0!</v>
      </c>
      <c r="P58" t="e">
        <f t="shared" si="2"/>
        <v>#DIV/0!</v>
      </c>
      <c r="Q58" t="e">
        <f t="shared" si="2"/>
        <v>#DIV/0!</v>
      </c>
      <c r="R58" t="e">
        <f t="shared" si="2"/>
        <v>#DIV/0!</v>
      </c>
      <c r="S58" t="e">
        <f t="shared" si="2"/>
        <v>#DIV/0!</v>
      </c>
      <c r="T58" t="e">
        <f t="shared" si="2"/>
        <v>#DIV/0!</v>
      </c>
      <c r="U58" t="e">
        <f t="shared" si="2"/>
        <v>#DIV/0!</v>
      </c>
      <c r="V58" t="e">
        <f t="shared" si="2"/>
        <v>#DIV/0!</v>
      </c>
      <c r="W58" t="e">
        <f t="shared" si="2"/>
        <v>#DIV/0!</v>
      </c>
      <c r="X58" t="e">
        <f t="shared" si="2"/>
        <v>#DIV/0!</v>
      </c>
      <c r="Y58" t="e">
        <f t="shared" si="2"/>
        <v>#DIV/0!</v>
      </c>
      <c r="Z58" t="e">
        <f t="shared" si="2"/>
        <v>#DIV/0!</v>
      </c>
      <c r="AA58" t="e">
        <f t="shared" si="2"/>
        <v>#DIV/0!</v>
      </c>
      <c r="AB58" t="e">
        <f t="shared" si="2"/>
        <v>#DIV/0!</v>
      </c>
      <c r="AC58" t="e">
        <f t="shared" si="2"/>
        <v>#DIV/0!</v>
      </c>
      <c r="AD58" t="e">
        <f t="shared" si="2"/>
        <v>#DIV/0!</v>
      </c>
      <c r="AE58" t="e">
        <f t="shared" si="2"/>
        <v>#DIV/0!</v>
      </c>
      <c r="AF58" t="e">
        <f t="shared" si="2"/>
        <v>#DIV/0!</v>
      </c>
      <c r="AG58" s="82"/>
      <c r="AH58" s="244" t="s">
        <v>441</v>
      </c>
      <c r="AI58" s="244" t="s">
        <v>458</v>
      </c>
      <c r="AJ58" s="82"/>
      <c r="AK58" s="182">
        <f>$C$58</f>
        <v>24.444444444444443</v>
      </c>
      <c r="AL58" s="182">
        <f>$D$58</f>
        <v>12.925170068027212</v>
      </c>
      <c r="AM58" s="182">
        <f>$E$58</f>
        <v>19.696969696969695</v>
      </c>
      <c r="AN58" s="182" t="e">
        <f>$F$58</f>
        <v>#DIV/0!</v>
      </c>
      <c r="AO58" s="182" t="e">
        <f>$G$58</f>
        <v>#DIV/0!</v>
      </c>
      <c r="AP58" s="182" t="e">
        <f>$H$58</f>
        <v>#DIV/0!</v>
      </c>
      <c r="AQ58" s="182" t="e">
        <f>$I$58</f>
        <v>#DIV/0!</v>
      </c>
      <c r="AR58" s="182" t="e">
        <f>$J$58</f>
        <v>#DIV/0!</v>
      </c>
      <c r="AS58" s="182" t="e">
        <f>$K$58</f>
        <v>#DIV/0!</v>
      </c>
      <c r="AT58" s="182" t="e">
        <f>$L$58</f>
        <v>#DIV/0!</v>
      </c>
      <c r="AU58" s="182" t="e">
        <f>$M$58</f>
        <v>#DIV/0!</v>
      </c>
      <c r="AV58" s="182" t="e">
        <f>$N$58</f>
        <v>#DIV/0!</v>
      </c>
      <c r="AW58" s="182" t="e">
        <f>$O$58</f>
        <v>#DIV/0!</v>
      </c>
      <c r="AX58" s="182" t="e">
        <f>$P$58</f>
        <v>#DIV/0!</v>
      </c>
      <c r="AY58" s="182" t="e">
        <f>$Q$58</f>
        <v>#DIV/0!</v>
      </c>
      <c r="AZ58" s="182" t="e">
        <f>$R$58</f>
        <v>#DIV/0!</v>
      </c>
      <c r="BA58" s="182" t="e">
        <f>$S$58</f>
        <v>#DIV/0!</v>
      </c>
      <c r="BB58" s="182" t="e">
        <f>$T$58</f>
        <v>#DIV/0!</v>
      </c>
      <c r="BC58" s="182" t="e">
        <f>$U$58</f>
        <v>#DIV/0!</v>
      </c>
      <c r="BD58" s="182" t="e">
        <f>$V$58</f>
        <v>#DIV/0!</v>
      </c>
      <c r="BE58" s="182" t="e">
        <f>$W$58</f>
        <v>#DIV/0!</v>
      </c>
      <c r="BF58" s="182" t="e">
        <f>$X$58</f>
        <v>#DIV/0!</v>
      </c>
      <c r="BG58" s="182" t="e">
        <f>$Y$58</f>
        <v>#DIV/0!</v>
      </c>
      <c r="BH58" s="182" t="e">
        <f>$Z$58</f>
        <v>#DIV/0!</v>
      </c>
      <c r="BI58" s="182" t="e">
        <f>$AA$58</f>
        <v>#DIV/0!</v>
      </c>
      <c r="BJ58" s="182" t="e">
        <f>$AB$58</f>
        <v>#DIV/0!</v>
      </c>
      <c r="BK58" s="182" t="e">
        <f>$AC$58</f>
        <v>#DIV/0!</v>
      </c>
      <c r="BL58" s="182" t="e">
        <f>$AD$58</f>
        <v>#DIV/0!</v>
      </c>
      <c r="BM58" s="182" t="e">
        <f>$AE$58</f>
        <v>#DIV/0!</v>
      </c>
      <c r="BN58" s="182" t="e">
        <f>$AF$58</f>
        <v>#DIV/0!</v>
      </c>
    </row>
    <row r="59" spans="1:66">
      <c r="A59" s="69" t="s">
        <v>170</v>
      </c>
      <c r="B59" s="71" t="s">
        <v>178</v>
      </c>
      <c r="C59" s="104">
        <v>10.204081632653061</v>
      </c>
      <c r="D59" s="104">
        <v>14.906832298136646</v>
      </c>
      <c r="E59" s="104">
        <v>12.460063897763577</v>
      </c>
      <c r="F59" t="e">
        <f t="shared" si="1"/>
        <v>#DIV/0!</v>
      </c>
      <c r="G59" t="e">
        <f t="shared" si="2"/>
        <v>#DIV/0!</v>
      </c>
      <c r="H59" t="e">
        <f t="shared" si="2"/>
        <v>#DIV/0!</v>
      </c>
      <c r="I59" t="e">
        <f t="shared" si="2"/>
        <v>#DIV/0!</v>
      </c>
      <c r="J59" t="e">
        <f t="shared" si="2"/>
        <v>#DIV/0!</v>
      </c>
      <c r="K59" t="e">
        <f t="shared" si="2"/>
        <v>#DIV/0!</v>
      </c>
      <c r="L59" t="e">
        <f t="shared" si="2"/>
        <v>#DIV/0!</v>
      </c>
      <c r="M59" t="e">
        <f t="shared" si="2"/>
        <v>#DIV/0!</v>
      </c>
      <c r="N59" t="e">
        <f t="shared" si="2"/>
        <v>#DIV/0!</v>
      </c>
      <c r="O59" t="e">
        <f t="shared" si="2"/>
        <v>#DIV/0!</v>
      </c>
      <c r="P59" t="e">
        <f t="shared" si="2"/>
        <v>#DIV/0!</v>
      </c>
      <c r="Q59" t="e">
        <f t="shared" si="2"/>
        <v>#DIV/0!</v>
      </c>
      <c r="R59" t="e">
        <f t="shared" si="2"/>
        <v>#DIV/0!</v>
      </c>
      <c r="S59" t="e">
        <f t="shared" si="2"/>
        <v>#DIV/0!</v>
      </c>
      <c r="T59" t="e">
        <f t="shared" si="2"/>
        <v>#DIV/0!</v>
      </c>
      <c r="U59" t="e">
        <f t="shared" si="2"/>
        <v>#DIV/0!</v>
      </c>
      <c r="V59" t="e">
        <f t="shared" si="2"/>
        <v>#DIV/0!</v>
      </c>
      <c r="W59" t="e">
        <f t="shared" si="2"/>
        <v>#DIV/0!</v>
      </c>
      <c r="X59" t="e">
        <f t="shared" si="2"/>
        <v>#DIV/0!</v>
      </c>
      <c r="Y59" t="e">
        <f t="shared" si="2"/>
        <v>#DIV/0!</v>
      </c>
      <c r="Z59" t="e">
        <f t="shared" si="2"/>
        <v>#DIV/0!</v>
      </c>
      <c r="AA59" t="e">
        <f t="shared" si="2"/>
        <v>#DIV/0!</v>
      </c>
      <c r="AB59" t="e">
        <f t="shared" si="2"/>
        <v>#DIV/0!</v>
      </c>
      <c r="AC59" t="e">
        <f t="shared" si="2"/>
        <v>#DIV/0!</v>
      </c>
      <c r="AD59" t="e">
        <f t="shared" si="2"/>
        <v>#DIV/0!</v>
      </c>
      <c r="AE59" t="e">
        <f t="shared" si="2"/>
        <v>#DIV/0!</v>
      </c>
      <c r="AF59" t="e">
        <f t="shared" si="2"/>
        <v>#DIV/0!</v>
      </c>
      <c r="AG59" s="82"/>
      <c r="AH59" s="244" t="s">
        <v>442</v>
      </c>
      <c r="AI59" s="244" t="s">
        <v>459</v>
      </c>
      <c r="AJ59" s="82"/>
      <c r="AK59" s="182">
        <f>$C$59</f>
        <v>10.204081632653061</v>
      </c>
      <c r="AL59" s="182">
        <f>$D$59</f>
        <v>14.906832298136646</v>
      </c>
      <c r="AM59" s="182">
        <f>$E$59</f>
        <v>12.460063897763577</v>
      </c>
      <c r="AN59" s="182" t="e">
        <f>$F$59</f>
        <v>#DIV/0!</v>
      </c>
      <c r="AO59" s="182" t="e">
        <f>$G$59</f>
        <v>#DIV/0!</v>
      </c>
      <c r="AP59" s="182" t="e">
        <f>$H$59</f>
        <v>#DIV/0!</v>
      </c>
      <c r="AQ59" s="182" t="e">
        <f>$I$59</f>
        <v>#DIV/0!</v>
      </c>
      <c r="AR59" s="182" t="e">
        <f>$J$59</f>
        <v>#DIV/0!</v>
      </c>
      <c r="AS59" s="182" t="e">
        <f>$K$59</f>
        <v>#DIV/0!</v>
      </c>
      <c r="AT59" s="182" t="e">
        <f>$L$59</f>
        <v>#DIV/0!</v>
      </c>
      <c r="AU59" s="182" t="e">
        <f>$M$59</f>
        <v>#DIV/0!</v>
      </c>
      <c r="AV59" s="182" t="e">
        <f>$N$59</f>
        <v>#DIV/0!</v>
      </c>
      <c r="AW59" s="182" t="e">
        <f>$O$59</f>
        <v>#DIV/0!</v>
      </c>
      <c r="AX59" s="182" t="e">
        <f>$P$59</f>
        <v>#DIV/0!</v>
      </c>
      <c r="AY59" s="182" t="e">
        <f>$Q$59</f>
        <v>#DIV/0!</v>
      </c>
      <c r="AZ59" s="182" t="e">
        <f>$R$59</f>
        <v>#DIV/0!</v>
      </c>
      <c r="BA59" s="182" t="e">
        <f>$S$59</f>
        <v>#DIV/0!</v>
      </c>
      <c r="BB59" s="182" t="e">
        <f>$T$59</f>
        <v>#DIV/0!</v>
      </c>
      <c r="BC59" s="182" t="e">
        <f>$U$59</f>
        <v>#DIV/0!</v>
      </c>
      <c r="BD59" s="182" t="e">
        <f>$V$59</f>
        <v>#DIV/0!</v>
      </c>
      <c r="BE59" s="182" t="e">
        <f>$W$59</f>
        <v>#DIV/0!</v>
      </c>
      <c r="BF59" s="182" t="e">
        <f>$X$59</f>
        <v>#DIV/0!</v>
      </c>
      <c r="BG59" s="182" t="e">
        <f>$Y$59</f>
        <v>#DIV/0!</v>
      </c>
      <c r="BH59" s="182" t="e">
        <f>$Z$59</f>
        <v>#DIV/0!</v>
      </c>
      <c r="BI59" s="182" t="e">
        <f>$AA$59</f>
        <v>#DIV/0!</v>
      </c>
      <c r="BJ59" s="182" t="e">
        <f>$AB$59</f>
        <v>#DIV/0!</v>
      </c>
      <c r="BK59" s="182" t="e">
        <f>$AC$59</f>
        <v>#DIV/0!</v>
      </c>
      <c r="BL59" s="182" t="e">
        <f>$AD$59</f>
        <v>#DIV/0!</v>
      </c>
      <c r="BM59" s="182" t="e">
        <f>$AE$59</f>
        <v>#DIV/0!</v>
      </c>
      <c r="BN59" s="182" t="e">
        <f>$AF$59</f>
        <v>#DIV/0!</v>
      </c>
    </row>
    <row r="60" spans="1:66">
      <c r="A60" s="69" t="s">
        <v>152</v>
      </c>
      <c r="B60" t="s">
        <v>153</v>
      </c>
      <c r="C60" s="100"/>
      <c r="E60" s="104">
        <v>16.393442622950818</v>
      </c>
      <c r="F60" t="e">
        <f t="shared" si="1"/>
        <v>#DIV/0!</v>
      </c>
      <c r="G60" t="e">
        <f t="shared" si="2"/>
        <v>#DIV/0!</v>
      </c>
      <c r="H60" t="e">
        <f t="shared" si="2"/>
        <v>#DIV/0!</v>
      </c>
      <c r="I60" t="e">
        <f t="shared" si="2"/>
        <v>#DIV/0!</v>
      </c>
      <c r="J60" t="e">
        <f t="shared" si="2"/>
        <v>#DIV/0!</v>
      </c>
      <c r="K60" t="e">
        <f t="shared" si="2"/>
        <v>#DIV/0!</v>
      </c>
      <c r="L60" t="e">
        <f t="shared" si="2"/>
        <v>#DIV/0!</v>
      </c>
      <c r="M60" t="e">
        <f t="shared" si="2"/>
        <v>#DIV/0!</v>
      </c>
      <c r="N60" t="e">
        <f t="shared" si="2"/>
        <v>#DIV/0!</v>
      </c>
      <c r="O60" t="e">
        <f t="shared" si="2"/>
        <v>#DIV/0!</v>
      </c>
      <c r="P60" t="e">
        <f t="shared" si="2"/>
        <v>#DIV/0!</v>
      </c>
      <c r="Q60" t="e">
        <f t="shared" si="2"/>
        <v>#DIV/0!</v>
      </c>
      <c r="R60" t="e">
        <f t="shared" si="2"/>
        <v>#DIV/0!</v>
      </c>
      <c r="S60" t="e">
        <f t="shared" si="2"/>
        <v>#DIV/0!</v>
      </c>
      <c r="T60" t="e">
        <f t="shared" si="2"/>
        <v>#DIV/0!</v>
      </c>
      <c r="U60" t="e">
        <f t="shared" si="2"/>
        <v>#DIV/0!</v>
      </c>
      <c r="V60" t="e">
        <f t="shared" si="2"/>
        <v>#DIV/0!</v>
      </c>
      <c r="W60" t="e">
        <f t="shared" si="2"/>
        <v>#DIV/0!</v>
      </c>
      <c r="X60" t="e">
        <f t="shared" si="2"/>
        <v>#DIV/0!</v>
      </c>
      <c r="Y60" t="e">
        <f t="shared" si="2"/>
        <v>#DIV/0!</v>
      </c>
      <c r="Z60" t="e">
        <f t="shared" si="2"/>
        <v>#DIV/0!</v>
      </c>
      <c r="AA60" t="e">
        <f t="shared" si="2"/>
        <v>#DIV/0!</v>
      </c>
      <c r="AB60" t="e">
        <f t="shared" si="2"/>
        <v>#DIV/0!</v>
      </c>
      <c r="AC60" t="e">
        <f t="shared" si="2"/>
        <v>#DIV/0!</v>
      </c>
      <c r="AD60" t="e">
        <f t="shared" si="2"/>
        <v>#DIV/0!</v>
      </c>
      <c r="AE60" t="e">
        <f t="shared" si="2"/>
        <v>#DIV/0!</v>
      </c>
      <c r="AF60" t="e">
        <f t="shared" si="2"/>
        <v>#DIV/0!</v>
      </c>
      <c r="AG60" s="82"/>
      <c r="AH60" s="244" t="s">
        <v>443</v>
      </c>
      <c r="AI60" s="244" t="s">
        <v>460</v>
      </c>
      <c r="AJ60" s="82"/>
      <c r="AK60" s="182">
        <f>$C$60</f>
        <v>0</v>
      </c>
      <c r="AL60" s="182">
        <f>$D$60</f>
        <v>0</v>
      </c>
      <c r="AM60" s="182">
        <f>$E$60</f>
        <v>16.393442622950818</v>
      </c>
      <c r="AN60" s="182" t="e">
        <f>$F$60</f>
        <v>#DIV/0!</v>
      </c>
      <c r="AO60" s="182" t="e">
        <f>$G$60</f>
        <v>#DIV/0!</v>
      </c>
      <c r="AP60" s="182" t="e">
        <f>$H$60</f>
        <v>#DIV/0!</v>
      </c>
      <c r="AQ60" s="182" t="e">
        <f>$I$60</f>
        <v>#DIV/0!</v>
      </c>
      <c r="AR60" s="182" t="e">
        <f>$J$60</f>
        <v>#DIV/0!</v>
      </c>
      <c r="AS60" s="182" t="e">
        <f>$K$60</f>
        <v>#DIV/0!</v>
      </c>
      <c r="AT60" s="182" t="e">
        <f>$L$60</f>
        <v>#DIV/0!</v>
      </c>
      <c r="AU60" s="182" t="e">
        <f>$M$60</f>
        <v>#DIV/0!</v>
      </c>
      <c r="AV60" s="182" t="e">
        <f>$N$60</f>
        <v>#DIV/0!</v>
      </c>
      <c r="AW60" s="182" t="e">
        <f>$O$60</f>
        <v>#DIV/0!</v>
      </c>
      <c r="AX60" s="182" t="e">
        <f>$P$60</f>
        <v>#DIV/0!</v>
      </c>
      <c r="AY60" s="182" t="e">
        <f>$Q$60</f>
        <v>#DIV/0!</v>
      </c>
      <c r="AZ60" s="182" t="e">
        <f>$R$60</f>
        <v>#DIV/0!</v>
      </c>
      <c r="BA60" s="182" t="e">
        <f>$S$60</f>
        <v>#DIV/0!</v>
      </c>
      <c r="BB60" s="182" t="e">
        <f>$T$60</f>
        <v>#DIV/0!</v>
      </c>
      <c r="BC60" s="182" t="e">
        <f>$U$60</f>
        <v>#DIV/0!</v>
      </c>
      <c r="BD60" s="182" t="e">
        <f>$V$60</f>
        <v>#DIV/0!</v>
      </c>
      <c r="BE60" s="182" t="e">
        <f>$W$60</f>
        <v>#DIV/0!</v>
      </c>
      <c r="BF60" s="182" t="e">
        <f>$X$60</f>
        <v>#DIV/0!</v>
      </c>
      <c r="BG60" s="182" t="e">
        <f>$Y$60</f>
        <v>#DIV/0!</v>
      </c>
      <c r="BH60" s="182" t="e">
        <f>$Z$60</f>
        <v>#DIV/0!</v>
      </c>
      <c r="BI60" s="182" t="e">
        <f>$AA$60</f>
        <v>#DIV/0!</v>
      </c>
      <c r="BJ60" s="182" t="e">
        <f>$AB$60</f>
        <v>#DIV/0!</v>
      </c>
      <c r="BK60" s="182" t="e">
        <f>$AC$60</f>
        <v>#DIV/0!</v>
      </c>
      <c r="BL60" s="182" t="e">
        <f>$AD$60</f>
        <v>#DIV/0!</v>
      </c>
      <c r="BM60" s="182" t="e">
        <f>$AE$60</f>
        <v>#DIV/0!</v>
      </c>
      <c r="BN60" s="182" t="e">
        <f>$AF$60</f>
        <v>#DIV/0!</v>
      </c>
    </row>
    <row r="61" spans="1:66">
      <c r="A61" s="69" t="s">
        <v>146</v>
      </c>
      <c r="B61" t="s">
        <v>153</v>
      </c>
      <c r="C61" s="104">
        <v>23.333333333333332</v>
      </c>
      <c r="D61" s="104">
        <v>10.638297872340425</v>
      </c>
      <c r="E61" s="104">
        <v>18.75</v>
      </c>
      <c r="F61" t="e">
        <f t="shared" si="1"/>
        <v>#DIV/0!</v>
      </c>
      <c r="G61" t="e">
        <f t="shared" si="2"/>
        <v>#DIV/0!</v>
      </c>
      <c r="H61" t="e">
        <f t="shared" si="2"/>
        <v>#DIV/0!</v>
      </c>
      <c r="I61" t="e">
        <f t="shared" si="2"/>
        <v>#DIV/0!</v>
      </c>
      <c r="J61" t="e">
        <f t="shared" si="2"/>
        <v>#DIV/0!</v>
      </c>
      <c r="K61" t="e">
        <f t="shared" si="2"/>
        <v>#DIV/0!</v>
      </c>
      <c r="L61" t="e">
        <f t="shared" si="2"/>
        <v>#DIV/0!</v>
      </c>
      <c r="M61" t="e">
        <f t="shared" si="2"/>
        <v>#DIV/0!</v>
      </c>
      <c r="N61" t="e">
        <f t="shared" si="2"/>
        <v>#DIV/0!</v>
      </c>
      <c r="O61" t="e">
        <f t="shared" si="2"/>
        <v>#DIV/0!</v>
      </c>
      <c r="P61" t="e">
        <f t="shared" si="2"/>
        <v>#DIV/0!</v>
      </c>
      <c r="Q61" t="e">
        <f t="shared" si="2"/>
        <v>#DIV/0!</v>
      </c>
      <c r="R61" t="e">
        <f t="shared" si="2"/>
        <v>#DIV/0!</v>
      </c>
      <c r="S61" t="e">
        <f t="shared" si="2"/>
        <v>#DIV/0!</v>
      </c>
      <c r="T61" t="e">
        <f t="shared" si="2"/>
        <v>#DIV/0!</v>
      </c>
      <c r="U61" t="e">
        <f t="shared" si="2"/>
        <v>#DIV/0!</v>
      </c>
      <c r="V61" t="e">
        <f t="shared" si="2"/>
        <v>#DIV/0!</v>
      </c>
      <c r="W61" t="e">
        <f t="shared" si="2"/>
        <v>#DIV/0!</v>
      </c>
      <c r="X61" t="e">
        <f t="shared" si="2"/>
        <v>#DIV/0!</v>
      </c>
      <c r="Y61" t="e">
        <f t="shared" si="2"/>
        <v>#DIV/0!</v>
      </c>
      <c r="Z61" t="e">
        <f t="shared" si="2"/>
        <v>#DIV/0!</v>
      </c>
      <c r="AA61" t="e">
        <f t="shared" si="2"/>
        <v>#DIV/0!</v>
      </c>
      <c r="AB61" t="e">
        <f t="shared" si="2"/>
        <v>#DIV/0!</v>
      </c>
      <c r="AC61" t="e">
        <f t="shared" si="2"/>
        <v>#DIV/0!</v>
      </c>
      <c r="AD61" t="e">
        <f t="shared" si="2"/>
        <v>#DIV/0!</v>
      </c>
      <c r="AE61" t="e">
        <f t="shared" si="2"/>
        <v>#DIV/0!</v>
      </c>
      <c r="AF61" t="e">
        <f t="shared" si="2"/>
        <v>#DIV/0!</v>
      </c>
      <c r="AG61" s="82"/>
      <c r="AH61" s="244" t="s">
        <v>444</v>
      </c>
      <c r="AI61" s="245" t="s">
        <v>461</v>
      </c>
      <c r="AJ61" s="82"/>
      <c r="AK61" s="182">
        <f>$C$61</f>
        <v>23.333333333333332</v>
      </c>
      <c r="AL61" s="182">
        <f>$D$61</f>
        <v>10.638297872340425</v>
      </c>
      <c r="AM61" s="182">
        <f>$E$61</f>
        <v>18.75</v>
      </c>
      <c r="AN61" s="182" t="e">
        <f>$F$61</f>
        <v>#DIV/0!</v>
      </c>
      <c r="AO61" s="182" t="e">
        <f>$G$61</f>
        <v>#DIV/0!</v>
      </c>
      <c r="AP61" s="182" t="e">
        <f>$H$61</f>
        <v>#DIV/0!</v>
      </c>
      <c r="AQ61" s="182" t="e">
        <f>$I$61</f>
        <v>#DIV/0!</v>
      </c>
      <c r="AR61" s="182" t="e">
        <f>$J$61</f>
        <v>#DIV/0!</v>
      </c>
      <c r="AS61" s="182" t="e">
        <f>$K$61</f>
        <v>#DIV/0!</v>
      </c>
      <c r="AT61" s="182" t="e">
        <f>$L$61</f>
        <v>#DIV/0!</v>
      </c>
      <c r="AU61" s="182" t="e">
        <f>$M$61</f>
        <v>#DIV/0!</v>
      </c>
      <c r="AV61" s="182" t="e">
        <f>$N$61</f>
        <v>#DIV/0!</v>
      </c>
      <c r="AW61" s="182" t="e">
        <f>$O$61</f>
        <v>#DIV/0!</v>
      </c>
      <c r="AX61" s="182" t="e">
        <f>$P$61</f>
        <v>#DIV/0!</v>
      </c>
      <c r="AY61" s="182" t="e">
        <f>$Q$61</f>
        <v>#DIV/0!</v>
      </c>
      <c r="AZ61" s="182" t="e">
        <f>$R$61</f>
        <v>#DIV/0!</v>
      </c>
      <c r="BA61" s="182" t="e">
        <f>$S$61</f>
        <v>#DIV/0!</v>
      </c>
      <c r="BB61" s="182" t="e">
        <f>$T$61</f>
        <v>#DIV/0!</v>
      </c>
      <c r="BC61" s="182" t="e">
        <f>$U$61</f>
        <v>#DIV/0!</v>
      </c>
      <c r="BD61" s="182" t="e">
        <f>$V$61</f>
        <v>#DIV/0!</v>
      </c>
      <c r="BE61" s="182" t="e">
        <f>$W$61</f>
        <v>#DIV/0!</v>
      </c>
      <c r="BF61" s="182" t="e">
        <f>$X$61</f>
        <v>#DIV/0!</v>
      </c>
      <c r="BG61" s="182" t="e">
        <f>$Y$61</f>
        <v>#DIV/0!</v>
      </c>
      <c r="BH61" s="182" t="e">
        <f>$Z$61</f>
        <v>#DIV/0!</v>
      </c>
      <c r="BI61" s="182" t="e">
        <f>$AA$61</f>
        <v>#DIV/0!</v>
      </c>
      <c r="BJ61" s="182" t="e">
        <f>$AB$61</f>
        <v>#DIV/0!</v>
      </c>
      <c r="BK61" s="182" t="e">
        <f>$AC$61</f>
        <v>#DIV/0!</v>
      </c>
      <c r="BL61" s="182" t="e">
        <f>$AD$61</f>
        <v>#DIV/0!</v>
      </c>
      <c r="BM61" s="182" t="e">
        <f>$AE$61</f>
        <v>#DIV/0!</v>
      </c>
      <c r="BN61" s="182" t="e">
        <f>$AF$61</f>
        <v>#DIV/0!</v>
      </c>
    </row>
    <row r="62" spans="1:66">
      <c r="A62" s="69" t="s">
        <v>171</v>
      </c>
      <c r="B62" s="71" t="s">
        <v>178</v>
      </c>
      <c r="C62" s="104">
        <v>17.117117117117118</v>
      </c>
      <c r="D62" s="104">
        <v>9.5890410958904102</v>
      </c>
      <c r="E62" s="104">
        <v>14.285714285714285</v>
      </c>
      <c r="F62" t="e">
        <f t="shared" si="1"/>
        <v>#DIV/0!</v>
      </c>
      <c r="G62" t="e">
        <f t="shared" si="2"/>
        <v>#DIV/0!</v>
      </c>
      <c r="H62" t="e">
        <f t="shared" si="2"/>
        <v>#DIV/0!</v>
      </c>
      <c r="I62" t="e">
        <f t="shared" si="2"/>
        <v>#DIV/0!</v>
      </c>
      <c r="J62" t="e">
        <f t="shared" si="2"/>
        <v>#DIV/0!</v>
      </c>
      <c r="K62" t="e">
        <f t="shared" si="2"/>
        <v>#DIV/0!</v>
      </c>
      <c r="L62" t="e">
        <f t="shared" si="2"/>
        <v>#DIV/0!</v>
      </c>
      <c r="M62" t="e">
        <f t="shared" si="2"/>
        <v>#DIV/0!</v>
      </c>
      <c r="N62" t="e">
        <f t="shared" si="2"/>
        <v>#DIV/0!</v>
      </c>
      <c r="O62" t="e">
        <f t="shared" si="2"/>
        <v>#DIV/0!</v>
      </c>
      <c r="P62" t="e">
        <f t="shared" si="2"/>
        <v>#DIV/0!</v>
      </c>
      <c r="Q62" t="e">
        <f t="shared" si="2"/>
        <v>#DIV/0!</v>
      </c>
      <c r="R62" t="e">
        <f t="shared" si="2"/>
        <v>#DIV/0!</v>
      </c>
      <c r="S62" t="e">
        <f t="shared" si="2"/>
        <v>#DIV/0!</v>
      </c>
      <c r="T62" t="e">
        <f t="shared" si="2"/>
        <v>#DIV/0!</v>
      </c>
      <c r="U62" t="e">
        <f t="shared" si="2"/>
        <v>#DIV/0!</v>
      </c>
      <c r="V62" t="e">
        <f t="shared" si="2"/>
        <v>#DIV/0!</v>
      </c>
      <c r="W62" t="e">
        <f t="shared" si="2"/>
        <v>#DIV/0!</v>
      </c>
      <c r="X62" t="e">
        <f t="shared" si="2"/>
        <v>#DIV/0!</v>
      </c>
      <c r="Y62" t="e">
        <f t="shared" si="2"/>
        <v>#DIV/0!</v>
      </c>
      <c r="Z62" t="e">
        <f t="shared" si="2"/>
        <v>#DIV/0!</v>
      </c>
      <c r="AA62" t="e">
        <f t="shared" si="2"/>
        <v>#DIV/0!</v>
      </c>
      <c r="AB62" t="e">
        <f t="shared" si="2"/>
        <v>#DIV/0!</v>
      </c>
      <c r="AC62" t="e">
        <f t="shared" si="2"/>
        <v>#DIV/0!</v>
      </c>
      <c r="AD62" t="e">
        <f t="shared" si="2"/>
        <v>#DIV/0!</v>
      </c>
      <c r="AE62" t="e">
        <f t="shared" si="2"/>
        <v>#DIV/0!</v>
      </c>
      <c r="AF62" t="e">
        <f t="shared" si="2"/>
        <v>#DIV/0!</v>
      </c>
      <c r="AG62" s="82"/>
      <c r="AH62" s="244" t="s">
        <v>445</v>
      </c>
      <c r="AI62" s="244" t="s">
        <v>462</v>
      </c>
      <c r="AJ62" s="82"/>
      <c r="AK62" s="182">
        <f>$C$62</f>
        <v>17.117117117117118</v>
      </c>
      <c r="AL62" s="182">
        <f>$D$62</f>
        <v>9.5890410958904102</v>
      </c>
      <c r="AM62" s="182">
        <f>$E$62</f>
        <v>14.285714285714285</v>
      </c>
      <c r="AN62" s="182" t="e">
        <f>$F$62</f>
        <v>#DIV/0!</v>
      </c>
      <c r="AO62" s="182" t="e">
        <f>$G$62</f>
        <v>#DIV/0!</v>
      </c>
      <c r="AP62" s="182" t="e">
        <f>$H$62</f>
        <v>#DIV/0!</v>
      </c>
      <c r="AQ62" s="182" t="e">
        <f>$I$62</f>
        <v>#DIV/0!</v>
      </c>
      <c r="AR62" s="182" t="e">
        <f>$J$62</f>
        <v>#DIV/0!</v>
      </c>
      <c r="AS62" s="182" t="e">
        <f>$K$62</f>
        <v>#DIV/0!</v>
      </c>
      <c r="AT62" s="182" t="e">
        <f>$L$62</f>
        <v>#DIV/0!</v>
      </c>
      <c r="AU62" s="182" t="e">
        <f>$M$62</f>
        <v>#DIV/0!</v>
      </c>
      <c r="AV62" s="182" t="e">
        <f>$N$62</f>
        <v>#DIV/0!</v>
      </c>
      <c r="AW62" s="182" t="e">
        <f>$O$62</f>
        <v>#DIV/0!</v>
      </c>
      <c r="AX62" s="182" t="e">
        <f>$P$62</f>
        <v>#DIV/0!</v>
      </c>
      <c r="AY62" s="182" t="e">
        <f>$Q$62</f>
        <v>#DIV/0!</v>
      </c>
      <c r="AZ62" s="182" t="e">
        <f>$R$62</f>
        <v>#DIV/0!</v>
      </c>
      <c r="BA62" s="182" t="e">
        <f>$S$62</f>
        <v>#DIV/0!</v>
      </c>
      <c r="BB62" s="182" t="e">
        <f>$T$62</f>
        <v>#DIV/0!</v>
      </c>
      <c r="BC62" s="182" t="e">
        <f>$U$62</f>
        <v>#DIV/0!</v>
      </c>
      <c r="BD62" s="182" t="e">
        <f>$V$62</f>
        <v>#DIV/0!</v>
      </c>
      <c r="BE62" s="182" t="e">
        <f>$W$62</f>
        <v>#DIV/0!</v>
      </c>
      <c r="BF62" s="182" t="e">
        <f>$X$62</f>
        <v>#DIV/0!</v>
      </c>
      <c r="BG62" s="182" t="e">
        <f>$Y$62</f>
        <v>#DIV/0!</v>
      </c>
      <c r="BH62" s="182" t="e">
        <f>$Z$62</f>
        <v>#DIV/0!</v>
      </c>
      <c r="BI62" s="182" t="e">
        <f>$AA$62</f>
        <v>#DIV/0!</v>
      </c>
      <c r="BJ62" s="182" t="e">
        <f>$AB$62</f>
        <v>#DIV/0!</v>
      </c>
      <c r="BK62" s="182" t="e">
        <f>$AC$62</f>
        <v>#DIV/0!</v>
      </c>
      <c r="BL62" s="182" t="e">
        <f>$AD$62</f>
        <v>#DIV/0!</v>
      </c>
      <c r="BM62" s="182" t="e">
        <f>$AE$62</f>
        <v>#DIV/0!</v>
      </c>
      <c r="BN62" s="182" t="e">
        <f>$AF$62</f>
        <v>#DIV/0!</v>
      </c>
    </row>
    <row r="63" spans="1:66">
      <c r="A63" s="69" t="s">
        <v>185</v>
      </c>
      <c r="B63" s="71" t="s">
        <v>188</v>
      </c>
      <c r="C63" s="104">
        <v>16.153846153846153</v>
      </c>
      <c r="D63" s="105">
        <v>18.320610687022899</v>
      </c>
      <c r="E63" s="104">
        <v>17.293233082706767</v>
      </c>
      <c r="F63" t="e">
        <f t="shared" si="1"/>
        <v>#DIV/0!</v>
      </c>
      <c r="G63" t="e">
        <f t="shared" si="2"/>
        <v>#DIV/0!</v>
      </c>
      <c r="H63" t="e">
        <f t="shared" si="2"/>
        <v>#DIV/0!</v>
      </c>
      <c r="I63" t="e">
        <f t="shared" si="2"/>
        <v>#DIV/0!</v>
      </c>
      <c r="J63" t="e">
        <f t="shared" si="2"/>
        <v>#DIV/0!</v>
      </c>
      <c r="K63" t="e">
        <f t="shared" si="2"/>
        <v>#DIV/0!</v>
      </c>
      <c r="L63" t="e">
        <f t="shared" si="2"/>
        <v>#DIV/0!</v>
      </c>
      <c r="M63" t="e">
        <f t="shared" si="2"/>
        <v>#DIV/0!</v>
      </c>
      <c r="N63" t="e">
        <f t="shared" si="2"/>
        <v>#DIV/0!</v>
      </c>
      <c r="O63" t="e">
        <f t="shared" si="2"/>
        <v>#DIV/0!</v>
      </c>
      <c r="P63" t="e">
        <f t="shared" si="2"/>
        <v>#DIV/0!</v>
      </c>
      <c r="Q63" t="e">
        <f t="shared" si="2"/>
        <v>#DIV/0!</v>
      </c>
      <c r="R63" t="e">
        <f t="shared" si="2"/>
        <v>#DIV/0!</v>
      </c>
      <c r="S63" t="e">
        <f t="shared" si="2"/>
        <v>#DIV/0!</v>
      </c>
      <c r="T63" t="e">
        <f t="shared" si="2"/>
        <v>#DIV/0!</v>
      </c>
      <c r="U63" t="e">
        <f t="shared" si="2"/>
        <v>#DIV/0!</v>
      </c>
      <c r="V63" t="e">
        <f t="shared" si="2"/>
        <v>#DIV/0!</v>
      </c>
      <c r="W63" t="e">
        <f t="shared" si="2"/>
        <v>#DIV/0!</v>
      </c>
      <c r="X63" t="e">
        <f t="shared" si="2"/>
        <v>#DIV/0!</v>
      </c>
      <c r="Y63" t="e">
        <f t="shared" si="2"/>
        <v>#DIV/0!</v>
      </c>
      <c r="Z63" t="e">
        <f t="shared" si="2"/>
        <v>#DIV/0!</v>
      </c>
      <c r="AA63" t="e">
        <f t="shared" si="2"/>
        <v>#DIV/0!</v>
      </c>
      <c r="AB63" t="e">
        <f t="shared" si="2"/>
        <v>#DIV/0!</v>
      </c>
      <c r="AC63" t="e">
        <f t="shared" si="2"/>
        <v>#DIV/0!</v>
      </c>
      <c r="AD63" t="e">
        <f t="shared" si="2"/>
        <v>#DIV/0!</v>
      </c>
      <c r="AE63" t="e">
        <f t="shared" si="2"/>
        <v>#DIV/0!</v>
      </c>
      <c r="AF63" t="e">
        <f t="shared" si="2"/>
        <v>#DIV/0!</v>
      </c>
      <c r="AG63" s="82"/>
      <c r="AH63" s="246" t="s">
        <v>446</v>
      </c>
      <c r="AI63" s="244" t="s">
        <v>463</v>
      </c>
      <c r="AJ63" s="82"/>
      <c r="AK63" s="182">
        <f>$C$63</f>
        <v>16.153846153846153</v>
      </c>
      <c r="AL63" s="182">
        <f>$D$63</f>
        <v>18.320610687022899</v>
      </c>
      <c r="AM63" s="182">
        <f>$E$63</f>
        <v>17.293233082706767</v>
      </c>
      <c r="AN63" s="182" t="e">
        <f>$F$63</f>
        <v>#DIV/0!</v>
      </c>
      <c r="AO63" s="182" t="e">
        <f>$G$63</f>
        <v>#DIV/0!</v>
      </c>
      <c r="AP63" s="182" t="e">
        <f>$H$63</f>
        <v>#DIV/0!</v>
      </c>
      <c r="AQ63" s="182" t="e">
        <f>$I$63</f>
        <v>#DIV/0!</v>
      </c>
      <c r="AR63" s="182" t="e">
        <f>$J$63</f>
        <v>#DIV/0!</v>
      </c>
      <c r="AS63" s="182" t="e">
        <f>$K$63</f>
        <v>#DIV/0!</v>
      </c>
      <c r="AT63" s="182" t="e">
        <f>$L$63</f>
        <v>#DIV/0!</v>
      </c>
      <c r="AU63" s="182" t="e">
        <f>$M$63</f>
        <v>#DIV/0!</v>
      </c>
      <c r="AV63" s="182" t="e">
        <f>$N$63</f>
        <v>#DIV/0!</v>
      </c>
      <c r="AW63" s="182" t="e">
        <f>$O$63</f>
        <v>#DIV/0!</v>
      </c>
      <c r="AX63" s="182" t="e">
        <f>$P$63</f>
        <v>#DIV/0!</v>
      </c>
      <c r="AY63" s="182" t="e">
        <f>$Q$63</f>
        <v>#DIV/0!</v>
      </c>
      <c r="AZ63" s="182" t="e">
        <f>$R$63</f>
        <v>#DIV/0!</v>
      </c>
      <c r="BA63" s="182" t="e">
        <f>$S$63</f>
        <v>#DIV/0!</v>
      </c>
      <c r="BB63" s="182" t="e">
        <f>$T$63</f>
        <v>#DIV/0!</v>
      </c>
      <c r="BC63" s="182" t="e">
        <f>$U$63</f>
        <v>#DIV/0!</v>
      </c>
      <c r="BD63" s="182" t="e">
        <f>$V$63</f>
        <v>#DIV/0!</v>
      </c>
      <c r="BE63" s="182" t="e">
        <f>$W$63</f>
        <v>#DIV/0!</v>
      </c>
      <c r="BF63" s="182" t="e">
        <f>$X$63</f>
        <v>#DIV/0!</v>
      </c>
      <c r="BG63" s="182" t="e">
        <f>$Y$63</f>
        <v>#DIV/0!</v>
      </c>
      <c r="BH63" s="182" t="e">
        <f>$Z$63</f>
        <v>#DIV/0!</v>
      </c>
      <c r="BI63" s="182" t="e">
        <f>$AA$63</f>
        <v>#DIV/0!</v>
      </c>
      <c r="BJ63" s="182" t="e">
        <f>$AB$63</f>
        <v>#DIV/0!</v>
      </c>
      <c r="BK63" s="182" t="e">
        <f>$AC$63</f>
        <v>#DIV/0!</v>
      </c>
      <c r="BL63" s="182" t="e">
        <f>$AD$63</f>
        <v>#DIV/0!</v>
      </c>
      <c r="BM63" s="182" t="e">
        <f>$AE$63</f>
        <v>#DIV/0!</v>
      </c>
      <c r="BN63" s="182" t="e">
        <f>$AF$63</f>
        <v>#DIV/0!</v>
      </c>
    </row>
    <row r="64" spans="1:66">
      <c r="A64" s="69" t="s">
        <v>142</v>
      </c>
      <c r="B64" t="s">
        <v>153</v>
      </c>
      <c r="C64" s="100"/>
      <c r="E64" s="104">
        <v>8.7719298245614024</v>
      </c>
      <c r="F64" t="e">
        <f t="shared" si="1"/>
        <v>#DIV/0!</v>
      </c>
      <c r="G64" t="e">
        <f t="shared" si="2"/>
        <v>#DIV/0!</v>
      </c>
      <c r="H64" t="e">
        <f t="shared" si="2"/>
        <v>#DIV/0!</v>
      </c>
      <c r="I64" t="e">
        <f t="shared" si="2"/>
        <v>#DIV/0!</v>
      </c>
      <c r="J64" t="e">
        <f t="shared" si="2"/>
        <v>#DIV/0!</v>
      </c>
      <c r="K64" t="e">
        <f t="shared" si="2"/>
        <v>#DIV/0!</v>
      </c>
      <c r="L64" t="e">
        <f t="shared" si="2"/>
        <v>#DIV/0!</v>
      </c>
      <c r="M64" t="e">
        <f t="shared" si="2"/>
        <v>#DIV/0!</v>
      </c>
      <c r="N64" t="e">
        <f t="shared" si="2"/>
        <v>#DIV/0!</v>
      </c>
      <c r="O64" t="e">
        <f t="shared" si="2"/>
        <v>#DIV/0!</v>
      </c>
      <c r="P64" t="e">
        <f t="shared" si="2"/>
        <v>#DIV/0!</v>
      </c>
      <c r="Q64" t="e">
        <f t="shared" si="2"/>
        <v>#DIV/0!</v>
      </c>
      <c r="R64" t="e">
        <f t="shared" si="2"/>
        <v>#DIV/0!</v>
      </c>
      <c r="S64" t="e">
        <f t="shared" si="2"/>
        <v>#DIV/0!</v>
      </c>
      <c r="T64" t="e">
        <f t="shared" si="2"/>
        <v>#DIV/0!</v>
      </c>
      <c r="U64" t="e">
        <f t="shared" si="2"/>
        <v>#DIV/0!</v>
      </c>
      <c r="V64" t="e">
        <f t="shared" si="2"/>
        <v>#DIV/0!</v>
      </c>
      <c r="W64" t="e">
        <f t="shared" si="2"/>
        <v>#DIV/0!</v>
      </c>
      <c r="X64" t="e">
        <f t="shared" si="2"/>
        <v>#DIV/0!</v>
      </c>
      <c r="Y64" t="e">
        <f t="shared" si="2"/>
        <v>#DIV/0!</v>
      </c>
      <c r="Z64" t="e">
        <f t="shared" si="2"/>
        <v>#DIV/0!</v>
      </c>
      <c r="AA64" t="e">
        <f t="shared" si="2"/>
        <v>#DIV/0!</v>
      </c>
      <c r="AB64" t="e">
        <f t="shared" si="2"/>
        <v>#DIV/0!</v>
      </c>
      <c r="AC64" t="e">
        <f t="shared" si="2"/>
        <v>#DIV/0!</v>
      </c>
      <c r="AD64" t="e">
        <f t="shared" si="2"/>
        <v>#DIV/0!</v>
      </c>
      <c r="AE64" t="e">
        <f t="shared" si="2"/>
        <v>#DIV/0!</v>
      </c>
      <c r="AF64" t="e">
        <f t="shared" si="2"/>
        <v>#DIV/0!</v>
      </c>
      <c r="AG64" s="82"/>
      <c r="AH64" s="247" t="s">
        <v>447</v>
      </c>
      <c r="AI64" s="244" t="s">
        <v>464</v>
      </c>
      <c r="AJ64" s="82"/>
      <c r="AK64" s="182">
        <f>$C$64</f>
        <v>0</v>
      </c>
      <c r="AL64" s="182">
        <f>$D$64</f>
        <v>0</v>
      </c>
      <c r="AM64" s="182">
        <f>$E$64</f>
        <v>8.7719298245614024</v>
      </c>
      <c r="AN64" s="182" t="e">
        <f>$F$64</f>
        <v>#DIV/0!</v>
      </c>
      <c r="AO64" s="182" t="e">
        <f>$G$64</f>
        <v>#DIV/0!</v>
      </c>
      <c r="AP64" s="182" t="e">
        <f>$H$64</f>
        <v>#DIV/0!</v>
      </c>
      <c r="AQ64" s="182" t="e">
        <f>$I$64</f>
        <v>#DIV/0!</v>
      </c>
      <c r="AR64" s="182" t="e">
        <f>$J$64</f>
        <v>#DIV/0!</v>
      </c>
      <c r="AS64" s="182" t="e">
        <f>$K$64</f>
        <v>#DIV/0!</v>
      </c>
      <c r="AT64" s="182" t="e">
        <f>$L$64</f>
        <v>#DIV/0!</v>
      </c>
      <c r="AU64" s="182" t="e">
        <f>$M$64</f>
        <v>#DIV/0!</v>
      </c>
      <c r="AV64" s="182" t="e">
        <f>$N$64</f>
        <v>#DIV/0!</v>
      </c>
      <c r="AW64" s="182" t="e">
        <f>$O$64</f>
        <v>#DIV/0!</v>
      </c>
      <c r="AX64" s="182" t="e">
        <f>$P$64</f>
        <v>#DIV/0!</v>
      </c>
      <c r="AY64" s="182" t="e">
        <f>$Q$64</f>
        <v>#DIV/0!</v>
      </c>
      <c r="AZ64" s="182" t="e">
        <f>$R$64</f>
        <v>#DIV/0!</v>
      </c>
      <c r="BA64" s="182" t="e">
        <f>$S$64</f>
        <v>#DIV/0!</v>
      </c>
      <c r="BB64" s="182" t="e">
        <f>$T$64</f>
        <v>#DIV/0!</v>
      </c>
      <c r="BC64" s="182" t="e">
        <f>$U$64</f>
        <v>#DIV/0!</v>
      </c>
      <c r="BD64" s="182" t="e">
        <f>$V$64</f>
        <v>#DIV/0!</v>
      </c>
      <c r="BE64" s="182" t="e">
        <f>$W$64</f>
        <v>#DIV/0!</v>
      </c>
      <c r="BF64" s="182" t="e">
        <f>$X$64</f>
        <v>#DIV/0!</v>
      </c>
      <c r="BG64" s="182" t="e">
        <f>$Y$64</f>
        <v>#DIV/0!</v>
      </c>
      <c r="BH64" s="182" t="e">
        <f>$Z$64</f>
        <v>#DIV/0!</v>
      </c>
      <c r="BI64" s="182" t="e">
        <f>$AA$64</f>
        <v>#DIV/0!</v>
      </c>
      <c r="BJ64" s="182" t="e">
        <f>$AB$64</f>
        <v>#DIV/0!</v>
      </c>
      <c r="BK64" s="182" t="e">
        <f>$AC$64</f>
        <v>#DIV/0!</v>
      </c>
      <c r="BL64" s="182" t="e">
        <f>$AD$64</f>
        <v>#DIV/0!</v>
      </c>
      <c r="BM64" s="182" t="e">
        <f>$AE$64</f>
        <v>#DIV/0!</v>
      </c>
      <c r="BN64" s="182" t="e">
        <f>$AF$64</f>
        <v>#DIV/0!</v>
      </c>
    </row>
    <row r="65" spans="1:66">
      <c r="A65" s="69" t="s">
        <v>148</v>
      </c>
      <c r="B65" t="s">
        <v>153</v>
      </c>
      <c r="C65" s="100"/>
      <c r="E65" s="104">
        <v>8.695652173913043</v>
      </c>
      <c r="F65" t="e">
        <f t="shared" si="1"/>
        <v>#DIV/0!</v>
      </c>
      <c r="G65" t="e">
        <f t="shared" si="2"/>
        <v>#DIV/0!</v>
      </c>
      <c r="H65" t="e">
        <f t="shared" si="2"/>
        <v>#DIV/0!</v>
      </c>
      <c r="I65" t="e">
        <f t="shared" si="2"/>
        <v>#DIV/0!</v>
      </c>
      <c r="J65" t="e">
        <f t="shared" si="2"/>
        <v>#DIV/0!</v>
      </c>
      <c r="K65" t="e">
        <f t="shared" si="2"/>
        <v>#DIV/0!</v>
      </c>
      <c r="L65" t="e">
        <f t="shared" si="2"/>
        <v>#DIV/0!</v>
      </c>
      <c r="M65" t="e">
        <f t="shared" si="2"/>
        <v>#DIV/0!</v>
      </c>
      <c r="N65" t="e">
        <f t="shared" si="2"/>
        <v>#DIV/0!</v>
      </c>
      <c r="O65" t="e">
        <f t="shared" si="2"/>
        <v>#DIV/0!</v>
      </c>
      <c r="P65" t="e">
        <f t="shared" si="2"/>
        <v>#DIV/0!</v>
      </c>
      <c r="Q65" t="e">
        <f t="shared" si="2"/>
        <v>#DIV/0!</v>
      </c>
      <c r="R65" t="e">
        <f t="shared" si="2"/>
        <v>#DIV/0!</v>
      </c>
      <c r="S65" t="e">
        <f t="shared" si="2"/>
        <v>#DIV/0!</v>
      </c>
      <c r="T65" t="e">
        <f t="shared" si="2"/>
        <v>#DIV/0!</v>
      </c>
      <c r="U65" t="e">
        <f t="shared" si="2"/>
        <v>#DIV/0!</v>
      </c>
      <c r="V65" t="e">
        <f t="shared" si="2"/>
        <v>#DIV/0!</v>
      </c>
      <c r="W65" t="e">
        <f t="shared" si="2"/>
        <v>#DIV/0!</v>
      </c>
      <c r="X65" t="e">
        <f t="shared" si="2"/>
        <v>#DIV/0!</v>
      </c>
      <c r="Y65" t="e">
        <f t="shared" si="2"/>
        <v>#DIV/0!</v>
      </c>
      <c r="Z65" t="e">
        <f t="shared" si="2"/>
        <v>#DIV/0!</v>
      </c>
      <c r="AA65" t="e">
        <f t="shared" si="2"/>
        <v>#DIV/0!</v>
      </c>
      <c r="AB65" t="e">
        <f t="shared" si="2"/>
        <v>#DIV/0!</v>
      </c>
      <c r="AC65" t="e">
        <f t="shared" si="2"/>
        <v>#DIV/0!</v>
      </c>
      <c r="AD65" t="e">
        <f t="shared" si="2"/>
        <v>#DIV/0!</v>
      </c>
      <c r="AE65" t="e">
        <f t="shared" si="2"/>
        <v>#DIV/0!</v>
      </c>
      <c r="AF65" t="e">
        <f t="shared" si="2"/>
        <v>#DIV/0!</v>
      </c>
      <c r="AG65" s="82"/>
      <c r="AH65" s="295"/>
      <c r="AI65" s="244" t="s">
        <v>465</v>
      </c>
      <c r="AJ65" s="82"/>
      <c r="AK65" s="182">
        <f>$C$65</f>
        <v>0</v>
      </c>
      <c r="AL65" s="182">
        <f>$D$65</f>
        <v>0</v>
      </c>
      <c r="AM65" s="182">
        <f>$E$65</f>
        <v>8.695652173913043</v>
      </c>
      <c r="AN65" s="182" t="e">
        <f>$F$65</f>
        <v>#DIV/0!</v>
      </c>
      <c r="AO65" s="182" t="e">
        <f>$G$65</f>
        <v>#DIV/0!</v>
      </c>
      <c r="AP65" s="182" t="e">
        <f>$H$65</f>
        <v>#DIV/0!</v>
      </c>
      <c r="AQ65" s="182" t="e">
        <f>$I$65</f>
        <v>#DIV/0!</v>
      </c>
      <c r="AR65" s="182" t="e">
        <f>$J$65</f>
        <v>#DIV/0!</v>
      </c>
      <c r="AS65" s="182" t="e">
        <f>$K$65</f>
        <v>#DIV/0!</v>
      </c>
      <c r="AT65" s="182" t="e">
        <f>$L$65</f>
        <v>#DIV/0!</v>
      </c>
      <c r="AU65" s="182" t="e">
        <f>$M$65</f>
        <v>#DIV/0!</v>
      </c>
      <c r="AV65" s="182" t="e">
        <f>$N$65</f>
        <v>#DIV/0!</v>
      </c>
      <c r="AW65" s="182" t="e">
        <f>$O$65</f>
        <v>#DIV/0!</v>
      </c>
      <c r="AX65" s="182" t="e">
        <f>$P$65</f>
        <v>#DIV/0!</v>
      </c>
      <c r="AY65" s="182" t="e">
        <f>$Q$65</f>
        <v>#DIV/0!</v>
      </c>
      <c r="AZ65" s="182" t="e">
        <f>$R$65</f>
        <v>#DIV/0!</v>
      </c>
      <c r="BA65" s="182" t="e">
        <f>$S$65</f>
        <v>#DIV/0!</v>
      </c>
      <c r="BB65" s="182" t="e">
        <f>$T$65</f>
        <v>#DIV/0!</v>
      </c>
      <c r="BC65" s="182" t="e">
        <f>$U$65</f>
        <v>#DIV/0!</v>
      </c>
      <c r="BD65" s="182" t="e">
        <f>$V$65</f>
        <v>#DIV/0!</v>
      </c>
      <c r="BE65" s="182" t="e">
        <f>$W$65</f>
        <v>#DIV/0!</v>
      </c>
      <c r="BF65" s="182" t="e">
        <f>$X$65</f>
        <v>#DIV/0!</v>
      </c>
      <c r="BG65" s="182" t="e">
        <f>$Y$65</f>
        <v>#DIV/0!</v>
      </c>
      <c r="BH65" s="182" t="e">
        <f>$Z$65</f>
        <v>#DIV/0!</v>
      </c>
      <c r="BI65" s="182" t="e">
        <f>$AA$65</f>
        <v>#DIV/0!</v>
      </c>
      <c r="BJ65" s="182" t="e">
        <f>$AB$65</f>
        <v>#DIV/0!</v>
      </c>
      <c r="BK65" s="182" t="e">
        <f>$AC$65</f>
        <v>#DIV/0!</v>
      </c>
      <c r="BL65" s="182" t="e">
        <f>$AD$65</f>
        <v>#DIV/0!</v>
      </c>
      <c r="BM65" s="182" t="e">
        <f>$AE$65</f>
        <v>#DIV/0!</v>
      </c>
      <c r="BN65" s="182" t="e">
        <f>$AF$65</f>
        <v>#DIV/0!</v>
      </c>
    </row>
    <row r="66" spans="1:66">
      <c r="A66" s="69" t="s">
        <v>156</v>
      </c>
      <c r="B66" s="71" t="s">
        <v>158</v>
      </c>
      <c r="C66" s="104">
        <v>23.622047244094489</v>
      </c>
      <c r="D66" s="104">
        <v>13.868613138686131</v>
      </c>
      <c r="E66" s="104">
        <v>18.28358208955224</v>
      </c>
      <c r="F66" t="e">
        <f t="shared" si="1"/>
        <v>#DIV/0!</v>
      </c>
      <c r="G66" t="e">
        <f t="shared" si="2"/>
        <v>#DIV/0!</v>
      </c>
      <c r="H66" t="e">
        <f t="shared" si="2"/>
        <v>#DIV/0!</v>
      </c>
      <c r="I66" t="e">
        <f t="shared" si="2"/>
        <v>#DIV/0!</v>
      </c>
      <c r="J66" t="e">
        <f t="shared" si="2"/>
        <v>#DIV/0!</v>
      </c>
      <c r="K66" t="e">
        <f t="shared" si="2"/>
        <v>#DIV/0!</v>
      </c>
      <c r="L66" t="e">
        <f t="shared" si="2"/>
        <v>#DIV/0!</v>
      </c>
      <c r="M66" t="e">
        <f t="shared" si="2"/>
        <v>#DIV/0!</v>
      </c>
      <c r="N66" t="e">
        <f t="shared" si="2"/>
        <v>#DIV/0!</v>
      </c>
      <c r="O66" t="e">
        <f t="shared" si="2"/>
        <v>#DIV/0!</v>
      </c>
      <c r="P66" t="e">
        <f t="shared" si="2"/>
        <v>#DIV/0!</v>
      </c>
      <c r="Q66" t="e">
        <f t="shared" si="2"/>
        <v>#DIV/0!</v>
      </c>
      <c r="R66" t="e">
        <f t="shared" si="2"/>
        <v>#DIV/0!</v>
      </c>
      <c r="S66" t="e">
        <f t="shared" si="2"/>
        <v>#DIV/0!</v>
      </c>
      <c r="T66" t="e">
        <f t="shared" si="2"/>
        <v>#DIV/0!</v>
      </c>
      <c r="U66" t="e">
        <f t="shared" si="2"/>
        <v>#DIV/0!</v>
      </c>
      <c r="V66" t="e">
        <f t="shared" si="2"/>
        <v>#DIV/0!</v>
      </c>
      <c r="W66" t="e">
        <f t="shared" si="2"/>
        <v>#DIV/0!</v>
      </c>
      <c r="X66" t="e">
        <f t="shared" si="2"/>
        <v>#DIV/0!</v>
      </c>
      <c r="Y66" t="e">
        <f t="shared" si="2"/>
        <v>#DIV/0!</v>
      </c>
      <c r="Z66" t="e">
        <f t="shared" si="2"/>
        <v>#DIV/0!</v>
      </c>
      <c r="AA66" t="e">
        <f t="shared" si="2"/>
        <v>#DIV/0!</v>
      </c>
      <c r="AB66" t="e">
        <f t="shared" si="2"/>
        <v>#DIV/0!</v>
      </c>
      <c r="AC66" t="e">
        <f t="shared" si="2"/>
        <v>#DIV/0!</v>
      </c>
      <c r="AD66" t="e">
        <f t="shared" si="2"/>
        <v>#DIV/0!</v>
      </c>
      <c r="AE66" t="e">
        <f t="shared" si="2"/>
        <v>#DIV/0!</v>
      </c>
      <c r="AF66" t="e">
        <f t="shared" si="2"/>
        <v>#DIV/0!</v>
      </c>
      <c r="AG66" s="82"/>
      <c r="AH66" s="204"/>
      <c r="AI66" s="248" t="s">
        <v>466</v>
      </c>
      <c r="AJ66" s="82"/>
      <c r="AK66" s="182">
        <f>$C$66</f>
        <v>23.622047244094489</v>
      </c>
      <c r="AL66" s="182">
        <f>$D$66</f>
        <v>13.868613138686131</v>
      </c>
      <c r="AM66" s="182">
        <f>$E$66</f>
        <v>18.28358208955224</v>
      </c>
      <c r="AN66" s="182" t="e">
        <f>$F$66</f>
        <v>#DIV/0!</v>
      </c>
      <c r="AO66" s="182" t="e">
        <f>$G$66</f>
        <v>#DIV/0!</v>
      </c>
      <c r="AP66" s="182" t="e">
        <f>$H$66</f>
        <v>#DIV/0!</v>
      </c>
      <c r="AQ66" s="182" t="e">
        <f>$I$66</f>
        <v>#DIV/0!</v>
      </c>
      <c r="AR66" s="182" t="e">
        <f>$J$66</f>
        <v>#DIV/0!</v>
      </c>
      <c r="AS66" s="182" t="e">
        <f>$K$66</f>
        <v>#DIV/0!</v>
      </c>
      <c r="AT66" s="182" t="e">
        <f>$L$66</f>
        <v>#DIV/0!</v>
      </c>
      <c r="AU66" s="182" t="e">
        <f>$M$66</f>
        <v>#DIV/0!</v>
      </c>
      <c r="AV66" s="182" t="e">
        <f>$N$66</f>
        <v>#DIV/0!</v>
      </c>
      <c r="AW66" s="182" t="e">
        <f>$O$66</f>
        <v>#DIV/0!</v>
      </c>
      <c r="AX66" s="182" t="e">
        <f>$P$66</f>
        <v>#DIV/0!</v>
      </c>
      <c r="AY66" s="182" t="e">
        <f>$Q$66</f>
        <v>#DIV/0!</v>
      </c>
      <c r="AZ66" s="182" t="e">
        <f>$R$66</f>
        <v>#DIV/0!</v>
      </c>
      <c r="BA66" s="182" t="e">
        <f>$S$66</f>
        <v>#DIV/0!</v>
      </c>
      <c r="BB66" s="182" t="e">
        <f>$T$66</f>
        <v>#DIV/0!</v>
      </c>
      <c r="BC66" s="182" t="e">
        <f>$U$66</f>
        <v>#DIV/0!</v>
      </c>
      <c r="BD66" s="182" t="e">
        <f>$V$66</f>
        <v>#DIV/0!</v>
      </c>
      <c r="BE66" s="182" t="e">
        <f>$W$66</f>
        <v>#DIV/0!</v>
      </c>
      <c r="BF66" s="182" t="e">
        <f>$X$66</f>
        <v>#DIV/0!</v>
      </c>
      <c r="BG66" s="182" t="e">
        <f>$Y$66</f>
        <v>#DIV/0!</v>
      </c>
      <c r="BH66" s="182" t="e">
        <f>$Z$66</f>
        <v>#DIV/0!</v>
      </c>
      <c r="BI66" s="182" t="e">
        <f>$AA$66</f>
        <v>#DIV/0!</v>
      </c>
      <c r="BJ66" s="182" t="e">
        <f>$AB$66</f>
        <v>#DIV/0!</v>
      </c>
      <c r="BK66" s="182" t="e">
        <f>$AC$66</f>
        <v>#DIV/0!</v>
      </c>
      <c r="BL66" s="182" t="e">
        <f>$AD$66</f>
        <v>#DIV/0!</v>
      </c>
      <c r="BM66" s="182" t="e">
        <f>$AE$66</f>
        <v>#DIV/0!</v>
      </c>
      <c r="BN66" s="182" t="e">
        <f>$AF$66</f>
        <v>#DIV/0!</v>
      </c>
    </row>
    <row r="67" spans="1:66">
      <c r="A67" s="69" t="s">
        <v>149</v>
      </c>
      <c r="B67" t="s">
        <v>153</v>
      </c>
      <c r="C67" s="100"/>
      <c r="E67" s="104">
        <v>11.827956989247312</v>
      </c>
      <c r="F67" t="e">
        <f t="shared" si="1"/>
        <v>#DIV/0!</v>
      </c>
      <c r="G67" t="e">
        <f t="shared" si="2"/>
        <v>#DIV/0!</v>
      </c>
      <c r="H67" t="e">
        <f t="shared" si="2"/>
        <v>#DIV/0!</v>
      </c>
      <c r="I67" t="e">
        <f t="shared" si="2"/>
        <v>#DIV/0!</v>
      </c>
      <c r="J67" t="e">
        <f t="shared" si="2"/>
        <v>#DIV/0!</v>
      </c>
      <c r="K67" t="e">
        <f t="shared" si="2"/>
        <v>#DIV/0!</v>
      </c>
      <c r="L67" t="e">
        <f t="shared" ref="G67:AF76" si="3">1/0</f>
        <v>#DIV/0!</v>
      </c>
      <c r="M67" t="e">
        <f t="shared" si="3"/>
        <v>#DIV/0!</v>
      </c>
      <c r="N67" t="e">
        <f t="shared" si="3"/>
        <v>#DIV/0!</v>
      </c>
      <c r="O67" t="e">
        <f t="shared" si="3"/>
        <v>#DIV/0!</v>
      </c>
      <c r="P67" t="e">
        <f t="shared" si="3"/>
        <v>#DIV/0!</v>
      </c>
      <c r="Q67" t="e">
        <f t="shared" si="3"/>
        <v>#DIV/0!</v>
      </c>
      <c r="R67" t="e">
        <f t="shared" si="3"/>
        <v>#DIV/0!</v>
      </c>
      <c r="S67" t="e">
        <f t="shared" si="3"/>
        <v>#DIV/0!</v>
      </c>
      <c r="T67" t="e">
        <f t="shared" si="3"/>
        <v>#DIV/0!</v>
      </c>
      <c r="U67" t="e">
        <f t="shared" si="3"/>
        <v>#DIV/0!</v>
      </c>
      <c r="V67" t="e">
        <f t="shared" si="3"/>
        <v>#DIV/0!</v>
      </c>
      <c r="W67" t="e">
        <f t="shared" si="3"/>
        <v>#DIV/0!</v>
      </c>
      <c r="X67" t="e">
        <f t="shared" si="3"/>
        <v>#DIV/0!</v>
      </c>
      <c r="Y67" t="e">
        <f t="shared" si="3"/>
        <v>#DIV/0!</v>
      </c>
      <c r="Z67" t="e">
        <f t="shared" si="3"/>
        <v>#DIV/0!</v>
      </c>
      <c r="AA67" t="e">
        <f t="shared" si="3"/>
        <v>#DIV/0!</v>
      </c>
      <c r="AB67" t="e">
        <f t="shared" si="3"/>
        <v>#DIV/0!</v>
      </c>
      <c r="AC67" t="e">
        <f t="shared" si="3"/>
        <v>#DIV/0!</v>
      </c>
      <c r="AD67" t="e">
        <f t="shared" si="3"/>
        <v>#DIV/0!</v>
      </c>
      <c r="AE67" t="e">
        <f t="shared" si="3"/>
        <v>#DIV/0!</v>
      </c>
      <c r="AF67" t="e">
        <f t="shared" si="3"/>
        <v>#DIV/0!</v>
      </c>
      <c r="AG67" s="82"/>
      <c r="AH67" s="256"/>
      <c r="AI67" s="254"/>
      <c r="AJ67" s="82"/>
      <c r="AK67" s="182">
        <f>$C$67</f>
        <v>0</v>
      </c>
      <c r="AL67" s="182">
        <f>$D$67</f>
        <v>0</v>
      </c>
      <c r="AM67" s="182">
        <f>$E$67</f>
        <v>11.827956989247312</v>
      </c>
      <c r="AN67" s="182" t="e">
        <f>$F$67</f>
        <v>#DIV/0!</v>
      </c>
      <c r="AO67" s="182" t="e">
        <f>$G$67</f>
        <v>#DIV/0!</v>
      </c>
      <c r="AP67" s="182" t="e">
        <f>$H$67</f>
        <v>#DIV/0!</v>
      </c>
      <c r="AQ67" s="182" t="e">
        <f>$I$67</f>
        <v>#DIV/0!</v>
      </c>
      <c r="AR67" s="182" t="e">
        <f>$J$67</f>
        <v>#DIV/0!</v>
      </c>
      <c r="AS67" s="182" t="e">
        <f>$K$67</f>
        <v>#DIV/0!</v>
      </c>
      <c r="AT67" s="182" t="e">
        <f>$L$67</f>
        <v>#DIV/0!</v>
      </c>
      <c r="AU67" s="182" t="e">
        <f>$M$67</f>
        <v>#DIV/0!</v>
      </c>
      <c r="AV67" s="182" t="e">
        <f>$N$67</f>
        <v>#DIV/0!</v>
      </c>
      <c r="AW67" s="182" t="e">
        <f>$O$67</f>
        <v>#DIV/0!</v>
      </c>
      <c r="AX67" s="182" t="e">
        <f>$P$67</f>
        <v>#DIV/0!</v>
      </c>
      <c r="AY67" s="182" t="e">
        <f>$Q$67</f>
        <v>#DIV/0!</v>
      </c>
      <c r="AZ67" s="182" t="e">
        <f>$R$67</f>
        <v>#DIV/0!</v>
      </c>
      <c r="BA67" s="182" t="e">
        <f>$S$67</f>
        <v>#DIV/0!</v>
      </c>
      <c r="BB67" s="182" t="e">
        <f>$T$67</f>
        <v>#DIV/0!</v>
      </c>
      <c r="BC67" s="182" t="e">
        <f>$U$67</f>
        <v>#DIV/0!</v>
      </c>
      <c r="BD67" s="182" t="e">
        <f>$V$67</f>
        <v>#DIV/0!</v>
      </c>
      <c r="BE67" s="182" t="e">
        <f>$W$67</f>
        <v>#DIV/0!</v>
      </c>
      <c r="BF67" s="182" t="e">
        <f>$X$67</f>
        <v>#DIV/0!</v>
      </c>
      <c r="BG67" s="182" t="e">
        <f>$Y$67</f>
        <v>#DIV/0!</v>
      </c>
      <c r="BH67" s="182" t="e">
        <f>$Z$67</f>
        <v>#DIV/0!</v>
      </c>
      <c r="BI67" s="182" t="e">
        <f>$AA$67</f>
        <v>#DIV/0!</v>
      </c>
      <c r="BJ67" s="182" t="e">
        <f>$AB$67</f>
        <v>#DIV/0!</v>
      </c>
      <c r="BK67" s="182" t="e">
        <f>$AC$67</f>
        <v>#DIV/0!</v>
      </c>
      <c r="BL67" s="182" t="e">
        <f>$AD$67</f>
        <v>#DIV/0!</v>
      </c>
      <c r="BM67" s="182" t="e">
        <f>$AE$67</f>
        <v>#DIV/0!</v>
      </c>
      <c r="BN67" s="182" t="e">
        <f>$AF$67</f>
        <v>#DIV/0!</v>
      </c>
    </row>
    <row r="68" spans="1:66">
      <c r="A68" s="69" t="s">
        <v>157</v>
      </c>
      <c r="B68" s="71" t="s">
        <v>158</v>
      </c>
      <c r="C68" s="104">
        <v>17.475728155339805</v>
      </c>
      <c r="D68" s="104">
        <v>26</v>
      </c>
      <c r="E68" s="104">
        <v>22.009569377990431</v>
      </c>
      <c r="F68" t="e">
        <f t="shared" si="1"/>
        <v>#DIV/0!</v>
      </c>
      <c r="G68" t="e">
        <f t="shared" si="3"/>
        <v>#DIV/0!</v>
      </c>
      <c r="H68" t="e">
        <f t="shared" si="3"/>
        <v>#DIV/0!</v>
      </c>
      <c r="I68" t="e">
        <f t="shared" si="3"/>
        <v>#DIV/0!</v>
      </c>
      <c r="J68" t="e">
        <f t="shared" si="3"/>
        <v>#DIV/0!</v>
      </c>
      <c r="K68" t="e">
        <f t="shared" si="3"/>
        <v>#DIV/0!</v>
      </c>
      <c r="L68" t="e">
        <f t="shared" si="3"/>
        <v>#DIV/0!</v>
      </c>
      <c r="M68" t="e">
        <f t="shared" si="3"/>
        <v>#DIV/0!</v>
      </c>
      <c r="N68" t="e">
        <f t="shared" si="3"/>
        <v>#DIV/0!</v>
      </c>
      <c r="O68" t="e">
        <f t="shared" si="3"/>
        <v>#DIV/0!</v>
      </c>
      <c r="P68" t="e">
        <f t="shared" si="3"/>
        <v>#DIV/0!</v>
      </c>
      <c r="Q68" t="e">
        <f t="shared" si="3"/>
        <v>#DIV/0!</v>
      </c>
      <c r="R68" t="e">
        <f t="shared" si="3"/>
        <v>#DIV/0!</v>
      </c>
      <c r="S68" t="e">
        <f t="shared" si="3"/>
        <v>#DIV/0!</v>
      </c>
      <c r="T68" t="e">
        <f t="shared" si="3"/>
        <v>#DIV/0!</v>
      </c>
      <c r="U68" t="e">
        <f t="shared" si="3"/>
        <v>#DIV/0!</v>
      </c>
      <c r="V68" t="e">
        <f t="shared" si="3"/>
        <v>#DIV/0!</v>
      </c>
      <c r="W68" t="e">
        <f t="shared" si="3"/>
        <v>#DIV/0!</v>
      </c>
      <c r="X68" t="e">
        <f t="shared" si="3"/>
        <v>#DIV/0!</v>
      </c>
      <c r="Y68" t="e">
        <f t="shared" si="3"/>
        <v>#DIV/0!</v>
      </c>
      <c r="Z68" t="e">
        <f t="shared" si="3"/>
        <v>#DIV/0!</v>
      </c>
      <c r="AA68" t="e">
        <f t="shared" si="3"/>
        <v>#DIV/0!</v>
      </c>
      <c r="AB68" t="e">
        <f t="shared" si="3"/>
        <v>#DIV/0!</v>
      </c>
      <c r="AC68" t="e">
        <f t="shared" si="3"/>
        <v>#DIV/0!</v>
      </c>
      <c r="AD68" t="e">
        <f t="shared" si="3"/>
        <v>#DIV/0!</v>
      </c>
      <c r="AE68" t="e">
        <f t="shared" si="3"/>
        <v>#DIV/0!</v>
      </c>
      <c r="AF68" t="e">
        <f t="shared" si="3"/>
        <v>#DIV/0!</v>
      </c>
      <c r="AG68" s="82"/>
      <c r="AH68" s="242"/>
      <c r="AI68" s="254"/>
      <c r="AJ68" s="82"/>
      <c r="AK68" s="182">
        <f>$C$68</f>
        <v>17.475728155339805</v>
      </c>
      <c r="AL68" s="182">
        <f>$D$68</f>
        <v>26</v>
      </c>
      <c r="AM68" s="182">
        <f>$E$68</f>
        <v>22.009569377990431</v>
      </c>
      <c r="AN68" s="182" t="e">
        <f>$F$68</f>
        <v>#DIV/0!</v>
      </c>
      <c r="AO68" s="182" t="e">
        <f>$G$68</f>
        <v>#DIV/0!</v>
      </c>
      <c r="AP68" s="182" t="e">
        <f>$H$68</f>
        <v>#DIV/0!</v>
      </c>
      <c r="AQ68" s="182" t="e">
        <f>$I$68</f>
        <v>#DIV/0!</v>
      </c>
      <c r="AR68" s="182" t="e">
        <f>$J$68</f>
        <v>#DIV/0!</v>
      </c>
      <c r="AS68" s="182" t="e">
        <f>$K$68</f>
        <v>#DIV/0!</v>
      </c>
      <c r="AT68" s="182" t="e">
        <f>$L$68</f>
        <v>#DIV/0!</v>
      </c>
      <c r="AU68" s="182" t="e">
        <f>$M$68</f>
        <v>#DIV/0!</v>
      </c>
      <c r="AV68" s="182" t="e">
        <f>$N$68</f>
        <v>#DIV/0!</v>
      </c>
      <c r="AW68" s="182" t="e">
        <f>$O$68</f>
        <v>#DIV/0!</v>
      </c>
      <c r="AX68" s="182" t="e">
        <f>$P$68</f>
        <v>#DIV/0!</v>
      </c>
      <c r="AY68" s="182" t="e">
        <f>$Q$68</f>
        <v>#DIV/0!</v>
      </c>
      <c r="AZ68" s="182" t="e">
        <f>$R$68</f>
        <v>#DIV/0!</v>
      </c>
      <c r="BA68" s="182" t="e">
        <f>$S$68</f>
        <v>#DIV/0!</v>
      </c>
      <c r="BB68" s="182" t="e">
        <f>$T$68</f>
        <v>#DIV/0!</v>
      </c>
      <c r="BC68" s="182" t="e">
        <f>$U$68</f>
        <v>#DIV/0!</v>
      </c>
      <c r="BD68" s="182" t="e">
        <f>$V$68</f>
        <v>#DIV/0!</v>
      </c>
      <c r="BE68" s="182" t="e">
        <f>$W$68</f>
        <v>#DIV/0!</v>
      </c>
      <c r="BF68" s="182" t="e">
        <f>$X$68</f>
        <v>#DIV/0!</v>
      </c>
      <c r="BG68" s="182" t="e">
        <f>$Y$68</f>
        <v>#DIV/0!</v>
      </c>
      <c r="BH68" s="182" t="e">
        <f>$Z$68</f>
        <v>#DIV/0!</v>
      </c>
      <c r="BI68" s="182" t="e">
        <f>$AA$68</f>
        <v>#DIV/0!</v>
      </c>
      <c r="BJ68" s="182" t="e">
        <f>$AB$68</f>
        <v>#DIV/0!</v>
      </c>
      <c r="BK68" s="182" t="e">
        <f>$AC$68</f>
        <v>#DIV/0!</v>
      </c>
      <c r="BL68" s="182" t="e">
        <f>$AD$68</f>
        <v>#DIV/0!</v>
      </c>
      <c r="BM68" s="182" t="e">
        <f>$AE$68</f>
        <v>#DIV/0!</v>
      </c>
      <c r="BN68" s="182" t="e">
        <f>$AF$68</f>
        <v>#DIV/0!</v>
      </c>
    </row>
    <row r="69" spans="1:66">
      <c r="A69" s="69" t="s">
        <v>172</v>
      </c>
      <c r="B69" s="71" t="s">
        <v>178</v>
      </c>
      <c r="C69" s="104">
        <v>13.043478260869565</v>
      </c>
      <c r="D69" s="104">
        <v>13.698630136986301</v>
      </c>
      <c r="E69" s="104">
        <v>13.194444444444445</v>
      </c>
      <c r="F69" t="e">
        <f t="shared" si="1"/>
        <v>#DIV/0!</v>
      </c>
      <c r="G69" t="e">
        <f t="shared" si="3"/>
        <v>#DIV/0!</v>
      </c>
      <c r="H69" t="e">
        <f t="shared" si="3"/>
        <v>#DIV/0!</v>
      </c>
      <c r="I69" t="e">
        <f t="shared" si="3"/>
        <v>#DIV/0!</v>
      </c>
      <c r="J69" t="e">
        <f t="shared" si="3"/>
        <v>#DIV/0!</v>
      </c>
      <c r="K69" t="e">
        <f t="shared" si="3"/>
        <v>#DIV/0!</v>
      </c>
      <c r="L69" t="e">
        <f t="shared" si="3"/>
        <v>#DIV/0!</v>
      </c>
      <c r="M69" t="e">
        <f t="shared" si="3"/>
        <v>#DIV/0!</v>
      </c>
      <c r="N69" t="e">
        <f t="shared" si="3"/>
        <v>#DIV/0!</v>
      </c>
      <c r="O69" t="e">
        <f t="shared" si="3"/>
        <v>#DIV/0!</v>
      </c>
      <c r="P69" t="e">
        <f t="shared" si="3"/>
        <v>#DIV/0!</v>
      </c>
      <c r="Q69" t="e">
        <f t="shared" si="3"/>
        <v>#DIV/0!</v>
      </c>
      <c r="R69" t="e">
        <f t="shared" si="3"/>
        <v>#DIV/0!</v>
      </c>
      <c r="S69" t="e">
        <f t="shared" si="3"/>
        <v>#DIV/0!</v>
      </c>
      <c r="T69" t="e">
        <f t="shared" si="3"/>
        <v>#DIV/0!</v>
      </c>
      <c r="U69" t="e">
        <f t="shared" si="3"/>
        <v>#DIV/0!</v>
      </c>
      <c r="V69" t="e">
        <f t="shared" si="3"/>
        <v>#DIV/0!</v>
      </c>
      <c r="W69" t="e">
        <f t="shared" si="3"/>
        <v>#DIV/0!</v>
      </c>
      <c r="X69" t="e">
        <f t="shared" si="3"/>
        <v>#DIV/0!</v>
      </c>
      <c r="Y69" t="e">
        <f t="shared" si="3"/>
        <v>#DIV/0!</v>
      </c>
      <c r="Z69" t="e">
        <f t="shared" si="3"/>
        <v>#DIV/0!</v>
      </c>
      <c r="AA69" t="e">
        <f t="shared" si="3"/>
        <v>#DIV/0!</v>
      </c>
      <c r="AB69" t="e">
        <f t="shared" si="3"/>
        <v>#DIV/0!</v>
      </c>
      <c r="AC69" t="e">
        <f t="shared" si="3"/>
        <v>#DIV/0!</v>
      </c>
      <c r="AD69" t="e">
        <f t="shared" si="3"/>
        <v>#DIV/0!</v>
      </c>
      <c r="AE69" t="e">
        <f t="shared" si="3"/>
        <v>#DIV/0!</v>
      </c>
      <c r="AF69" t="e">
        <f t="shared" si="3"/>
        <v>#DIV/0!</v>
      </c>
      <c r="AG69" s="82"/>
      <c r="AJ69" s="82"/>
      <c r="AK69" s="182">
        <f>$C$69</f>
        <v>13.043478260869565</v>
      </c>
      <c r="AL69" s="182">
        <f>$D$69</f>
        <v>13.698630136986301</v>
      </c>
      <c r="AM69" s="182">
        <f>$E$69</f>
        <v>13.194444444444445</v>
      </c>
      <c r="AN69" s="182" t="e">
        <f>$F$69</f>
        <v>#DIV/0!</v>
      </c>
      <c r="AO69" s="182" t="e">
        <f>$G$69</f>
        <v>#DIV/0!</v>
      </c>
      <c r="AP69" s="182" t="e">
        <f>$H$69</f>
        <v>#DIV/0!</v>
      </c>
      <c r="AQ69" s="182" t="e">
        <f>$I$69</f>
        <v>#DIV/0!</v>
      </c>
      <c r="AR69" s="182" t="e">
        <f>$J$69</f>
        <v>#DIV/0!</v>
      </c>
      <c r="AS69" s="182" t="e">
        <f>$K$69</f>
        <v>#DIV/0!</v>
      </c>
      <c r="AT69" s="182" t="e">
        <f>$L$69</f>
        <v>#DIV/0!</v>
      </c>
      <c r="AU69" s="182" t="e">
        <f>$M$69</f>
        <v>#DIV/0!</v>
      </c>
      <c r="AV69" s="182" t="e">
        <f>$N$69</f>
        <v>#DIV/0!</v>
      </c>
      <c r="AW69" s="182" t="e">
        <f>$O$69</f>
        <v>#DIV/0!</v>
      </c>
      <c r="AX69" s="182" t="e">
        <f>$P$69</f>
        <v>#DIV/0!</v>
      </c>
      <c r="AY69" s="182" t="e">
        <f>$Q$69</f>
        <v>#DIV/0!</v>
      </c>
      <c r="AZ69" s="182" t="e">
        <f>$R$69</f>
        <v>#DIV/0!</v>
      </c>
      <c r="BA69" s="182" t="e">
        <f>$S$69</f>
        <v>#DIV/0!</v>
      </c>
      <c r="BB69" s="182" t="e">
        <f>$T$69</f>
        <v>#DIV/0!</v>
      </c>
      <c r="BC69" s="182" t="e">
        <f>$U$69</f>
        <v>#DIV/0!</v>
      </c>
      <c r="BD69" s="182" t="e">
        <f>$V$69</f>
        <v>#DIV/0!</v>
      </c>
      <c r="BE69" s="182" t="e">
        <f>$W$69</f>
        <v>#DIV/0!</v>
      </c>
      <c r="BF69" s="182" t="e">
        <f>$X$69</f>
        <v>#DIV/0!</v>
      </c>
      <c r="BG69" s="182" t="e">
        <f>$Y$69</f>
        <v>#DIV/0!</v>
      </c>
      <c r="BH69" s="182" t="e">
        <f>$Z$69</f>
        <v>#DIV/0!</v>
      </c>
      <c r="BI69" s="182" t="e">
        <f>$AA$69</f>
        <v>#DIV/0!</v>
      </c>
      <c r="BJ69" s="182" t="e">
        <f>$AB$69</f>
        <v>#DIV/0!</v>
      </c>
      <c r="BK69" s="182" t="e">
        <f>$AC$69</f>
        <v>#DIV/0!</v>
      </c>
      <c r="BL69" s="182" t="e">
        <f>$AD$69</f>
        <v>#DIV/0!</v>
      </c>
      <c r="BM69" s="182" t="e">
        <f>$AE$69</f>
        <v>#DIV/0!</v>
      </c>
      <c r="BN69" s="182" t="e">
        <f>$AF$69</f>
        <v>#DIV/0!</v>
      </c>
    </row>
    <row r="70" spans="1:66" ht="23.65" thickBot="1">
      <c r="A70" s="69" t="s">
        <v>173</v>
      </c>
      <c r="B70" s="71" t="s">
        <v>178</v>
      </c>
      <c r="C70" s="104">
        <v>17.256637168141591</v>
      </c>
      <c r="D70" s="104">
        <v>13.77551020408163</v>
      </c>
      <c r="E70" s="104">
        <v>15.456674473067917</v>
      </c>
      <c r="F70" t="e">
        <f t="shared" si="1"/>
        <v>#DIV/0!</v>
      </c>
      <c r="G70" t="e">
        <f t="shared" si="3"/>
        <v>#DIV/0!</v>
      </c>
      <c r="H70" t="e">
        <f t="shared" si="3"/>
        <v>#DIV/0!</v>
      </c>
      <c r="I70" t="e">
        <f t="shared" si="3"/>
        <v>#DIV/0!</v>
      </c>
      <c r="J70" t="e">
        <f t="shared" si="3"/>
        <v>#DIV/0!</v>
      </c>
      <c r="K70" t="e">
        <f t="shared" si="3"/>
        <v>#DIV/0!</v>
      </c>
      <c r="L70" t="e">
        <f t="shared" si="3"/>
        <v>#DIV/0!</v>
      </c>
      <c r="M70" t="e">
        <f t="shared" si="3"/>
        <v>#DIV/0!</v>
      </c>
      <c r="N70" t="e">
        <f t="shared" si="3"/>
        <v>#DIV/0!</v>
      </c>
      <c r="O70" t="e">
        <f t="shared" si="3"/>
        <v>#DIV/0!</v>
      </c>
      <c r="P70" t="e">
        <f t="shared" si="3"/>
        <v>#DIV/0!</v>
      </c>
      <c r="Q70" t="e">
        <f t="shared" si="3"/>
        <v>#DIV/0!</v>
      </c>
      <c r="R70" t="e">
        <f t="shared" si="3"/>
        <v>#DIV/0!</v>
      </c>
      <c r="S70" t="e">
        <f t="shared" si="3"/>
        <v>#DIV/0!</v>
      </c>
      <c r="T70" t="e">
        <f t="shared" si="3"/>
        <v>#DIV/0!</v>
      </c>
      <c r="U70" t="e">
        <f t="shared" si="3"/>
        <v>#DIV/0!</v>
      </c>
      <c r="V70" t="e">
        <f t="shared" si="3"/>
        <v>#DIV/0!</v>
      </c>
      <c r="W70" t="e">
        <f t="shared" si="3"/>
        <v>#DIV/0!</v>
      </c>
      <c r="X70" t="e">
        <f t="shared" si="3"/>
        <v>#DIV/0!</v>
      </c>
      <c r="Y70" t="e">
        <f t="shared" si="3"/>
        <v>#DIV/0!</v>
      </c>
      <c r="Z70" t="e">
        <f t="shared" si="3"/>
        <v>#DIV/0!</v>
      </c>
      <c r="AA70" t="e">
        <f t="shared" si="3"/>
        <v>#DIV/0!</v>
      </c>
      <c r="AB70" t="e">
        <f t="shared" si="3"/>
        <v>#DIV/0!</v>
      </c>
      <c r="AC70" t="e">
        <f t="shared" si="3"/>
        <v>#DIV/0!</v>
      </c>
      <c r="AD70" t="e">
        <f t="shared" si="3"/>
        <v>#DIV/0!</v>
      </c>
      <c r="AE70" t="e">
        <f t="shared" si="3"/>
        <v>#DIV/0!</v>
      </c>
      <c r="AF70" t="e">
        <f t="shared" si="3"/>
        <v>#DIV/0!</v>
      </c>
      <c r="AG70" s="82"/>
      <c r="AH70" s="318" t="s">
        <v>46</v>
      </c>
      <c r="AI70" s="318"/>
      <c r="AJ70" s="82"/>
      <c r="AK70" s="182">
        <f>$C$70</f>
        <v>17.256637168141591</v>
      </c>
      <c r="AL70" s="182">
        <f>$D$70</f>
        <v>13.77551020408163</v>
      </c>
      <c r="AM70" s="182">
        <f>$E$70</f>
        <v>15.456674473067917</v>
      </c>
      <c r="AN70" s="182" t="e">
        <f>$F$70</f>
        <v>#DIV/0!</v>
      </c>
      <c r="AO70" s="182" t="e">
        <f>$G$70</f>
        <v>#DIV/0!</v>
      </c>
      <c r="AP70" s="182" t="e">
        <f>$H$70</f>
        <v>#DIV/0!</v>
      </c>
      <c r="AQ70" s="182" t="e">
        <f>$I$70</f>
        <v>#DIV/0!</v>
      </c>
      <c r="AR70" s="182" t="e">
        <f>$J$70</f>
        <v>#DIV/0!</v>
      </c>
      <c r="AS70" s="182" t="e">
        <f>$K$70</f>
        <v>#DIV/0!</v>
      </c>
      <c r="AT70" s="182" t="e">
        <f>$L$70</f>
        <v>#DIV/0!</v>
      </c>
      <c r="AU70" s="182" t="e">
        <f>$M$70</f>
        <v>#DIV/0!</v>
      </c>
      <c r="AV70" s="182" t="e">
        <f>$N$70</f>
        <v>#DIV/0!</v>
      </c>
      <c r="AW70" s="182" t="e">
        <f>$O$70</f>
        <v>#DIV/0!</v>
      </c>
      <c r="AX70" s="182" t="e">
        <f>$P$70</f>
        <v>#DIV/0!</v>
      </c>
      <c r="AY70" s="182" t="e">
        <f>$Q$70</f>
        <v>#DIV/0!</v>
      </c>
      <c r="AZ70" s="182" t="e">
        <f>$R$70</f>
        <v>#DIV/0!</v>
      </c>
      <c r="BA70" s="182" t="e">
        <f>$S$70</f>
        <v>#DIV/0!</v>
      </c>
      <c r="BB70" s="182" t="e">
        <f>$T$70</f>
        <v>#DIV/0!</v>
      </c>
      <c r="BC70" s="182" t="e">
        <f>$U$70</f>
        <v>#DIV/0!</v>
      </c>
      <c r="BD70" s="182" t="e">
        <f>$V$70</f>
        <v>#DIV/0!</v>
      </c>
      <c r="BE70" s="182" t="e">
        <f>$W$70</f>
        <v>#DIV/0!</v>
      </c>
      <c r="BF70" s="182" t="e">
        <f>$X$70</f>
        <v>#DIV/0!</v>
      </c>
      <c r="BG70" s="182" t="e">
        <f>$Y$70</f>
        <v>#DIV/0!</v>
      </c>
      <c r="BH70" s="182" t="e">
        <f>$Z$70</f>
        <v>#DIV/0!</v>
      </c>
      <c r="BI70" s="182" t="e">
        <f>$AA$70</f>
        <v>#DIV/0!</v>
      </c>
      <c r="BJ70" s="182" t="e">
        <f>$AB$70</f>
        <v>#DIV/0!</v>
      </c>
      <c r="BK70" s="182" t="e">
        <f>$AC$70</f>
        <v>#DIV/0!</v>
      </c>
      <c r="BL70" s="182" t="e">
        <f>$AD$70</f>
        <v>#DIV/0!</v>
      </c>
      <c r="BM70" s="182" t="e">
        <f>$AE$70</f>
        <v>#DIV/0!</v>
      </c>
      <c r="BN70" s="182" t="e">
        <f>$AF$70</f>
        <v>#DIV/0!</v>
      </c>
    </row>
    <row r="71" spans="1:66">
      <c r="A71" s="69" t="s">
        <v>147</v>
      </c>
      <c r="B71" t="s">
        <v>153</v>
      </c>
      <c r="C71" s="100"/>
      <c r="E71" s="104">
        <v>13.793103448275861</v>
      </c>
      <c r="F71" t="e">
        <f t="shared" si="1"/>
        <v>#DIV/0!</v>
      </c>
      <c r="G71" t="e">
        <f t="shared" si="3"/>
        <v>#DIV/0!</v>
      </c>
      <c r="H71" t="e">
        <f t="shared" si="3"/>
        <v>#DIV/0!</v>
      </c>
      <c r="I71" t="e">
        <f t="shared" si="3"/>
        <v>#DIV/0!</v>
      </c>
      <c r="J71" t="e">
        <f t="shared" si="3"/>
        <v>#DIV/0!</v>
      </c>
      <c r="K71" t="e">
        <f t="shared" si="3"/>
        <v>#DIV/0!</v>
      </c>
      <c r="L71" t="e">
        <f t="shared" si="3"/>
        <v>#DIV/0!</v>
      </c>
      <c r="M71" t="e">
        <f t="shared" si="3"/>
        <v>#DIV/0!</v>
      </c>
      <c r="N71" t="e">
        <f t="shared" si="3"/>
        <v>#DIV/0!</v>
      </c>
      <c r="O71" t="e">
        <f t="shared" si="3"/>
        <v>#DIV/0!</v>
      </c>
      <c r="P71" t="e">
        <f t="shared" si="3"/>
        <v>#DIV/0!</v>
      </c>
      <c r="Q71" t="e">
        <f t="shared" si="3"/>
        <v>#DIV/0!</v>
      </c>
      <c r="R71" t="e">
        <f t="shared" si="3"/>
        <v>#DIV/0!</v>
      </c>
      <c r="S71" t="e">
        <f t="shared" si="3"/>
        <v>#DIV/0!</v>
      </c>
      <c r="T71" t="e">
        <f t="shared" si="3"/>
        <v>#DIV/0!</v>
      </c>
      <c r="U71" t="e">
        <f t="shared" si="3"/>
        <v>#DIV/0!</v>
      </c>
      <c r="V71" t="e">
        <f t="shared" si="3"/>
        <v>#DIV/0!</v>
      </c>
      <c r="W71" t="e">
        <f t="shared" si="3"/>
        <v>#DIV/0!</v>
      </c>
      <c r="X71" t="e">
        <f t="shared" si="3"/>
        <v>#DIV/0!</v>
      </c>
      <c r="Y71" t="e">
        <f t="shared" si="3"/>
        <v>#DIV/0!</v>
      </c>
      <c r="Z71" t="e">
        <f t="shared" si="3"/>
        <v>#DIV/0!</v>
      </c>
      <c r="AA71" t="e">
        <f t="shared" si="3"/>
        <v>#DIV/0!</v>
      </c>
      <c r="AB71" t="e">
        <f t="shared" si="3"/>
        <v>#DIV/0!</v>
      </c>
      <c r="AC71" t="e">
        <f t="shared" si="3"/>
        <v>#DIV/0!</v>
      </c>
      <c r="AD71" t="e">
        <f t="shared" si="3"/>
        <v>#DIV/0!</v>
      </c>
      <c r="AE71" t="e">
        <f t="shared" si="3"/>
        <v>#DIV/0!</v>
      </c>
      <c r="AF71" t="e">
        <f t="shared" si="3"/>
        <v>#DIV/0!</v>
      </c>
      <c r="AG71" s="82"/>
      <c r="AH71" s="319" t="s">
        <v>66</v>
      </c>
      <c r="AI71" s="320"/>
      <c r="AJ71" s="82"/>
      <c r="AK71" s="182">
        <f>$C$71</f>
        <v>0</v>
      </c>
      <c r="AL71" s="182">
        <f>$D$71</f>
        <v>0</v>
      </c>
      <c r="AM71" s="182">
        <f>$E$71</f>
        <v>13.793103448275861</v>
      </c>
      <c r="AN71" s="182" t="e">
        <f>$F$71</f>
        <v>#DIV/0!</v>
      </c>
      <c r="AO71" s="182" t="e">
        <f>$G$71</f>
        <v>#DIV/0!</v>
      </c>
      <c r="AP71" s="182" t="e">
        <f>$H$71</f>
        <v>#DIV/0!</v>
      </c>
      <c r="AQ71" s="182" t="e">
        <f>$I$71</f>
        <v>#DIV/0!</v>
      </c>
      <c r="AR71" s="182" t="e">
        <f>$J$71</f>
        <v>#DIV/0!</v>
      </c>
      <c r="AS71" s="182" t="e">
        <f>$K$71</f>
        <v>#DIV/0!</v>
      </c>
      <c r="AT71" s="182" t="e">
        <f>$L$71</f>
        <v>#DIV/0!</v>
      </c>
      <c r="AU71" s="182" t="e">
        <f>$M$71</f>
        <v>#DIV/0!</v>
      </c>
      <c r="AV71" s="182" t="e">
        <f>$N$71</f>
        <v>#DIV/0!</v>
      </c>
      <c r="AW71" s="182" t="e">
        <f>$O$71</f>
        <v>#DIV/0!</v>
      </c>
      <c r="AX71" s="182" t="e">
        <f>$P$71</f>
        <v>#DIV/0!</v>
      </c>
      <c r="AY71" s="182" t="e">
        <f>$Q$71</f>
        <v>#DIV/0!</v>
      </c>
      <c r="AZ71" s="182" t="e">
        <f>$R$71</f>
        <v>#DIV/0!</v>
      </c>
      <c r="BA71" s="182" t="e">
        <f>$S$71</f>
        <v>#DIV/0!</v>
      </c>
      <c r="BB71" s="182" t="e">
        <f>$T$71</f>
        <v>#DIV/0!</v>
      </c>
      <c r="BC71" s="182" t="e">
        <f>$U$71</f>
        <v>#DIV/0!</v>
      </c>
      <c r="BD71" s="182" t="e">
        <f>$V$71</f>
        <v>#DIV/0!</v>
      </c>
      <c r="BE71" s="182" t="e">
        <f>$W$71</f>
        <v>#DIV/0!</v>
      </c>
      <c r="BF71" s="182" t="e">
        <f>$X$71</f>
        <v>#DIV/0!</v>
      </c>
      <c r="BG71" s="182" t="e">
        <f>$Y$71</f>
        <v>#DIV/0!</v>
      </c>
      <c r="BH71" s="182" t="e">
        <f>$Z$71</f>
        <v>#DIV/0!</v>
      </c>
      <c r="BI71" s="182" t="e">
        <f>$AA$71</f>
        <v>#DIV/0!</v>
      </c>
      <c r="BJ71" s="182" t="e">
        <f>$AB$71</f>
        <v>#DIV/0!</v>
      </c>
      <c r="BK71" s="182" t="e">
        <f>$AC$71</f>
        <v>#DIV/0!</v>
      </c>
      <c r="BL71" s="182" t="e">
        <f>$AD$71</f>
        <v>#DIV/0!</v>
      </c>
      <c r="BM71" s="182" t="e">
        <f>$AE$71</f>
        <v>#DIV/0!</v>
      </c>
      <c r="BN71" s="182" t="e">
        <f>$AF$71</f>
        <v>#DIV/0!</v>
      </c>
    </row>
    <row r="72" spans="1:66">
      <c r="A72" s="68" t="s">
        <v>193</v>
      </c>
      <c r="B72" s="71" t="s">
        <v>162</v>
      </c>
      <c r="C72" s="104">
        <v>12.612612612612612</v>
      </c>
      <c r="D72" s="104">
        <v>11.650485436893204</v>
      </c>
      <c r="E72" s="104">
        <v>12.093023255813954</v>
      </c>
      <c r="F72" t="e">
        <f t="shared" si="1"/>
        <v>#DIV/0!</v>
      </c>
      <c r="G72" t="e">
        <f t="shared" si="3"/>
        <v>#DIV/0!</v>
      </c>
      <c r="H72" t="e">
        <f t="shared" si="3"/>
        <v>#DIV/0!</v>
      </c>
      <c r="I72" t="e">
        <f t="shared" si="3"/>
        <v>#DIV/0!</v>
      </c>
      <c r="J72" t="e">
        <f t="shared" si="3"/>
        <v>#DIV/0!</v>
      </c>
      <c r="K72" t="e">
        <f t="shared" si="3"/>
        <v>#DIV/0!</v>
      </c>
      <c r="L72" t="e">
        <f t="shared" si="3"/>
        <v>#DIV/0!</v>
      </c>
      <c r="M72" t="e">
        <f t="shared" si="3"/>
        <v>#DIV/0!</v>
      </c>
      <c r="N72" t="e">
        <f t="shared" si="3"/>
        <v>#DIV/0!</v>
      </c>
      <c r="O72" t="e">
        <f t="shared" si="3"/>
        <v>#DIV/0!</v>
      </c>
      <c r="P72" t="e">
        <f t="shared" si="3"/>
        <v>#DIV/0!</v>
      </c>
      <c r="Q72" t="e">
        <f t="shared" si="3"/>
        <v>#DIV/0!</v>
      </c>
      <c r="R72" t="e">
        <f t="shared" si="3"/>
        <v>#DIV/0!</v>
      </c>
      <c r="S72" t="e">
        <f t="shared" si="3"/>
        <v>#DIV/0!</v>
      </c>
      <c r="T72" t="e">
        <f t="shared" si="3"/>
        <v>#DIV/0!</v>
      </c>
      <c r="U72" t="e">
        <f t="shared" si="3"/>
        <v>#DIV/0!</v>
      </c>
      <c r="V72" t="e">
        <f t="shared" si="3"/>
        <v>#DIV/0!</v>
      </c>
      <c r="W72" t="e">
        <f t="shared" si="3"/>
        <v>#DIV/0!</v>
      </c>
      <c r="X72" t="e">
        <f t="shared" si="3"/>
        <v>#DIV/0!</v>
      </c>
      <c r="Y72" t="e">
        <f t="shared" si="3"/>
        <v>#DIV/0!</v>
      </c>
      <c r="Z72" t="e">
        <f t="shared" si="3"/>
        <v>#DIV/0!</v>
      </c>
      <c r="AA72" t="e">
        <f t="shared" si="3"/>
        <v>#DIV/0!</v>
      </c>
      <c r="AB72" t="e">
        <f t="shared" si="3"/>
        <v>#DIV/0!</v>
      </c>
      <c r="AC72" t="e">
        <f t="shared" si="3"/>
        <v>#DIV/0!</v>
      </c>
      <c r="AD72" t="e">
        <f t="shared" si="3"/>
        <v>#DIV/0!</v>
      </c>
      <c r="AE72" t="e">
        <f t="shared" si="3"/>
        <v>#DIV/0!</v>
      </c>
      <c r="AF72" t="e">
        <f t="shared" si="3"/>
        <v>#DIV/0!</v>
      </c>
      <c r="AG72" s="82"/>
      <c r="AH72" s="56" t="s">
        <v>61</v>
      </c>
      <c r="AI72" s="56" t="s">
        <v>62</v>
      </c>
      <c r="AJ72" s="82"/>
      <c r="AK72" s="182">
        <f>$C$72</f>
        <v>12.612612612612612</v>
      </c>
      <c r="AL72" s="182">
        <f>$D$72</f>
        <v>11.650485436893204</v>
      </c>
      <c r="AM72" s="182">
        <f>$E$72</f>
        <v>12.093023255813954</v>
      </c>
      <c r="AN72" s="182" t="e">
        <f>$F$72</f>
        <v>#DIV/0!</v>
      </c>
      <c r="AO72" s="182" t="e">
        <f>$G$72</f>
        <v>#DIV/0!</v>
      </c>
      <c r="AP72" s="182" t="e">
        <f>$H$72</f>
        <v>#DIV/0!</v>
      </c>
      <c r="AQ72" s="182" t="e">
        <f>$I$72</f>
        <v>#DIV/0!</v>
      </c>
      <c r="AR72" s="182" t="e">
        <f>$J$72</f>
        <v>#DIV/0!</v>
      </c>
      <c r="AS72" s="182" t="e">
        <f>$K$72</f>
        <v>#DIV/0!</v>
      </c>
      <c r="AT72" s="182" t="e">
        <f>$L$72</f>
        <v>#DIV/0!</v>
      </c>
      <c r="AU72" s="182" t="e">
        <f>$M$72</f>
        <v>#DIV/0!</v>
      </c>
      <c r="AV72" s="182" t="e">
        <f>$N$72</f>
        <v>#DIV/0!</v>
      </c>
      <c r="AW72" s="182" t="e">
        <f>$O$72</f>
        <v>#DIV/0!</v>
      </c>
      <c r="AX72" s="182" t="e">
        <f>$P$72</f>
        <v>#DIV/0!</v>
      </c>
      <c r="AY72" s="182" t="e">
        <f>$Q$72</f>
        <v>#DIV/0!</v>
      </c>
      <c r="AZ72" s="182" t="e">
        <f>$R$72</f>
        <v>#DIV/0!</v>
      </c>
      <c r="BA72" s="182" t="e">
        <f>$S$72</f>
        <v>#DIV/0!</v>
      </c>
      <c r="BB72" s="182" t="e">
        <f>$T$72</f>
        <v>#DIV/0!</v>
      </c>
      <c r="BC72" s="182" t="e">
        <f>$U$72</f>
        <v>#DIV/0!</v>
      </c>
      <c r="BD72" s="182" t="e">
        <f>$V$72</f>
        <v>#DIV/0!</v>
      </c>
      <c r="BE72" s="182" t="e">
        <f>$W$72</f>
        <v>#DIV/0!</v>
      </c>
      <c r="BF72" s="182" t="e">
        <f>$X$72</f>
        <v>#DIV/0!</v>
      </c>
      <c r="BG72" s="182" t="e">
        <f>$Y$72</f>
        <v>#DIV/0!</v>
      </c>
      <c r="BH72" s="182" t="e">
        <f>$Z$72</f>
        <v>#DIV/0!</v>
      </c>
      <c r="BI72" s="182" t="e">
        <f>$AA$72</f>
        <v>#DIV/0!</v>
      </c>
      <c r="BJ72" s="182" t="e">
        <f>$AB$72</f>
        <v>#DIV/0!</v>
      </c>
      <c r="BK72" s="182" t="e">
        <f>$AC$72</f>
        <v>#DIV/0!</v>
      </c>
      <c r="BL72" s="182" t="e">
        <f>$AD$72</f>
        <v>#DIV/0!</v>
      </c>
      <c r="BM72" s="182" t="e">
        <f>$AE$72</f>
        <v>#DIV/0!</v>
      </c>
      <c r="BN72" s="182" t="e">
        <f>$AF$72</f>
        <v>#DIV/0!</v>
      </c>
    </row>
    <row r="73" spans="1:66">
      <c r="A73" s="68" t="s">
        <v>190</v>
      </c>
      <c r="B73" t="s">
        <v>153</v>
      </c>
      <c r="C73" s="100"/>
      <c r="E73" s="104">
        <v>5.7142857142857144</v>
      </c>
      <c r="F73" t="e">
        <f t="shared" si="1"/>
        <v>#DIV/0!</v>
      </c>
      <c r="G73" t="e">
        <f t="shared" si="3"/>
        <v>#DIV/0!</v>
      </c>
      <c r="H73" t="e">
        <f t="shared" si="3"/>
        <v>#DIV/0!</v>
      </c>
      <c r="I73" t="e">
        <f t="shared" si="3"/>
        <v>#DIV/0!</v>
      </c>
      <c r="J73" t="e">
        <f t="shared" si="3"/>
        <v>#DIV/0!</v>
      </c>
      <c r="K73" t="e">
        <f t="shared" si="3"/>
        <v>#DIV/0!</v>
      </c>
      <c r="L73" t="e">
        <f t="shared" si="3"/>
        <v>#DIV/0!</v>
      </c>
      <c r="M73" t="e">
        <f t="shared" si="3"/>
        <v>#DIV/0!</v>
      </c>
      <c r="N73" t="e">
        <f t="shared" si="3"/>
        <v>#DIV/0!</v>
      </c>
      <c r="O73" t="e">
        <f t="shared" si="3"/>
        <v>#DIV/0!</v>
      </c>
      <c r="P73" t="e">
        <f t="shared" si="3"/>
        <v>#DIV/0!</v>
      </c>
      <c r="Q73" t="e">
        <f t="shared" si="3"/>
        <v>#DIV/0!</v>
      </c>
      <c r="R73" t="e">
        <f t="shared" si="3"/>
        <v>#DIV/0!</v>
      </c>
      <c r="S73" t="e">
        <f t="shared" si="3"/>
        <v>#DIV/0!</v>
      </c>
      <c r="T73" t="e">
        <f t="shared" si="3"/>
        <v>#DIV/0!</v>
      </c>
      <c r="U73" t="e">
        <f t="shared" si="3"/>
        <v>#DIV/0!</v>
      </c>
      <c r="V73" t="e">
        <f t="shared" si="3"/>
        <v>#DIV/0!</v>
      </c>
      <c r="W73" t="e">
        <f t="shared" si="3"/>
        <v>#DIV/0!</v>
      </c>
      <c r="X73" t="e">
        <f t="shared" si="3"/>
        <v>#DIV/0!</v>
      </c>
      <c r="Y73" t="e">
        <f t="shared" si="3"/>
        <v>#DIV/0!</v>
      </c>
      <c r="Z73" t="e">
        <f t="shared" si="3"/>
        <v>#DIV/0!</v>
      </c>
      <c r="AA73" t="e">
        <f t="shared" si="3"/>
        <v>#DIV/0!</v>
      </c>
      <c r="AB73" t="e">
        <f t="shared" si="3"/>
        <v>#DIV/0!</v>
      </c>
      <c r="AC73" t="e">
        <f t="shared" si="3"/>
        <v>#DIV/0!</v>
      </c>
      <c r="AD73" t="e">
        <f t="shared" si="3"/>
        <v>#DIV/0!</v>
      </c>
      <c r="AE73" t="e">
        <f t="shared" si="3"/>
        <v>#DIV/0!</v>
      </c>
      <c r="AF73" t="e">
        <f t="shared" si="3"/>
        <v>#DIV/0!</v>
      </c>
      <c r="AG73" s="82"/>
      <c r="AH73" s="244" t="s">
        <v>392</v>
      </c>
      <c r="AI73" s="244" t="s">
        <v>448</v>
      </c>
      <c r="AJ73" s="82"/>
      <c r="AK73" s="182">
        <f>$C$73</f>
        <v>0</v>
      </c>
      <c r="AL73" s="182">
        <f>$D$73</f>
        <v>0</v>
      </c>
      <c r="AM73" s="182">
        <f>$E$73</f>
        <v>5.7142857142857144</v>
      </c>
      <c r="AN73" s="182" t="e">
        <f>$F$73</f>
        <v>#DIV/0!</v>
      </c>
      <c r="AO73" s="182" t="e">
        <f>$G$73</f>
        <v>#DIV/0!</v>
      </c>
      <c r="AP73" s="182" t="e">
        <f>$H$73</f>
        <v>#DIV/0!</v>
      </c>
      <c r="AQ73" s="182" t="e">
        <f>$I$73</f>
        <v>#DIV/0!</v>
      </c>
      <c r="AR73" s="182" t="e">
        <f>$J$73</f>
        <v>#DIV/0!</v>
      </c>
      <c r="AS73" s="182" t="e">
        <f>$K$73</f>
        <v>#DIV/0!</v>
      </c>
      <c r="AT73" s="182" t="e">
        <f>$L$73</f>
        <v>#DIV/0!</v>
      </c>
      <c r="AU73" s="182" t="e">
        <f>$M$73</f>
        <v>#DIV/0!</v>
      </c>
      <c r="AV73" s="182" t="e">
        <f>$N$73</f>
        <v>#DIV/0!</v>
      </c>
      <c r="AW73" s="182" t="e">
        <f>$O$73</f>
        <v>#DIV/0!</v>
      </c>
      <c r="AX73" s="182" t="e">
        <f>$P$73</f>
        <v>#DIV/0!</v>
      </c>
      <c r="AY73" s="182" t="e">
        <f>$Q$73</f>
        <v>#DIV/0!</v>
      </c>
      <c r="AZ73" s="182" t="e">
        <f>$R$73</f>
        <v>#DIV/0!</v>
      </c>
      <c r="BA73" s="182" t="e">
        <f>$S$73</f>
        <v>#DIV/0!</v>
      </c>
      <c r="BB73" s="182" t="e">
        <f>$T$73</f>
        <v>#DIV/0!</v>
      </c>
      <c r="BC73" s="182" t="e">
        <f>$U$73</f>
        <v>#DIV/0!</v>
      </c>
      <c r="BD73" s="182" t="e">
        <f>$V$73</f>
        <v>#DIV/0!</v>
      </c>
      <c r="BE73" s="182" t="e">
        <f>$W$73</f>
        <v>#DIV/0!</v>
      </c>
      <c r="BF73" s="182" t="e">
        <f>$X$73</f>
        <v>#DIV/0!</v>
      </c>
      <c r="BG73" s="182" t="e">
        <f>$Y$73</f>
        <v>#DIV/0!</v>
      </c>
      <c r="BH73" s="182" t="e">
        <f>$Z$73</f>
        <v>#DIV/0!</v>
      </c>
      <c r="BI73" s="182" t="e">
        <f>$AA$73</f>
        <v>#DIV/0!</v>
      </c>
      <c r="BJ73" s="182" t="e">
        <f>$AB$73</f>
        <v>#DIV/0!</v>
      </c>
      <c r="BK73" s="182" t="e">
        <f>$AC$73</f>
        <v>#DIV/0!</v>
      </c>
      <c r="BL73" s="182" t="e">
        <f>$AD$73</f>
        <v>#DIV/0!</v>
      </c>
      <c r="BM73" s="182" t="e">
        <f>$AE$73</f>
        <v>#DIV/0!</v>
      </c>
      <c r="BN73" s="182" t="e">
        <f>$AF$73</f>
        <v>#DIV/0!</v>
      </c>
    </row>
    <row r="74" spans="1:66">
      <c r="A74" s="70" t="s">
        <v>187</v>
      </c>
      <c r="B74" s="71" t="s">
        <v>188</v>
      </c>
      <c r="C74" s="100"/>
      <c r="E74" s="104">
        <v>15.492957746478872</v>
      </c>
      <c r="F74" t="e">
        <f t="shared" si="1"/>
        <v>#DIV/0!</v>
      </c>
      <c r="G74" t="e">
        <f t="shared" si="3"/>
        <v>#DIV/0!</v>
      </c>
      <c r="H74" t="e">
        <f t="shared" si="3"/>
        <v>#DIV/0!</v>
      </c>
      <c r="I74" t="e">
        <f t="shared" si="3"/>
        <v>#DIV/0!</v>
      </c>
      <c r="J74" t="e">
        <f t="shared" si="3"/>
        <v>#DIV/0!</v>
      </c>
      <c r="K74" t="e">
        <f t="shared" si="3"/>
        <v>#DIV/0!</v>
      </c>
      <c r="L74" t="e">
        <f t="shared" si="3"/>
        <v>#DIV/0!</v>
      </c>
      <c r="M74" t="e">
        <f t="shared" si="3"/>
        <v>#DIV/0!</v>
      </c>
      <c r="N74" t="e">
        <f t="shared" si="3"/>
        <v>#DIV/0!</v>
      </c>
      <c r="O74" t="e">
        <f t="shared" si="3"/>
        <v>#DIV/0!</v>
      </c>
      <c r="P74" t="e">
        <f t="shared" si="3"/>
        <v>#DIV/0!</v>
      </c>
      <c r="Q74" t="e">
        <f t="shared" si="3"/>
        <v>#DIV/0!</v>
      </c>
      <c r="R74" t="e">
        <f t="shared" si="3"/>
        <v>#DIV/0!</v>
      </c>
      <c r="S74" t="e">
        <f t="shared" si="3"/>
        <v>#DIV/0!</v>
      </c>
      <c r="T74" t="e">
        <f t="shared" si="3"/>
        <v>#DIV/0!</v>
      </c>
      <c r="U74" t="e">
        <f t="shared" si="3"/>
        <v>#DIV/0!</v>
      </c>
      <c r="V74" t="e">
        <f t="shared" si="3"/>
        <v>#DIV/0!</v>
      </c>
      <c r="W74" t="e">
        <f t="shared" si="3"/>
        <v>#DIV/0!</v>
      </c>
      <c r="X74" t="e">
        <f t="shared" si="3"/>
        <v>#DIV/0!</v>
      </c>
      <c r="Y74" t="e">
        <f t="shared" si="3"/>
        <v>#DIV/0!</v>
      </c>
      <c r="Z74" t="e">
        <f t="shared" si="3"/>
        <v>#DIV/0!</v>
      </c>
      <c r="AA74" t="e">
        <f t="shared" si="3"/>
        <v>#DIV/0!</v>
      </c>
      <c r="AB74" t="e">
        <f t="shared" si="3"/>
        <v>#DIV/0!</v>
      </c>
      <c r="AC74" t="e">
        <f t="shared" si="3"/>
        <v>#DIV/0!</v>
      </c>
      <c r="AD74" t="e">
        <f t="shared" si="3"/>
        <v>#DIV/0!</v>
      </c>
      <c r="AE74" t="e">
        <f t="shared" si="3"/>
        <v>#DIV/0!</v>
      </c>
      <c r="AF74" t="e">
        <f t="shared" si="3"/>
        <v>#DIV/0!</v>
      </c>
      <c r="AG74" s="82"/>
      <c r="AH74" s="244" t="s">
        <v>393</v>
      </c>
      <c r="AI74" s="244" t="s">
        <v>449</v>
      </c>
      <c r="AJ74" s="82"/>
      <c r="AK74" s="182">
        <f>$C$74</f>
        <v>0</v>
      </c>
      <c r="AL74" s="182">
        <f>$D$74</f>
        <v>0</v>
      </c>
      <c r="AM74" s="182">
        <f>$E$74</f>
        <v>15.492957746478872</v>
      </c>
      <c r="AN74" s="182" t="e">
        <f>$F$74</f>
        <v>#DIV/0!</v>
      </c>
      <c r="AO74" s="182" t="e">
        <f>$G$74</f>
        <v>#DIV/0!</v>
      </c>
      <c r="AP74" s="182" t="e">
        <f>$H$74</f>
        <v>#DIV/0!</v>
      </c>
      <c r="AQ74" s="182" t="e">
        <f>$I$74</f>
        <v>#DIV/0!</v>
      </c>
      <c r="AR74" s="182" t="e">
        <f>$J$74</f>
        <v>#DIV/0!</v>
      </c>
      <c r="AS74" s="182" t="e">
        <f>$K$74</f>
        <v>#DIV/0!</v>
      </c>
      <c r="AT74" s="182" t="e">
        <f>$L$74</f>
        <v>#DIV/0!</v>
      </c>
      <c r="AU74" s="182" t="e">
        <f>$M$74</f>
        <v>#DIV/0!</v>
      </c>
      <c r="AV74" s="182" t="e">
        <f>$N$74</f>
        <v>#DIV/0!</v>
      </c>
      <c r="AW74" s="182" t="e">
        <f>$O$74</f>
        <v>#DIV/0!</v>
      </c>
      <c r="AX74" s="182" t="e">
        <f>$P$74</f>
        <v>#DIV/0!</v>
      </c>
      <c r="AY74" s="182" t="e">
        <f>$Q$74</f>
        <v>#DIV/0!</v>
      </c>
      <c r="AZ74" s="182" t="e">
        <f>$R$74</f>
        <v>#DIV/0!</v>
      </c>
      <c r="BA74" s="182" t="e">
        <f>$S$74</f>
        <v>#DIV/0!</v>
      </c>
      <c r="BB74" s="182" t="e">
        <f>$T$74</f>
        <v>#DIV/0!</v>
      </c>
      <c r="BC74" s="182" t="e">
        <f>$U$74</f>
        <v>#DIV/0!</v>
      </c>
      <c r="BD74" s="182" t="e">
        <f>$V$74</f>
        <v>#DIV/0!</v>
      </c>
      <c r="BE74" s="182" t="e">
        <f>$W$74</f>
        <v>#DIV/0!</v>
      </c>
      <c r="BF74" s="182" t="e">
        <f>$X$74</f>
        <v>#DIV/0!</v>
      </c>
      <c r="BG74" s="182" t="e">
        <f>$Y$74</f>
        <v>#DIV/0!</v>
      </c>
      <c r="BH74" s="182" t="e">
        <f>$Z$74</f>
        <v>#DIV/0!</v>
      </c>
      <c r="BI74" s="182" t="e">
        <f>$AA$74</f>
        <v>#DIV/0!</v>
      </c>
      <c r="BJ74" s="182" t="e">
        <f>$AB$74</f>
        <v>#DIV/0!</v>
      </c>
      <c r="BK74" s="182" t="e">
        <f>$AC$74</f>
        <v>#DIV/0!</v>
      </c>
      <c r="BL74" s="182" t="e">
        <f>$AD$74</f>
        <v>#DIV/0!</v>
      </c>
      <c r="BM74" s="182" t="e">
        <f>$AE$74</f>
        <v>#DIV/0!</v>
      </c>
      <c r="BN74" s="182" t="e">
        <f>$AF$74</f>
        <v>#DIV/0!</v>
      </c>
    </row>
    <row r="75" spans="1:66">
      <c r="A75" s="69" t="s">
        <v>145</v>
      </c>
      <c r="B75" t="s">
        <v>153</v>
      </c>
      <c r="C75" s="100"/>
      <c r="E75" s="104">
        <v>17.241379310344829</v>
      </c>
      <c r="F75" t="e">
        <f t="shared" si="1"/>
        <v>#DIV/0!</v>
      </c>
      <c r="G75" t="e">
        <f t="shared" si="3"/>
        <v>#DIV/0!</v>
      </c>
      <c r="H75" t="e">
        <f t="shared" si="3"/>
        <v>#DIV/0!</v>
      </c>
      <c r="I75" t="e">
        <f t="shared" si="3"/>
        <v>#DIV/0!</v>
      </c>
      <c r="J75" t="e">
        <f t="shared" si="3"/>
        <v>#DIV/0!</v>
      </c>
      <c r="K75" t="e">
        <f t="shared" si="3"/>
        <v>#DIV/0!</v>
      </c>
      <c r="L75" t="e">
        <f t="shared" si="3"/>
        <v>#DIV/0!</v>
      </c>
      <c r="M75" t="e">
        <f t="shared" si="3"/>
        <v>#DIV/0!</v>
      </c>
      <c r="N75" t="e">
        <f t="shared" si="3"/>
        <v>#DIV/0!</v>
      </c>
      <c r="O75" t="e">
        <f t="shared" si="3"/>
        <v>#DIV/0!</v>
      </c>
      <c r="P75" t="e">
        <f t="shared" si="3"/>
        <v>#DIV/0!</v>
      </c>
      <c r="Q75" t="e">
        <f t="shared" si="3"/>
        <v>#DIV/0!</v>
      </c>
      <c r="R75" t="e">
        <f t="shared" si="3"/>
        <v>#DIV/0!</v>
      </c>
      <c r="S75" t="e">
        <f t="shared" si="3"/>
        <v>#DIV/0!</v>
      </c>
      <c r="T75" t="e">
        <f t="shared" si="3"/>
        <v>#DIV/0!</v>
      </c>
      <c r="U75" t="e">
        <f t="shared" si="3"/>
        <v>#DIV/0!</v>
      </c>
      <c r="V75" t="e">
        <f t="shared" si="3"/>
        <v>#DIV/0!</v>
      </c>
      <c r="W75" t="e">
        <f t="shared" si="3"/>
        <v>#DIV/0!</v>
      </c>
      <c r="X75" t="e">
        <f t="shared" si="3"/>
        <v>#DIV/0!</v>
      </c>
      <c r="Y75" t="e">
        <f t="shared" si="3"/>
        <v>#DIV/0!</v>
      </c>
      <c r="Z75" t="e">
        <f t="shared" si="3"/>
        <v>#DIV/0!</v>
      </c>
      <c r="AA75" t="e">
        <f t="shared" si="3"/>
        <v>#DIV/0!</v>
      </c>
      <c r="AB75" t="e">
        <f t="shared" si="3"/>
        <v>#DIV/0!</v>
      </c>
      <c r="AC75" t="e">
        <f t="shared" si="3"/>
        <v>#DIV/0!</v>
      </c>
      <c r="AD75" t="e">
        <f t="shared" si="3"/>
        <v>#DIV/0!</v>
      </c>
      <c r="AE75" t="e">
        <f t="shared" si="3"/>
        <v>#DIV/0!</v>
      </c>
      <c r="AF75" t="e">
        <f t="shared" si="3"/>
        <v>#DIV/0!</v>
      </c>
      <c r="AG75" s="82"/>
      <c r="AH75" s="244" t="s">
        <v>394</v>
      </c>
      <c r="AI75" s="244" t="s">
        <v>450</v>
      </c>
      <c r="AJ75" s="82"/>
      <c r="AK75" s="182">
        <f>$C$75</f>
        <v>0</v>
      </c>
      <c r="AL75" s="182">
        <f>$D$75</f>
        <v>0</v>
      </c>
      <c r="AM75" s="182">
        <f>$E$75</f>
        <v>17.241379310344829</v>
      </c>
      <c r="AN75" s="182" t="e">
        <f>$F$75</f>
        <v>#DIV/0!</v>
      </c>
      <c r="AO75" s="182" t="e">
        <f>$G$75</f>
        <v>#DIV/0!</v>
      </c>
      <c r="AP75" s="182" t="e">
        <f>$H$75</f>
        <v>#DIV/0!</v>
      </c>
      <c r="AQ75" s="182" t="e">
        <f>$I$75</f>
        <v>#DIV/0!</v>
      </c>
      <c r="AR75" s="182" t="e">
        <f>$J$75</f>
        <v>#DIV/0!</v>
      </c>
      <c r="AS75" s="182" t="e">
        <f>$K$75</f>
        <v>#DIV/0!</v>
      </c>
      <c r="AT75" s="182" t="e">
        <f>$L$75</f>
        <v>#DIV/0!</v>
      </c>
      <c r="AU75" s="182" t="e">
        <f>$M$75</f>
        <v>#DIV/0!</v>
      </c>
      <c r="AV75" s="182" t="e">
        <f>$N$75</f>
        <v>#DIV/0!</v>
      </c>
      <c r="AW75" s="182" t="e">
        <f>$O$75</f>
        <v>#DIV/0!</v>
      </c>
      <c r="AX75" s="182" t="e">
        <f>$P$75</f>
        <v>#DIV/0!</v>
      </c>
      <c r="AY75" s="182" t="e">
        <f>$Q$75</f>
        <v>#DIV/0!</v>
      </c>
      <c r="AZ75" s="182" t="e">
        <f>$R$75</f>
        <v>#DIV/0!</v>
      </c>
      <c r="BA75" s="182" t="e">
        <f>$S$75</f>
        <v>#DIV/0!</v>
      </c>
      <c r="BB75" s="182" t="e">
        <f>$T$75</f>
        <v>#DIV/0!</v>
      </c>
      <c r="BC75" s="182" t="e">
        <f>$U$75</f>
        <v>#DIV/0!</v>
      </c>
      <c r="BD75" s="182" t="e">
        <f>$V$75</f>
        <v>#DIV/0!</v>
      </c>
      <c r="BE75" s="182" t="e">
        <f>$W$75</f>
        <v>#DIV/0!</v>
      </c>
      <c r="BF75" s="182" t="e">
        <f>$X$75</f>
        <v>#DIV/0!</v>
      </c>
      <c r="BG75" s="182" t="e">
        <f>$Y$75</f>
        <v>#DIV/0!</v>
      </c>
      <c r="BH75" s="182" t="e">
        <f>$Z$75</f>
        <v>#DIV/0!</v>
      </c>
      <c r="BI75" s="182" t="e">
        <f>$AA$75</f>
        <v>#DIV/0!</v>
      </c>
      <c r="BJ75" s="182" t="e">
        <f>$AB$75</f>
        <v>#DIV/0!</v>
      </c>
      <c r="BK75" s="182" t="e">
        <f>$AC$75</f>
        <v>#DIV/0!</v>
      </c>
      <c r="BL75" s="182" t="e">
        <f>$AD$75</f>
        <v>#DIV/0!</v>
      </c>
      <c r="BM75" s="182" t="e">
        <f>$AE$75</f>
        <v>#DIV/0!</v>
      </c>
      <c r="BN75" s="182" t="e">
        <f>$AF$75</f>
        <v>#DIV/0!</v>
      </c>
    </row>
    <row r="76" spans="1:66">
      <c r="A76" s="69" t="s">
        <v>174</v>
      </c>
      <c r="B76" s="71" t="s">
        <v>178</v>
      </c>
      <c r="C76" s="104">
        <v>12</v>
      </c>
      <c r="D76" s="104">
        <v>3.9215686274509802</v>
      </c>
      <c r="E76" s="104">
        <v>7.9207920792079207</v>
      </c>
      <c r="F76" t="e">
        <f t="shared" si="1"/>
        <v>#DIV/0!</v>
      </c>
      <c r="G76" t="e">
        <f t="shared" si="3"/>
        <v>#DIV/0!</v>
      </c>
      <c r="H76" t="e">
        <f t="shared" si="3"/>
        <v>#DIV/0!</v>
      </c>
      <c r="I76" t="e">
        <f t="shared" si="3"/>
        <v>#DIV/0!</v>
      </c>
      <c r="J76" t="e">
        <f t="shared" si="3"/>
        <v>#DIV/0!</v>
      </c>
      <c r="K76" t="e">
        <f t="shared" si="3"/>
        <v>#DIV/0!</v>
      </c>
      <c r="L76" t="e">
        <f t="shared" si="3"/>
        <v>#DIV/0!</v>
      </c>
      <c r="M76" t="e">
        <f t="shared" si="3"/>
        <v>#DIV/0!</v>
      </c>
      <c r="N76" t="e">
        <f t="shared" si="3"/>
        <v>#DIV/0!</v>
      </c>
      <c r="O76" t="e">
        <f t="shared" si="3"/>
        <v>#DIV/0!</v>
      </c>
      <c r="P76" t="e">
        <f t="shared" si="3"/>
        <v>#DIV/0!</v>
      </c>
      <c r="Q76" t="e">
        <f t="shared" si="3"/>
        <v>#DIV/0!</v>
      </c>
      <c r="R76" t="e">
        <f t="shared" si="3"/>
        <v>#DIV/0!</v>
      </c>
      <c r="S76" t="e">
        <f t="shared" si="3"/>
        <v>#DIV/0!</v>
      </c>
      <c r="T76" t="e">
        <f t="shared" si="3"/>
        <v>#DIV/0!</v>
      </c>
      <c r="U76" t="e">
        <f t="shared" si="3"/>
        <v>#DIV/0!</v>
      </c>
      <c r="V76" t="e">
        <f t="shared" si="3"/>
        <v>#DIV/0!</v>
      </c>
      <c r="W76" t="e">
        <f t="shared" si="3"/>
        <v>#DIV/0!</v>
      </c>
      <c r="X76" t="e">
        <f t="shared" si="3"/>
        <v>#DIV/0!</v>
      </c>
      <c r="Y76" t="e">
        <f t="shared" si="3"/>
        <v>#DIV/0!</v>
      </c>
      <c r="Z76" t="e">
        <f t="shared" si="3"/>
        <v>#DIV/0!</v>
      </c>
      <c r="AA76" t="e">
        <f t="shared" si="3"/>
        <v>#DIV/0!</v>
      </c>
      <c r="AB76" t="e">
        <f t="shared" si="3"/>
        <v>#DIV/0!</v>
      </c>
      <c r="AC76" t="e">
        <f t="shared" si="3"/>
        <v>#DIV/0!</v>
      </c>
      <c r="AD76" t="e">
        <f t="shared" si="3"/>
        <v>#DIV/0!</v>
      </c>
      <c r="AE76" t="e">
        <f t="shared" si="3"/>
        <v>#DIV/0!</v>
      </c>
      <c r="AF76" t="e">
        <f t="shared" si="3"/>
        <v>#DIV/0!</v>
      </c>
      <c r="AG76" s="82"/>
      <c r="AH76" s="244" t="s">
        <v>434</v>
      </c>
      <c r="AI76" s="244" t="s">
        <v>451</v>
      </c>
      <c r="AJ76" s="82"/>
      <c r="AK76" s="182">
        <f>$C$76</f>
        <v>12</v>
      </c>
      <c r="AL76" s="182">
        <f>$D$76</f>
        <v>3.9215686274509802</v>
      </c>
      <c r="AM76" s="182">
        <f>$E$76</f>
        <v>7.9207920792079207</v>
      </c>
      <c r="AN76" s="182" t="e">
        <f>$F$76</f>
        <v>#DIV/0!</v>
      </c>
      <c r="AO76" s="182" t="e">
        <f>$G$76</f>
        <v>#DIV/0!</v>
      </c>
      <c r="AP76" s="182" t="e">
        <f>$H$76</f>
        <v>#DIV/0!</v>
      </c>
      <c r="AQ76" s="182" t="e">
        <f>$I$76</f>
        <v>#DIV/0!</v>
      </c>
      <c r="AR76" s="182" t="e">
        <f>$J$76</f>
        <v>#DIV/0!</v>
      </c>
      <c r="AS76" s="182" t="e">
        <f>$K$76</f>
        <v>#DIV/0!</v>
      </c>
      <c r="AT76" s="182" t="e">
        <f>$L$76</f>
        <v>#DIV/0!</v>
      </c>
      <c r="AU76" s="182" t="e">
        <f>$M$76</f>
        <v>#DIV/0!</v>
      </c>
      <c r="AV76" s="182" t="e">
        <f>$N$76</f>
        <v>#DIV/0!</v>
      </c>
      <c r="AW76" s="182" t="e">
        <f>$O$76</f>
        <v>#DIV/0!</v>
      </c>
      <c r="AX76" s="182" t="e">
        <f>$P$76</f>
        <v>#DIV/0!</v>
      </c>
      <c r="AY76" s="182" t="e">
        <f>$Q$76</f>
        <v>#DIV/0!</v>
      </c>
      <c r="AZ76" s="182" t="e">
        <f>$R$76</f>
        <v>#DIV/0!</v>
      </c>
      <c r="BA76" s="182" t="e">
        <f>$S$76</f>
        <v>#DIV/0!</v>
      </c>
      <c r="BB76" s="182" t="e">
        <f>$T$76</f>
        <v>#DIV/0!</v>
      </c>
      <c r="BC76" s="182" t="e">
        <f>$U$76</f>
        <v>#DIV/0!</v>
      </c>
      <c r="BD76" s="182" t="e">
        <f>$V$76</f>
        <v>#DIV/0!</v>
      </c>
      <c r="BE76" s="182" t="e">
        <f>$W$76</f>
        <v>#DIV/0!</v>
      </c>
      <c r="BF76" s="182" t="e">
        <f>$X$76</f>
        <v>#DIV/0!</v>
      </c>
      <c r="BG76" s="182" t="e">
        <f>$Y$76</f>
        <v>#DIV/0!</v>
      </c>
      <c r="BH76" s="182" t="e">
        <f>$Z$76</f>
        <v>#DIV/0!</v>
      </c>
      <c r="BI76" s="182" t="e">
        <f>$AA$76</f>
        <v>#DIV/0!</v>
      </c>
      <c r="BJ76" s="182" t="e">
        <f>$AB$76</f>
        <v>#DIV/0!</v>
      </c>
      <c r="BK76" s="182" t="e">
        <f>$AC$76</f>
        <v>#DIV/0!</v>
      </c>
      <c r="BL76" s="182" t="e">
        <f>$AD$76</f>
        <v>#DIV/0!</v>
      </c>
      <c r="BM76" s="182" t="e">
        <f>$AE$76</f>
        <v>#DIV/0!</v>
      </c>
      <c r="BN76" s="182" t="e">
        <f>$AF$76</f>
        <v>#DIV/0!</v>
      </c>
    </row>
    <row r="77" spans="1:66">
      <c r="A77" s="69" t="s">
        <v>175</v>
      </c>
      <c r="B77" s="71" t="s">
        <v>178</v>
      </c>
      <c r="C77" s="100"/>
      <c r="E77" s="104">
        <v>9.2105263157894726</v>
      </c>
      <c r="F77" t="e">
        <f t="shared" si="1"/>
        <v>#DIV/0!</v>
      </c>
      <c r="G77" t="e">
        <f t="shared" ref="G77:AF86" si="4">1/0</f>
        <v>#DIV/0!</v>
      </c>
      <c r="H77" t="e">
        <f t="shared" si="4"/>
        <v>#DIV/0!</v>
      </c>
      <c r="I77" t="e">
        <f t="shared" si="4"/>
        <v>#DIV/0!</v>
      </c>
      <c r="J77" t="e">
        <f t="shared" si="4"/>
        <v>#DIV/0!</v>
      </c>
      <c r="K77" t="e">
        <f t="shared" si="4"/>
        <v>#DIV/0!</v>
      </c>
      <c r="L77" t="e">
        <f t="shared" si="4"/>
        <v>#DIV/0!</v>
      </c>
      <c r="M77" t="e">
        <f t="shared" si="4"/>
        <v>#DIV/0!</v>
      </c>
      <c r="N77" t="e">
        <f t="shared" si="4"/>
        <v>#DIV/0!</v>
      </c>
      <c r="O77" t="e">
        <f t="shared" si="4"/>
        <v>#DIV/0!</v>
      </c>
      <c r="P77" t="e">
        <f t="shared" si="4"/>
        <v>#DIV/0!</v>
      </c>
      <c r="Q77" t="e">
        <f t="shared" si="4"/>
        <v>#DIV/0!</v>
      </c>
      <c r="R77" t="e">
        <f t="shared" si="4"/>
        <v>#DIV/0!</v>
      </c>
      <c r="S77" t="e">
        <f t="shared" si="4"/>
        <v>#DIV/0!</v>
      </c>
      <c r="T77" t="e">
        <f t="shared" si="4"/>
        <v>#DIV/0!</v>
      </c>
      <c r="U77" t="e">
        <f t="shared" si="4"/>
        <v>#DIV/0!</v>
      </c>
      <c r="V77" t="e">
        <f t="shared" si="4"/>
        <v>#DIV/0!</v>
      </c>
      <c r="W77" t="e">
        <f t="shared" si="4"/>
        <v>#DIV/0!</v>
      </c>
      <c r="X77" t="e">
        <f t="shared" si="4"/>
        <v>#DIV/0!</v>
      </c>
      <c r="Y77" t="e">
        <f t="shared" si="4"/>
        <v>#DIV/0!</v>
      </c>
      <c r="Z77" t="e">
        <f t="shared" si="4"/>
        <v>#DIV/0!</v>
      </c>
      <c r="AA77" t="e">
        <f t="shared" si="4"/>
        <v>#DIV/0!</v>
      </c>
      <c r="AB77" t="e">
        <f t="shared" si="4"/>
        <v>#DIV/0!</v>
      </c>
      <c r="AC77" t="e">
        <f t="shared" si="4"/>
        <v>#DIV/0!</v>
      </c>
      <c r="AD77" t="e">
        <f t="shared" si="4"/>
        <v>#DIV/0!</v>
      </c>
      <c r="AE77" t="e">
        <f t="shared" si="4"/>
        <v>#DIV/0!</v>
      </c>
      <c r="AF77" t="e">
        <f t="shared" si="4"/>
        <v>#DIV/0!</v>
      </c>
      <c r="AG77" s="82"/>
      <c r="AH77" s="244" t="s">
        <v>435</v>
      </c>
      <c r="AI77" s="244" t="s">
        <v>452</v>
      </c>
      <c r="AJ77" s="82"/>
      <c r="AK77" s="182">
        <f>$C$77</f>
        <v>0</v>
      </c>
      <c r="AL77" s="182">
        <f>$D$77</f>
        <v>0</v>
      </c>
      <c r="AM77" s="182">
        <f>$E$77</f>
        <v>9.2105263157894726</v>
      </c>
      <c r="AN77" s="182" t="e">
        <f>$F$77</f>
        <v>#DIV/0!</v>
      </c>
      <c r="AO77" s="182" t="e">
        <f>$G$77</f>
        <v>#DIV/0!</v>
      </c>
      <c r="AP77" s="182" t="e">
        <f>$H$77</f>
        <v>#DIV/0!</v>
      </c>
      <c r="AQ77" s="182" t="e">
        <f>$I$77</f>
        <v>#DIV/0!</v>
      </c>
      <c r="AR77" s="182" t="e">
        <f>$J$77</f>
        <v>#DIV/0!</v>
      </c>
      <c r="AS77" s="182" t="e">
        <f>$K$77</f>
        <v>#DIV/0!</v>
      </c>
      <c r="AT77" s="182" t="e">
        <f>$L$77</f>
        <v>#DIV/0!</v>
      </c>
      <c r="AU77" s="182" t="e">
        <f>$M$77</f>
        <v>#DIV/0!</v>
      </c>
      <c r="AV77" s="182" t="e">
        <f>$N$77</f>
        <v>#DIV/0!</v>
      </c>
      <c r="AW77" s="182" t="e">
        <f>$O$77</f>
        <v>#DIV/0!</v>
      </c>
      <c r="AX77" s="182" t="e">
        <f>$P$77</f>
        <v>#DIV/0!</v>
      </c>
      <c r="AY77" s="182" t="e">
        <f>$Q$77</f>
        <v>#DIV/0!</v>
      </c>
      <c r="AZ77" s="182" t="e">
        <f>$R$77</f>
        <v>#DIV/0!</v>
      </c>
      <c r="BA77" s="182" t="e">
        <f>$S$77</f>
        <v>#DIV/0!</v>
      </c>
      <c r="BB77" s="182" t="e">
        <f>$T$77</f>
        <v>#DIV/0!</v>
      </c>
      <c r="BC77" s="182" t="e">
        <f>$U$77</f>
        <v>#DIV/0!</v>
      </c>
      <c r="BD77" s="182" t="e">
        <f>$V$77</f>
        <v>#DIV/0!</v>
      </c>
      <c r="BE77" s="182" t="e">
        <f>$W$77</f>
        <v>#DIV/0!</v>
      </c>
      <c r="BF77" s="182" t="e">
        <f>$X$77</f>
        <v>#DIV/0!</v>
      </c>
      <c r="BG77" s="182" t="e">
        <f>$Y$77</f>
        <v>#DIV/0!</v>
      </c>
      <c r="BH77" s="182" t="e">
        <f>$Z$77</f>
        <v>#DIV/0!</v>
      </c>
      <c r="BI77" s="182" t="e">
        <f>$AA$77</f>
        <v>#DIV/0!</v>
      </c>
      <c r="BJ77" s="182" t="e">
        <f>$AB$77</f>
        <v>#DIV/0!</v>
      </c>
      <c r="BK77" s="182" t="e">
        <f>$AC$77</f>
        <v>#DIV/0!</v>
      </c>
      <c r="BL77" s="182" t="e">
        <f>$AD$77</f>
        <v>#DIV/0!</v>
      </c>
      <c r="BM77" s="182" t="e">
        <f>$AE$77</f>
        <v>#DIV/0!</v>
      </c>
      <c r="BN77" s="182" t="e">
        <f>$AF$77</f>
        <v>#DIV/0!</v>
      </c>
    </row>
    <row r="78" spans="1:66">
      <c r="A78" s="69" t="s">
        <v>161</v>
      </c>
      <c r="B78" s="71" t="s">
        <v>162</v>
      </c>
      <c r="C78" s="104">
        <v>8.8888888888888893</v>
      </c>
      <c r="D78" s="104">
        <v>8.8888888888888893</v>
      </c>
      <c r="E78" s="104">
        <v>8.791208791208792</v>
      </c>
      <c r="F78" t="e">
        <f t="shared" si="1"/>
        <v>#DIV/0!</v>
      </c>
      <c r="G78" t="e">
        <f t="shared" si="4"/>
        <v>#DIV/0!</v>
      </c>
      <c r="H78" t="e">
        <f t="shared" si="4"/>
        <v>#DIV/0!</v>
      </c>
      <c r="I78" t="e">
        <f t="shared" si="4"/>
        <v>#DIV/0!</v>
      </c>
      <c r="J78" t="e">
        <f t="shared" si="4"/>
        <v>#DIV/0!</v>
      </c>
      <c r="K78" t="e">
        <f t="shared" si="4"/>
        <v>#DIV/0!</v>
      </c>
      <c r="L78" t="e">
        <f t="shared" si="4"/>
        <v>#DIV/0!</v>
      </c>
      <c r="M78" t="e">
        <f t="shared" si="4"/>
        <v>#DIV/0!</v>
      </c>
      <c r="N78" t="e">
        <f t="shared" si="4"/>
        <v>#DIV/0!</v>
      </c>
      <c r="O78" t="e">
        <f t="shared" si="4"/>
        <v>#DIV/0!</v>
      </c>
      <c r="P78" t="e">
        <f t="shared" si="4"/>
        <v>#DIV/0!</v>
      </c>
      <c r="Q78" t="e">
        <f t="shared" si="4"/>
        <v>#DIV/0!</v>
      </c>
      <c r="R78" t="e">
        <f t="shared" si="4"/>
        <v>#DIV/0!</v>
      </c>
      <c r="S78" t="e">
        <f t="shared" si="4"/>
        <v>#DIV/0!</v>
      </c>
      <c r="T78" t="e">
        <f t="shared" si="4"/>
        <v>#DIV/0!</v>
      </c>
      <c r="U78" t="e">
        <f t="shared" si="4"/>
        <v>#DIV/0!</v>
      </c>
      <c r="V78" t="e">
        <f t="shared" si="4"/>
        <v>#DIV/0!</v>
      </c>
      <c r="W78" t="e">
        <f t="shared" si="4"/>
        <v>#DIV/0!</v>
      </c>
      <c r="X78" t="e">
        <f t="shared" si="4"/>
        <v>#DIV/0!</v>
      </c>
      <c r="Y78" t="e">
        <f t="shared" si="4"/>
        <v>#DIV/0!</v>
      </c>
      <c r="Z78" t="e">
        <f t="shared" si="4"/>
        <v>#DIV/0!</v>
      </c>
      <c r="AA78" t="e">
        <f t="shared" si="4"/>
        <v>#DIV/0!</v>
      </c>
      <c r="AB78" t="e">
        <f t="shared" si="4"/>
        <v>#DIV/0!</v>
      </c>
      <c r="AC78" t="e">
        <f t="shared" si="4"/>
        <v>#DIV/0!</v>
      </c>
      <c r="AD78" t="e">
        <f t="shared" si="4"/>
        <v>#DIV/0!</v>
      </c>
      <c r="AE78" t="e">
        <f t="shared" si="4"/>
        <v>#DIV/0!</v>
      </c>
      <c r="AF78" t="e">
        <f t="shared" si="4"/>
        <v>#DIV/0!</v>
      </c>
      <c r="AG78" s="82"/>
      <c r="AH78" s="244" t="s">
        <v>436</v>
      </c>
      <c r="AI78" s="244" t="s">
        <v>453</v>
      </c>
      <c r="AJ78" s="82"/>
      <c r="AK78" s="182">
        <f>$C$78</f>
        <v>8.8888888888888893</v>
      </c>
      <c r="AL78" s="182">
        <f>$D$78</f>
        <v>8.8888888888888893</v>
      </c>
      <c r="AM78" s="182">
        <f>$E$78</f>
        <v>8.791208791208792</v>
      </c>
      <c r="AN78" s="182" t="e">
        <f>$F$78</f>
        <v>#DIV/0!</v>
      </c>
      <c r="AO78" s="182" t="e">
        <f>$G$78</f>
        <v>#DIV/0!</v>
      </c>
      <c r="AP78" s="182" t="e">
        <f>$H$78</f>
        <v>#DIV/0!</v>
      </c>
      <c r="AQ78" s="182" t="e">
        <f>$I$78</f>
        <v>#DIV/0!</v>
      </c>
      <c r="AR78" s="182" t="e">
        <f>$J$78</f>
        <v>#DIV/0!</v>
      </c>
      <c r="AS78" s="182" t="e">
        <f>$K$78</f>
        <v>#DIV/0!</v>
      </c>
      <c r="AT78" s="182" t="e">
        <f>$L$78</f>
        <v>#DIV/0!</v>
      </c>
      <c r="AU78" s="182" t="e">
        <f>$M$78</f>
        <v>#DIV/0!</v>
      </c>
      <c r="AV78" s="182" t="e">
        <f>$N$78</f>
        <v>#DIV/0!</v>
      </c>
      <c r="AW78" s="182" t="e">
        <f>$O$78</f>
        <v>#DIV/0!</v>
      </c>
      <c r="AX78" s="182" t="e">
        <f>$P$78</f>
        <v>#DIV/0!</v>
      </c>
      <c r="AY78" s="182" t="e">
        <f>$Q$78</f>
        <v>#DIV/0!</v>
      </c>
      <c r="AZ78" s="182" t="e">
        <f>$R$78</f>
        <v>#DIV/0!</v>
      </c>
      <c r="BA78" s="182" t="e">
        <f>$S$78</f>
        <v>#DIV/0!</v>
      </c>
      <c r="BB78" s="182" t="e">
        <f>$T$78</f>
        <v>#DIV/0!</v>
      </c>
      <c r="BC78" s="182" t="e">
        <f>$U$78</f>
        <v>#DIV/0!</v>
      </c>
      <c r="BD78" s="182" t="e">
        <f>$V$78</f>
        <v>#DIV/0!</v>
      </c>
      <c r="BE78" s="182" t="e">
        <f>$W$78</f>
        <v>#DIV/0!</v>
      </c>
      <c r="BF78" s="182" t="e">
        <f>$X$78</f>
        <v>#DIV/0!</v>
      </c>
      <c r="BG78" s="182" t="e">
        <f>$Y$78</f>
        <v>#DIV/0!</v>
      </c>
      <c r="BH78" s="182" t="e">
        <f>$Z$78</f>
        <v>#DIV/0!</v>
      </c>
      <c r="BI78" s="182" t="e">
        <f>$AA$78</f>
        <v>#DIV/0!</v>
      </c>
      <c r="BJ78" s="182" t="e">
        <f>$AB$78</f>
        <v>#DIV/0!</v>
      </c>
      <c r="BK78" s="182" t="e">
        <f>$AC$78</f>
        <v>#DIV/0!</v>
      </c>
      <c r="BL78" s="182" t="e">
        <f>$AD$78</f>
        <v>#DIV/0!</v>
      </c>
      <c r="BM78" s="182" t="e">
        <f>$AE$78</f>
        <v>#DIV/0!</v>
      </c>
      <c r="BN78" s="182" t="e">
        <f>$AF$78</f>
        <v>#DIV/0!</v>
      </c>
    </row>
    <row r="79" spans="1:66">
      <c r="A79" s="69" t="s">
        <v>186</v>
      </c>
      <c r="B79" s="71" t="s">
        <v>188</v>
      </c>
      <c r="C79" s="100"/>
      <c r="E79" s="104">
        <v>18.085106382978726</v>
      </c>
      <c r="F79" t="e">
        <f t="shared" si="1"/>
        <v>#DIV/0!</v>
      </c>
      <c r="G79" t="e">
        <f t="shared" si="4"/>
        <v>#DIV/0!</v>
      </c>
      <c r="H79" t="e">
        <f t="shared" si="4"/>
        <v>#DIV/0!</v>
      </c>
      <c r="I79" t="e">
        <f t="shared" si="4"/>
        <v>#DIV/0!</v>
      </c>
      <c r="J79" t="e">
        <f t="shared" si="4"/>
        <v>#DIV/0!</v>
      </c>
      <c r="K79" t="e">
        <f t="shared" si="4"/>
        <v>#DIV/0!</v>
      </c>
      <c r="L79" t="e">
        <f t="shared" si="4"/>
        <v>#DIV/0!</v>
      </c>
      <c r="M79" t="e">
        <f t="shared" si="4"/>
        <v>#DIV/0!</v>
      </c>
      <c r="N79" t="e">
        <f t="shared" si="4"/>
        <v>#DIV/0!</v>
      </c>
      <c r="O79" t="e">
        <f t="shared" si="4"/>
        <v>#DIV/0!</v>
      </c>
      <c r="P79" t="e">
        <f t="shared" si="4"/>
        <v>#DIV/0!</v>
      </c>
      <c r="Q79" t="e">
        <f t="shared" si="4"/>
        <v>#DIV/0!</v>
      </c>
      <c r="R79" t="e">
        <f t="shared" si="4"/>
        <v>#DIV/0!</v>
      </c>
      <c r="S79" t="e">
        <f t="shared" si="4"/>
        <v>#DIV/0!</v>
      </c>
      <c r="T79" t="e">
        <f t="shared" si="4"/>
        <v>#DIV/0!</v>
      </c>
      <c r="U79" t="e">
        <f t="shared" si="4"/>
        <v>#DIV/0!</v>
      </c>
      <c r="V79" t="e">
        <f t="shared" si="4"/>
        <v>#DIV/0!</v>
      </c>
      <c r="W79" t="e">
        <f t="shared" si="4"/>
        <v>#DIV/0!</v>
      </c>
      <c r="X79" t="e">
        <f t="shared" si="4"/>
        <v>#DIV/0!</v>
      </c>
      <c r="Y79" t="e">
        <f t="shared" si="4"/>
        <v>#DIV/0!</v>
      </c>
      <c r="Z79" t="e">
        <f t="shared" si="4"/>
        <v>#DIV/0!</v>
      </c>
      <c r="AA79" t="e">
        <f t="shared" si="4"/>
        <v>#DIV/0!</v>
      </c>
      <c r="AB79" t="e">
        <f t="shared" si="4"/>
        <v>#DIV/0!</v>
      </c>
      <c r="AC79" t="e">
        <f t="shared" si="4"/>
        <v>#DIV/0!</v>
      </c>
      <c r="AD79" t="e">
        <f t="shared" si="4"/>
        <v>#DIV/0!</v>
      </c>
      <c r="AE79" t="e">
        <f t="shared" si="4"/>
        <v>#DIV/0!</v>
      </c>
      <c r="AF79" t="e">
        <f t="shared" si="4"/>
        <v>#DIV/0!</v>
      </c>
      <c r="AG79" s="82"/>
      <c r="AH79" s="244" t="s">
        <v>437</v>
      </c>
      <c r="AI79" s="245" t="s">
        <v>454</v>
      </c>
      <c r="AJ79" s="82"/>
      <c r="AK79" s="182">
        <f>$C$79</f>
        <v>0</v>
      </c>
      <c r="AL79" s="182">
        <f>$D$79</f>
        <v>0</v>
      </c>
      <c r="AM79" s="182">
        <f>$E$79</f>
        <v>18.085106382978726</v>
      </c>
      <c r="AN79" s="182" t="e">
        <f>$F$79</f>
        <v>#DIV/0!</v>
      </c>
      <c r="AO79" s="182" t="e">
        <f>$G$79</f>
        <v>#DIV/0!</v>
      </c>
      <c r="AP79" s="182" t="e">
        <f>$H$79</f>
        <v>#DIV/0!</v>
      </c>
      <c r="AQ79" s="182" t="e">
        <f>$I$79</f>
        <v>#DIV/0!</v>
      </c>
      <c r="AR79" s="182" t="e">
        <f>$J$79</f>
        <v>#DIV/0!</v>
      </c>
      <c r="AS79" s="182" t="e">
        <f>$K$79</f>
        <v>#DIV/0!</v>
      </c>
      <c r="AT79" s="182" t="e">
        <f>$L$79</f>
        <v>#DIV/0!</v>
      </c>
      <c r="AU79" s="182" t="e">
        <f>$M$79</f>
        <v>#DIV/0!</v>
      </c>
      <c r="AV79" s="182" t="e">
        <f>$N$79</f>
        <v>#DIV/0!</v>
      </c>
      <c r="AW79" s="182" t="e">
        <f>$O$79</f>
        <v>#DIV/0!</v>
      </c>
      <c r="AX79" s="182" t="e">
        <f>$P$79</f>
        <v>#DIV/0!</v>
      </c>
      <c r="AY79" s="182" t="e">
        <f>$Q$79</f>
        <v>#DIV/0!</v>
      </c>
      <c r="AZ79" s="182" t="e">
        <f>$R$79</f>
        <v>#DIV/0!</v>
      </c>
      <c r="BA79" s="182" t="e">
        <f>$S$79</f>
        <v>#DIV/0!</v>
      </c>
      <c r="BB79" s="182" t="e">
        <f>$T$79</f>
        <v>#DIV/0!</v>
      </c>
      <c r="BC79" s="182" t="e">
        <f>$U$79</f>
        <v>#DIV/0!</v>
      </c>
      <c r="BD79" s="182" t="e">
        <f>$V$79</f>
        <v>#DIV/0!</v>
      </c>
      <c r="BE79" s="182" t="e">
        <f>$W$79</f>
        <v>#DIV/0!</v>
      </c>
      <c r="BF79" s="182" t="e">
        <f>$X$79</f>
        <v>#DIV/0!</v>
      </c>
      <c r="BG79" s="182" t="e">
        <f>$Y$79</f>
        <v>#DIV/0!</v>
      </c>
      <c r="BH79" s="182" t="e">
        <f>$Z$79</f>
        <v>#DIV/0!</v>
      </c>
      <c r="BI79" s="182" t="e">
        <f>$AA$79</f>
        <v>#DIV/0!</v>
      </c>
      <c r="BJ79" s="182" t="e">
        <f>$AB$79</f>
        <v>#DIV/0!</v>
      </c>
      <c r="BK79" s="182" t="e">
        <f>$AC$79</f>
        <v>#DIV/0!</v>
      </c>
      <c r="BL79" s="182" t="e">
        <f>$AD$79</f>
        <v>#DIV/0!</v>
      </c>
      <c r="BM79" s="182" t="e">
        <f>$AE$79</f>
        <v>#DIV/0!</v>
      </c>
      <c r="BN79" s="182" t="e">
        <f>$AF$79</f>
        <v>#DIV/0!</v>
      </c>
    </row>
    <row r="80" spans="1:66">
      <c r="A80" s="68" t="s">
        <v>191</v>
      </c>
      <c r="B80" t="s">
        <v>153</v>
      </c>
      <c r="C80" s="104">
        <v>19.650655021834059</v>
      </c>
      <c r="D80" s="104">
        <v>8.2417582417582409</v>
      </c>
      <c r="E80" s="104">
        <v>15.238095238095239</v>
      </c>
      <c r="F80" t="e">
        <f t="shared" si="1"/>
        <v>#DIV/0!</v>
      </c>
      <c r="G80" t="e">
        <f t="shared" si="4"/>
        <v>#DIV/0!</v>
      </c>
      <c r="H80" t="e">
        <f t="shared" si="4"/>
        <v>#DIV/0!</v>
      </c>
      <c r="I80" t="e">
        <f t="shared" si="4"/>
        <v>#DIV/0!</v>
      </c>
      <c r="J80" t="e">
        <f t="shared" si="4"/>
        <v>#DIV/0!</v>
      </c>
      <c r="K80" t="e">
        <f t="shared" si="4"/>
        <v>#DIV/0!</v>
      </c>
      <c r="L80" t="e">
        <f t="shared" si="4"/>
        <v>#DIV/0!</v>
      </c>
      <c r="M80" t="e">
        <f t="shared" si="4"/>
        <v>#DIV/0!</v>
      </c>
      <c r="N80" t="e">
        <f t="shared" si="4"/>
        <v>#DIV/0!</v>
      </c>
      <c r="O80" t="e">
        <f t="shared" si="4"/>
        <v>#DIV/0!</v>
      </c>
      <c r="P80" t="e">
        <f t="shared" si="4"/>
        <v>#DIV/0!</v>
      </c>
      <c r="Q80" t="e">
        <f t="shared" si="4"/>
        <v>#DIV/0!</v>
      </c>
      <c r="R80" t="e">
        <f t="shared" si="4"/>
        <v>#DIV/0!</v>
      </c>
      <c r="S80" t="e">
        <f t="shared" si="4"/>
        <v>#DIV/0!</v>
      </c>
      <c r="T80" t="e">
        <f t="shared" si="4"/>
        <v>#DIV/0!</v>
      </c>
      <c r="U80" t="e">
        <f t="shared" si="4"/>
        <v>#DIV/0!</v>
      </c>
      <c r="V80" t="e">
        <f t="shared" si="4"/>
        <v>#DIV/0!</v>
      </c>
      <c r="W80" t="e">
        <f t="shared" si="4"/>
        <v>#DIV/0!</v>
      </c>
      <c r="X80" t="e">
        <f t="shared" si="4"/>
        <v>#DIV/0!</v>
      </c>
      <c r="Y80" t="e">
        <f t="shared" si="4"/>
        <v>#DIV/0!</v>
      </c>
      <c r="Z80" t="e">
        <f t="shared" si="4"/>
        <v>#DIV/0!</v>
      </c>
      <c r="AA80" t="e">
        <f t="shared" si="4"/>
        <v>#DIV/0!</v>
      </c>
      <c r="AB80" t="e">
        <f t="shared" si="4"/>
        <v>#DIV/0!</v>
      </c>
      <c r="AC80" t="e">
        <f t="shared" si="4"/>
        <v>#DIV/0!</v>
      </c>
      <c r="AD80" t="e">
        <f t="shared" si="4"/>
        <v>#DIV/0!</v>
      </c>
      <c r="AE80" t="e">
        <f t="shared" si="4"/>
        <v>#DIV/0!</v>
      </c>
      <c r="AF80" t="e">
        <f t="shared" si="4"/>
        <v>#DIV/0!</v>
      </c>
      <c r="AG80" s="82"/>
      <c r="AH80" s="244" t="s">
        <v>438</v>
      </c>
      <c r="AI80" s="244" t="s">
        <v>455</v>
      </c>
      <c r="AJ80" s="82"/>
      <c r="AK80" s="182">
        <f>$C$80</f>
        <v>19.650655021834059</v>
      </c>
      <c r="AL80" s="182">
        <f>$D$80</f>
        <v>8.2417582417582409</v>
      </c>
      <c r="AM80" s="182">
        <f>$E$80</f>
        <v>15.238095238095239</v>
      </c>
      <c r="AN80" s="182" t="e">
        <f>$F$80</f>
        <v>#DIV/0!</v>
      </c>
      <c r="AO80" s="182" t="e">
        <f>$G$80</f>
        <v>#DIV/0!</v>
      </c>
      <c r="AP80" s="182" t="e">
        <f>$H$80</f>
        <v>#DIV/0!</v>
      </c>
      <c r="AQ80" s="182" t="e">
        <f>$I$80</f>
        <v>#DIV/0!</v>
      </c>
      <c r="AR80" s="182" t="e">
        <f>$J$80</f>
        <v>#DIV/0!</v>
      </c>
      <c r="AS80" s="182" t="e">
        <f>$K$80</f>
        <v>#DIV/0!</v>
      </c>
      <c r="AT80" s="182" t="e">
        <f>$L$80</f>
        <v>#DIV/0!</v>
      </c>
      <c r="AU80" s="182" t="e">
        <f>$M$80</f>
        <v>#DIV/0!</v>
      </c>
      <c r="AV80" s="182" t="e">
        <f>$N$80</f>
        <v>#DIV/0!</v>
      </c>
      <c r="AW80" s="182" t="e">
        <f>$O$80</f>
        <v>#DIV/0!</v>
      </c>
      <c r="AX80" s="182" t="e">
        <f>$P$80</f>
        <v>#DIV/0!</v>
      </c>
      <c r="AY80" s="182" t="e">
        <f>$Q$80</f>
        <v>#DIV/0!</v>
      </c>
      <c r="AZ80" s="182" t="e">
        <f>$R$80</f>
        <v>#DIV/0!</v>
      </c>
      <c r="BA80" s="182" t="e">
        <f>$S$80</f>
        <v>#DIV/0!</v>
      </c>
      <c r="BB80" s="182" t="e">
        <f>$T$80</f>
        <v>#DIV/0!</v>
      </c>
      <c r="BC80" s="182" t="e">
        <f>$U$80</f>
        <v>#DIV/0!</v>
      </c>
      <c r="BD80" s="182" t="e">
        <f>$V$80</f>
        <v>#DIV/0!</v>
      </c>
      <c r="BE80" s="182" t="e">
        <f>$W$80</f>
        <v>#DIV/0!</v>
      </c>
      <c r="BF80" s="182" t="e">
        <f>$X$80</f>
        <v>#DIV/0!</v>
      </c>
      <c r="BG80" s="182" t="e">
        <f>$Y$80</f>
        <v>#DIV/0!</v>
      </c>
      <c r="BH80" s="182" t="e">
        <f>$Z$80</f>
        <v>#DIV/0!</v>
      </c>
      <c r="BI80" s="182" t="e">
        <f>$AA$80</f>
        <v>#DIV/0!</v>
      </c>
      <c r="BJ80" s="182" t="e">
        <f>$AB$80</f>
        <v>#DIV/0!</v>
      </c>
      <c r="BK80" s="182" t="e">
        <f>$AC$80</f>
        <v>#DIV/0!</v>
      </c>
      <c r="BL80" s="182" t="e">
        <f>$AD$80</f>
        <v>#DIV/0!</v>
      </c>
      <c r="BM80" s="182" t="e">
        <f>$AE$80</f>
        <v>#DIV/0!</v>
      </c>
      <c r="BN80" s="182" t="e">
        <f>$AF$80</f>
        <v>#DIV/0!</v>
      </c>
    </row>
    <row r="81" spans="1:66">
      <c r="A81" s="69" t="s">
        <v>176</v>
      </c>
      <c r="B81" s="71" t="s">
        <v>178</v>
      </c>
      <c r="C81" s="100"/>
      <c r="E81" s="104">
        <v>15</v>
      </c>
      <c r="F81" t="e">
        <f t="shared" si="1"/>
        <v>#DIV/0!</v>
      </c>
      <c r="G81" t="e">
        <f t="shared" si="4"/>
        <v>#DIV/0!</v>
      </c>
      <c r="H81" t="e">
        <f t="shared" si="4"/>
        <v>#DIV/0!</v>
      </c>
      <c r="I81" t="e">
        <f t="shared" si="4"/>
        <v>#DIV/0!</v>
      </c>
      <c r="J81" t="e">
        <f t="shared" si="4"/>
        <v>#DIV/0!</v>
      </c>
      <c r="K81" t="e">
        <f t="shared" si="4"/>
        <v>#DIV/0!</v>
      </c>
      <c r="L81" t="e">
        <f t="shared" si="4"/>
        <v>#DIV/0!</v>
      </c>
      <c r="M81" t="e">
        <f t="shared" si="4"/>
        <v>#DIV/0!</v>
      </c>
      <c r="N81" t="e">
        <f t="shared" si="4"/>
        <v>#DIV/0!</v>
      </c>
      <c r="O81" t="e">
        <f t="shared" si="4"/>
        <v>#DIV/0!</v>
      </c>
      <c r="P81" t="e">
        <f t="shared" si="4"/>
        <v>#DIV/0!</v>
      </c>
      <c r="Q81" t="e">
        <f t="shared" si="4"/>
        <v>#DIV/0!</v>
      </c>
      <c r="R81" t="e">
        <f t="shared" si="4"/>
        <v>#DIV/0!</v>
      </c>
      <c r="S81" t="e">
        <f t="shared" si="4"/>
        <v>#DIV/0!</v>
      </c>
      <c r="T81" t="e">
        <f t="shared" si="4"/>
        <v>#DIV/0!</v>
      </c>
      <c r="U81" t="e">
        <f t="shared" si="4"/>
        <v>#DIV/0!</v>
      </c>
      <c r="V81" t="e">
        <f t="shared" si="4"/>
        <v>#DIV/0!</v>
      </c>
      <c r="W81" t="e">
        <f t="shared" si="4"/>
        <v>#DIV/0!</v>
      </c>
      <c r="X81" t="e">
        <f t="shared" si="4"/>
        <v>#DIV/0!</v>
      </c>
      <c r="Y81" t="e">
        <f t="shared" si="4"/>
        <v>#DIV/0!</v>
      </c>
      <c r="Z81" t="e">
        <f t="shared" si="4"/>
        <v>#DIV/0!</v>
      </c>
      <c r="AA81" t="e">
        <f t="shared" si="4"/>
        <v>#DIV/0!</v>
      </c>
      <c r="AB81" t="e">
        <f t="shared" si="4"/>
        <v>#DIV/0!</v>
      </c>
      <c r="AC81" t="e">
        <f t="shared" si="4"/>
        <v>#DIV/0!</v>
      </c>
      <c r="AD81" t="e">
        <f t="shared" si="4"/>
        <v>#DIV/0!</v>
      </c>
      <c r="AE81" t="e">
        <f t="shared" si="4"/>
        <v>#DIV/0!</v>
      </c>
      <c r="AF81" t="e">
        <f t="shared" si="4"/>
        <v>#DIV/0!</v>
      </c>
      <c r="AG81" s="82"/>
      <c r="AH81" s="244" t="s">
        <v>439</v>
      </c>
      <c r="AI81" s="244" t="s">
        <v>456</v>
      </c>
      <c r="AJ81" s="82"/>
      <c r="AK81" s="182">
        <f>$C$81</f>
        <v>0</v>
      </c>
      <c r="AL81" s="182">
        <f>$D$81</f>
        <v>0</v>
      </c>
      <c r="AM81" s="182">
        <f>$E$81</f>
        <v>15</v>
      </c>
      <c r="AN81" s="182" t="e">
        <f>$F$81</f>
        <v>#DIV/0!</v>
      </c>
      <c r="AO81" s="182" t="e">
        <f>$G$81</f>
        <v>#DIV/0!</v>
      </c>
      <c r="AP81" s="182" t="e">
        <f>$H$81</f>
        <v>#DIV/0!</v>
      </c>
      <c r="AQ81" s="182" t="e">
        <f>$I$81</f>
        <v>#DIV/0!</v>
      </c>
      <c r="AR81" s="182" t="e">
        <f>$J$81</f>
        <v>#DIV/0!</v>
      </c>
      <c r="AS81" s="182" t="e">
        <f>$K$81</f>
        <v>#DIV/0!</v>
      </c>
      <c r="AT81" s="182" t="e">
        <f>$L$81</f>
        <v>#DIV/0!</v>
      </c>
      <c r="AU81" s="182" t="e">
        <f>$M$81</f>
        <v>#DIV/0!</v>
      </c>
      <c r="AV81" s="182" t="e">
        <f>$N$81</f>
        <v>#DIV/0!</v>
      </c>
      <c r="AW81" s="182" t="e">
        <f>$O$81</f>
        <v>#DIV/0!</v>
      </c>
      <c r="AX81" s="182" t="e">
        <f>$P$81</f>
        <v>#DIV/0!</v>
      </c>
      <c r="AY81" s="182" t="e">
        <f>$Q$81</f>
        <v>#DIV/0!</v>
      </c>
      <c r="AZ81" s="182" t="e">
        <f>$R$81</f>
        <v>#DIV/0!</v>
      </c>
      <c r="BA81" s="182" t="e">
        <f>$S$81</f>
        <v>#DIV/0!</v>
      </c>
      <c r="BB81" s="182" t="e">
        <f>$T$81</f>
        <v>#DIV/0!</v>
      </c>
      <c r="BC81" s="182" t="e">
        <f>$U$81</f>
        <v>#DIV/0!</v>
      </c>
      <c r="BD81" s="182" t="e">
        <f>$V$81</f>
        <v>#DIV/0!</v>
      </c>
      <c r="BE81" s="182" t="e">
        <f>$W$81</f>
        <v>#DIV/0!</v>
      </c>
      <c r="BF81" s="182" t="e">
        <f>$X$81</f>
        <v>#DIV/0!</v>
      </c>
      <c r="BG81" s="182" t="e">
        <f>$Y$81</f>
        <v>#DIV/0!</v>
      </c>
      <c r="BH81" s="182" t="e">
        <f>$Z$81</f>
        <v>#DIV/0!</v>
      </c>
      <c r="BI81" s="182" t="e">
        <f>$AA$81</f>
        <v>#DIV/0!</v>
      </c>
      <c r="BJ81" s="182" t="e">
        <f>$AB$81</f>
        <v>#DIV/0!</v>
      </c>
      <c r="BK81" s="182" t="e">
        <f>$AC$81</f>
        <v>#DIV/0!</v>
      </c>
      <c r="BL81" s="182" t="e">
        <f>$AD$81</f>
        <v>#DIV/0!</v>
      </c>
      <c r="BM81" s="182" t="e">
        <f>$AE$81</f>
        <v>#DIV/0!</v>
      </c>
      <c r="BN81" s="182" t="e">
        <f>$AF$81</f>
        <v>#DIV/0!</v>
      </c>
    </row>
    <row r="82" spans="1:66">
      <c r="A82" s="69" t="s">
        <v>150</v>
      </c>
      <c r="B82" t="s">
        <v>153</v>
      </c>
      <c r="C82" s="104">
        <v>20.707070707070706</v>
      </c>
      <c r="D82" s="104">
        <v>14.925373134328357</v>
      </c>
      <c r="E82" s="104">
        <v>17.936117936117938</v>
      </c>
      <c r="F82" t="e">
        <f t="shared" si="1"/>
        <v>#DIV/0!</v>
      </c>
      <c r="G82" t="e">
        <f t="shared" si="4"/>
        <v>#DIV/0!</v>
      </c>
      <c r="H82" t="e">
        <f t="shared" si="4"/>
        <v>#DIV/0!</v>
      </c>
      <c r="I82" t="e">
        <f t="shared" si="4"/>
        <v>#DIV/0!</v>
      </c>
      <c r="J82" t="e">
        <f t="shared" si="4"/>
        <v>#DIV/0!</v>
      </c>
      <c r="K82" t="e">
        <f t="shared" si="4"/>
        <v>#DIV/0!</v>
      </c>
      <c r="L82" t="e">
        <f t="shared" si="4"/>
        <v>#DIV/0!</v>
      </c>
      <c r="M82" t="e">
        <f t="shared" si="4"/>
        <v>#DIV/0!</v>
      </c>
      <c r="N82" t="e">
        <f t="shared" si="4"/>
        <v>#DIV/0!</v>
      </c>
      <c r="O82" t="e">
        <f t="shared" si="4"/>
        <v>#DIV/0!</v>
      </c>
      <c r="P82" t="e">
        <f t="shared" si="4"/>
        <v>#DIV/0!</v>
      </c>
      <c r="Q82" t="e">
        <f t="shared" si="4"/>
        <v>#DIV/0!</v>
      </c>
      <c r="R82" t="e">
        <f t="shared" si="4"/>
        <v>#DIV/0!</v>
      </c>
      <c r="S82" t="e">
        <f t="shared" si="4"/>
        <v>#DIV/0!</v>
      </c>
      <c r="T82" t="e">
        <f t="shared" si="4"/>
        <v>#DIV/0!</v>
      </c>
      <c r="U82" t="e">
        <f t="shared" si="4"/>
        <v>#DIV/0!</v>
      </c>
      <c r="V82" t="e">
        <f t="shared" si="4"/>
        <v>#DIV/0!</v>
      </c>
      <c r="W82" t="e">
        <f t="shared" si="4"/>
        <v>#DIV/0!</v>
      </c>
      <c r="X82" t="e">
        <f t="shared" si="4"/>
        <v>#DIV/0!</v>
      </c>
      <c r="Y82" t="e">
        <f t="shared" si="4"/>
        <v>#DIV/0!</v>
      </c>
      <c r="Z82" t="e">
        <f t="shared" si="4"/>
        <v>#DIV/0!</v>
      </c>
      <c r="AA82" t="e">
        <f t="shared" si="4"/>
        <v>#DIV/0!</v>
      </c>
      <c r="AB82" t="e">
        <f t="shared" si="4"/>
        <v>#DIV/0!</v>
      </c>
      <c r="AC82" t="e">
        <f t="shared" si="4"/>
        <v>#DIV/0!</v>
      </c>
      <c r="AD82" t="e">
        <f t="shared" si="4"/>
        <v>#DIV/0!</v>
      </c>
      <c r="AE82" t="e">
        <f t="shared" si="4"/>
        <v>#DIV/0!</v>
      </c>
      <c r="AF82" t="e">
        <f t="shared" si="4"/>
        <v>#DIV/0!</v>
      </c>
      <c r="AG82" s="82"/>
      <c r="AH82" s="244" t="s">
        <v>440</v>
      </c>
      <c r="AI82" s="244" t="s">
        <v>457</v>
      </c>
      <c r="AJ82" s="82"/>
      <c r="AK82" s="182">
        <f>$C$82</f>
        <v>20.707070707070706</v>
      </c>
      <c r="AL82" s="182">
        <f>$D$82</f>
        <v>14.925373134328357</v>
      </c>
      <c r="AM82" s="182">
        <f>$E$82</f>
        <v>17.936117936117938</v>
      </c>
      <c r="AN82" s="182" t="e">
        <f>$F$82</f>
        <v>#DIV/0!</v>
      </c>
      <c r="AO82" s="182" t="e">
        <f>$G$82</f>
        <v>#DIV/0!</v>
      </c>
      <c r="AP82" s="182" t="e">
        <f>$H$82</f>
        <v>#DIV/0!</v>
      </c>
      <c r="AQ82" s="182" t="e">
        <f>$I$82</f>
        <v>#DIV/0!</v>
      </c>
      <c r="AR82" s="182" t="e">
        <f>$J$82</f>
        <v>#DIV/0!</v>
      </c>
      <c r="AS82" s="182" t="e">
        <f>$K$82</f>
        <v>#DIV/0!</v>
      </c>
      <c r="AT82" s="182" t="e">
        <f>$L$82</f>
        <v>#DIV/0!</v>
      </c>
      <c r="AU82" s="182" t="e">
        <f>$M$82</f>
        <v>#DIV/0!</v>
      </c>
      <c r="AV82" s="182" t="e">
        <f>$N$82</f>
        <v>#DIV/0!</v>
      </c>
      <c r="AW82" s="182" t="e">
        <f>$O$82</f>
        <v>#DIV/0!</v>
      </c>
      <c r="AX82" s="182" t="e">
        <f>$P$82</f>
        <v>#DIV/0!</v>
      </c>
      <c r="AY82" s="182" t="e">
        <f>$Q$82</f>
        <v>#DIV/0!</v>
      </c>
      <c r="AZ82" s="182" t="e">
        <f>$R$82</f>
        <v>#DIV/0!</v>
      </c>
      <c r="BA82" s="182" t="e">
        <f>$S$82</f>
        <v>#DIV/0!</v>
      </c>
      <c r="BB82" s="182" t="e">
        <f>$T$82</f>
        <v>#DIV/0!</v>
      </c>
      <c r="BC82" s="182" t="e">
        <f>$U$82</f>
        <v>#DIV/0!</v>
      </c>
      <c r="BD82" s="182" t="e">
        <f>$V$82</f>
        <v>#DIV/0!</v>
      </c>
      <c r="BE82" s="182" t="e">
        <f>$W$82</f>
        <v>#DIV/0!</v>
      </c>
      <c r="BF82" s="182" t="e">
        <f>$X$82</f>
        <v>#DIV/0!</v>
      </c>
      <c r="BG82" s="182" t="e">
        <f>$Y$82</f>
        <v>#DIV/0!</v>
      </c>
      <c r="BH82" s="182" t="e">
        <f>$Z$82</f>
        <v>#DIV/0!</v>
      </c>
      <c r="BI82" s="182" t="e">
        <f>$AA$82</f>
        <v>#DIV/0!</v>
      </c>
      <c r="BJ82" s="182" t="e">
        <f>$AB$82</f>
        <v>#DIV/0!</v>
      </c>
      <c r="BK82" s="182" t="e">
        <f>$AC$82</f>
        <v>#DIV/0!</v>
      </c>
      <c r="BL82" s="182" t="e">
        <f>$AD$82</f>
        <v>#DIV/0!</v>
      </c>
      <c r="BM82" s="182" t="e">
        <f>$AE$82</f>
        <v>#DIV/0!</v>
      </c>
      <c r="BN82" s="182" t="e">
        <f>$AF$82</f>
        <v>#DIV/0!</v>
      </c>
    </row>
    <row r="83" spans="1:66">
      <c r="A83" s="69" t="s">
        <v>183</v>
      </c>
      <c r="B83" s="71" t="s">
        <v>188</v>
      </c>
      <c r="C83" s="100"/>
      <c r="E83" s="104">
        <v>11.111111111111111</v>
      </c>
      <c r="F83" t="e">
        <f t="shared" si="1"/>
        <v>#DIV/0!</v>
      </c>
      <c r="G83" t="e">
        <f t="shared" si="4"/>
        <v>#DIV/0!</v>
      </c>
      <c r="H83" t="e">
        <f t="shared" si="4"/>
        <v>#DIV/0!</v>
      </c>
      <c r="I83" t="e">
        <f t="shared" si="4"/>
        <v>#DIV/0!</v>
      </c>
      <c r="J83" t="e">
        <f t="shared" si="4"/>
        <v>#DIV/0!</v>
      </c>
      <c r="K83" t="e">
        <f t="shared" si="4"/>
        <v>#DIV/0!</v>
      </c>
      <c r="L83" t="e">
        <f t="shared" si="4"/>
        <v>#DIV/0!</v>
      </c>
      <c r="M83" t="e">
        <f t="shared" si="4"/>
        <v>#DIV/0!</v>
      </c>
      <c r="N83" t="e">
        <f t="shared" si="4"/>
        <v>#DIV/0!</v>
      </c>
      <c r="O83" t="e">
        <f t="shared" si="4"/>
        <v>#DIV/0!</v>
      </c>
      <c r="P83" t="e">
        <f t="shared" si="4"/>
        <v>#DIV/0!</v>
      </c>
      <c r="Q83" t="e">
        <f t="shared" si="4"/>
        <v>#DIV/0!</v>
      </c>
      <c r="R83" t="e">
        <f t="shared" si="4"/>
        <v>#DIV/0!</v>
      </c>
      <c r="S83" t="e">
        <f t="shared" si="4"/>
        <v>#DIV/0!</v>
      </c>
      <c r="T83" t="e">
        <f t="shared" si="4"/>
        <v>#DIV/0!</v>
      </c>
      <c r="U83" t="e">
        <f t="shared" si="4"/>
        <v>#DIV/0!</v>
      </c>
      <c r="V83" t="e">
        <f t="shared" si="4"/>
        <v>#DIV/0!</v>
      </c>
      <c r="W83" t="e">
        <f t="shared" si="4"/>
        <v>#DIV/0!</v>
      </c>
      <c r="X83" t="e">
        <f t="shared" si="4"/>
        <v>#DIV/0!</v>
      </c>
      <c r="Y83" t="e">
        <f t="shared" si="4"/>
        <v>#DIV/0!</v>
      </c>
      <c r="Z83" t="e">
        <f t="shared" si="4"/>
        <v>#DIV/0!</v>
      </c>
      <c r="AA83" t="e">
        <f t="shared" si="4"/>
        <v>#DIV/0!</v>
      </c>
      <c r="AB83" t="e">
        <f t="shared" si="4"/>
        <v>#DIV/0!</v>
      </c>
      <c r="AC83" t="e">
        <f t="shared" si="4"/>
        <v>#DIV/0!</v>
      </c>
      <c r="AD83" t="e">
        <f t="shared" si="4"/>
        <v>#DIV/0!</v>
      </c>
      <c r="AE83" t="e">
        <f t="shared" si="4"/>
        <v>#DIV/0!</v>
      </c>
      <c r="AF83" t="e">
        <f t="shared" si="4"/>
        <v>#DIV/0!</v>
      </c>
      <c r="AG83" s="82"/>
      <c r="AH83" s="244" t="s">
        <v>441</v>
      </c>
      <c r="AI83" s="244" t="s">
        <v>458</v>
      </c>
      <c r="AJ83" s="82"/>
      <c r="AK83" s="182">
        <f>$C$83</f>
        <v>0</v>
      </c>
      <c r="AL83" s="182">
        <f>$D$83</f>
        <v>0</v>
      </c>
      <c r="AM83" s="182">
        <f>$E$83</f>
        <v>11.111111111111111</v>
      </c>
      <c r="AN83" s="182" t="e">
        <f>$F$83</f>
        <v>#DIV/0!</v>
      </c>
      <c r="AO83" s="182" t="e">
        <f>$G$83</f>
        <v>#DIV/0!</v>
      </c>
      <c r="AP83" s="182" t="e">
        <f>$H$83</f>
        <v>#DIV/0!</v>
      </c>
      <c r="AQ83" s="182" t="e">
        <f>$I$83</f>
        <v>#DIV/0!</v>
      </c>
      <c r="AR83" s="182" t="e">
        <f>$J$83</f>
        <v>#DIV/0!</v>
      </c>
      <c r="AS83" s="182" t="e">
        <f>$K$83</f>
        <v>#DIV/0!</v>
      </c>
      <c r="AT83" s="182" t="e">
        <f>$L$83</f>
        <v>#DIV/0!</v>
      </c>
      <c r="AU83" s="182" t="e">
        <f>$M$83</f>
        <v>#DIV/0!</v>
      </c>
      <c r="AV83" s="182" t="e">
        <f>$N$83</f>
        <v>#DIV/0!</v>
      </c>
      <c r="AW83" s="182" t="e">
        <f>$O$83</f>
        <v>#DIV/0!</v>
      </c>
      <c r="AX83" s="182" t="e">
        <f>$P$83</f>
        <v>#DIV/0!</v>
      </c>
      <c r="AY83" s="182" t="e">
        <f>$Q$83</f>
        <v>#DIV/0!</v>
      </c>
      <c r="AZ83" s="182" t="e">
        <f>$R$83</f>
        <v>#DIV/0!</v>
      </c>
      <c r="BA83" s="182" t="e">
        <f>$S$83</f>
        <v>#DIV/0!</v>
      </c>
      <c r="BB83" s="182" t="e">
        <f>$T$83</f>
        <v>#DIV/0!</v>
      </c>
      <c r="BC83" s="182" t="e">
        <f>$U$83</f>
        <v>#DIV/0!</v>
      </c>
      <c r="BD83" s="182" t="e">
        <f>$V$83</f>
        <v>#DIV/0!</v>
      </c>
      <c r="BE83" s="182" t="e">
        <f>$W$83</f>
        <v>#DIV/0!</v>
      </c>
      <c r="BF83" s="182" t="e">
        <f>$X$83</f>
        <v>#DIV/0!</v>
      </c>
      <c r="BG83" s="182" t="e">
        <f>$Y$83</f>
        <v>#DIV/0!</v>
      </c>
      <c r="BH83" s="182" t="e">
        <f>$Z$83</f>
        <v>#DIV/0!</v>
      </c>
      <c r="BI83" s="182" t="e">
        <f>$AA$83</f>
        <v>#DIV/0!</v>
      </c>
      <c r="BJ83" s="182" t="e">
        <f>$AB$83</f>
        <v>#DIV/0!</v>
      </c>
      <c r="BK83" s="182" t="e">
        <f>$AC$83</f>
        <v>#DIV/0!</v>
      </c>
      <c r="BL83" s="182" t="e">
        <f>$AD$83</f>
        <v>#DIV/0!</v>
      </c>
      <c r="BM83" s="182" t="e">
        <f>$AE$83</f>
        <v>#DIV/0!</v>
      </c>
      <c r="BN83" s="182" t="e">
        <f>$AF$83</f>
        <v>#DIV/0!</v>
      </c>
    </row>
    <row r="84" spans="1:66">
      <c r="A84" s="69" t="s">
        <v>177</v>
      </c>
      <c r="B84" s="71" t="s">
        <v>178</v>
      </c>
      <c r="C84" s="104">
        <v>8.3333333333333321</v>
      </c>
      <c r="D84" s="104">
        <v>5.3571428571428568</v>
      </c>
      <c r="E84" s="104">
        <v>6.9767441860465116</v>
      </c>
      <c r="F84" t="e">
        <f t="shared" si="1"/>
        <v>#DIV/0!</v>
      </c>
      <c r="G84" t="e">
        <f t="shared" si="4"/>
        <v>#DIV/0!</v>
      </c>
      <c r="H84" t="e">
        <f t="shared" si="4"/>
        <v>#DIV/0!</v>
      </c>
      <c r="I84" t="e">
        <f t="shared" si="4"/>
        <v>#DIV/0!</v>
      </c>
      <c r="J84" t="e">
        <f t="shared" si="4"/>
        <v>#DIV/0!</v>
      </c>
      <c r="K84" t="e">
        <f t="shared" si="4"/>
        <v>#DIV/0!</v>
      </c>
      <c r="L84" t="e">
        <f t="shared" si="4"/>
        <v>#DIV/0!</v>
      </c>
      <c r="M84" t="e">
        <f t="shared" si="4"/>
        <v>#DIV/0!</v>
      </c>
      <c r="N84" t="e">
        <f t="shared" si="4"/>
        <v>#DIV/0!</v>
      </c>
      <c r="O84" t="e">
        <f t="shared" si="4"/>
        <v>#DIV/0!</v>
      </c>
      <c r="P84" t="e">
        <f t="shared" si="4"/>
        <v>#DIV/0!</v>
      </c>
      <c r="Q84" t="e">
        <f t="shared" si="4"/>
        <v>#DIV/0!</v>
      </c>
      <c r="R84" t="e">
        <f t="shared" si="4"/>
        <v>#DIV/0!</v>
      </c>
      <c r="S84" t="e">
        <f t="shared" si="4"/>
        <v>#DIV/0!</v>
      </c>
      <c r="T84" t="e">
        <f t="shared" si="4"/>
        <v>#DIV/0!</v>
      </c>
      <c r="U84" t="e">
        <f t="shared" si="4"/>
        <v>#DIV/0!</v>
      </c>
      <c r="V84" t="e">
        <f t="shared" si="4"/>
        <v>#DIV/0!</v>
      </c>
      <c r="W84" t="e">
        <f t="shared" si="4"/>
        <v>#DIV/0!</v>
      </c>
      <c r="X84" t="e">
        <f t="shared" si="4"/>
        <v>#DIV/0!</v>
      </c>
      <c r="Y84" t="e">
        <f t="shared" si="4"/>
        <v>#DIV/0!</v>
      </c>
      <c r="Z84" t="e">
        <f t="shared" si="4"/>
        <v>#DIV/0!</v>
      </c>
      <c r="AA84" t="e">
        <f t="shared" si="4"/>
        <v>#DIV/0!</v>
      </c>
      <c r="AB84" t="e">
        <f t="shared" si="4"/>
        <v>#DIV/0!</v>
      </c>
      <c r="AC84" t="e">
        <f t="shared" si="4"/>
        <v>#DIV/0!</v>
      </c>
      <c r="AD84" t="e">
        <f t="shared" si="4"/>
        <v>#DIV/0!</v>
      </c>
      <c r="AE84" t="e">
        <f t="shared" si="4"/>
        <v>#DIV/0!</v>
      </c>
      <c r="AF84" t="e">
        <f t="shared" si="4"/>
        <v>#DIV/0!</v>
      </c>
      <c r="AG84" s="82"/>
      <c r="AH84" s="244" t="s">
        <v>442</v>
      </c>
      <c r="AI84" s="244" t="s">
        <v>459</v>
      </c>
      <c r="AJ84" s="96"/>
      <c r="AK84" s="182">
        <f>$C$84</f>
        <v>8.3333333333333321</v>
      </c>
      <c r="AL84" s="182">
        <f>$D$84</f>
        <v>5.3571428571428568</v>
      </c>
      <c r="AM84" s="182">
        <f>$E$84</f>
        <v>6.9767441860465116</v>
      </c>
      <c r="AN84" s="182" t="e">
        <f>$F$84</f>
        <v>#DIV/0!</v>
      </c>
      <c r="AO84" s="182" t="e">
        <f>$G$84</f>
        <v>#DIV/0!</v>
      </c>
      <c r="AP84" s="182" t="e">
        <f>$H$84</f>
        <v>#DIV/0!</v>
      </c>
      <c r="AQ84" s="182" t="e">
        <f>$I$84</f>
        <v>#DIV/0!</v>
      </c>
      <c r="AR84" s="182" t="e">
        <f>$J$84</f>
        <v>#DIV/0!</v>
      </c>
      <c r="AS84" s="182" t="e">
        <f>$K$84</f>
        <v>#DIV/0!</v>
      </c>
      <c r="AT84" s="182" t="e">
        <f>$L$84</f>
        <v>#DIV/0!</v>
      </c>
      <c r="AU84" s="182" t="e">
        <f>$M$84</f>
        <v>#DIV/0!</v>
      </c>
      <c r="AV84" s="182" t="e">
        <f>$N$84</f>
        <v>#DIV/0!</v>
      </c>
      <c r="AW84" s="182" t="e">
        <f>$O$84</f>
        <v>#DIV/0!</v>
      </c>
      <c r="AX84" s="182" t="e">
        <f>$P$84</f>
        <v>#DIV/0!</v>
      </c>
      <c r="AY84" s="182" t="e">
        <f>$Q$84</f>
        <v>#DIV/0!</v>
      </c>
      <c r="AZ84" s="182" t="e">
        <f>$R$84</f>
        <v>#DIV/0!</v>
      </c>
      <c r="BA84" s="182" t="e">
        <f>$S$84</f>
        <v>#DIV/0!</v>
      </c>
      <c r="BB84" s="182" t="e">
        <f>$T$84</f>
        <v>#DIV/0!</v>
      </c>
      <c r="BC84" s="182" t="e">
        <f>$U$84</f>
        <v>#DIV/0!</v>
      </c>
      <c r="BD84" s="182" t="e">
        <f>$V$84</f>
        <v>#DIV/0!</v>
      </c>
      <c r="BE84" s="182" t="e">
        <f>$W$84</f>
        <v>#DIV/0!</v>
      </c>
      <c r="BF84" s="182" t="e">
        <f>$X$84</f>
        <v>#DIV/0!</v>
      </c>
      <c r="BG84" s="182" t="e">
        <f>$Y$84</f>
        <v>#DIV/0!</v>
      </c>
      <c r="BH84" s="182" t="e">
        <f>$Z$84</f>
        <v>#DIV/0!</v>
      </c>
      <c r="BI84" s="182" t="e">
        <f>$AA$84</f>
        <v>#DIV/0!</v>
      </c>
      <c r="BJ84" s="182" t="e">
        <f>$AB$84</f>
        <v>#DIV/0!</v>
      </c>
      <c r="BK84" s="182" t="e">
        <f>$AC$84</f>
        <v>#DIV/0!</v>
      </c>
      <c r="BL84" s="182" t="e">
        <f>$AD$84</f>
        <v>#DIV/0!</v>
      </c>
      <c r="BM84" s="182" t="e">
        <f>$AE$84</f>
        <v>#DIV/0!</v>
      </c>
      <c r="BN84" s="182" t="e">
        <f>$AF$84</f>
        <v>#DIV/0!</v>
      </c>
    </row>
    <row r="85" spans="1:66">
      <c r="A85" s="69" t="s">
        <v>180</v>
      </c>
      <c r="B85" s="71" t="s">
        <v>188</v>
      </c>
      <c r="C85" s="100"/>
      <c r="E85" s="105">
        <v>11.224489795918368</v>
      </c>
      <c r="F85" t="e">
        <f t="shared" si="1"/>
        <v>#DIV/0!</v>
      </c>
      <c r="G85" t="e">
        <f t="shared" si="4"/>
        <v>#DIV/0!</v>
      </c>
      <c r="H85" t="e">
        <f t="shared" si="4"/>
        <v>#DIV/0!</v>
      </c>
      <c r="I85" t="e">
        <f t="shared" si="4"/>
        <v>#DIV/0!</v>
      </c>
      <c r="J85" t="e">
        <f t="shared" si="4"/>
        <v>#DIV/0!</v>
      </c>
      <c r="K85" t="e">
        <f t="shared" si="4"/>
        <v>#DIV/0!</v>
      </c>
      <c r="L85" t="e">
        <f t="shared" si="4"/>
        <v>#DIV/0!</v>
      </c>
      <c r="M85" t="e">
        <f t="shared" si="4"/>
        <v>#DIV/0!</v>
      </c>
      <c r="N85" t="e">
        <f t="shared" si="4"/>
        <v>#DIV/0!</v>
      </c>
      <c r="O85" t="e">
        <f t="shared" si="4"/>
        <v>#DIV/0!</v>
      </c>
      <c r="P85" t="e">
        <f t="shared" si="4"/>
        <v>#DIV/0!</v>
      </c>
      <c r="Q85" t="e">
        <f t="shared" si="4"/>
        <v>#DIV/0!</v>
      </c>
      <c r="R85" t="e">
        <f t="shared" si="4"/>
        <v>#DIV/0!</v>
      </c>
      <c r="S85" t="e">
        <f t="shared" si="4"/>
        <v>#DIV/0!</v>
      </c>
      <c r="T85" t="e">
        <f t="shared" si="4"/>
        <v>#DIV/0!</v>
      </c>
      <c r="U85" t="e">
        <f t="shared" si="4"/>
        <v>#DIV/0!</v>
      </c>
      <c r="V85" t="e">
        <f t="shared" si="4"/>
        <v>#DIV/0!</v>
      </c>
      <c r="W85" t="e">
        <f t="shared" si="4"/>
        <v>#DIV/0!</v>
      </c>
      <c r="X85" t="e">
        <f t="shared" si="4"/>
        <v>#DIV/0!</v>
      </c>
      <c r="Y85" t="e">
        <f t="shared" si="4"/>
        <v>#DIV/0!</v>
      </c>
      <c r="Z85" t="e">
        <f t="shared" si="4"/>
        <v>#DIV/0!</v>
      </c>
      <c r="AA85" t="e">
        <f t="shared" si="4"/>
        <v>#DIV/0!</v>
      </c>
      <c r="AB85" t="e">
        <f t="shared" si="4"/>
        <v>#DIV/0!</v>
      </c>
      <c r="AC85" t="e">
        <f t="shared" si="4"/>
        <v>#DIV/0!</v>
      </c>
      <c r="AD85" t="e">
        <f t="shared" si="4"/>
        <v>#DIV/0!</v>
      </c>
      <c r="AE85" t="e">
        <f t="shared" si="4"/>
        <v>#DIV/0!</v>
      </c>
      <c r="AF85" t="e">
        <f t="shared" si="4"/>
        <v>#DIV/0!</v>
      </c>
      <c r="AG85" s="82"/>
      <c r="AH85" s="244" t="s">
        <v>443</v>
      </c>
      <c r="AI85" s="244" t="s">
        <v>460</v>
      </c>
      <c r="AJ85" s="96"/>
      <c r="AK85" s="182">
        <f>$C$85</f>
        <v>0</v>
      </c>
      <c r="AL85" s="182">
        <f>$D$85</f>
        <v>0</v>
      </c>
      <c r="AM85" s="182">
        <f>$E$85</f>
        <v>11.224489795918368</v>
      </c>
      <c r="AN85" s="182" t="e">
        <f>$F$85</f>
        <v>#DIV/0!</v>
      </c>
      <c r="AO85" s="182" t="e">
        <f>$G$85</f>
        <v>#DIV/0!</v>
      </c>
      <c r="AP85" s="182" t="e">
        <f>$H$85</f>
        <v>#DIV/0!</v>
      </c>
      <c r="AQ85" s="182" t="e">
        <f>$I$85</f>
        <v>#DIV/0!</v>
      </c>
      <c r="AR85" s="182" t="e">
        <f>$J$85</f>
        <v>#DIV/0!</v>
      </c>
      <c r="AS85" s="182" t="e">
        <f>$K$85</f>
        <v>#DIV/0!</v>
      </c>
      <c r="AT85" s="182" t="e">
        <f>$L$85</f>
        <v>#DIV/0!</v>
      </c>
      <c r="AU85" s="182" t="e">
        <f>$M$85</f>
        <v>#DIV/0!</v>
      </c>
      <c r="AV85" s="182" t="e">
        <f>$N$85</f>
        <v>#DIV/0!</v>
      </c>
      <c r="AW85" s="182" t="e">
        <f>$O$85</f>
        <v>#DIV/0!</v>
      </c>
      <c r="AX85" s="182" t="e">
        <f>$P$85</f>
        <v>#DIV/0!</v>
      </c>
      <c r="AY85" s="182" t="e">
        <f>$Q$85</f>
        <v>#DIV/0!</v>
      </c>
      <c r="AZ85" s="182" t="e">
        <f>$R$85</f>
        <v>#DIV/0!</v>
      </c>
      <c r="BA85" s="182" t="e">
        <f>$S$85</f>
        <v>#DIV/0!</v>
      </c>
      <c r="BB85" s="182" t="e">
        <f>$T$85</f>
        <v>#DIV/0!</v>
      </c>
      <c r="BC85" s="182" t="e">
        <f>$U$85</f>
        <v>#DIV/0!</v>
      </c>
      <c r="BD85" s="182" t="e">
        <f>$V$85</f>
        <v>#DIV/0!</v>
      </c>
      <c r="BE85" s="182" t="e">
        <f>$W$85</f>
        <v>#DIV/0!</v>
      </c>
      <c r="BF85" s="182" t="e">
        <f>$X$85</f>
        <v>#DIV/0!</v>
      </c>
      <c r="BG85" s="182" t="e">
        <f>$Y$85</f>
        <v>#DIV/0!</v>
      </c>
      <c r="BH85" s="182" t="e">
        <f>$Z$85</f>
        <v>#DIV/0!</v>
      </c>
      <c r="BI85" s="182" t="e">
        <f>$AA$85</f>
        <v>#DIV/0!</v>
      </c>
      <c r="BJ85" s="182" t="e">
        <f>$AB$85</f>
        <v>#DIV/0!</v>
      </c>
      <c r="BK85" s="182" t="e">
        <f>$AC$85</f>
        <v>#DIV/0!</v>
      </c>
      <c r="BL85" s="182" t="e">
        <f>$AD$85</f>
        <v>#DIV/0!</v>
      </c>
      <c r="BM85" s="182" t="e">
        <f>$AE$85</f>
        <v>#DIV/0!</v>
      </c>
      <c r="BN85" s="182" t="e">
        <f>$AF$85</f>
        <v>#DIV/0!</v>
      </c>
    </row>
    <row r="86" spans="1:66">
      <c r="A86" s="69" t="s">
        <v>151</v>
      </c>
      <c r="B86" t="s">
        <v>153</v>
      </c>
      <c r="C86" s="104">
        <v>24</v>
      </c>
      <c r="D86" s="104">
        <v>8.8495575221238933</v>
      </c>
      <c r="E86" s="104">
        <v>17.358490566037734</v>
      </c>
      <c r="F86" t="e">
        <f t="shared" si="1"/>
        <v>#DIV/0!</v>
      </c>
      <c r="G86" t="e">
        <f t="shared" si="4"/>
        <v>#DIV/0!</v>
      </c>
      <c r="H86" t="e">
        <f t="shared" si="4"/>
        <v>#DIV/0!</v>
      </c>
      <c r="I86" t="e">
        <f t="shared" si="4"/>
        <v>#DIV/0!</v>
      </c>
      <c r="J86" t="e">
        <f t="shared" si="4"/>
        <v>#DIV/0!</v>
      </c>
      <c r="K86" t="e">
        <f t="shared" si="4"/>
        <v>#DIV/0!</v>
      </c>
      <c r="L86" t="e">
        <f t="shared" si="4"/>
        <v>#DIV/0!</v>
      </c>
      <c r="M86" t="e">
        <f t="shared" si="4"/>
        <v>#DIV/0!</v>
      </c>
      <c r="N86" t="e">
        <f t="shared" si="4"/>
        <v>#DIV/0!</v>
      </c>
      <c r="O86" t="e">
        <f t="shared" si="4"/>
        <v>#DIV/0!</v>
      </c>
      <c r="P86" t="e">
        <f t="shared" si="4"/>
        <v>#DIV/0!</v>
      </c>
      <c r="Q86" t="e">
        <f t="shared" si="4"/>
        <v>#DIV/0!</v>
      </c>
      <c r="R86" t="e">
        <f t="shared" si="4"/>
        <v>#DIV/0!</v>
      </c>
      <c r="S86" t="e">
        <f t="shared" si="4"/>
        <v>#DIV/0!</v>
      </c>
      <c r="T86" t="e">
        <f t="shared" si="4"/>
        <v>#DIV/0!</v>
      </c>
      <c r="U86" t="e">
        <f t="shared" si="4"/>
        <v>#DIV/0!</v>
      </c>
      <c r="V86" t="e">
        <f t="shared" si="4"/>
        <v>#DIV/0!</v>
      </c>
      <c r="W86" t="e">
        <f t="shared" si="4"/>
        <v>#DIV/0!</v>
      </c>
      <c r="X86" t="e">
        <f t="shared" si="4"/>
        <v>#DIV/0!</v>
      </c>
      <c r="Y86" t="e">
        <f t="shared" si="4"/>
        <v>#DIV/0!</v>
      </c>
      <c r="Z86" t="e">
        <f t="shared" si="4"/>
        <v>#DIV/0!</v>
      </c>
      <c r="AA86" t="e">
        <f t="shared" si="4"/>
        <v>#DIV/0!</v>
      </c>
      <c r="AB86" t="e">
        <f t="shared" ref="G86:AF88" si="5">1/0</f>
        <v>#DIV/0!</v>
      </c>
      <c r="AC86" t="e">
        <f t="shared" si="5"/>
        <v>#DIV/0!</v>
      </c>
      <c r="AD86" t="e">
        <f t="shared" si="5"/>
        <v>#DIV/0!</v>
      </c>
      <c r="AE86" t="e">
        <f t="shared" si="5"/>
        <v>#DIV/0!</v>
      </c>
      <c r="AF86" t="e">
        <f t="shared" si="5"/>
        <v>#DIV/0!</v>
      </c>
      <c r="AG86" s="82"/>
      <c r="AH86" s="244" t="s">
        <v>444</v>
      </c>
      <c r="AI86" s="245" t="s">
        <v>461</v>
      </c>
      <c r="AJ86" s="96"/>
      <c r="AK86" s="182">
        <f>$C$86</f>
        <v>24</v>
      </c>
      <c r="AL86" s="182">
        <f>$D$86</f>
        <v>8.8495575221238933</v>
      </c>
      <c r="AM86" s="182">
        <f>$E$86</f>
        <v>17.358490566037734</v>
      </c>
      <c r="AN86" s="182" t="e">
        <f>$F$86</f>
        <v>#DIV/0!</v>
      </c>
      <c r="AO86" s="182" t="e">
        <f>$G$86</f>
        <v>#DIV/0!</v>
      </c>
      <c r="AP86" s="182" t="e">
        <f>$H$86</f>
        <v>#DIV/0!</v>
      </c>
      <c r="AQ86" s="182" t="e">
        <f>$I$86</f>
        <v>#DIV/0!</v>
      </c>
      <c r="AR86" s="182" t="e">
        <f>$J$86</f>
        <v>#DIV/0!</v>
      </c>
      <c r="AS86" s="182" t="e">
        <f>$K$86</f>
        <v>#DIV/0!</v>
      </c>
      <c r="AT86" s="182" t="e">
        <f>$L$86</f>
        <v>#DIV/0!</v>
      </c>
      <c r="AU86" s="182" t="e">
        <f>$M$86</f>
        <v>#DIV/0!</v>
      </c>
      <c r="AV86" s="182" t="e">
        <f>$N$86</f>
        <v>#DIV/0!</v>
      </c>
      <c r="AW86" s="182" t="e">
        <f>$O$86</f>
        <v>#DIV/0!</v>
      </c>
      <c r="AX86" s="182" t="e">
        <f>$P$86</f>
        <v>#DIV/0!</v>
      </c>
      <c r="AY86" s="182" t="e">
        <f>$Q$86</f>
        <v>#DIV/0!</v>
      </c>
      <c r="AZ86" s="182" t="e">
        <f>$R$86</f>
        <v>#DIV/0!</v>
      </c>
      <c r="BA86" s="182" t="e">
        <f>$S$86</f>
        <v>#DIV/0!</v>
      </c>
      <c r="BB86" s="182" t="e">
        <f>$T$86</f>
        <v>#DIV/0!</v>
      </c>
      <c r="BC86" s="182" t="e">
        <f>$U$86</f>
        <v>#DIV/0!</v>
      </c>
      <c r="BD86" s="182" t="e">
        <f>$V$86</f>
        <v>#DIV/0!</v>
      </c>
      <c r="BE86" s="182" t="e">
        <f>$W$86</f>
        <v>#DIV/0!</v>
      </c>
      <c r="BF86" s="182" t="e">
        <f>$X$86</f>
        <v>#DIV/0!</v>
      </c>
      <c r="BG86" s="182" t="e">
        <f>$Y$86</f>
        <v>#DIV/0!</v>
      </c>
      <c r="BH86" s="182" t="e">
        <f>$Z$86</f>
        <v>#DIV/0!</v>
      </c>
      <c r="BI86" s="182" t="e">
        <f>$AA$86</f>
        <v>#DIV/0!</v>
      </c>
      <c r="BJ86" s="182" t="e">
        <f>$AB$86</f>
        <v>#DIV/0!</v>
      </c>
      <c r="BK86" s="182" t="e">
        <f>$AC$86</f>
        <v>#DIV/0!</v>
      </c>
      <c r="BL86" s="182" t="e">
        <f>$AD$86</f>
        <v>#DIV/0!</v>
      </c>
      <c r="BM86" s="182" t="e">
        <f>$AE$86</f>
        <v>#DIV/0!</v>
      </c>
      <c r="BN86" s="182" t="e">
        <f>$AF$86</f>
        <v>#DIV/0!</v>
      </c>
    </row>
    <row r="87" spans="1:66">
      <c r="A87" s="69" t="s">
        <v>144</v>
      </c>
      <c r="B87" t="s">
        <v>153</v>
      </c>
      <c r="C87" s="100"/>
      <c r="E87" s="104">
        <v>25.97402597402597</v>
      </c>
      <c r="F87" t="e">
        <f t="shared" si="1"/>
        <v>#DIV/0!</v>
      </c>
      <c r="G87" t="e">
        <f t="shared" si="5"/>
        <v>#DIV/0!</v>
      </c>
      <c r="H87" t="e">
        <f t="shared" si="5"/>
        <v>#DIV/0!</v>
      </c>
      <c r="I87" t="e">
        <f t="shared" si="5"/>
        <v>#DIV/0!</v>
      </c>
      <c r="J87" t="e">
        <f t="shared" si="5"/>
        <v>#DIV/0!</v>
      </c>
      <c r="K87" t="e">
        <f t="shared" si="5"/>
        <v>#DIV/0!</v>
      </c>
      <c r="L87" t="e">
        <f t="shared" si="5"/>
        <v>#DIV/0!</v>
      </c>
      <c r="M87" t="e">
        <f t="shared" si="5"/>
        <v>#DIV/0!</v>
      </c>
      <c r="N87" t="e">
        <f t="shared" si="5"/>
        <v>#DIV/0!</v>
      </c>
      <c r="O87" t="e">
        <f t="shared" si="5"/>
        <v>#DIV/0!</v>
      </c>
      <c r="P87" t="e">
        <f t="shared" si="5"/>
        <v>#DIV/0!</v>
      </c>
      <c r="Q87" t="e">
        <f t="shared" si="5"/>
        <v>#DIV/0!</v>
      </c>
      <c r="R87" t="e">
        <f t="shared" si="5"/>
        <v>#DIV/0!</v>
      </c>
      <c r="S87" t="e">
        <f t="shared" si="5"/>
        <v>#DIV/0!</v>
      </c>
      <c r="T87" t="e">
        <f t="shared" si="5"/>
        <v>#DIV/0!</v>
      </c>
      <c r="U87" t="e">
        <f t="shared" si="5"/>
        <v>#DIV/0!</v>
      </c>
      <c r="V87" t="e">
        <f t="shared" si="5"/>
        <v>#DIV/0!</v>
      </c>
      <c r="W87" t="e">
        <f t="shared" si="5"/>
        <v>#DIV/0!</v>
      </c>
      <c r="X87" t="e">
        <f t="shared" si="5"/>
        <v>#DIV/0!</v>
      </c>
      <c r="Y87" t="e">
        <f t="shared" si="5"/>
        <v>#DIV/0!</v>
      </c>
      <c r="Z87" t="e">
        <f t="shared" si="5"/>
        <v>#DIV/0!</v>
      </c>
      <c r="AA87" t="e">
        <f t="shared" si="5"/>
        <v>#DIV/0!</v>
      </c>
      <c r="AB87" t="e">
        <f t="shared" si="5"/>
        <v>#DIV/0!</v>
      </c>
      <c r="AC87" t="e">
        <f t="shared" si="5"/>
        <v>#DIV/0!</v>
      </c>
      <c r="AD87" t="e">
        <f t="shared" si="5"/>
        <v>#DIV/0!</v>
      </c>
      <c r="AE87" t="e">
        <f t="shared" si="5"/>
        <v>#DIV/0!</v>
      </c>
      <c r="AF87" t="e">
        <f t="shared" si="5"/>
        <v>#DIV/0!</v>
      </c>
      <c r="AG87" s="82"/>
      <c r="AH87" s="244" t="s">
        <v>445</v>
      </c>
      <c r="AI87" s="244" t="s">
        <v>462</v>
      </c>
      <c r="AJ87" s="96"/>
      <c r="AK87" s="182">
        <f>$C$87</f>
        <v>0</v>
      </c>
      <c r="AL87" s="182">
        <f>$D$87</f>
        <v>0</v>
      </c>
      <c r="AM87" s="182">
        <f>$E$87</f>
        <v>25.97402597402597</v>
      </c>
      <c r="AN87" s="182" t="e">
        <f>$F$87</f>
        <v>#DIV/0!</v>
      </c>
      <c r="AO87" s="182" t="e">
        <f>$G$87</f>
        <v>#DIV/0!</v>
      </c>
      <c r="AP87" s="182" t="e">
        <f>$H$87</f>
        <v>#DIV/0!</v>
      </c>
      <c r="AQ87" s="182" t="e">
        <f>$I$87</f>
        <v>#DIV/0!</v>
      </c>
      <c r="AR87" s="182" t="e">
        <f>$J$87</f>
        <v>#DIV/0!</v>
      </c>
      <c r="AS87" s="182" t="e">
        <f>$K$87</f>
        <v>#DIV/0!</v>
      </c>
      <c r="AT87" s="182" t="e">
        <f>$L$87</f>
        <v>#DIV/0!</v>
      </c>
      <c r="AU87" s="182" t="e">
        <f>$M$87</f>
        <v>#DIV/0!</v>
      </c>
      <c r="AV87" s="182" t="e">
        <f>$N$87</f>
        <v>#DIV/0!</v>
      </c>
      <c r="AW87" s="182" t="e">
        <f>$O$87</f>
        <v>#DIV/0!</v>
      </c>
      <c r="AX87" s="182" t="e">
        <f>$P$87</f>
        <v>#DIV/0!</v>
      </c>
      <c r="AY87" s="182" t="e">
        <f>$Q$87</f>
        <v>#DIV/0!</v>
      </c>
      <c r="AZ87" s="182" t="e">
        <f>$R$87</f>
        <v>#DIV/0!</v>
      </c>
      <c r="BA87" s="182" t="e">
        <f>$S$87</f>
        <v>#DIV/0!</v>
      </c>
      <c r="BB87" s="182" t="e">
        <f>$T$87</f>
        <v>#DIV/0!</v>
      </c>
      <c r="BC87" s="182" t="e">
        <f>$U$87</f>
        <v>#DIV/0!</v>
      </c>
      <c r="BD87" s="182" t="e">
        <f>$V$87</f>
        <v>#DIV/0!</v>
      </c>
      <c r="BE87" s="182" t="e">
        <f>$W$87</f>
        <v>#DIV/0!</v>
      </c>
      <c r="BF87" s="182" t="e">
        <f>$X$87</f>
        <v>#DIV/0!</v>
      </c>
      <c r="BG87" s="182" t="e">
        <f>$Y$87</f>
        <v>#DIV/0!</v>
      </c>
      <c r="BH87" s="182" t="e">
        <f>$Z$87</f>
        <v>#DIV/0!</v>
      </c>
      <c r="BI87" s="182" t="e">
        <f>$AA$87</f>
        <v>#DIV/0!</v>
      </c>
      <c r="BJ87" s="182" t="e">
        <f>$AB$87</f>
        <v>#DIV/0!</v>
      </c>
      <c r="BK87" s="182" t="e">
        <f>$AC$87</f>
        <v>#DIV/0!</v>
      </c>
      <c r="BL87" s="182" t="e">
        <f>$AD$87</f>
        <v>#DIV/0!</v>
      </c>
      <c r="BM87" s="182" t="e">
        <f>$AE$87</f>
        <v>#DIV/0!</v>
      </c>
      <c r="BN87" s="182" t="e">
        <f>$AF$87</f>
        <v>#DIV/0!</v>
      </c>
    </row>
    <row r="88" spans="1:66">
      <c r="A88" s="68" t="s">
        <v>192</v>
      </c>
      <c r="B88" s="71" t="s">
        <v>158</v>
      </c>
      <c r="C88" s="100"/>
      <c r="E88" s="104">
        <v>14.606741573033707</v>
      </c>
      <c r="F88" t="e">
        <f t="shared" si="1"/>
        <v>#DIV/0!</v>
      </c>
      <c r="G88" t="e">
        <f t="shared" si="5"/>
        <v>#DIV/0!</v>
      </c>
      <c r="H88" t="e">
        <f t="shared" si="5"/>
        <v>#DIV/0!</v>
      </c>
      <c r="I88" t="e">
        <f t="shared" si="5"/>
        <v>#DIV/0!</v>
      </c>
      <c r="J88" t="e">
        <f t="shared" si="5"/>
        <v>#DIV/0!</v>
      </c>
      <c r="K88" t="e">
        <f t="shared" si="5"/>
        <v>#DIV/0!</v>
      </c>
      <c r="L88" t="e">
        <f t="shared" si="5"/>
        <v>#DIV/0!</v>
      </c>
      <c r="M88" t="e">
        <f t="shared" si="5"/>
        <v>#DIV/0!</v>
      </c>
      <c r="N88" t="e">
        <f t="shared" si="5"/>
        <v>#DIV/0!</v>
      </c>
      <c r="O88" t="e">
        <f t="shared" si="5"/>
        <v>#DIV/0!</v>
      </c>
      <c r="P88" t="e">
        <f t="shared" si="5"/>
        <v>#DIV/0!</v>
      </c>
      <c r="Q88" t="e">
        <f t="shared" si="5"/>
        <v>#DIV/0!</v>
      </c>
      <c r="R88" t="e">
        <f t="shared" si="5"/>
        <v>#DIV/0!</v>
      </c>
      <c r="S88" t="e">
        <f t="shared" si="5"/>
        <v>#DIV/0!</v>
      </c>
      <c r="T88" t="e">
        <f t="shared" si="5"/>
        <v>#DIV/0!</v>
      </c>
      <c r="U88" t="e">
        <f t="shared" si="5"/>
        <v>#DIV/0!</v>
      </c>
      <c r="V88" t="e">
        <f t="shared" si="5"/>
        <v>#DIV/0!</v>
      </c>
      <c r="W88" t="e">
        <f t="shared" si="5"/>
        <v>#DIV/0!</v>
      </c>
      <c r="X88" t="e">
        <f t="shared" si="5"/>
        <v>#DIV/0!</v>
      </c>
      <c r="Y88" t="e">
        <f t="shared" si="5"/>
        <v>#DIV/0!</v>
      </c>
      <c r="Z88" t="e">
        <f t="shared" si="5"/>
        <v>#DIV/0!</v>
      </c>
      <c r="AA88" t="e">
        <f t="shared" si="5"/>
        <v>#DIV/0!</v>
      </c>
      <c r="AB88" t="e">
        <f t="shared" si="5"/>
        <v>#DIV/0!</v>
      </c>
      <c r="AC88" t="e">
        <f t="shared" si="5"/>
        <v>#DIV/0!</v>
      </c>
      <c r="AD88" t="e">
        <f t="shared" si="5"/>
        <v>#DIV/0!</v>
      </c>
      <c r="AE88" t="e">
        <f t="shared" si="5"/>
        <v>#DIV/0!</v>
      </c>
      <c r="AF88" t="e">
        <f t="shared" si="5"/>
        <v>#DIV/0!</v>
      </c>
      <c r="AG88" s="82"/>
      <c r="AH88" s="246" t="s">
        <v>446</v>
      </c>
      <c r="AI88" s="244" t="s">
        <v>463</v>
      </c>
      <c r="AJ88" s="96"/>
      <c r="AK88" s="182">
        <f>$C$88</f>
        <v>0</v>
      </c>
      <c r="AL88" s="182">
        <f>$D$88</f>
        <v>0</v>
      </c>
      <c r="AM88" s="182">
        <f>$E$88</f>
        <v>14.606741573033707</v>
      </c>
      <c r="AN88" s="182" t="e">
        <f>$F$88</f>
        <v>#DIV/0!</v>
      </c>
      <c r="AO88" s="182" t="e">
        <f>$G$88</f>
        <v>#DIV/0!</v>
      </c>
      <c r="AP88" s="182" t="e">
        <f>$H$88</f>
        <v>#DIV/0!</v>
      </c>
      <c r="AQ88" s="182" t="e">
        <f>$I$88</f>
        <v>#DIV/0!</v>
      </c>
      <c r="AR88" s="182" t="e">
        <f>$J$88</f>
        <v>#DIV/0!</v>
      </c>
      <c r="AS88" s="182" t="e">
        <f>$K$88</f>
        <v>#DIV/0!</v>
      </c>
      <c r="AT88" s="182" t="e">
        <f>$L$88</f>
        <v>#DIV/0!</v>
      </c>
      <c r="AU88" s="182" t="e">
        <f>$M$88</f>
        <v>#DIV/0!</v>
      </c>
      <c r="AV88" s="182" t="e">
        <f>$N$88</f>
        <v>#DIV/0!</v>
      </c>
      <c r="AW88" s="182" t="e">
        <f>$O$88</f>
        <v>#DIV/0!</v>
      </c>
      <c r="AX88" s="182" t="e">
        <f>$P$88</f>
        <v>#DIV/0!</v>
      </c>
      <c r="AY88" s="182" t="e">
        <f>$Q$88</f>
        <v>#DIV/0!</v>
      </c>
      <c r="AZ88" s="182" t="e">
        <f>$R$88</f>
        <v>#DIV/0!</v>
      </c>
      <c r="BA88" s="182" t="e">
        <f>$S$88</f>
        <v>#DIV/0!</v>
      </c>
      <c r="BB88" s="182" t="e">
        <f>$T$88</f>
        <v>#DIV/0!</v>
      </c>
      <c r="BC88" s="182" t="e">
        <f>$U$88</f>
        <v>#DIV/0!</v>
      </c>
      <c r="BD88" s="182" t="e">
        <f>$V$88</f>
        <v>#DIV/0!</v>
      </c>
      <c r="BE88" s="182" t="e">
        <f>$W$88</f>
        <v>#DIV/0!</v>
      </c>
      <c r="BF88" s="182" t="e">
        <f>$X$88</f>
        <v>#DIV/0!</v>
      </c>
      <c r="BG88" s="182" t="e">
        <f>$Y$88</f>
        <v>#DIV/0!</v>
      </c>
      <c r="BH88" s="182" t="e">
        <f>$Z$88</f>
        <v>#DIV/0!</v>
      </c>
      <c r="BI88" s="182" t="e">
        <f>$AA$88</f>
        <v>#DIV/0!</v>
      </c>
      <c r="BJ88" s="182" t="e">
        <f>$AB$88</f>
        <v>#DIV/0!</v>
      </c>
      <c r="BK88" s="182" t="e">
        <f>$AC$88</f>
        <v>#DIV/0!</v>
      </c>
      <c r="BL88" s="182" t="e">
        <f>$AD$88</f>
        <v>#DIV/0!</v>
      </c>
      <c r="BM88" s="182" t="e">
        <f>$AE$88</f>
        <v>#DIV/0!</v>
      </c>
      <c r="BN88" s="182" t="e">
        <f>$AF$88</f>
        <v>#DIV/0!</v>
      </c>
    </row>
    <row r="89" spans="1:66">
      <c r="A89" s="68"/>
      <c r="B89" s="71"/>
      <c r="C89" s="100"/>
      <c r="E89" s="104"/>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247" t="s">
        <v>447</v>
      </c>
      <c r="AI89" s="244" t="s">
        <v>464</v>
      </c>
      <c r="AJ89" s="96"/>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row>
    <row r="90" spans="1:66">
      <c r="A90" s="69" t="s">
        <v>268</v>
      </c>
      <c r="C90" s="104">
        <v>21.147715196599361</v>
      </c>
      <c r="D90" s="104">
        <v>9.8203592814371259</v>
      </c>
      <c r="E90" s="104">
        <v>16.00441501103753</v>
      </c>
      <c r="F90" t="e">
        <f t="shared" si="1"/>
        <v>#DIV/0!</v>
      </c>
      <c r="G90" t="e">
        <f t="shared" si="1"/>
        <v>#DIV/0!</v>
      </c>
      <c r="H90" t="e">
        <f t="shared" si="1"/>
        <v>#DIV/0!</v>
      </c>
      <c r="I90" t="e">
        <f t="shared" si="1"/>
        <v>#DIV/0!</v>
      </c>
      <c r="J90" t="e">
        <f t="shared" si="1"/>
        <v>#DIV/0!</v>
      </c>
      <c r="K90" t="e">
        <f t="shared" si="1"/>
        <v>#DIV/0!</v>
      </c>
      <c r="L90" t="e">
        <f t="shared" si="1"/>
        <v>#DIV/0!</v>
      </c>
      <c r="M90" t="e">
        <f t="shared" si="1"/>
        <v>#DIV/0!</v>
      </c>
      <c r="N90" t="e">
        <f t="shared" si="1"/>
        <v>#DIV/0!</v>
      </c>
      <c r="O90" t="e">
        <f t="shared" si="1"/>
        <v>#DIV/0!</v>
      </c>
      <c r="P90" t="e">
        <f t="shared" si="1"/>
        <v>#DIV/0!</v>
      </c>
      <c r="Q90" t="e">
        <f t="shared" si="1"/>
        <v>#DIV/0!</v>
      </c>
      <c r="R90" t="e">
        <f t="shared" si="1"/>
        <v>#DIV/0!</v>
      </c>
      <c r="S90" t="e">
        <f t="shared" si="1"/>
        <v>#DIV/0!</v>
      </c>
      <c r="T90" t="e">
        <f t="shared" si="1"/>
        <v>#DIV/0!</v>
      </c>
      <c r="U90" t="e">
        <f t="shared" si="1"/>
        <v>#DIV/0!</v>
      </c>
      <c r="V90" t="e">
        <f t="shared" ref="G90:AF94" si="6">1/0</f>
        <v>#DIV/0!</v>
      </c>
      <c r="W90" t="e">
        <f t="shared" si="6"/>
        <v>#DIV/0!</v>
      </c>
      <c r="X90" t="e">
        <f t="shared" si="6"/>
        <v>#DIV/0!</v>
      </c>
      <c r="Y90" t="e">
        <f t="shared" si="6"/>
        <v>#DIV/0!</v>
      </c>
      <c r="Z90" t="e">
        <f t="shared" si="6"/>
        <v>#DIV/0!</v>
      </c>
      <c r="AA90" t="e">
        <f t="shared" si="6"/>
        <v>#DIV/0!</v>
      </c>
      <c r="AB90" t="e">
        <f t="shared" si="6"/>
        <v>#DIV/0!</v>
      </c>
      <c r="AC90" t="e">
        <f t="shared" si="6"/>
        <v>#DIV/0!</v>
      </c>
      <c r="AD90" t="e">
        <f t="shared" si="6"/>
        <v>#DIV/0!</v>
      </c>
      <c r="AE90" t="e">
        <f t="shared" si="6"/>
        <v>#DIV/0!</v>
      </c>
      <c r="AF90" t="e">
        <f t="shared" si="6"/>
        <v>#DIV/0!</v>
      </c>
      <c r="AG90" s="82"/>
      <c r="AH90" s="284"/>
      <c r="AI90" s="244" t="s">
        <v>465</v>
      </c>
      <c r="AJ90" s="96"/>
      <c r="AK90" s="182">
        <f>$C$90</f>
        <v>21.147715196599361</v>
      </c>
      <c r="AL90" s="182">
        <f>$D$90</f>
        <v>9.8203592814371259</v>
      </c>
      <c r="AM90" s="182">
        <f>$E$90</f>
        <v>16.00441501103753</v>
      </c>
      <c r="AN90" s="182" t="e">
        <f>$F$90</f>
        <v>#DIV/0!</v>
      </c>
      <c r="AO90" s="182" t="e">
        <f>$G$90</f>
        <v>#DIV/0!</v>
      </c>
      <c r="AP90" s="182" t="e">
        <f>$H$90</f>
        <v>#DIV/0!</v>
      </c>
      <c r="AQ90" s="182" t="e">
        <f>$I$90</f>
        <v>#DIV/0!</v>
      </c>
      <c r="AR90" s="182" t="e">
        <f>$J$90</f>
        <v>#DIV/0!</v>
      </c>
      <c r="AS90" s="182" t="e">
        <f>$K$90</f>
        <v>#DIV/0!</v>
      </c>
      <c r="AT90" s="182" t="e">
        <f>$L$90</f>
        <v>#DIV/0!</v>
      </c>
      <c r="AU90" s="182" t="e">
        <f>$M$90</f>
        <v>#DIV/0!</v>
      </c>
      <c r="AV90" s="182" t="e">
        <f>$N$90</f>
        <v>#DIV/0!</v>
      </c>
      <c r="AW90" s="182" t="e">
        <f>$O$90</f>
        <v>#DIV/0!</v>
      </c>
      <c r="AX90" s="182" t="e">
        <f>$P$90</f>
        <v>#DIV/0!</v>
      </c>
      <c r="AY90" s="182" t="e">
        <f>$Q$90</f>
        <v>#DIV/0!</v>
      </c>
      <c r="AZ90" s="182" t="e">
        <f>$R$90</f>
        <v>#DIV/0!</v>
      </c>
      <c r="BA90" s="182" t="e">
        <f>$S$90</f>
        <v>#DIV/0!</v>
      </c>
      <c r="BB90" s="182" t="e">
        <f>$T$90</f>
        <v>#DIV/0!</v>
      </c>
      <c r="BC90" s="182" t="e">
        <f>$U$90</f>
        <v>#DIV/0!</v>
      </c>
      <c r="BD90" s="182" t="e">
        <f>$V$90</f>
        <v>#DIV/0!</v>
      </c>
      <c r="BE90" s="182" t="e">
        <f>$W$90</f>
        <v>#DIV/0!</v>
      </c>
      <c r="BF90" s="182" t="e">
        <f>$X$90</f>
        <v>#DIV/0!</v>
      </c>
      <c r="BG90" s="182" t="e">
        <f>$Y$90</f>
        <v>#DIV/0!</v>
      </c>
      <c r="BH90" s="182" t="e">
        <f>$Z$90</f>
        <v>#DIV/0!</v>
      </c>
      <c r="BI90" s="182" t="e">
        <f>$AA$90</f>
        <v>#DIV/0!</v>
      </c>
      <c r="BJ90" s="182" t="e">
        <f>$AB$90</f>
        <v>#DIV/0!</v>
      </c>
      <c r="BK90" s="182" t="e">
        <f>$AC$90</f>
        <v>#DIV/0!</v>
      </c>
      <c r="BL90" s="182" t="e">
        <f>$AD$90</f>
        <v>#DIV/0!</v>
      </c>
      <c r="BM90" s="182" t="e">
        <f>$AE$90</f>
        <v>#DIV/0!</v>
      </c>
      <c r="BN90" s="182" t="e">
        <f>$AF$90</f>
        <v>#DIV/0!</v>
      </c>
    </row>
    <row r="91" spans="1:66">
      <c r="A91" s="69" t="s">
        <v>269</v>
      </c>
      <c r="C91" s="104">
        <v>20.618955512572533</v>
      </c>
      <c r="D91" s="104">
        <v>15.378517637732859</v>
      </c>
      <c r="E91" s="104">
        <v>18.338768463456741</v>
      </c>
      <c r="F91" t="e">
        <f t="shared" si="1"/>
        <v>#DIV/0!</v>
      </c>
      <c r="G91" t="e">
        <f t="shared" si="6"/>
        <v>#DIV/0!</v>
      </c>
      <c r="H91" t="e">
        <f t="shared" si="6"/>
        <v>#DIV/0!</v>
      </c>
      <c r="I91" t="e">
        <f t="shared" si="6"/>
        <v>#DIV/0!</v>
      </c>
      <c r="J91" t="e">
        <f t="shared" si="6"/>
        <v>#DIV/0!</v>
      </c>
      <c r="K91" t="e">
        <f t="shared" si="6"/>
        <v>#DIV/0!</v>
      </c>
      <c r="L91" t="e">
        <f t="shared" si="6"/>
        <v>#DIV/0!</v>
      </c>
      <c r="M91" t="e">
        <f t="shared" si="6"/>
        <v>#DIV/0!</v>
      </c>
      <c r="N91" t="e">
        <f t="shared" si="6"/>
        <v>#DIV/0!</v>
      </c>
      <c r="O91" t="e">
        <f t="shared" si="6"/>
        <v>#DIV/0!</v>
      </c>
      <c r="P91" t="e">
        <f t="shared" si="6"/>
        <v>#DIV/0!</v>
      </c>
      <c r="Q91" t="e">
        <f t="shared" si="6"/>
        <v>#DIV/0!</v>
      </c>
      <c r="R91" t="e">
        <f t="shared" si="6"/>
        <v>#DIV/0!</v>
      </c>
      <c r="S91" t="e">
        <f t="shared" si="6"/>
        <v>#DIV/0!</v>
      </c>
      <c r="T91" t="e">
        <f t="shared" si="6"/>
        <v>#DIV/0!</v>
      </c>
      <c r="U91" t="e">
        <f t="shared" si="6"/>
        <v>#DIV/0!</v>
      </c>
      <c r="V91" t="e">
        <f t="shared" si="6"/>
        <v>#DIV/0!</v>
      </c>
      <c r="W91" t="e">
        <f t="shared" si="6"/>
        <v>#DIV/0!</v>
      </c>
      <c r="X91" t="e">
        <f t="shared" si="6"/>
        <v>#DIV/0!</v>
      </c>
      <c r="Y91" t="e">
        <f t="shared" si="6"/>
        <v>#DIV/0!</v>
      </c>
      <c r="Z91" t="e">
        <f t="shared" si="6"/>
        <v>#DIV/0!</v>
      </c>
      <c r="AA91" t="e">
        <f t="shared" si="6"/>
        <v>#DIV/0!</v>
      </c>
      <c r="AB91" t="e">
        <f t="shared" si="6"/>
        <v>#DIV/0!</v>
      </c>
      <c r="AC91" t="e">
        <f t="shared" si="6"/>
        <v>#DIV/0!</v>
      </c>
      <c r="AD91" t="e">
        <f t="shared" si="6"/>
        <v>#DIV/0!</v>
      </c>
      <c r="AE91" t="e">
        <f t="shared" si="6"/>
        <v>#DIV/0!</v>
      </c>
      <c r="AF91" t="e">
        <f t="shared" si="6"/>
        <v>#DIV/0!</v>
      </c>
      <c r="AG91" s="82"/>
      <c r="AH91" s="257"/>
      <c r="AI91" s="258" t="s">
        <v>466</v>
      </c>
      <c r="AJ91" s="96"/>
      <c r="AK91" s="182">
        <f>$C$91</f>
        <v>20.618955512572533</v>
      </c>
      <c r="AL91" s="182">
        <f>$D$91</f>
        <v>15.378517637732859</v>
      </c>
      <c r="AM91" s="182">
        <f>$E$91</f>
        <v>18.338768463456741</v>
      </c>
      <c r="AN91" s="182" t="e">
        <f>$F$91</f>
        <v>#DIV/0!</v>
      </c>
      <c r="AO91" s="182" t="e">
        <f>$G$91</f>
        <v>#DIV/0!</v>
      </c>
      <c r="AP91" s="182" t="e">
        <f>$H$91</f>
        <v>#DIV/0!</v>
      </c>
      <c r="AQ91" s="182" t="e">
        <f>$I$91</f>
        <v>#DIV/0!</v>
      </c>
      <c r="AR91" s="182" t="e">
        <f>$J$91</f>
        <v>#DIV/0!</v>
      </c>
      <c r="AS91" s="182" t="e">
        <f>$K$91</f>
        <v>#DIV/0!</v>
      </c>
      <c r="AT91" s="182" t="e">
        <f>$L$91</f>
        <v>#DIV/0!</v>
      </c>
      <c r="AU91" s="182" t="e">
        <f>$M$91</f>
        <v>#DIV/0!</v>
      </c>
      <c r="AV91" s="182" t="e">
        <f>$N$91</f>
        <v>#DIV/0!</v>
      </c>
      <c r="AW91" s="182" t="e">
        <f>$O$91</f>
        <v>#DIV/0!</v>
      </c>
      <c r="AX91" s="182" t="e">
        <f>$P$91</f>
        <v>#DIV/0!</v>
      </c>
      <c r="AY91" s="182" t="e">
        <f>$Q$91</f>
        <v>#DIV/0!</v>
      </c>
      <c r="AZ91" s="182" t="e">
        <f>$R$91</f>
        <v>#DIV/0!</v>
      </c>
      <c r="BA91" s="182" t="e">
        <f>$S$91</f>
        <v>#DIV/0!</v>
      </c>
      <c r="BB91" s="182" t="e">
        <f>$T$91</f>
        <v>#DIV/0!</v>
      </c>
      <c r="BC91" s="182" t="e">
        <f>$U$91</f>
        <v>#DIV/0!</v>
      </c>
      <c r="BD91" s="182" t="e">
        <f>$V$91</f>
        <v>#DIV/0!</v>
      </c>
      <c r="BE91" s="182" t="e">
        <f>$W$91</f>
        <v>#DIV/0!</v>
      </c>
      <c r="BF91" s="182" t="e">
        <f>$X$91</f>
        <v>#DIV/0!</v>
      </c>
      <c r="BG91" s="182" t="e">
        <f>$Y$91</f>
        <v>#DIV/0!</v>
      </c>
      <c r="BH91" s="182" t="e">
        <f>$Z$91</f>
        <v>#DIV/0!</v>
      </c>
      <c r="BI91" s="182" t="e">
        <f>$AA$91</f>
        <v>#DIV/0!</v>
      </c>
      <c r="BJ91" s="182" t="e">
        <f>$AB$91</f>
        <v>#DIV/0!</v>
      </c>
      <c r="BK91" s="182" t="e">
        <f>$AC$91</f>
        <v>#DIV/0!</v>
      </c>
      <c r="BL91" s="182" t="e">
        <f>$AD$91</f>
        <v>#DIV/0!</v>
      </c>
      <c r="BM91" s="182" t="e">
        <f>$AE$91</f>
        <v>#DIV/0!</v>
      </c>
      <c r="BN91" s="182" t="e">
        <f>$AF$91</f>
        <v>#DIV/0!</v>
      </c>
    </row>
    <row r="92" spans="1:66">
      <c r="A92" s="69" t="s">
        <v>270</v>
      </c>
      <c r="C92" s="104">
        <v>14.723926380368098</v>
      </c>
      <c r="D92" s="104">
        <v>10.278372591006423</v>
      </c>
      <c r="E92" s="104">
        <v>12.480660134089737</v>
      </c>
      <c r="F92" t="e">
        <f t="shared" si="1"/>
        <v>#DIV/0!</v>
      </c>
      <c r="G92" t="e">
        <f t="shared" si="6"/>
        <v>#DIV/0!</v>
      </c>
      <c r="H92" t="e">
        <f t="shared" si="6"/>
        <v>#DIV/0!</v>
      </c>
      <c r="I92" t="e">
        <f t="shared" si="6"/>
        <v>#DIV/0!</v>
      </c>
      <c r="J92" t="e">
        <f t="shared" si="6"/>
        <v>#DIV/0!</v>
      </c>
      <c r="K92" t="e">
        <f t="shared" si="6"/>
        <v>#DIV/0!</v>
      </c>
      <c r="L92" t="e">
        <f t="shared" si="6"/>
        <v>#DIV/0!</v>
      </c>
      <c r="M92" t="e">
        <f t="shared" si="6"/>
        <v>#DIV/0!</v>
      </c>
      <c r="N92" t="e">
        <f t="shared" si="6"/>
        <v>#DIV/0!</v>
      </c>
      <c r="O92" t="e">
        <f t="shared" si="6"/>
        <v>#DIV/0!</v>
      </c>
      <c r="P92" t="e">
        <f t="shared" si="6"/>
        <v>#DIV/0!</v>
      </c>
      <c r="Q92" t="e">
        <f t="shared" si="6"/>
        <v>#DIV/0!</v>
      </c>
      <c r="R92" t="e">
        <f t="shared" si="6"/>
        <v>#DIV/0!</v>
      </c>
      <c r="S92" t="e">
        <f t="shared" si="6"/>
        <v>#DIV/0!</v>
      </c>
      <c r="T92" t="e">
        <f t="shared" si="6"/>
        <v>#DIV/0!</v>
      </c>
      <c r="U92" t="e">
        <f t="shared" si="6"/>
        <v>#DIV/0!</v>
      </c>
      <c r="V92" t="e">
        <f t="shared" si="6"/>
        <v>#DIV/0!</v>
      </c>
      <c r="W92" t="e">
        <f t="shared" si="6"/>
        <v>#DIV/0!</v>
      </c>
      <c r="X92" t="e">
        <f t="shared" si="6"/>
        <v>#DIV/0!</v>
      </c>
      <c r="Y92" t="e">
        <f t="shared" si="6"/>
        <v>#DIV/0!</v>
      </c>
      <c r="Z92" t="e">
        <f t="shared" si="6"/>
        <v>#DIV/0!</v>
      </c>
      <c r="AA92" t="e">
        <f t="shared" si="6"/>
        <v>#DIV/0!</v>
      </c>
      <c r="AB92" t="e">
        <f t="shared" si="6"/>
        <v>#DIV/0!</v>
      </c>
      <c r="AC92" t="e">
        <f t="shared" si="6"/>
        <v>#DIV/0!</v>
      </c>
      <c r="AD92" t="e">
        <f t="shared" si="6"/>
        <v>#DIV/0!</v>
      </c>
      <c r="AE92" t="e">
        <f t="shared" si="6"/>
        <v>#DIV/0!</v>
      </c>
      <c r="AF92" t="e">
        <f t="shared" si="6"/>
        <v>#DIV/0!</v>
      </c>
      <c r="AG92" s="82"/>
      <c r="AH92" s="256"/>
      <c r="AI92" s="254"/>
      <c r="AJ92" s="96"/>
      <c r="AK92" s="182">
        <f>$C$92</f>
        <v>14.723926380368098</v>
      </c>
      <c r="AL92" s="182">
        <f>$D$92</f>
        <v>10.278372591006423</v>
      </c>
      <c r="AM92" s="182">
        <f>$E$92</f>
        <v>12.480660134089737</v>
      </c>
      <c r="AN92" s="182" t="e">
        <f>$F$92</f>
        <v>#DIV/0!</v>
      </c>
      <c r="AO92" s="182" t="e">
        <f>$G$92</f>
        <v>#DIV/0!</v>
      </c>
      <c r="AP92" s="182" t="e">
        <f>$H$92</f>
        <v>#DIV/0!</v>
      </c>
      <c r="AQ92" s="182" t="e">
        <f>$I$92</f>
        <v>#DIV/0!</v>
      </c>
      <c r="AR92" s="182" t="e">
        <f>$J$92</f>
        <v>#DIV/0!</v>
      </c>
      <c r="AS92" s="182" t="e">
        <f>$K$92</f>
        <v>#DIV/0!</v>
      </c>
      <c r="AT92" s="182" t="e">
        <f>$L$92</f>
        <v>#DIV/0!</v>
      </c>
      <c r="AU92" s="182" t="e">
        <f>$M$92</f>
        <v>#DIV/0!</v>
      </c>
      <c r="AV92" s="182" t="e">
        <f>$N$92</f>
        <v>#DIV/0!</v>
      </c>
      <c r="AW92" s="182" t="e">
        <f>$O$92</f>
        <v>#DIV/0!</v>
      </c>
      <c r="AX92" s="182" t="e">
        <f>$P$92</f>
        <v>#DIV/0!</v>
      </c>
      <c r="AY92" s="182" t="e">
        <f>$Q$92</f>
        <v>#DIV/0!</v>
      </c>
      <c r="AZ92" s="182" t="e">
        <f>$R$92</f>
        <v>#DIV/0!</v>
      </c>
      <c r="BA92" s="182" t="e">
        <f>$S$92</f>
        <v>#DIV/0!</v>
      </c>
      <c r="BB92" s="182" t="e">
        <f>$T$92</f>
        <v>#DIV/0!</v>
      </c>
      <c r="BC92" s="182" t="e">
        <f>$U$92</f>
        <v>#DIV/0!</v>
      </c>
      <c r="BD92" s="182" t="e">
        <f>$V$92</f>
        <v>#DIV/0!</v>
      </c>
      <c r="BE92" s="182" t="e">
        <f>$W$92</f>
        <v>#DIV/0!</v>
      </c>
      <c r="BF92" s="182" t="e">
        <f>$X$92</f>
        <v>#DIV/0!</v>
      </c>
      <c r="BG92" s="182" t="e">
        <f>$Y$92</f>
        <v>#DIV/0!</v>
      </c>
      <c r="BH92" s="182" t="e">
        <f>$Z$92</f>
        <v>#DIV/0!</v>
      </c>
      <c r="BI92" s="182" t="e">
        <f>$AA$92</f>
        <v>#DIV/0!</v>
      </c>
      <c r="BJ92" s="182" t="e">
        <f>$AB$92</f>
        <v>#DIV/0!</v>
      </c>
      <c r="BK92" s="182" t="e">
        <f>$AC$92</f>
        <v>#DIV/0!</v>
      </c>
      <c r="BL92" s="182" t="e">
        <f>$AD$92</f>
        <v>#DIV/0!</v>
      </c>
      <c r="BM92" s="182" t="e">
        <f>$AE$92</f>
        <v>#DIV/0!</v>
      </c>
      <c r="BN92" s="182" t="e">
        <f>$AF$92</f>
        <v>#DIV/0!</v>
      </c>
    </row>
    <row r="93" spans="1:66">
      <c r="A93" s="69" t="s">
        <v>271</v>
      </c>
      <c r="C93" s="104">
        <v>19.761273209549071</v>
      </c>
      <c r="D93" s="104">
        <v>15.374507227332456</v>
      </c>
      <c r="E93" s="104">
        <v>17.585983127839068</v>
      </c>
      <c r="F93" t="e">
        <f t="shared" si="1"/>
        <v>#DIV/0!</v>
      </c>
      <c r="G93" t="e">
        <f t="shared" si="6"/>
        <v>#DIV/0!</v>
      </c>
      <c r="H93" t="e">
        <f t="shared" si="6"/>
        <v>#DIV/0!</v>
      </c>
      <c r="I93" t="e">
        <f t="shared" si="6"/>
        <v>#DIV/0!</v>
      </c>
      <c r="J93" t="e">
        <f t="shared" si="6"/>
        <v>#DIV/0!</v>
      </c>
      <c r="K93" t="e">
        <f t="shared" si="6"/>
        <v>#DIV/0!</v>
      </c>
      <c r="L93" t="e">
        <f t="shared" si="6"/>
        <v>#DIV/0!</v>
      </c>
      <c r="M93" t="e">
        <f t="shared" si="6"/>
        <v>#DIV/0!</v>
      </c>
      <c r="N93" t="e">
        <f t="shared" si="6"/>
        <v>#DIV/0!</v>
      </c>
      <c r="O93" t="e">
        <f t="shared" si="6"/>
        <v>#DIV/0!</v>
      </c>
      <c r="P93" t="e">
        <f t="shared" si="6"/>
        <v>#DIV/0!</v>
      </c>
      <c r="Q93" t="e">
        <f t="shared" si="6"/>
        <v>#DIV/0!</v>
      </c>
      <c r="R93" t="e">
        <f t="shared" si="6"/>
        <v>#DIV/0!</v>
      </c>
      <c r="S93" t="e">
        <f t="shared" si="6"/>
        <v>#DIV/0!</v>
      </c>
      <c r="T93" t="e">
        <f t="shared" si="6"/>
        <v>#DIV/0!</v>
      </c>
      <c r="U93" t="e">
        <f t="shared" si="6"/>
        <v>#DIV/0!</v>
      </c>
      <c r="V93" t="e">
        <f t="shared" si="6"/>
        <v>#DIV/0!</v>
      </c>
      <c r="W93" t="e">
        <f t="shared" si="6"/>
        <v>#DIV/0!</v>
      </c>
      <c r="X93" t="e">
        <f t="shared" si="6"/>
        <v>#DIV/0!</v>
      </c>
      <c r="Y93" t="e">
        <f t="shared" si="6"/>
        <v>#DIV/0!</v>
      </c>
      <c r="Z93" t="e">
        <f t="shared" si="6"/>
        <v>#DIV/0!</v>
      </c>
      <c r="AA93" t="e">
        <f t="shared" si="6"/>
        <v>#DIV/0!</v>
      </c>
      <c r="AB93" t="e">
        <f t="shared" si="6"/>
        <v>#DIV/0!</v>
      </c>
      <c r="AC93" t="e">
        <f t="shared" si="6"/>
        <v>#DIV/0!</v>
      </c>
      <c r="AD93" t="e">
        <f t="shared" si="6"/>
        <v>#DIV/0!</v>
      </c>
      <c r="AE93" t="e">
        <f t="shared" si="6"/>
        <v>#DIV/0!</v>
      </c>
      <c r="AF93" t="e">
        <f t="shared" si="6"/>
        <v>#DIV/0!</v>
      </c>
      <c r="AG93" s="82"/>
      <c r="AH93" s="242"/>
      <c r="AI93" s="254"/>
      <c r="AJ93" s="96"/>
      <c r="AK93" s="182">
        <f>$C$93</f>
        <v>19.761273209549071</v>
      </c>
      <c r="AL93" s="182">
        <f>$D$93</f>
        <v>15.374507227332456</v>
      </c>
      <c r="AM93" s="182">
        <f>$E$93</f>
        <v>17.585983127839068</v>
      </c>
      <c r="AN93" s="182" t="e">
        <f>$F$93</f>
        <v>#DIV/0!</v>
      </c>
      <c r="AO93" s="182" t="e">
        <f>$G$93</f>
        <v>#DIV/0!</v>
      </c>
      <c r="AP93" s="182" t="e">
        <f>$H$93</f>
        <v>#DIV/0!</v>
      </c>
      <c r="AQ93" s="182" t="e">
        <f>$I$93</f>
        <v>#DIV/0!</v>
      </c>
      <c r="AR93" s="182" t="e">
        <f>$J$93</f>
        <v>#DIV/0!</v>
      </c>
      <c r="AS93" s="182" t="e">
        <f>$K$93</f>
        <v>#DIV/0!</v>
      </c>
      <c r="AT93" s="182" t="e">
        <f>$L$93</f>
        <v>#DIV/0!</v>
      </c>
      <c r="AU93" s="182" t="e">
        <f>$M$93</f>
        <v>#DIV/0!</v>
      </c>
      <c r="AV93" s="182" t="e">
        <f>$N$93</f>
        <v>#DIV/0!</v>
      </c>
      <c r="AW93" s="182" t="e">
        <f>$O$93</f>
        <v>#DIV/0!</v>
      </c>
      <c r="AX93" s="182" t="e">
        <f>$P$93</f>
        <v>#DIV/0!</v>
      </c>
      <c r="AY93" s="182" t="e">
        <f>$Q$93</f>
        <v>#DIV/0!</v>
      </c>
      <c r="AZ93" s="182" t="e">
        <f>$R$93</f>
        <v>#DIV/0!</v>
      </c>
      <c r="BA93" s="182" t="e">
        <f>$S$93</f>
        <v>#DIV/0!</v>
      </c>
      <c r="BB93" s="182" t="e">
        <f>$T$93</f>
        <v>#DIV/0!</v>
      </c>
      <c r="BC93" s="182" t="e">
        <f>$U$93</f>
        <v>#DIV/0!</v>
      </c>
      <c r="BD93" s="182" t="e">
        <f>$V$93</f>
        <v>#DIV/0!</v>
      </c>
      <c r="BE93" s="182" t="e">
        <f>$W$93</f>
        <v>#DIV/0!</v>
      </c>
      <c r="BF93" s="182" t="e">
        <f>$X$93</f>
        <v>#DIV/0!</v>
      </c>
      <c r="BG93" s="182" t="e">
        <f>$Y$93</f>
        <v>#DIV/0!</v>
      </c>
      <c r="BH93" s="182" t="e">
        <f>$Z$93</f>
        <v>#DIV/0!</v>
      </c>
      <c r="BI93" s="182" t="e">
        <f>$AA$93</f>
        <v>#DIV/0!</v>
      </c>
      <c r="BJ93" s="182" t="e">
        <f>$AB$93</f>
        <v>#DIV/0!</v>
      </c>
      <c r="BK93" s="182" t="e">
        <f>$AC$93</f>
        <v>#DIV/0!</v>
      </c>
      <c r="BL93" s="182" t="e">
        <f>$AD$93</f>
        <v>#DIV/0!</v>
      </c>
      <c r="BM93" s="182" t="e">
        <f>$AE$93</f>
        <v>#DIV/0!</v>
      </c>
      <c r="BN93" s="182" t="e">
        <f>$AF$93</f>
        <v>#DIV/0!</v>
      </c>
    </row>
    <row r="94" spans="1:66">
      <c r="A94" s="69" t="s">
        <v>209</v>
      </c>
      <c r="C94" s="106">
        <v>19.460465116279067</v>
      </c>
      <c r="D94" s="104">
        <v>13.452655889145495</v>
      </c>
      <c r="E94" s="106">
        <v>16.683687679881164</v>
      </c>
      <c r="F94" t="e">
        <f t="shared" si="1"/>
        <v>#DIV/0!</v>
      </c>
      <c r="G94" t="e">
        <f t="shared" si="6"/>
        <v>#DIV/0!</v>
      </c>
      <c r="H94" t="e">
        <f t="shared" si="6"/>
        <v>#DIV/0!</v>
      </c>
      <c r="I94" t="e">
        <f t="shared" si="6"/>
        <v>#DIV/0!</v>
      </c>
      <c r="J94" t="e">
        <f t="shared" si="6"/>
        <v>#DIV/0!</v>
      </c>
      <c r="K94" t="e">
        <f t="shared" si="6"/>
        <v>#DIV/0!</v>
      </c>
      <c r="L94" t="e">
        <f t="shared" si="6"/>
        <v>#DIV/0!</v>
      </c>
      <c r="M94" t="e">
        <f t="shared" si="6"/>
        <v>#DIV/0!</v>
      </c>
      <c r="N94" t="e">
        <f t="shared" si="6"/>
        <v>#DIV/0!</v>
      </c>
      <c r="O94" t="e">
        <f t="shared" si="6"/>
        <v>#DIV/0!</v>
      </c>
      <c r="P94" t="e">
        <f t="shared" si="6"/>
        <v>#DIV/0!</v>
      </c>
      <c r="Q94" t="e">
        <f t="shared" si="6"/>
        <v>#DIV/0!</v>
      </c>
      <c r="R94" t="e">
        <f t="shared" si="6"/>
        <v>#DIV/0!</v>
      </c>
      <c r="S94" t="e">
        <f t="shared" si="6"/>
        <v>#DIV/0!</v>
      </c>
      <c r="T94" t="e">
        <f t="shared" si="6"/>
        <v>#DIV/0!</v>
      </c>
      <c r="U94" t="e">
        <f t="shared" si="6"/>
        <v>#DIV/0!</v>
      </c>
      <c r="V94" t="e">
        <f t="shared" si="6"/>
        <v>#DIV/0!</v>
      </c>
      <c r="W94" t="e">
        <f t="shared" si="6"/>
        <v>#DIV/0!</v>
      </c>
      <c r="X94" t="e">
        <f t="shared" si="6"/>
        <v>#DIV/0!</v>
      </c>
      <c r="Y94" t="e">
        <f t="shared" si="6"/>
        <v>#DIV/0!</v>
      </c>
      <c r="Z94" t="e">
        <f t="shared" si="6"/>
        <v>#DIV/0!</v>
      </c>
      <c r="AA94" t="e">
        <f t="shared" si="6"/>
        <v>#DIV/0!</v>
      </c>
      <c r="AB94" t="e">
        <f t="shared" si="6"/>
        <v>#DIV/0!</v>
      </c>
      <c r="AC94" t="e">
        <f t="shared" si="6"/>
        <v>#DIV/0!</v>
      </c>
      <c r="AD94" t="e">
        <f t="shared" si="6"/>
        <v>#DIV/0!</v>
      </c>
      <c r="AE94" t="e">
        <f t="shared" si="6"/>
        <v>#DIV/0!</v>
      </c>
      <c r="AF94" t="e">
        <f t="shared" si="6"/>
        <v>#DIV/0!</v>
      </c>
      <c r="AG94" s="82"/>
      <c r="AH94" s="96"/>
      <c r="AI94" s="96"/>
      <c r="AJ94" s="96"/>
      <c r="AK94" s="182">
        <f>$C$94</f>
        <v>19.460465116279067</v>
      </c>
      <c r="AL94" s="182">
        <f>$D$94</f>
        <v>13.452655889145495</v>
      </c>
      <c r="AM94" s="182">
        <f>$E$94</f>
        <v>16.683687679881164</v>
      </c>
      <c r="AN94" s="182" t="e">
        <f>$F$94</f>
        <v>#DIV/0!</v>
      </c>
      <c r="AO94" s="182" t="e">
        <f>$G$94</f>
        <v>#DIV/0!</v>
      </c>
      <c r="AP94" s="182" t="e">
        <f>$H$94</f>
        <v>#DIV/0!</v>
      </c>
      <c r="AQ94" s="182" t="e">
        <f>$I$94</f>
        <v>#DIV/0!</v>
      </c>
      <c r="AR94" s="182" t="e">
        <f>$J$94</f>
        <v>#DIV/0!</v>
      </c>
      <c r="AS94" s="182" t="e">
        <f>$K$94</f>
        <v>#DIV/0!</v>
      </c>
      <c r="AT94" s="182" t="e">
        <f>$L$94</f>
        <v>#DIV/0!</v>
      </c>
      <c r="AU94" s="182" t="e">
        <f>$M$94</f>
        <v>#DIV/0!</v>
      </c>
      <c r="AV94" s="182" t="e">
        <f>$N$94</f>
        <v>#DIV/0!</v>
      </c>
      <c r="AW94" s="182" t="e">
        <f>$O$94</f>
        <v>#DIV/0!</v>
      </c>
      <c r="AX94" s="182" t="e">
        <f>$P$94</f>
        <v>#DIV/0!</v>
      </c>
      <c r="AY94" s="182" t="e">
        <f>$Q$94</f>
        <v>#DIV/0!</v>
      </c>
      <c r="AZ94" s="182" t="e">
        <f>$R$94</f>
        <v>#DIV/0!</v>
      </c>
      <c r="BA94" s="182" t="e">
        <f>$S$94</f>
        <v>#DIV/0!</v>
      </c>
      <c r="BB94" s="182" t="e">
        <f>$T$94</f>
        <v>#DIV/0!</v>
      </c>
      <c r="BC94" s="182" t="e">
        <f>$U$94</f>
        <v>#DIV/0!</v>
      </c>
      <c r="BD94" s="182" t="e">
        <f>$V$94</f>
        <v>#DIV/0!</v>
      </c>
      <c r="BE94" s="182" t="e">
        <f>$W$94</f>
        <v>#DIV/0!</v>
      </c>
      <c r="BF94" s="182" t="e">
        <f>$X$94</f>
        <v>#DIV/0!</v>
      </c>
      <c r="BG94" s="182" t="e">
        <f>$Y$94</f>
        <v>#DIV/0!</v>
      </c>
      <c r="BH94" s="182" t="e">
        <f>$Z$94</f>
        <v>#DIV/0!</v>
      </c>
      <c r="BI94" s="182" t="e">
        <f>$AA$94</f>
        <v>#DIV/0!</v>
      </c>
      <c r="BJ94" s="182" t="e">
        <f>$AB$94</f>
        <v>#DIV/0!</v>
      </c>
      <c r="BK94" s="182" t="e">
        <f>$AC$94</f>
        <v>#DIV/0!</v>
      </c>
      <c r="BL94" s="182" t="e">
        <f>$AD$94</f>
        <v>#DIV/0!</v>
      </c>
      <c r="BM94" s="182" t="e">
        <f>$AE$94</f>
        <v>#DIV/0!</v>
      </c>
      <c r="BN94" s="182" t="e">
        <f>$AF$94</f>
        <v>#DIV/0!</v>
      </c>
    </row>
    <row r="95" spans="1:66">
      <c r="C95" s="167"/>
      <c r="D95" s="8"/>
      <c r="E95" s="167"/>
      <c r="F95" s="8"/>
      <c r="G95" s="8"/>
      <c r="H95" s="8"/>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96"/>
      <c r="AI95" s="96"/>
      <c r="AJ95" s="96"/>
      <c r="AK95" s="165"/>
      <c r="AL95" s="165"/>
      <c r="AM95" s="165"/>
      <c r="AN95" s="165"/>
      <c r="AO95" s="165"/>
      <c r="AP95" s="165"/>
      <c r="AQ95" s="165"/>
      <c r="AR95" s="165"/>
      <c r="AS95" s="165"/>
      <c r="AT95" s="165"/>
      <c r="AU95" s="165"/>
      <c r="AV95" s="165"/>
      <c r="AW95" s="165"/>
      <c r="AX95" s="165"/>
      <c r="AY95" s="165"/>
      <c r="AZ95" s="165"/>
      <c r="BA95" s="8"/>
    </row>
    <row r="96" spans="1:66">
      <c r="C96" s="167"/>
      <c r="D96" s="8"/>
      <c r="E96" s="167"/>
      <c r="F96" s="8"/>
      <c r="G96" s="8"/>
      <c r="H96" s="8"/>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165"/>
      <c r="AL96" s="165"/>
      <c r="AM96" s="165"/>
      <c r="AN96" s="165"/>
      <c r="AO96" s="165"/>
      <c r="AP96" s="165"/>
      <c r="AQ96" s="165"/>
      <c r="AR96" s="165"/>
      <c r="AS96" s="165"/>
      <c r="AT96" s="165"/>
      <c r="AU96" s="165"/>
      <c r="AV96" s="165"/>
      <c r="AW96" s="165"/>
      <c r="AX96" s="165"/>
      <c r="AY96" s="165"/>
      <c r="AZ96" s="165"/>
      <c r="BA96" s="8"/>
    </row>
    <row r="97" spans="1:53">
      <c r="C97" s="167"/>
      <c r="D97" s="82"/>
      <c r="E97" s="167"/>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165"/>
      <c r="AL97" s="165"/>
      <c r="AM97" s="165"/>
      <c r="AN97" s="165"/>
      <c r="AO97" s="165"/>
      <c r="AP97" s="165"/>
      <c r="AQ97" s="165"/>
      <c r="AR97" s="165"/>
      <c r="AS97" s="165"/>
      <c r="AT97" s="165"/>
      <c r="AU97" s="165"/>
      <c r="AV97" s="165"/>
      <c r="AW97" s="165"/>
      <c r="AX97" s="165"/>
      <c r="AY97" s="165"/>
      <c r="AZ97" s="165"/>
      <c r="BA97" s="8"/>
    </row>
    <row r="98" spans="1:53">
      <c r="A98" s="116" t="s">
        <v>266</v>
      </c>
      <c r="B98" s="114" t="s">
        <v>274</v>
      </c>
      <c r="C98" s="175"/>
      <c r="D98" s="176"/>
      <c r="E98" s="175"/>
      <c r="F98" s="176"/>
      <c r="G98" s="176"/>
      <c r="H98" s="176"/>
      <c r="I98" s="176"/>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165"/>
      <c r="AL98" s="165"/>
      <c r="AM98" s="165"/>
      <c r="AN98" s="165"/>
      <c r="AO98" s="165"/>
      <c r="AP98" s="165"/>
      <c r="AQ98" s="165"/>
      <c r="AR98" s="165"/>
      <c r="AS98" s="165"/>
      <c r="AT98" s="165"/>
      <c r="AU98" s="165"/>
      <c r="AV98" s="165"/>
      <c r="AW98" s="165"/>
      <c r="AX98" s="165"/>
      <c r="AY98" s="165"/>
      <c r="AZ98" s="165"/>
      <c r="BA98" s="8"/>
    </row>
    <row r="99" spans="1:53">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
      <c r="AJ99" s="8"/>
      <c r="AK99" s="8"/>
      <c r="AL99" s="8"/>
      <c r="AM99" s="8"/>
      <c r="AN99" s="8"/>
      <c r="AO99" s="8"/>
      <c r="AP99" s="8"/>
      <c r="AQ99" s="8"/>
      <c r="AR99" s="8"/>
      <c r="AS99" s="8"/>
      <c r="AT99" s="8"/>
      <c r="AU99" s="8"/>
      <c r="AV99" s="8"/>
      <c r="AW99" s="8"/>
      <c r="AX99" s="8"/>
      <c r="AY99" s="8"/>
      <c r="AZ99" s="8"/>
      <c r="BA99" s="8"/>
    </row>
    <row r="100" spans="1:53">
      <c r="C100" s="8"/>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
      <c r="AJ100" s="8"/>
      <c r="AK100" s="8"/>
      <c r="AL100" s="8"/>
      <c r="AM100" s="8"/>
      <c r="AN100" s="8"/>
      <c r="AO100" s="8"/>
      <c r="AP100" s="8"/>
      <c r="AQ100" s="8"/>
      <c r="AR100" s="8"/>
      <c r="AS100" s="8"/>
      <c r="AT100" s="8"/>
      <c r="AU100" s="8"/>
      <c r="AV100" s="8"/>
      <c r="AW100" s="8"/>
      <c r="AX100" s="8"/>
      <c r="AY100" s="8"/>
      <c r="AZ100" s="8"/>
      <c r="BA100" s="8"/>
    </row>
    <row r="101" spans="1:53">
      <c r="C101" s="8"/>
      <c r="D101" s="8"/>
      <c r="E101" s="8"/>
      <c r="F101" s="8"/>
      <c r="G101" s="82"/>
      <c r="H101" s="8"/>
      <c r="I101" s="8"/>
      <c r="J101" s="8"/>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
      <c r="AK101" s="8"/>
      <c r="AL101" s="8"/>
      <c r="AM101" s="8"/>
      <c r="AN101" s="8"/>
      <c r="AO101" s="8"/>
      <c r="AP101" s="8"/>
      <c r="AQ101" s="8"/>
      <c r="AR101" s="8"/>
      <c r="AS101" s="8"/>
      <c r="AT101" s="8"/>
      <c r="AU101" s="8"/>
      <c r="AV101" s="8"/>
      <c r="AW101" s="8"/>
      <c r="AX101" s="8"/>
      <c r="AY101" s="8"/>
      <c r="AZ101" s="8"/>
      <c r="BA101" s="8"/>
    </row>
    <row r="102" spans="1:53">
      <c r="C102" s="8"/>
      <c r="D102" s="8"/>
      <c r="E102" s="8"/>
      <c r="F102" s="8"/>
      <c r="G102" s="82"/>
      <c r="H102" s="8"/>
      <c r="I102" s="8"/>
      <c r="J102" s="8"/>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row>
    <row r="103" spans="1:53">
      <c r="C103" s="8"/>
      <c r="D103" s="8"/>
      <c r="E103" s="8"/>
      <c r="F103" s="8"/>
      <c r="G103" s="82"/>
      <c r="H103" s="8"/>
      <c r="I103" s="8"/>
      <c r="J103" s="8"/>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row>
    <row r="104" spans="1:53">
      <c r="C104" s="8"/>
      <c r="D104" s="8"/>
      <c r="E104" s="8"/>
      <c r="F104" s="8"/>
      <c r="G104" s="82"/>
      <c r="H104" s="8"/>
      <c r="I104" s="8"/>
      <c r="J104" s="8"/>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row>
    <row r="105" spans="1:53">
      <c r="C105" s="8"/>
      <c r="D105" s="8"/>
      <c r="E105" s="8"/>
      <c r="F105" s="8"/>
      <c r="G105" s="82"/>
      <c r="H105" s="8"/>
      <c r="I105" s="8"/>
      <c r="J105" s="8"/>
      <c r="K105" s="82"/>
      <c r="L105" s="82"/>
      <c r="M105" s="82"/>
      <c r="N105" s="82"/>
      <c r="O105" s="82"/>
      <c r="P105" s="82"/>
      <c r="Q105" s="82"/>
      <c r="R105" s="82"/>
      <c r="S105" s="82"/>
      <c r="T105" s="82"/>
      <c r="U105" s="82"/>
      <c r="V105" s="82"/>
      <c r="W105" s="82"/>
      <c r="X105" s="82"/>
      <c r="Y105" s="82"/>
      <c r="Z105" s="82"/>
      <c r="AA105" s="82"/>
      <c r="AB105" s="82"/>
      <c r="AC105" s="82"/>
      <c r="AD105" s="8"/>
      <c r="AE105" s="8"/>
      <c r="AF105" s="8"/>
      <c r="AG105" s="8"/>
    </row>
    <row r="106" spans="1:53">
      <c r="C106" s="8"/>
      <c r="D106" s="8"/>
      <c r="E106" s="8"/>
      <c r="F106" s="8"/>
      <c r="G106" s="82"/>
      <c r="H106" s="8"/>
      <c r="I106" s="8"/>
      <c r="J106" s="8"/>
      <c r="K106" s="8"/>
      <c r="L106" s="8"/>
      <c r="M106" s="8"/>
      <c r="N106" s="8"/>
      <c r="O106" s="8"/>
      <c r="P106" s="8"/>
      <c r="Q106" s="8"/>
      <c r="R106" s="8"/>
      <c r="S106" s="82"/>
      <c r="T106" s="82"/>
      <c r="U106" s="82"/>
      <c r="V106" s="82"/>
      <c r="W106" s="82"/>
      <c r="X106" s="82"/>
      <c r="Y106" s="82"/>
      <c r="Z106" s="82"/>
      <c r="AA106" s="82"/>
      <c r="AB106" s="82"/>
      <c r="AC106" s="82"/>
      <c r="AD106" s="8"/>
      <c r="AE106" s="8"/>
      <c r="AF106" s="8"/>
      <c r="AG106" s="8"/>
    </row>
    <row r="107" spans="1:53">
      <c r="C107" s="8"/>
      <c r="D107" s="8"/>
      <c r="E107" s="8"/>
      <c r="F107" s="8"/>
      <c r="G107" s="8"/>
      <c r="H107" s="8"/>
      <c r="I107" s="8"/>
      <c r="J107" s="8"/>
      <c r="K107" s="8"/>
      <c r="L107" s="8"/>
      <c r="M107" s="8"/>
      <c r="N107" s="8"/>
      <c r="O107" s="8"/>
      <c r="P107" s="8"/>
      <c r="Q107" s="8"/>
      <c r="R107" s="8"/>
      <c r="S107" s="82"/>
      <c r="T107" s="82"/>
      <c r="U107" s="82"/>
      <c r="V107" s="82"/>
      <c r="W107" s="82"/>
      <c r="X107" s="82"/>
      <c r="Y107" s="82"/>
      <c r="Z107" s="82"/>
      <c r="AA107" s="82"/>
      <c r="AB107" s="82"/>
      <c r="AC107" s="82"/>
      <c r="AD107" s="8"/>
      <c r="AE107" s="8"/>
      <c r="AF107" s="8"/>
      <c r="AG107" s="8"/>
    </row>
    <row r="108" spans="1:53">
      <c r="C108" s="8"/>
      <c r="D108" s="8"/>
      <c r="E108" s="8"/>
      <c r="F108" s="8"/>
      <c r="G108" s="8"/>
      <c r="H108" s="8"/>
      <c r="I108" s="8"/>
      <c r="J108" s="8"/>
      <c r="K108" s="8"/>
      <c r="L108" s="8"/>
      <c r="M108" s="8"/>
      <c r="N108" s="8"/>
      <c r="O108" s="8"/>
      <c r="P108" s="8"/>
      <c r="Q108" s="8"/>
      <c r="R108" s="8"/>
      <c r="S108" s="82"/>
      <c r="T108" s="82"/>
      <c r="U108" s="82"/>
      <c r="V108" s="82"/>
      <c r="W108" s="82"/>
      <c r="X108" s="82"/>
      <c r="Y108" s="82"/>
      <c r="Z108" s="82"/>
      <c r="AA108" s="82"/>
      <c r="AB108" s="82"/>
      <c r="AC108" s="82"/>
      <c r="AD108" s="8"/>
      <c r="AE108" s="8"/>
      <c r="AF108" s="8"/>
      <c r="AG108" s="8"/>
    </row>
    <row r="109" spans="1:53">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53">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53">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row>
    <row r="112" spans="1:53">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row>
    <row r="113" spans="3:33">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row>
    <row r="114" spans="3:33">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row>
    <row r="115" spans="3:33">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row>
    <row r="116" spans="3:33">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row>
    <row r="117" spans="3:33">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row>
    <row r="118" spans="3:33">
      <c r="C118" s="8"/>
      <c r="D118" s="8"/>
      <c r="E118" s="8"/>
      <c r="F118" s="8"/>
      <c r="G118" s="8"/>
      <c r="H118" s="8"/>
      <c r="I118" s="8"/>
      <c r="J118" s="8"/>
      <c r="K118" s="8"/>
      <c r="L118" s="8"/>
      <c r="M118" s="8"/>
      <c r="N118" s="8"/>
      <c r="O118" s="8"/>
      <c r="P118" s="8"/>
      <c r="Q118" s="8"/>
      <c r="R118" s="8"/>
      <c r="S118" s="8"/>
    </row>
  </sheetData>
  <mergeCells count="33">
    <mergeCell ref="O45:Q45"/>
    <mergeCell ref="A45:B45"/>
    <mergeCell ref="C45:E45"/>
    <mergeCell ref="F45:H45"/>
    <mergeCell ref="I45:K45"/>
    <mergeCell ref="L45:N45"/>
    <mergeCell ref="BC46:BE46"/>
    <mergeCell ref="BF46:BH46"/>
    <mergeCell ref="BI46:BK46"/>
    <mergeCell ref="BL46:BN46"/>
    <mergeCell ref="AK45:BN45"/>
    <mergeCell ref="AK46:AM46"/>
    <mergeCell ref="AN46:AP46"/>
    <mergeCell ref="AQ46:AS46"/>
    <mergeCell ref="AT46:AV46"/>
    <mergeCell ref="AW46:AY46"/>
    <mergeCell ref="AZ46:BB46"/>
    <mergeCell ref="B9:L9"/>
    <mergeCell ref="K2:M2"/>
    <mergeCell ref="AH70:AI70"/>
    <mergeCell ref="AH71:AI71"/>
    <mergeCell ref="A3:H3"/>
    <mergeCell ref="B5:L5"/>
    <mergeCell ref="B6:L6"/>
    <mergeCell ref="B7:L7"/>
    <mergeCell ref="B8:L8"/>
    <mergeCell ref="AH46:AI46"/>
    <mergeCell ref="R45:T45"/>
    <mergeCell ref="U45:W45"/>
    <mergeCell ref="X45:Z45"/>
    <mergeCell ref="AA45:AC45"/>
    <mergeCell ref="AD45:AF45"/>
    <mergeCell ref="AH45:AI45"/>
  </mergeCells>
  <conditionalFormatting sqref="D42:I43">
    <cfRule type="expression" dxfId="21" priority="4">
      <formula>ISERROR(D42)</formula>
    </cfRule>
  </conditionalFormatting>
  <conditionalFormatting sqref="C47:AF94">
    <cfRule type="expression" dxfId="20" priority="3">
      <formula>ISERROR(C47)</formula>
    </cfRule>
  </conditionalFormatting>
  <conditionalFormatting sqref="AK47:BN94">
    <cfRule type="expression" dxfId="19" priority="2">
      <formula>ISERROR(AK47)</formula>
    </cfRule>
  </conditionalFormatting>
  <conditionalFormatting sqref="C12:AW41">
    <cfRule type="expression" dxfId="18" priority="1">
      <formula>ISERROR(C12)</formula>
    </cfRule>
  </conditionalFormatting>
  <hyperlinks>
    <hyperlink ref="K2" location="'Information och Innehåll'!A1" display="Tillbaka till Information och Innehåll"/>
    <hyperlink ref="AH48" location="V1.1.1!A1" display="V1.1.1"/>
    <hyperlink ref="AH49" location="V1.1.2!A1" display="V1.1.2"/>
    <hyperlink ref="AH50" location="V1.1.3!A1" display="V1.1.3"/>
    <hyperlink ref="AH51" location="V2.1.1!A1" display="V2.1.1"/>
    <hyperlink ref="AH52" location="V2.1.2!A1" display="V2.1.2"/>
    <hyperlink ref="AH54" location="V3.1.2!A1" display="V3.1.2"/>
    <hyperlink ref="AH53" location="V3.1.1!A1" display="V3.1.1"/>
    <hyperlink ref="AH55" location="V3.1.3!A1" display="V3.1.3"/>
    <hyperlink ref="AH57" location="V4.1.1!A1" display="V4.1.1"/>
    <hyperlink ref="AH58" location="V4.2.1!A1" display="V4.2.1"/>
    <hyperlink ref="AH59" location="V4.2.2!A1" display="V4.2.2"/>
    <hyperlink ref="AH60" location="V4.2.3!A1" display="V4.2.3"/>
    <hyperlink ref="AH61" location="V4.2.4!A1" display="V4.2.4"/>
    <hyperlink ref="AH62" location="V5.1.1!A1" display="V5.1.1"/>
    <hyperlink ref="AH63" location="V5.1.2!A1" display="V5.1.2"/>
    <hyperlink ref="AI48" location="B1.1.1!A1" display="B1.1.1"/>
    <hyperlink ref="AI49" location="B1.1.2!A1" display="B1.1.2"/>
    <hyperlink ref="AI50" location="B1.2.1!A1" display="B1.2.1"/>
    <hyperlink ref="AI51" location="B1.2.2!A1" display="B1.2.2"/>
    <hyperlink ref="AI52" location="B1.2.3!A1" display="B1.2.3"/>
    <hyperlink ref="AI53" location="V2.1.1!A1" display="B2.1.1"/>
    <hyperlink ref="AI55" location="B2.2.1!A1" display="B2.2.1"/>
    <hyperlink ref="AI56" location="B2.2.2!A1" display="B2.2.2"/>
    <hyperlink ref="AI57" location="B2.2.3!A1" display="B2.2.3"/>
    <hyperlink ref="AI58" location="B2.2.4!A1" display="B2.2.4"/>
    <hyperlink ref="AI59" location="B3.1.1!A1" display="B3.1.1"/>
    <hyperlink ref="AI60" location="B3.1.2!A1" display="B3.1.2"/>
    <hyperlink ref="AI63" location="B4.1.1!A1" display="B4.1.1"/>
    <hyperlink ref="AI64" location="B5.1.1!A1" display="B5.1.1"/>
    <hyperlink ref="AI65" location="B5.1.2!A1" display="B5.1.2"/>
    <hyperlink ref="AI66" location="B5.1.3!A1" display="B5.1.3"/>
    <hyperlink ref="AI61" location="B3.1.3!A1" display="B3.1.3"/>
    <hyperlink ref="AI54" location="B2.1.2!A1" display="B2.1.2"/>
    <hyperlink ref="AH64" location="V5.1.3!A1" display="V5.1.3"/>
    <hyperlink ref="AI62" location="B3.2.1!A1" display="B3.2.1"/>
    <hyperlink ref="AH56" location="B3.2.1!A1" display="V3.2.1"/>
    <hyperlink ref="AH73" location="'V1.1.1 DATA'!A1" display="V1.1.1"/>
    <hyperlink ref="AH74" location="'V1.1.2 DATA'!A1" display="V1.1.2"/>
    <hyperlink ref="AH75" location="'V1.1.3 Data'!A1" display="V1.1.3"/>
    <hyperlink ref="AH76" location="'V2.1.1 DATA'!A1" display="V2.1.1"/>
    <hyperlink ref="AH77" location="'V2.1.2 DATA'!A1" display="V2.1.2"/>
    <hyperlink ref="AH79" location="'V3.1.2 DATA'!A1" display="V3.1.2"/>
    <hyperlink ref="AH78" location="'V3.1.1 DATA'!A1" display="V3.1.1"/>
    <hyperlink ref="AH80" location="'V3.1.3 DATA'!A1" display="V3.1.3"/>
    <hyperlink ref="AH81" location="'V3.2.1 DATA'!A1" display="V3.2.1"/>
    <hyperlink ref="AH82" location="'V4.1.1 DATA'!A1" display="V4.1.1"/>
    <hyperlink ref="AH83" location="'V4.2.1 DATA'!A1" display="V4.2.1"/>
    <hyperlink ref="AH85" location="'V4.2.3 DATA'!A1" display="V4.2.3"/>
    <hyperlink ref="AH86" location="'V4.2.4 DATA'!A1" display="V4.2.4"/>
    <hyperlink ref="AH87" location="'V5.1.1 DATA'!A1" display="V5.1.1"/>
    <hyperlink ref="AH88" location="'V5.1.2 DATA'!A1" display="V5.1.2"/>
    <hyperlink ref="AI73" location="'B1.1.1 DATA'!A1" display="B1.1.1"/>
    <hyperlink ref="AI74" location="'B1.2.1 DATA'!A1" display="B1.1.2"/>
    <hyperlink ref="AI75" location="'B1.2.1 DATA'!A1" display="B1.2.1"/>
    <hyperlink ref="AI76" location="'B1.2.2 DATA'!A1" display="B1.2.2"/>
    <hyperlink ref="AI77" location="'B1.2.3 DATA'!A1" display="B1.2.3"/>
    <hyperlink ref="AI78" location="'B2.1.1 DATA'!A1" display="B2.1.1"/>
    <hyperlink ref="AI80" location="'B2.2.1 DATA'!A1" display="B2.2.1"/>
    <hyperlink ref="AI81" location="'B2.2.2 DATA'!A1" display="B2.2.2"/>
    <hyperlink ref="AI82" location="'B2.2.3 DATA'!A1" display="B2.2.3"/>
    <hyperlink ref="AI83" location="'B2.2.4 DATA'!A1" display="B2.2.4"/>
    <hyperlink ref="AI84" location="'B3.1.1 DATA'!A1" display="B3.1.1"/>
    <hyperlink ref="AI85" location="'B3.1.2 DATA'!A1" display="B3.1.2"/>
    <hyperlink ref="AI87" location="'B3.2.1 DATA'!A1" display="B3.2.1"/>
    <hyperlink ref="AI88" location="'B4.1.1 DATA'!A1" display="B4.1.1"/>
    <hyperlink ref="AI89" location="'B5.1.1 DATA'!A1" display="B5.1.1"/>
    <hyperlink ref="AI90" location="'B5.1.2 DATA'!A1" display="B5.1.2"/>
    <hyperlink ref="AI91" location="'B5.1.3 DATA'!A1" display="B5.1.3"/>
    <hyperlink ref="AI79" location="'B2.1.2 DATA'!A1" display="B2.1.2"/>
    <hyperlink ref="AH89" location="'V5.1.3 DATA'!A1" display="V5.1.3"/>
    <hyperlink ref="AI86" location="'B3.1.3 DATA'!A1" display="B3.1.3"/>
    <hyperlink ref="AH84" location="'V4.2.2 DATA'!A1" display="V4.2.2"/>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18366"/>
  </sheetPr>
  <dimension ref="A2:AA56"/>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1" ht="21">
      <c r="P2" s="10"/>
      <c r="Q2" s="11"/>
      <c r="R2" s="11"/>
    </row>
    <row r="3" spans="1:21" ht="23.25">
      <c r="B3" s="338" t="s">
        <v>489</v>
      </c>
      <c r="C3" s="338"/>
      <c r="D3" s="338"/>
      <c r="E3" s="338"/>
      <c r="F3" s="338"/>
      <c r="G3" s="338"/>
      <c r="H3" s="338"/>
      <c r="I3" s="338"/>
      <c r="J3" s="338"/>
      <c r="K3" s="338"/>
      <c r="L3" s="338"/>
      <c r="M3" s="338"/>
      <c r="N3" s="338"/>
      <c r="O3" s="338"/>
      <c r="P3" s="338"/>
      <c r="Q3" s="338"/>
      <c r="R3" s="338"/>
      <c r="S3" s="338"/>
      <c r="T3" s="338"/>
    </row>
    <row r="4" spans="1:21" ht="30.75">
      <c r="B4" s="366" t="s">
        <v>655</v>
      </c>
      <c r="C4" s="366"/>
      <c r="D4" s="366"/>
      <c r="E4" s="366"/>
      <c r="F4" s="366"/>
      <c r="G4" s="366"/>
      <c r="H4" s="366"/>
      <c r="I4" s="366"/>
      <c r="J4" s="366"/>
      <c r="K4" s="366"/>
      <c r="L4" s="366"/>
      <c r="M4" s="366"/>
      <c r="N4" s="366"/>
      <c r="O4" s="366"/>
      <c r="P4" s="366"/>
      <c r="Q4" s="366"/>
      <c r="R4" s="366"/>
      <c r="S4" s="366"/>
      <c r="T4" s="366"/>
    </row>
    <row r="5" spans="1:21" ht="18">
      <c r="B5" s="340" t="s">
        <v>8</v>
      </c>
      <c r="C5" s="340"/>
      <c r="D5" s="340"/>
      <c r="E5" s="340"/>
      <c r="F5" s="340"/>
      <c r="G5" s="340"/>
      <c r="H5" s="340"/>
      <c r="I5" s="340"/>
      <c r="J5" s="340"/>
      <c r="K5" s="340"/>
      <c r="L5" s="340"/>
      <c r="M5" s="340"/>
      <c r="N5" s="340"/>
      <c r="O5" s="340"/>
      <c r="P5" s="340"/>
      <c r="Q5" s="340"/>
      <c r="R5" s="340"/>
      <c r="S5" s="340"/>
      <c r="T5" s="340"/>
    </row>
    <row r="6" spans="1:21">
      <c r="P6" s="11"/>
      <c r="Q6" s="11"/>
      <c r="R6" s="11"/>
    </row>
    <row r="7" spans="1:21" ht="15.75">
      <c r="B7" s="26" t="s">
        <v>35</v>
      </c>
      <c r="E7" s="27">
        <v>42977</v>
      </c>
      <c r="I7" s="114"/>
      <c r="P7" s="11"/>
      <c r="Q7" s="342" t="s">
        <v>44</v>
      </c>
      <c r="R7" s="342"/>
      <c r="S7" s="342"/>
      <c r="T7" s="342"/>
    </row>
    <row r="8" spans="1:21">
      <c r="P8" s="11"/>
      <c r="Q8" s="11"/>
      <c r="R8" s="11"/>
    </row>
    <row r="9" spans="1:21" ht="23.65" thickBot="1">
      <c r="B9" s="341" t="s">
        <v>306</v>
      </c>
      <c r="C9" s="341"/>
      <c r="D9" s="341"/>
      <c r="E9" s="341"/>
      <c r="F9" s="341"/>
      <c r="G9" s="341"/>
      <c r="H9" s="341"/>
      <c r="I9" s="341"/>
      <c r="J9" s="341"/>
      <c r="K9" s="341"/>
      <c r="L9" s="341"/>
      <c r="N9" s="331" t="s">
        <v>38</v>
      </c>
      <c r="O9" s="331"/>
      <c r="P9" s="331"/>
      <c r="Q9" s="331"/>
      <c r="R9" s="331"/>
      <c r="S9" s="331"/>
      <c r="T9" s="331"/>
    </row>
    <row r="10" spans="1:21" ht="23.25">
      <c r="B10" s="216"/>
      <c r="C10" s="216"/>
      <c r="D10" s="216"/>
      <c r="E10" s="216"/>
      <c r="F10" s="216"/>
      <c r="G10" s="216"/>
      <c r="H10" s="216"/>
      <c r="I10" s="216"/>
      <c r="J10" s="216"/>
      <c r="K10" s="216"/>
      <c r="L10" s="216"/>
      <c r="N10" s="122"/>
      <c r="O10" s="122"/>
      <c r="P10" s="122"/>
      <c r="Q10" s="122"/>
      <c r="R10" s="122"/>
      <c r="S10" s="122"/>
      <c r="T10" s="122"/>
    </row>
    <row r="11" spans="1:21">
      <c r="B11" s="348" t="s">
        <v>40</v>
      </c>
      <c r="C11" s="348"/>
      <c r="D11" s="348"/>
      <c r="E11" s="348"/>
      <c r="F11" s="348"/>
      <c r="G11" s="348"/>
      <c r="H11" s="348"/>
      <c r="I11" s="348"/>
      <c r="J11" s="348"/>
      <c r="K11" s="348"/>
      <c r="L11" s="348"/>
      <c r="N11" s="86"/>
      <c r="O11" s="86"/>
      <c r="P11" s="86"/>
      <c r="Q11" s="86"/>
      <c r="T11" s="86"/>
    </row>
    <row r="12" spans="1:21">
      <c r="B12" s="217"/>
      <c r="C12" s="349" t="s">
        <v>379</v>
      </c>
      <c r="D12" s="349"/>
      <c r="E12" s="349"/>
      <c r="F12" s="349"/>
      <c r="G12" s="349"/>
      <c r="H12" s="349"/>
      <c r="I12" s="349"/>
      <c r="J12" s="349"/>
      <c r="K12" s="349"/>
      <c r="L12" s="349"/>
      <c r="N12" s="88"/>
      <c r="O12" s="86"/>
      <c r="P12" s="86"/>
      <c r="Q12" s="86"/>
      <c r="R12" s="2"/>
      <c r="S12" s="2"/>
      <c r="T12" s="86"/>
    </row>
    <row r="13" spans="1:21">
      <c r="B13" s="218"/>
      <c r="C13" s="350" t="s">
        <v>293</v>
      </c>
      <c r="D13" s="350"/>
      <c r="E13" s="350"/>
      <c r="F13" s="350"/>
      <c r="G13" s="350"/>
      <c r="H13" s="350"/>
      <c r="I13" s="350"/>
      <c r="J13" s="350"/>
      <c r="K13" s="350"/>
      <c r="L13" s="350"/>
      <c r="N13" s="88"/>
      <c r="O13" s="86"/>
      <c r="P13" s="86"/>
      <c r="Q13" s="86"/>
      <c r="R13" s="2"/>
      <c r="S13" s="2"/>
      <c r="T13" s="86"/>
    </row>
    <row r="14" spans="1:21">
      <c r="B14" s="218"/>
      <c r="C14" s="346" t="s">
        <v>292</v>
      </c>
      <c r="D14" s="346"/>
      <c r="E14" s="346"/>
      <c r="F14" s="346"/>
      <c r="G14" s="346"/>
      <c r="H14" s="346"/>
      <c r="I14" s="346"/>
      <c r="J14" s="346"/>
      <c r="K14" s="346"/>
      <c r="L14" s="346"/>
      <c r="N14" s="88"/>
      <c r="O14" s="86"/>
      <c r="P14" s="86"/>
      <c r="Q14" s="86"/>
      <c r="R14" s="2"/>
      <c r="S14" s="2"/>
      <c r="T14" s="86"/>
      <c r="U14" s="2"/>
    </row>
    <row r="15" spans="1:21">
      <c r="B15" s="218"/>
      <c r="C15" s="346" t="s">
        <v>294</v>
      </c>
      <c r="D15" s="346"/>
      <c r="E15" s="346"/>
      <c r="F15" s="346"/>
      <c r="G15" s="346"/>
      <c r="H15" s="346"/>
      <c r="I15" s="346"/>
      <c r="J15" s="346"/>
      <c r="K15" s="346"/>
      <c r="L15" s="346"/>
      <c r="N15" s="88"/>
      <c r="O15" s="86"/>
      <c r="P15" s="86"/>
      <c r="Q15" s="86"/>
      <c r="R15" s="2"/>
      <c r="S15" s="2"/>
      <c r="T15" s="86"/>
      <c r="U15" s="2"/>
    </row>
    <row r="16" spans="1:21">
      <c r="A16" s="3"/>
      <c r="B16" s="218"/>
      <c r="C16" s="219"/>
      <c r="D16" s="219"/>
      <c r="E16" s="219"/>
      <c r="F16" s="219"/>
      <c r="G16" s="219"/>
      <c r="H16" s="219"/>
      <c r="I16" s="219"/>
      <c r="J16" s="219"/>
      <c r="K16" s="219"/>
      <c r="L16" s="218"/>
      <c r="N16" s="88"/>
      <c r="O16" s="86"/>
      <c r="P16" s="86"/>
      <c r="Q16" s="86"/>
      <c r="R16" s="2"/>
      <c r="S16" s="2"/>
      <c r="T16" s="86"/>
      <c r="U16" s="2"/>
    </row>
    <row r="17" spans="1:26">
      <c r="A17" s="3"/>
      <c r="B17" s="348" t="s">
        <v>41</v>
      </c>
      <c r="C17" s="348"/>
      <c r="D17" s="348"/>
      <c r="E17" s="348"/>
      <c r="F17" s="348"/>
      <c r="G17" s="348"/>
      <c r="H17" s="348"/>
      <c r="I17" s="348"/>
      <c r="J17" s="348"/>
      <c r="K17" s="348"/>
      <c r="L17" s="348"/>
      <c r="N17" s="88"/>
      <c r="O17" s="86"/>
      <c r="P17" s="86"/>
      <c r="Q17" s="86"/>
      <c r="R17" s="2"/>
      <c r="S17" s="2"/>
      <c r="T17" s="86"/>
      <c r="U17" s="2"/>
    </row>
    <row r="18" spans="1:26">
      <c r="A18" s="3"/>
      <c r="B18" s="217"/>
      <c r="C18" s="346" t="s">
        <v>295</v>
      </c>
      <c r="D18" s="346"/>
      <c r="E18" s="346"/>
      <c r="F18" s="346"/>
      <c r="G18" s="346"/>
      <c r="H18" s="346"/>
      <c r="I18" s="346"/>
      <c r="J18" s="346"/>
      <c r="K18" s="346"/>
      <c r="L18" s="346"/>
      <c r="N18" s="88"/>
      <c r="O18" s="86"/>
      <c r="P18" s="86"/>
      <c r="Q18" s="86"/>
      <c r="R18" s="2"/>
      <c r="S18" s="2"/>
      <c r="T18" s="86"/>
      <c r="U18" s="2"/>
    </row>
    <row r="19" spans="1:26">
      <c r="A19" s="3"/>
      <c r="B19" s="218"/>
      <c r="C19" s="346" t="s">
        <v>318</v>
      </c>
      <c r="D19" s="346"/>
      <c r="E19" s="346"/>
      <c r="F19" s="346"/>
      <c r="G19" s="346"/>
      <c r="H19" s="346"/>
      <c r="I19" s="346"/>
      <c r="J19" s="346"/>
      <c r="K19" s="346"/>
      <c r="L19" s="346"/>
      <c r="N19" s="88"/>
      <c r="O19" s="86"/>
      <c r="P19" s="86"/>
      <c r="Q19" s="86"/>
      <c r="R19" s="2"/>
      <c r="S19" s="2"/>
      <c r="T19" s="86"/>
      <c r="U19" s="2"/>
    </row>
    <row r="20" spans="1:26">
      <c r="A20" s="3"/>
      <c r="B20" s="218"/>
      <c r="C20" s="346" t="s">
        <v>369</v>
      </c>
      <c r="D20" s="346"/>
      <c r="E20" s="346"/>
      <c r="F20" s="346"/>
      <c r="G20" s="346"/>
      <c r="H20" s="346"/>
      <c r="I20" s="346"/>
      <c r="J20" s="346"/>
      <c r="K20" s="346"/>
      <c r="L20" s="346"/>
      <c r="N20" s="88"/>
      <c r="O20" s="86"/>
      <c r="P20" s="86"/>
      <c r="Q20" s="86"/>
      <c r="R20" s="2"/>
      <c r="S20" s="2"/>
      <c r="T20" s="86"/>
      <c r="U20" s="2"/>
    </row>
    <row r="21" spans="1:26">
      <c r="A21" s="3"/>
      <c r="B21" s="218"/>
      <c r="C21" s="220" t="str">
        <f>"--&gt;"</f>
        <v>--&gt;</v>
      </c>
      <c r="D21" s="347" t="s">
        <v>212</v>
      </c>
      <c r="E21" s="347"/>
      <c r="F21" s="347"/>
      <c r="G21" s="347"/>
      <c r="H21" s="347"/>
      <c r="I21" s="347"/>
      <c r="J21" s="347"/>
      <c r="K21" s="347"/>
      <c r="L21" s="347"/>
      <c r="N21" s="88"/>
      <c r="O21" s="86"/>
      <c r="P21" s="86"/>
      <c r="Q21" s="86"/>
      <c r="R21" s="2"/>
      <c r="S21" s="2"/>
      <c r="T21" s="86"/>
      <c r="U21" s="2"/>
    </row>
    <row r="22" spans="1:26">
      <c r="A22" s="3"/>
      <c r="B22" s="218"/>
      <c r="C22" s="218"/>
      <c r="D22" s="347"/>
      <c r="E22" s="347"/>
      <c r="F22" s="347"/>
      <c r="G22" s="347"/>
      <c r="H22" s="347"/>
      <c r="I22" s="347"/>
      <c r="J22" s="347"/>
      <c r="K22" s="347"/>
      <c r="L22" s="347"/>
      <c r="R22" s="86"/>
      <c r="S22" s="86"/>
      <c r="T22" s="86"/>
      <c r="U22" s="2"/>
    </row>
    <row r="23" spans="1:26">
      <c r="A23" s="3"/>
      <c r="B23" s="218"/>
      <c r="C23" s="346" t="s">
        <v>356</v>
      </c>
      <c r="D23" s="346"/>
      <c r="E23" s="346"/>
      <c r="F23" s="346"/>
      <c r="G23" s="346"/>
      <c r="H23" s="346"/>
      <c r="I23" s="346"/>
      <c r="J23" s="346"/>
      <c r="K23" s="346"/>
      <c r="L23" s="346"/>
      <c r="Q23" s="86"/>
      <c r="R23" s="86"/>
      <c r="S23" s="86"/>
      <c r="T23" s="86"/>
      <c r="U23" s="2"/>
    </row>
    <row r="24" spans="1:26">
      <c r="A24" s="3"/>
      <c r="B24" s="218"/>
      <c r="C24" s="346"/>
      <c r="D24" s="346"/>
      <c r="E24" s="346"/>
      <c r="F24" s="346"/>
      <c r="G24" s="346"/>
      <c r="H24" s="346"/>
      <c r="I24" s="346"/>
      <c r="J24" s="346"/>
      <c r="K24" s="346"/>
      <c r="L24" s="346"/>
      <c r="Q24" s="2"/>
      <c r="R24" s="2"/>
      <c r="S24" s="2"/>
      <c r="T24" s="2"/>
      <c r="U24" s="2"/>
    </row>
    <row r="25" spans="1:26">
      <c r="A25" s="3"/>
      <c r="B25" s="218"/>
      <c r="C25" s="346"/>
      <c r="D25" s="346"/>
      <c r="E25" s="346"/>
      <c r="F25" s="346"/>
      <c r="G25" s="346"/>
      <c r="H25" s="346"/>
      <c r="I25" s="346"/>
      <c r="J25" s="346"/>
      <c r="K25" s="346"/>
      <c r="L25" s="346"/>
      <c r="S25" s="11"/>
      <c r="T25" s="11"/>
    </row>
    <row r="26" spans="1:26">
      <c r="A26" s="3"/>
      <c r="B26" s="218"/>
      <c r="C26" s="344" t="s">
        <v>322</v>
      </c>
      <c r="D26" s="344"/>
      <c r="E26" s="344"/>
      <c r="F26" s="344"/>
      <c r="G26" s="344"/>
      <c r="H26" s="344"/>
      <c r="I26" s="344"/>
      <c r="J26" s="344"/>
      <c r="K26" s="344"/>
      <c r="L26" s="344"/>
      <c r="S26" s="11"/>
      <c r="T26" s="11"/>
    </row>
    <row r="27" spans="1:26">
      <c r="B27" s="219"/>
      <c r="C27" s="344"/>
      <c r="D27" s="344"/>
      <c r="E27" s="344"/>
      <c r="F27" s="344"/>
      <c r="G27" s="344"/>
      <c r="H27" s="344"/>
      <c r="I27" s="344"/>
      <c r="J27" s="344"/>
      <c r="K27" s="344"/>
      <c r="L27" s="344"/>
      <c r="Q27" s="2"/>
      <c r="S27" s="11"/>
      <c r="T27" s="11"/>
    </row>
    <row r="28" spans="1:26">
      <c r="B28" s="219"/>
      <c r="C28" s="344"/>
      <c r="D28" s="344"/>
      <c r="E28" s="344"/>
      <c r="F28" s="344"/>
      <c r="G28" s="344"/>
      <c r="H28" s="344"/>
      <c r="I28" s="344"/>
      <c r="J28" s="344"/>
      <c r="K28" s="344"/>
      <c r="L28" s="344"/>
      <c r="Q28" s="2"/>
      <c r="S28" s="11"/>
      <c r="T28" s="11"/>
    </row>
    <row r="29" spans="1:26">
      <c r="B29" s="221"/>
      <c r="C29" s="345"/>
      <c r="D29" s="345"/>
      <c r="E29" s="345"/>
      <c r="F29" s="345"/>
      <c r="G29" s="345"/>
      <c r="H29" s="345"/>
      <c r="I29" s="345"/>
      <c r="J29" s="345"/>
      <c r="K29" s="345"/>
      <c r="L29" s="345"/>
      <c r="S29" s="11"/>
      <c r="T29" s="11"/>
    </row>
    <row r="30" spans="1:26">
      <c r="B30" s="222"/>
      <c r="C30" s="345"/>
      <c r="D30" s="345"/>
      <c r="E30" s="345"/>
      <c r="F30" s="345"/>
      <c r="G30" s="345"/>
      <c r="H30" s="345"/>
      <c r="I30" s="345"/>
      <c r="J30" s="345"/>
      <c r="K30" s="345"/>
      <c r="L30" s="345"/>
      <c r="M30" s="9"/>
      <c r="N30" s="122"/>
      <c r="O30" s="34"/>
      <c r="P30" s="35"/>
      <c r="Q30" s="35"/>
      <c r="R30" s="35"/>
      <c r="S30" s="35"/>
      <c r="T30" s="122"/>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19"/>
      <c r="C33" s="119"/>
      <c r="D33" s="119"/>
      <c r="E33" s="119"/>
      <c r="F33" s="119"/>
      <c r="G33" s="119"/>
      <c r="H33" s="119"/>
      <c r="I33" s="119"/>
      <c r="J33" s="119"/>
      <c r="K33" s="119"/>
      <c r="L33" s="119"/>
      <c r="M33" s="119"/>
      <c r="N33" s="119"/>
      <c r="O33" s="119"/>
      <c r="P33" s="119"/>
      <c r="Q33" s="119"/>
      <c r="R33" s="119"/>
      <c r="S33" s="119"/>
      <c r="T33" s="119"/>
      <c r="V33" s="319" t="s">
        <v>65</v>
      </c>
      <c r="W33" s="320"/>
      <c r="X33" s="11"/>
      <c r="Y33" s="319" t="s">
        <v>66</v>
      </c>
      <c r="Z33" s="320"/>
    </row>
    <row r="34" spans="1:27">
      <c r="B34" s="119"/>
      <c r="C34" s="119"/>
      <c r="D34" s="119"/>
      <c r="E34" s="119"/>
      <c r="F34" s="119"/>
      <c r="G34" s="119"/>
      <c r="H34" s="119"/>
      <c r="I34" s="119"/>
      <c r="J34" s="119"/>
      <c r="K34" s="119"/>
      <c r="L34" s="119"/>
      <c r="M34" s="119"/>
      <c r="N34" s="119"/>
      <c r="O34" s="119"/>
      <c r="P34" s="119"/>
      <c r="Q34" s="119"/>
      <c r="R34" s="119"/>
      <c r="S34" s="119"/>
      <c r="T34" s="119"/>
      <c r="V34" s="56" t="s">
        <v>61</v>
      </c>
      <c r="W34" s="56" t="s">
        <v>62</v>
      </c>
      <c r="X34" s="11"/>
      <c r="Y34" s="56" t="s">
        <v>61</v>
      </c>
      <c r="Z34" s="56" t="s">
        <v>62</v>
      </c>
    </row>
    <row r="35" spans="1:27">
      <c r="B35" s="119"/>
      <c r="C35" s="119"/>
      <c r="D35" s="119"/>
      <c r="E35" s="119"/>
      <c r="F35" s="119"/>
      <c r="G35" s="119"/>
      <c r="H35" s="119"/>
      <c r="I35" s="119"/>
      <c r="J35" s="119"/>
      <c r="K35" s="119"/>
      <c r="L35" s="119"/>
      <c r="M35" s="119"/>
      <c r="N35" s="119"/>
      <c r="O35" s="119"/>
      <c r="P35" s="119"/>
      <c r="Q35" s="119"/>
      <c r="R35" s="119"/>
      <c r="S35" s="119"/>
      <c r="T35" s="119"/>
      <c r="V35" s="244" t="s">
        <v>392</v>
      </c>
      <c r="W35" s="244" t="s">
        <v>448</v>
      </c>
      <c r="X35" s="11"/>
      <c r="Y35" s="244" t="s">
        <v>392</v>
      </c>
      <c r="Z35" s="244" t="s">
        <v>448</v>
      </c>
    </row>
    <row r="36" spans="1:27">
      <c r="B36" s="119"/>
      <c r="C36" s="119"/>
      <c r="D36" s="119"/>
      <c r="E36" s="119"/>
      <c r="F36" s="119"/>
      <c r="G36" s="119"/>
      <c r="H36" s="119"/>
      <c r="I36" s="119"/>
      <c r="J36" s="119"/>
      <c r="K36" s="119"/>
      <c r="L36" s="119"/>
      <c r="M36" s="119"/>
      <c r="N36" s="119"/>
      <c r="O36" s="119"/>
      <c r="P36" s="119"/>
      <c r="Q36" s="119"/>
      <c r="R36" s="119"/>
      <c r="S36" s="119"/>
      <c r="T36" s="119"/>
      <c r="V36" s="244" t="s">
        <v>393</v>
      </c>
      <c r="W36" s="244" t="s">
        <v>449</v>
      </c>
      <c r="X36" s="11"/>
      <c r="Y36" s="244" t="s">
        <v>393</v>
      </c>
      <c r="Z36" s="244" t="s">
        <v>449</v>
      </c>
    </row>
    <row r="37" spans="1:27">
      <c r="B37" s="119"/>
      <c r="C37" s="119"/>
      <c r="D37" s="119"/>
      <c r="E37" s="119"/>
      <c r="F37" s="119"/>
      <c r="G37" s="119"/>
      <c r="H37" s="119"/>
      <c r="I37" s="119"/>
      <c r="J37" s="119"/>
      <c r="K37" s="119"/>
      <c r="L37" s="119"/>
      <c r="M37" s="119"/>
      <c r="N37" s="119"/>
      <c r="O37" s="119"/>
      <c r="P37" s="119"/>
      <c r="Q37" s="119"/>
      <c r="R37" s="119"/>
      <c r="S37" s="119"/>
      <c r="T37" s="119"/>
      <c r="V37" s="244" t="s">
        <v>394</v>
      </c>
      <c r="W37" s="244" t="s">
        <v>450</v>
      </c>
      <c r="X37" s="11"/>
      <c r="Y37" s="244" t="s">
        <v>394</v>
      </c>
      <c r="Z37" s="244" t="s">
        <v>450</v>
      </c>
    </row>
    <row r="38" spans="1:27">
      <c r="B38" s="119"/>
      <c r="C38" s="119"/>
      <c r="D38" s="119"/>
      <c r="E38" s="119"/>
      <c r="F38" s="119"/>
      <c r="G38" s="119"/>
      <c r="H38" s="119"/>
      <c r="I38" s="119"/>
      <c r="J38" s="119"/>
      <c r="K38" s="119"/>
      <c r="L38" s="119"/>
      <c r="M38" s="119"/>
      <c r="N38" s="119"/>
      <c r="O38" s="119"/>
      <c r="P38" s="119"/>
      <c r="Q38" s="119"/>
      <c r="R38" s="119"/>
      <c r="S38" s="119"/>
      <c r="T38" s="119"/>
      <c r="V38" s="244" t="s">
        <v>434</v>
      </c>
      <c r="W38" s="244" t="s">
        <v>451</v>
      </c>
      <c r="X38" s="11"/>
      <c r="Y38" s="244" t="s">
        <v>434</v>
      </c>
      <c r="Z38" s="244" t="s">
        <v>451</v>
      </c>
    </row>
    <row r="39" spans="1:27">
      <c r="B39" s="119"/>
      <c r="C39" s="119"/>
      <c r="D39" s="119"/>
      <c r="E39" s="119"/>
      <c r="F39" s="119"/>
      <c r="G39" s="119"/>
      <c r="H39" s="119"/>
      <c r="I39" s="119"/>
      <c r="J39" s="119"/>
      <c r="K39" s="119"/>
      <c r="L39" s="119"/>
      <c r="M39" s="119"/>
      <c r="N39" s="119"/>
      <c r="O39" s="119"/>
      <c r="P39" s="119"/>
      <c r="Q39" s="119"/>
      <c r="R39" s="119"/>
      <c r="S39" s="119"/>
      <c r="T39" s="119"/>
      <c r="V39" s="244" t="s">
        <v>435</v>
      </c>
      <c r="W39" s="244" t="s">
        <v>452</v>
      </c>
      <c r="Y39" s="244" t="s">
        <v>435</v>
      </c>
      <c r="Z39" s="244" t="s">
        <v>452</v>
      </c>
    </row>
    <row r="40" spans="1:27">
      <c r="B40" s="119"/>
      <c r="C40" s="119"/>
      <c r="D40" s="119"/>
      <c r="E40" s="119"/>
      <c r="F40" s="119"/>
      <c r="G40" s="119"/>
      <c r="H40" s="119"/>
      <c r="I40" s="119"/>
      <c r="J40" s="119"/>
      <c r="K40" s="119"/>
      <c r="L40" s="119"/>
      <c r="M40" s="119"/>
      <c r="N40" s="119"/>
      <c r="O40" s="119"/>
      <c r="P40" s="119"/>
      <c r="Q40" s="119"/>
      <c r="R40" s="119"/>
      <c r="S40" s="119"/>
      <c r="T40" s="119"/>
      <c r="V40" s="244" t="s">
        <v>436</v>
      </c>
      <c r="W40" s="244" t="s">
        <v>453</v>
      </c>
      <c r="Y40" s="244" t="s">
        <v>436</v>
      </c>
      <c r="Z40" s="244" t="s">
        <v>453</v>
      </c>
    </row>
    <row r="41" spans="1:27">
      <c r="B41" s="119"/>
      <c r="C41" s="119"/>
      <c r="D41" s="119"/>
      <c r="E41" s="119"/>
      <c r="F41" s="119"/>
      <c r="G41" s="119"/>
      <c r="H41" s="119"/>
      <c r="I41" s="119"/>
      <c r="J41" s="119"/>
      <c r="K41" s="119"/>
      <c r="L41" s="119"/>
      <c r="M41" s="119"/>
      <c r="N41" s="119"/>
      <c r="O41" s="119"/>
      <c r="P41" s="119"/>
      <c r="Q41" s="119"/>
      <c r="R41" s="119"/>
      <c r="S41" s="119"/>
      <c r="T41" s="119"/>
      <c r="V41" s="244" t="s">
        <v>437</v>
      </c>
      <c r="W41" s="245" t="s">
        <v>454</v>
      </c>
      <c r="Y41" s="244" t="s">
        <v>437</v>
      </c>
      <c r="Z41" s="245" t="s">
        <v>454</v>
      </c>
      <c r="AA41" s="9"/>
    </row>
    <row r="42" spans="1:27">
      <c r="B42" s="119"/>
      <c r="C42" s="119"/>
      <c r="D42" s="119"/>
      <c r="E42" s="119"/>
      <c r="F42" s="119"/>
      <c r="G42" s="119"/>
      <c r="H42" s="119"/>
      <c r="I42" s="119"/>
      <c r="J42" s="119"/>
      <c r="K42" s="119"/>
      <c r="L42" s="119"/>
      <c r="M42" s="119"/>
      <c r="N42" s="119"/>
      <c r="O42" s="119"/>
      <c r="P42" s="119"/>
      <c r="Q42" s="119"/>
      <c r="R42" s="119"/>
      <c r="S42" s="119"/>
      <c r="T42" s="119"/>
      <c r="V42" s="244" t="s">
        <v>438</v>
      </c>
      <c r="W42" s="244" t="s">
        <v>455</v>
      </c>
      <c r="Y42" s="244" t="s">
        <v>438</v>
      </c>
      <c r="Z42" s="244" t="s">
        <v>455</v>
      </c>
      <c r="AA42" s="9"/>
    </row>
    <row r="43" spans="1:27">
      <c r="B43" s="119"/>
      <c r="C43" s="119"/>
      <c r="D43" s="119"/>
      <c r="E43" s="119"/>
      <c r="F43" s="119"/>
      <c r="G43" s="119"/>
      <c r="H43" s="119"/>
      <c r="I43" s="119"/>
      <c r="J43" s="119"/>
      <c r="K43" s="119"/>
      <c r="L43" s="119"/>
      <c r="M43" s="119"/>
      <c r="N43" s="119"/>
      <c r="O43" s="119"/>
      <c r="P43" s="119"/>
      <c r="Q43" s="119"/>
      <c r="R43" s="119"/>
      <c r="S43" s="119"/>
      <c r="T43" s="119"/>
      <c r="V43" s="245" t="s">
        <v>439</v>
      </c>
      <c r="W43" s="244" t="s">
        <v>456</v>
      </c>
      <c r="Y43" s="244" t="s">
        <v>439</v>
      </c>
      <c r="Z43" s="244" t="s">
        <v>456</v>
      </c>
      <c r="AA43" s="9"/>
    </row>
    <row r="44" spans="1:27">
      <c r="B44" s="119"/>
      <c r="C44" s="119"/>
      <c r="D44" s="119"/>
      <c r="E44" s="119"/>
      <c r="F44" s="119"/>
      <c r="G44" s="119"/>
      <c r="H44" s="119"/>
      <c r="I44" s="119"/>
      <c r="J44" s="119"/>
      <c r="K44" s="119"/>
      <c r="L44" s="119"/>
      <c r="M44" s="119"/>
      <c r="N44" s="119"/>
      <c r="O44" s="119"/>
      <c r="P44" s="119"/>
      <c r="Q44" s="119"/>
      <c r="R44" s="119"/>
      <c r="S44" s="119"/>
      <c r="T44" s="119"/>
      <c r="V44" s="244" t="s">
        <v>440</v>
      </c>
      <c r="W44" s="244" t="s">
        <v>457</v>
      </c>
      <c r="Y44" s="244" t="s">
        <v>440</v>
      </c>
      <c r="Z44" s="244" t="s">
        <v>457</v>
      </c>
      <c r="AA44" s="9"/>
    </row>
    <row r="45" spans="1:27">
      <c r="B45" s="119"/>
      <c r="C45" s="119"/>
      <c r="D45" s="119"/>
      <c r="E45" s="119"/>
      <c r="F45" s="119"/>
      <c r="G45" s="119"/>
      <c r="H45" s="119"/>
      <c r="I45" s="119"/>
      <c r="J45" s="119"/>
      <c r="K45" s="119"/>
      <c r="L45" s="119"/>
      <c r="M45" s="119"/>
      <c r="N45" s="119"/>
      <c r="O45" s="119"/>
      <c r="P45" s="119"/>
      <c r="Q45" s="119"/>
      <c r="R45" s="119"/>
      <c r="S45" s="119"/>
      <c r="T45" s="119"/>
      <c r="V45" s="244" t="s">
        <v>441</v>
      </c>
      <c r="W45" s="244" t="s">
        <v>458</v>
      </c>
      <c r="Y45" s="244" t="s">
        <v>441</v>
      </c>
      <c r="Z45" s="244" t="s">
        <v>458</v>
      </c>
      <c r="AA45" s="9"/>
    </row>
    <row r="46" spans="1:27">
      <c r="B46" s="119"/>
      <c r="C46" s="119"/>
      <c r="D46" s="119"/>
      <c r="E46" s="119"/>
      <c r="F46" s="119"/>
      <c r="G46" s="119"/>
      <c r="H46" s="119"/>
      <c r="I46" s="119"/>
      <c r="J46" s="119"/>
      <c r="K46" s="119"/>
      <c r="L46" s="119"/>
      <c r="M46" s="119"/>
      <c r="N46" s="119"/>
      <c r="O46" s="119"/>
      <c r="P46" s="119"/>
      <c r="Q46" s="119"/>
      <c r="R46" s="119"/>
      <c r="S46" s="119"/>
      <c r="T46" s="119"/>
      <c r="V46" s="244" t="s">
        <v>442</v>
      </c>
      <c r="W46" s="244" t="s">
        <v>459</v>
      </c>
      <c r="Y46" s="244" t="s">
        <v>442</v>
      </c>
      <c r="Z46" s="244" t="s">
        <v>459</v>
      </c>
      <c r="AA46" s="9"/>
    </row>
    <row r="47" spans="1:27">
      <c r="B47" s="119"/>
      <c r="C47" s="119"/>
      <c r="D47" s="119"/>
      <c r="E47" s="119"/>
      <c r="F47" s="119"/>
      <c r="G47" s="119"/>
      <c r="H47" s="119"/>
      <c r="I47" s="119"/>
      <c r="J47" s="119"/>
      <c r="K47" s="119"/>
      <c r="L47" s="119"/>
      <c r="M47" s="119"/>
      <c r="N47" s="119"/>
      <c r="O47" s="119"/>
      <c r="P47" s="119"/>
      <c r="Q47" s="119"/>
      <c r="R47" s="119"/>
      <c r="S47" s="119"/>
      <c r="T47" s="119"/>
      <c r="V47" s="244" t="s">
        <v>443</v>
      </c>
      <c r="W47" s="244" t="s">
        <v>460</v>
      </c>
      <c r="Y47" s="244" t="s">
        <v>443</v>
      </c>
      <c r="Z47" s="244" t="s">
        <v>460</v>
      </c>
      <c r="AA47" s="9"/>
    </row>
    <row r="48" spans="1:27">
      <c r="B48" s="119"/>
      <c r="C48" s="119"/>
      <c r="D48" s="119"/>
      <c r="E48" s="119"/>
      <c r="F48" s="119"/>
      <c r="G48" s="119"/>
      <c r="H48" s="119"/>
      <c r="I48" s="119"/>
      <c r="J48" s="119"/>
      <c r="K48" s="119"/>
      <c r="L48" s="119"/>
      <c r="M48" s="119"/>
      <c r="N48" s="119"/>
      <c r="O48" s="119"/>
      <c r="P48" s="119"/>
      <c r="Q48" s="119"/>
      <c r="R48" s="119"/>
      <c r="S48" s="119"/>
      <c r="T48" s="119"/>
      <c r="V48" s="244" t="s">
        <v>444</v>
      </c>
      <c r="W48" s="245" t="s">
        <v>461</v>
      </c>
      <c r="Y48" s="244" t="s">
        <v>444</v>
      </c>
      <c r="Z48" s="245" t="s">
        <v>461</v>
      </c>
      <c r="AA48" s="9"/>
    </row>
    <row r="49" spans="2:27">
      <c r="B49" s="119"/>
      <c r="C49" s="119"/>
      <c r="D49" s="119"/>
      <c r="E49" s="119"/>
      <c r="F49" s="119"/>
      <c r="G49" s="119"/>
      <c r="H49" s="119"/>
      <c r="I49" s="119"/>
      <c r="J49" s="119"/>
      <c r="K49" s="119"/>
      <c r="L49" s="119"/>
      <c r="M49" s="119"/>
      <c r="N49" s="119"/>
      <c r="O49" s="119"/>
      <c r="P49" s="119"/>
      <c r="Q49" s="119"/>
      <c r="R49" s="119"/>
      <c r="S49" s="119"/>
      <c r="T49" s="119"/>
      <c r="V49" s="244" t="s">
        <v>445</v>
      </c>
      <c r="W49" s="244" t="s">
        <v>462</v>
      </c>
      <c r="X49" s="9"/>
      <c r="Y49" s="244" t="s">
        <v>445</v>
      </c>
      <c r="Z49" s="244" t="s">
        <v>462</v>
      </c>
      <c r="AA49" s="9"/>
    </row>
    <row r="50" spans="2:27">
      <c r="B50" s="119"/>
      <c r="C50" s="119"/>
      <c r="D50" s="119"/>
      <c r="E50" s="119"/>
      <c r="F50" s="119"/>
      <c r="G50" s="119"/>
      <c r="H50" s="119"/>
      <c r="I50" s="119"/>
      <c r="J50" s="119"/>
      <c r="K50" s="119"/>
      <c r="L50" s="119"/>
      <c r="M50" s="119"/>
      <c r="N50" s="119"/>
      <c r="O50" s="119"/>
      <c r="P50" s="119"/>
      <c r="Q50" s="119"/>
      <c r="R50" s="119"/>
      <c r="S50" s="119"/>
      <c r="T50" s="119"/>
      <c r="V50" s="246" t="s">
        <v>446</v>
      </c>
      <c r="W50" s="244" t="s">
        <v>463</v>
      </c>
      <c r="X50" s="9"/>
      <c r="Y50" s="246" t="s">
        <v>446</v>
      </c>
      <c r="Z50" s="244" t="s">
        <v>463</v>
      </c>
      <c r="AA50" s="9"/>
    </row>
    <row r="51" spans="2:27">
      <c r="B51" s="119"/>
      <c r="C51" s="119"/>
      <c r="D51" s="119"/>
      <c r="E51" s="119"/>
      <c r="F51" s="119"/>
      <c r="G51" s="119"/>
      <c r="H51" s="119"/>
      <c r="I51" s="119"/>
      <c r="J51" s="119"/>
      <c r="K51" s="119"/>
      <c r="L51" s="119"/>
      <c r="M51" s="119"/>
      <c r="N51" s="119"/>
      <c r="O51" s="119"/>
      <c r="P51" s="119"/>
      <c r="Q51" s="119"/>
      <c r="R51" s="119"/>
      <c r="S51" s="119"/>
      <c r="T51" s="119"/>
      <c r="V51" s="247" t="s">
        <v>447</v>
      </c>
      <c r="W51" s="244" t="s">
        <v>464</v>
      </c>
      <c r="X51" s="9"/>
      <c r="Y51" s="247" t="s">
        <v>447</v>
      </c>
      <c r="Z51" s="244" t="s">
        <v>464</v>
      </c>
      <c r="AA51" s="9"/>
    </row>
    <row r="52" spans="2:27">
      <c r="B52" s="119"/>
      <c r="C52" s="119"/>
      <c r="D52" s="119"/>
      <c r="E52" s="119"/>
      <c r="F52" s="119"/>
      <c r="G52" s="119"/>
      <c r="H52" s="119"/>
      <c r="I52" s="119"/>
      <c r="J52" s="119"/>
      <c r="K52" s="119"/>
      <c r="L52" s="119"/>
      <c r="M52" s="119"/>
      <c r="N52" s="119"/>
      <c r="O52" s="119"/>
      <c r="P52" s="119"/>
      <c r="Q52" s="119"/>
      <c r="R52" s="119"/>
      <c r="S52" s="119"/>
      <c r="T52" s="119"/>
      <c r="V52" s="295"/>
      <c r="W52" s="244" t="s">
        <v>465</v>
      </c>
      <c r="X52" s="9"/>
      <c r="Y52" s="284"/>
      <c r="Z52" s="244" t="s">
        <v>465</v>
      </c>
      <c r="AA52" s="9"/>
    </row>
    <row r="53" spans="2:27">
      <c r="B53" s="119"/>
      <c r="C53" s="119"/>
      <c r="D53" s="119"/>
      <c r="E53" s="119"/>
      <c r="F53" s="119"/>
      <c r="G53" s="119"/>
      <c r="H53" s="119"/>
      <c r="I53" s="119"/>
      <c r="J53" s="119"/>
      <c r="K53" s="119"/>
      <c r="L53" s="119"/>
      <c r="M53" s="119"/>
      <c r="N53" s="119"/>
      <c r="O53" s="119"/>
      <c r="P53" s="119"/>
      <c r="Q53" s="119"/>
      <c r="R53" s="119"/>
      <c r="S53" s="119"/>
      <c r="T53" s="119"/>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row r="56" spans="2:27">
      <c r="V56" s="9"/>
      <c r="W56" s="9"/>
      <c r="X56" s="9"/>
      <c r="Y56" s="9"/>
      <c r="Z56" s="9"/>
      <c r="AA56" s="9"/>
    </row>
  </sheetData>
  <mergeCells count="24">
    <mergeCell ref="C12:L12"/>
    <mergeCell ref="C13:L13"/>
    <mergeCell ref="C14:L14"/>
    <mergeCell ref="B3:T3"/>
    <mergeCell ref="B4:T4"/>
    <mergeCell ref="B5:T5"/>
    <mergeCell ref="B9:L9"/>
    <mergeCell ref="N9:T9"/>
    <mergeCell ref="Y32:Z32"/>
    <mergeCell ref="Y33:Z33"/>
    <mergeCell ref="Q7:T7"/>
    <mergeCell ref="C23:L25"/>
    <mergeCell ref="C26:L28"/>
    <mergeCell ref="C29:L30"/>
    <mergeCell ref="B32:T32"/>
    <mergeCell ref="V32:W32"/>
    <mergeCell ref="V33:W33"/>
    <mergeCell ref="C15:L15"/>
    <mergeCell ref="B17:L17"/>
    <mergeCell ref="C18:L18"/>
    <mergeCell ref="C19:L19"/>
    <mergeCell ref="C20:L20"/>
    <mergeCell ref="D21:L22"/>
    <mergeCell ref="B11:L11"/>
  </mergeCells>
  <hyperlinks>
    <hyperlink ref="Q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B49073"/>
  </sheetPr>
  <dimension ref="A1:C2"/>
  <sheetViews>
    <sheetView showGridLines="0" showRowColHeaders="0" zoomScale="70" zoomScaleNormal="70" workbookViewId="0"/>
  </sheetViews>
  <sheetFormatPr defaultRowHeight="14.25"/>
  <cols>
    <col min="1" max="1" width="10.46484375" customWidth="1"/>
    <col min="3" max="3" width="12.46484375" customWidth="1"/>
  </cols>
  <sheetData>
    <row r="1" spans="1:3" ht="15.75">
      <c r="A1" s="16" t="s">
        <v>656</v>
      </c>
    </row>
    <row r="2" spans="1:3" ht="15.75">
      <c r="A2" s="26" t="s">
        <v>34</v>
      </c>
      <c r="C2" s="27">
        <v>42977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B5DAC7"/>
  </sheetPr>
  <dimension ref="A2:AA56"/>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14" width="13.1328125" customWidth="1"/>
    <col min="15" max="15" width="16.33203125" customWidth="1"/>
    <col min="16" max="16" width="19.796875" customWidth="1"/>
    <col min="17" max="17" width="23.6640625" customWidth="1"/>
    <col min="18" max="18" width="24.46484375" customWidth="1"/>
    <col min="19" max="19" width="26.19921875" customWidth="1"/>
    <col min="20" max="20" width="24.464843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467</v>
      </c>
      <c r="C3" s="338"/>
      <c r="D3" s="338"/>
      <c r="E3" s="338"/>
      <c r="F3" s="338"/>
      <c r="G3" s="338"/>
      <c r="H3" s="338"/>
      <c r="I3" s="338"/>
      <c r="J3" s="338"/>
      <c r="K3" s="338"/>
      <c r="L3" s="338"/>
      <c r="M3" s="338"/>
      <c r="N3" s="338"/>
      <c r="O3" s="338"/>
      <c r="P3" s="338"/>
      <c r="Q3" s="338"/>
      <c r="R3" s="338"/>
      <c r="S3" s="338"/>
      <c r="T3" s="338"/>
    </row>
    <row r="4" spans="1:20" ht="30.75">
      <c r="B4" s="339" t="s">
        <v>474</v>
      </c>
      <c r="C4" s="339"/>
      <c r="D4" s="339"/>
      <c r="E4" s="339"/>
      <c r="F4" s="339"/>
      <c r="G4" s="339"/>
      <c r="H4" s="339"/>
      <c r="I4" s="339"/>
      <c r="J4" s="339"/>
      <c r="K4" s="339"/>
      <c r="L4" s="339"/>
      <c r="M4" s="339"/>
      <c r="N4" s="339"/>
      <c r="O4" s="339"/>
      <c r="P4" s="339"/>
      <c r="Q4" s="339"/>
      <c r="R4" s="339"/>
      <c r="S4" s="339"/>
      <c r="T4" s="339"/>
    </row>
    <row r="5" spans="1:20" ht="18">
      <c r="B5" s="340" t="s">
        <v>8</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306</v>
      </c>
      <c r="C9" s="341"/>
      <c r="D9" s="341"/>
      <c r="E9" s="341"/>
      <c r="F9" s="341"/>
      <c r="G9" s="341"/>
      <c r="H9" s="341"/>
      <c r="I9" s="341"/>
      <c r="J9" s="341"/>
      <c r="K9" s="341"/>
      <c r="L9" s="341"/>
      <c r="N9" s="331" t="s">
        <v>38</v>
      </c>
      <c r="O9" s="331"/>
      <c r="P9" s="331"/>
      <c r="Q9" s="331"/>
      <c r="R9" s="331"/>
      <c r="S9" s="331"/>
      <c r="T9" s="331"/>
    </row>
    <row r="10" spans="1:20" ht="23.25">
      <c r="B10" s="216"/>
      <c r="C10" s="216"/>
      <c r="D10" s="216"/>
      <c r="E10" s="216"/>
      <c r="F10" s="216"/>
      <c r="G10" s="216"/>
      <c r="H10" s="216"/>
      <c r="I10" s="216"/>
      <c r="J10" s="216"/>
      <c r="K10" s="216"/>
      <c r="L10" s="216"/>
      <c r="N10" s="122"/>
      <c r="O10" s="122"/>
      <c r="P10" s="122"/>
      <c r="Q10" s="122"/>
      <c r="R10" s="122"/>
      <c r="S10" s="122"/>
      <c r="T10" s="122"/>
    </row>
    <row r="11" spans="1:20">
      <c r="B11" s="348" t="s">
        <v>40</v>
      </c>
      <c r="C11" s="348"/>
      <c r="D11" s="348"/>
      <c r="E11" s="348"/>
      <c r="F11" s="348"/>
      <c r="G11" s="348"/>
      <c r="H11" s="348"/>
      <c r="I11" s="348"/>
      <c r="J11" s="348"/>
      <c r="K11" s="348"/>
      <c r="L11" s="348"/>
      <c r="N11" s="11"/>
      <c r="O11" s="11"/>
      <c r="P11" s="11"/>
      <c r="Q11" s="11"/>
    </row>
    <row r="12" spans="1:20">
      <c r="B12" s="217"/>
      <c r="C12" s="349" t="s">
        <v>375</v>
      </c>
      <c r="D12" s="349"/>
      <c r="E12" s="349"/>
      <c r="F12" s="349"/>
      <c r="G12" s="349"/>
      <c r="H12" s="349"/>
      <c r="I12" s="349"/>
      <c r="J12" s="349"/>
      <c r="K12" s="349"/>
      <c r="L12" s="349"/>
      <c r="N12" s="11"/>
      <c r="O12" s="11"/>
      <c r="P12" s="11"/>
      <c r="Q12" s="11"/>
    </row>
    <row r="13" spans="1:20">
      <c r="B13" s="218"/>
      <c r="C13" s="350" t="s">
        <v>299</v>
      </c>
      <c r="D13" s="350"/>
      <c r="E13" s="350"/>
      <c r="F13" s="350"/>
      <c r="G13" s="350"/>
      <c r="H13" s="350"/>
      <c r="I13" s="350"/>
      <c r="J13" s="350"/>
      <c r="K13" s="350"/>
      <c r="L13" s="350"/>
      <c r="N13" s="110"/>
      <c r="O13" s="111"/>
      <c r="P13" s="111"/>
      <c r="Q13" s="111"/>
    </row>
    <row r="14" spans="1:20">
      <c r="B14" s="218"/>
      <c r="C14" s="346" t="s">
        <v>292</v>
      </c>
      <c r="D14" s="346"/>
      <c r="E14" s="346"/>
      <c r="F14" s="346"/>
      <c r="G14" s="346"/>
      <c r="H14" s="346"/>
      <c r="I14" s="346"/>
      <c r="J14" s="346"/>
      <c r="K14" s="346"/>
      <c r="L14" s="346"/>
      <c r="N14" s="110"/>
      <c r="O14" s="111"/>
      <c r="P14" s="111"/>
      <c r="Q14" s="111"/>
    </row>
    <row r="15" spans="1:20">
      <c r="B15" s="218"/>
      <c r="C15" s="346" t="s">
        <v>300</v>
      </c>
      <c r="D15" s="346"/>
      <c r="E15" s="346"/>
      <c r="F15" s="346"/>
      <c r="G15" s="346"/>
      <c r="H15" s="346"/>
      <c r="I15" s="346"/>
      <c r="J15" s="346"/>
      <c r="K15" s="346"/>
      <c r="L15" s="346"/>
      <c r="N15" s="110"/>
      <c r="O15" s="111"/>
      <c r="P15" s="111"/>
      <c r="Q15" s="111"/>
    </row>
    <row r="16" spans="1:20">
      <c r="A16" s="3"/>
      <c r="B16" s="218"/>
      <c r="C16" s="219"/>
      <c r="D16" s="219"/>
      <c r="E16" s="219"/>
      <c r="F16" s="219"/>
      <c r="G16" s="219"/>
      <c r="H16" s="219"/>
      <c r="I16" s="219"/>
      <c r="J16" s="219"/>
      <c r="K16" s="219"/>
      <c r="L16" s="218"/>
      <c r="N16" s="110"/>
      <c r="O16" s="111"/>
      <c r="P16" s="111"/>
      <c r="Q16" s="111"/>
    </row>
    <row r="17" spans="1:26">
      <c r="A17" s="3"/>
      <c r="B17" s="348" t="s">
        <v>41</v>
      </c>
      <c r="C17" s="348"/>
      <c r="D17" s="348"/>
      <c r="E17" s="348"/>
      <c r="F17" s="348"/>
      <c r="G17" s="348"/>
      <c r="H17" s="348"/>
      <c r="I17" s="348"/>
      <c r="J17" s="348"/>
      <c r="K17" s="348"/>
      <c r="L17" s="348"/>
      <c r="N17" s="110"/>
      <c r="O17" s="111"/>
      <c r="P17" s="111"/>
      <c r="Q17" s="111"/>
    </row>
    <row r="18" spans="1:26">
      <c r="A18" s="3"/>
      <c r="B18" s="217"/>
      <c r="C18" s="346" t="s">
        <v>295</v>
      </c>
      <c r="D18" s="346"/>
      <c r="E18" s="346"/>
      <c r="F18" s="346"/>
      <c r="G18" s="346"/>
      <c r="H18" s="346"/>
      <c r="I18" s="346"/>
      <c r="J18" s="346"/>
      <c r="K18" s="346"/>
      <c r="L18" s="346"/>
      <c r="N18" s="110"/>
      <c r="O18" s="111"/>
      <c r="P18" s="111"/>
      <c r="Q18" s="111"/>
    </row>
    <row r="19" spans="1:26">
      <c r="A19" s="3"/>
      <c r="B19" s="218"/>
      <c r="C19" s="346" t="s">
        <v>317</v>
      </c>
      <c r="D19" s="346"/>
      <c r="E19" s="346"/>
      <c r="F19" s="346"/>
      <c r="G19" s="346"/>
      <c r="H19" s="346"/>
      <c r="I19" s="346"/>
      <c r="J19" s="346"/>
      <c r="K19" s="346"/>
      <c r="L19" s="346"/>
      <c r="N19" s="110"/>
      <c r="O19" s="111"/>
      <c r="P19" s="111"/>
      <c r="Q19" s="111"/>
    </row>
    <row r="20" spans="1:26">
      <c r="A20" s="3"/>
      <c r="B20" s="218"/>
      <c r="C20" s="346" t="s">
        <v>369</v>
      </c>
      <c r="D20" s="346"/>
      <c r="E20" s="346"/>
      <c r="F20" s="346"/>
      <c r="G20" s="346"/>
      <c r="H20" s="346"/>
      <c r="I20" s="346"/>
      <c r="J20" s="346"/>
      <c r="K20" s="346"/>
      <c r="L20" s="346"/>
      <c r="N20" s="110"/>
      <c r="O20" s="111"/>
      <c r="P20" s="111"/>
      <c r="Q20" s="111"/>
    </row>
    <row r="21" spans="1:26">
      <c r="A21" s="3"/>
      <c r="B21" s="218"/>
      <c r="C21" s="220" t="str">
        <f>"--&gt;"</f>
        <v>--&gt;</v>
      </c>
      <c r="D21" s="347" t="s">
        <v>212</v>
      </c>
      <c r="E21" s="347"/>
      <c r="F21" s="347"/>
      <c r="G21" s="347"/>
      <c r="H21" s="347"/>
      <c r="I21" s="347"/>
      <c r="J21" s="347"/>
      <c r="K21" s="347"/>
      <c r="L21" s="347"/>
      <c r="N21" s="110"/>
      <c r="O21" s="111"/>
      <c r="P21" s="111"/>
      <c r="Q21" s="111"/>
    </row>
    <row r="22" spans="1:26">
      <c r="A22" s="3"/>
      <c r="B22" s="218"/>
      <c r="C22" s="218"/>
      <c r="D22" s="347"/>
      <c r="E22" s="347"/>
      <c r="F22" s="347"/>
      <c r="G22" s="347"/>
      <c r="H22" s="347"/>
      <c r="I22" s="347"/>
      <c r="J22" s="347"/>
      <c r="K22" s="347"/>
      <c r="L22" s="347"/>
      <c r="N22" s="110"/>
      <c r="O22" s="111"/>
      <c r="P22" s="111"/>
      <c r="Q22" s="111"/>
    </row>
    <row r="23" spans="1:26">
      <c r="A23" s="3"/>
      <c r="B23" s="218"/>
      <c r="C23" s="346" t="s">
        <v>356</v>
      </c>
      <c r="D23" s="346"/>
      <c r="E23" s="346"/>
      <c r="F23" s="346"/>
      <c r="G23" s="346"/>
      <c r="H23" s="346"/>
      <c r="I23" s="346"/>
      <c r="J23" s="346"/>
      <c r="K23" s="346"/>
      <c r="L23" s="346"/>
    </row>
    <row r="24" spans="1:26">
      <c r="A24" s="3"/>
      <c r="B24" s="218"/>
      <c r="C24" s="346"/>
      <c r="D24" s="346"/>
      <c r="E24" s="346"/>
      <c r="F24" s="346"/>
      <c r="G24" s="346"/>
      <c r="H24" s="346"/>
      <c r="I24" s="346"/>
      <c r="J24" s="346"/>
      <c r="K24" s="346"/>
      <c r="L24" s="346"/>
      <c r="Q24" s="2"/>
      <c r="S24" s="11"/>
      <c r="T24" s="11"/>
    </row>
    <row r="25" spans="1:26">
      <c r="A25" s="3"/>
      <c r="B25" s="218"/>
      <c r="C25" s="346"/>
      <c r="D25" s="346"/>
      <c r="E25" s="346"/>
      <c r="F25" s="346"/>
      <c r="G25" s="346"/>
      <c r="H25" s="346"/>
      <c r="I25" s="346"/>
      <c r="J25" s="346"/>
      <c r="K25" s="346"/>
      <c r="L25" s="346"/>
      <c r="Q25" s="2"/>
      <c r="S25" s="11"/>
      <c r="T25" s="11"/>
    </row>
    <row r="26" spans="1:26" ht="14.45" customHeight="1">
      <c r="A26" s="3"/>
      <c r="B26" s="218"/>
      <c r="C26" s="344" t="s">
        <v>322</v>
      </c>
      <c r="D26" s="344"/>
      <c r="E26" s="344"/>
      <c r="F26" s="344"/>
      <c r="G26" s="344"/>
      <c r="H26" s="344"/>
      <c r="I26" s="344"/>
      <c r="J26" s="344"/>
      <c r="K26" s="344"/>
      <c r="L26" s="344"/>
      <c r="Q26" s="2"/>
      <c r="S26" s="11"/>
      <c r="T26" s="11"/>
    </row>
    <row r="27" spans="1:26">
      <c r="B27" s="219"/>
      <c r="C27" s="344"/>
      <c r="D27" s="344"/>
      <c r="E27" s="344"/>
      <c r="F27" s="344"/>
      <c r="G27" s="344"/>
      <c r="H27" s="344"/>
      <c r="I27" s="344"/>
      <c r="J27" s="344"/>
      <c r="K27" s="344"/>
      <c r="L27" s="344"/>
      <c r="Q27" s="2"/>
      <c r="S27" s="11"/>
      <c r="T27" s="11"/>
    </row>
    <row r="28" spans="1:26">
      <c r="B28" s="219"/>
      <c r="C28" s="344"/>
      <c r="D28" s="344"/>
      <c r="E28" s="344"/>
      <c r="F28" s="344"/>
      <c r="G28" s="344"/>
      <c r="H28" s="344"/>
      <c r="I28" s="344"/>
      <c r="J28" s="344"/>
      <c r="K28" s="344"/>
      <c r="L28" s="344"/>
      <c r="Q28" s="2"/>
      <c r="S28" s="11"/>
      <c r="T28" s="11"/>
    </row>
    <row r="29" spans="1:26">
      <c r="B29" s="221"/>
      <c r="C29" s="345"/>
      <c r="D29" s="345"/>
      <c r="E29" s="345"/>
      <c r="F29" s="345"/>
      <c r="G29" s="345"/>
      <c r="H29" s="345"/>
      <c r="I29" s="345"/>
      <c r="J29" s="345"/>
      <c r="K29" s="345"/>
      <c r="L29" s="345"/>
      <c r="S29" s="11"/>
      <c r="T29" s="11"/>
    </row>
    <row r="30" spans="1:26">
      <c r="B30" s="222"/>
      <c r="C30" s="345"/>
      <c r="D30" s="345"/>
      <c r="E30" s="345"/>
      <c r="F30" s="345"/>
      <c r="G30" s="345"/>
      <c r="H30" s="345"/>
      <c r="I30" s="345"/>
      <c r="J30" s="345"/>
      <c r="K30" s="345"/>
      <c r="L30" s="345"/>
      <c r="M30" s="9"/>
      <c r="N30" s="122"/>
      <c r="O30" s="34"/>
      <c r="P30" s="35"/>
      <c r="Q30" s="35"/>
      <c r="R30" s="35"/>
      <c r="S30" s="35"/>
      <c r="T30" s="122"/>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6">
      <c r="A33" s="3"/>
      <c r="B33" s="119"/>
      <c r="C33" s="119"/>
      <c r="D33" s="119"/>
      <c r="E33" s="119"/>
      <c r="F33" s="119"/>
      <c r="G33" s="119"/>
      <c r="H33" s="119"/>
      <c r="I33" s="119"/>
      <c r="J33" s="119"/>
      <c r="K33" s="119"/>
      <c r="L33" s="119"/>
      <c r="M33" s="119"/>
      <c r="N33" s="119"/>
      <c r="O33" s="119"/>
      <c r="P33" s="119"/>
      <c r="Q33" s="119"/>
      <c r="R33" s="119"/>
      <c r="S33" s="119"/>
      <c r="T33" s="119"/>
      <c r="V33" s="319" t="s">
        <v>65</v>
      </c>
      <c r="W33" s="320"/>
      <c r="X33" s="11"/>
      <c r="Y33" s="319" t="s">
        <v>66</v>
      </c>
      <c r="Z33" s="320"/>
    </row>
    <row r="34" spans="1:26">
      <c r="B34" s="119"/>
      <c r="C34" s="119"/>
      <c r="D34" s="119"/>
      <c r="E34" s="119"/>
      <c r="F34" s="119"/>
      <c r="G34" s="119"/>
      <c r="H34" s="119"/>
      <c r="I34" s="119"/>
      <c r="J34" s="119"/>
      <c r="K34" s="119"/>
      <c r="L34" s="119"/>
      <c r="M34" s="119"/>
      <c r="N34" s="119"/>
      <c r="O34" s="119"/>
      <c r="P34" s="119"/>
      <c r="Q34" s="119"/>
      <c r="R34" s="119"/>
      <c r="S34" s="119"/>
      <c r="T34" s="119"/>
      <c r="V34" s="56" t="s">
        <v>61</v>
      </c>
      <c r="W34" s="56" t="s">
        <v>62</v>
      </c>
      <c r="X34" s="11"/>
      <c r="Y34" s="56" t="s">
        <v>61</v>
      </c>
      <c r="Z34" s="56" t="s">
        <v>62</v>
      </c>
    </row>
    <row r="35" spans="1:26">
      <c r="B35" s="119"/>
      <c r="C35" s="119"/>
      <c r="D35" s="119"/>
      <c r="E35" s="119"/>
      <c r="F35" s="119"/>
      <c r="G35" s="119"/>
      <c r="H35" s="119"/>
      <c r="I35" s="119"/>
      <c r="J35" s="119"/>
      <c r="K35" s="119"/>
      <c r="L35" s="119"/>
      <c r="M35" s="119"/>
      <c r="N35" s="119"/>
      <c r="O35" s="119"/>
      <c r="P35" s="119"/>
      <c r="Q35" s="119"/>
      <c r="R35" s="119"/>
      <c r="S35" s="119"/>
      <c r="T35" s="119"/>
      <c r="V35" s="244" t="s">
        <v>392</v>
      </c>
      <c r="W35" s="244" t="s">
        <v>448</v>
      </c>
      <c r="X35" s="11"/>
      <c r="Y35" s="244" t="s">
        <v>392</v>
      </c>
      <c r="Z35" s="244" t="s">
        <v>448</v>
      </c>
    </row>
    <row r="36" spans="1:26">
      <c r="B36" s="119"/>
      <c r="C36" s="119"/>
      <c r="D36" s="119"/>
      <c r="E36" s="119"/>
      <c r="F36" s="119"/>
      <c r="G36" s="119"/>
      <c r="H36" s="119"/>
      <c r="I36" s="119"/>
      <c r="J36" s="119"/>
      <c r="K36" s="119"/>
      <c r="L36" s="119"/>
      <c r="M36" s="119"/>
      <c r="N36" s="119"/>
      <c r="O36" s="119"/>
      <c r="P36" s="119"/>
      <c r="Q36" s="119"/>
      <c r="R36" s="119"/>
      <c r="S36" s="119"/>
      <c r="T36" s="119"/>
      <c r="V36" s="244" t="s">
        <v>393</v>
      </c>
      <c r="W36" s="244" t="s">
        <v>449</v>
      </c>
      <c r="X36" s="11"/>
      <c r="Y36" s="244" t="s">
        <v>393</v>
      </c>
      <c r="Z36" s="244" t="s">
        <v>449</v>
      </c>
    </row>
    <row r="37" spans="1:26">
      <c r="B37" s="119"/>
      <c r="C37" s="119"/>
      <c r="D37" s="119"/>
      <c r="E37" s="119"/>
      <c r="F37" s="119"/>
      <c r="G37" s="119"/>
      <c r="H37" s="119"/>
      <c r="I37" s="119"/>
      <c r="J37" s="119"/>
      <c r="K37" s="119"/>
      <c r="L37" s="119"/>
      <c r="M37" s="119"/>
      <c r="N37" s="119"/>
      <c r="O37" s="119"/>
      <c r="P37" s="119"/>
      <c r="Q37" s="119"/>
      <c r="R37" s="119"/>
      <c r="S37" s="119"/>
      <c r="T37" s="119"/>
      <c r="V37" s="244" t="s">
        <v>394</v>
      </c>
      <c r="W37" s="244" t="s">
        <v>450</v>
      </c>
      <c r="X37" s="11"/>
      <c r="Y37" s="244" t="s">
        <v>394</v>
      </c>
      <c r="Z37" s="244" t="s">
        <v>450</v>
      </c>
    </row>
    <row r="38" spans="1:26">
      <c r="B38" s="119"/>
      <c r="C38" s="119"/>
      <c r="D38" s="119"/>
      <c r="E38" s="119"/>
      <c r="F38" s="119"/>
      <c r="G38" s="119"/>
      <c r="H38" s="119"/>
      <c r="I38" s="119"/>
      <c r="J38" s="119"/>
      <c r="K38" s="119"/>
      <c r="L38" s="119"/>
      <c r="M38" s="119"/>
      <c r="N38" s="119"/>
      <c r="O38" s="119"/>
      <c r="P38" s="119"/>
      <c r="Q38" s="119"/>
      <c r="R38" s="119"/>
      <c r="S38" s="119"/>
      <c r="T38" s="119"/>
      <c r="V38" s="244" t="s">
        <v>434</v>
      </c>
      <c r="W38" s="244" t="s">
        <v>451</v>
      </c>
      <c r="X38" s="11"/>
      <c r="Y38" s="244" t="s">
        <v>434</v>
      </c>
      <c r="Z38" s="244" t="s">
        <v>451</v>
      </c>
    </row>
    <row r="39" spans="1:26">
      <c r="B39" s="119"/>
      <c r="C39" s="119"/>
      <c r="D39" s="119"/>
      <c r="E39" s="119"/>
      <c r="F39" s="119"/>
      <c r="G39" s="119"/>
      <c r="H39" s="119"/>
      <c r="I39" s="119"/>
      <c r="J39" s="119"/>
      <c r="K39" s="119"/>
      <c r="L39" s="119"/>
      <c r="M39" s="119"/>
      <c r="N39" s="119"/>
      <c r="O39" s="119"/>
      <c r="P39" s="119"/>
      <c r="Q39" s="119"/>
      <c r="R39" s="119"/>
      <c r="S39" s="119"/>
      <c r="T39" s="119"/>
      <c r="V39" s="244" t="s">
        <v>435</v>
      </c>
      <c r="W39" s="244" t="s">
        <v>452</v>
      </c>
      <c r="Y39" s="244" t="s">
        <v>435</v>
      </c>
      <c r="Z39" s="244" t="s">
        <v>452</v>
      </c>
    </row>
    <row r="40" spans="1:26">
      <c r="B40" s="119"/>
      <c r="C40" s="119"/>
      <c r="D40" s="119"/>
      <c r="E40" s="119"/>
      <c r="F40" s="119"/>
      <c r="G40" s="119"/>
      <c r="H40" s="119"/>
      <c r="I40" s="119"/>
      <c r="J40" s="119"/>
      <c r="K40" s="119"/>
      <c r="L40" s="119"/>
      <c r="M40" s="119"/>
      <c r="N40" s="119"/>
      <c r="O40" s="119"/>
      <c r="P40" s="119"/>
      <c r="Q40" s="119"/>
      <c r="R40" s="119"/>
      <c r="S40" s="119"/>
      <c r="T40" s="119"/>
      <c r="V40" s="244" t="s">
        <v>436</v>
      </c>
      <c r="W40" s="244" t="s">
        <v>453</v>
      </c>
      <c r="Y40" s="244" t="s">
        <v>436</v>
      </c>
      <c r="Z40" s="244" t="s">
        <v>453</v>
      </c>
    </row>
    <row r="41" spans="1:26">
      <c r="B41" s="119"/>
      <c r="C41" s="119"/>
      <c r="D41" s="119"/>
      <c r="E41" s="119"/>
      <c r="F41" s="119"/>
      <c r="G41" s="119"/>
      <c r="H41" s="119"/>
      <c r="I41" s="119"/>
      <c r="J41" s="119"/>
      <c r="K41" s="119"/>
      <c r="L41" s="119"/>
      <c r="M41" s="119"/>
      <c r="N41" s="119"/>
      <c r="O41" s="119"/>
      <c r="P41" s="119"/>
      <c r="Q41" s="119"/>
      <c r="R41" s="119"/>
      <c r="S41" s="119"/>
      <c r="T41" s="119"/>
      <c r="V41" s="244" t="s">
        <v>437</v>
      </c>
      <c r="W41" s="245" t="s">
        <v>454</v>
      </c>
      <c r="Y41" s="244" t="s">
        <v>437</v>
      </c>
      <c r="Z41" s="245" t="s">
        <v>454</v>
      </c>
    </row>
    <row r="42" spans="1:26">
      <c r="B42" s="119"/>
      <c r="C42" s="119"/>
      <c r="D42" s="119"/>
      <c r="E42" s="119"/>
      <c r="F42" s="119"/>
      <c r="G42" s="119"/>
      <c r="H42" s="119"/>
      <c r="I42" s="119"/>
      <c r="J42" s="119"/>
      <c r="K42" s="119"/>
      <c r="L42" s="119"/>
      <c r="M42" s="119"/>
      <c r="N42" s="119"/>
      <c r="O42" s="119"/>
      <c r="P42" s="119"/>
      <c r="Q42" s="119"/>
      <c r="R42" s="119"/>
      <c r="S42" s="119"/>
      <c r="T42" s="119"/>
      <c r="V42" s="244" t="s">
        <v>438</v>
      </c>
      <c r="W42" s="244" t="s">
        <v>455</v>
      </c>
      <c r="Y42" s="244" t="s">
        <v>438</v>
      </c>
      <c r="Z42" s="244" t="s">
        <v>455</v>
      </c>
    </row>
    <row r="43" spans="1:26">
      <c r="B43" s="119"/>
      <c r="C43" s="119"/>
      <c r="D43" s="119"/>
      <c r="E43" s="119"/>
      <c r="F43" s="119"/>
      <c r="G43" s="119"/>
      <c r="H43" s="119"/>
      <c r="I43" s="119"/>
      <c r="J43" s="119"/>
      <c r="K43" s="119"/>
      <c r="L43" s="119"/>
      <c r="M43" s="119"/>
      <c r="N43" s="119"/>
      <c r="O43" s="119"/>
      <c r="P43" s="119"/>
      <c r="Q43" s="119"/>
      <c r="R43" s="119"/>
      <c r="S43" s="119"/>
      <c r="T43" s="119"/>
      <c r="V43" s="245" t="s">
        <v>439</v>
      </c>
      <c r="W43" s="244" t="s">
        <v>456</v>
      </c>
      <c r="Y43" s="244" t="s">
        <v>439</v>
      </c>
      <c r="Z43" s="244" t="s">
        <v>456</v>
      </c>
    </row>
    <row r="44" spans="1:26">
      <c r="B44" s="119"/>
      <c r="C44" s="119"/>
      <c r="D44" s="119"/>
      <c r="E44" s="119"/>
      <c r="F44" s="119"/>
      <c r="G44" s="119"/>
      <c r="H44" s="119"/>
      <c r="I44" s="119"/>
      <c r="J44" s="119"/>
      <c r="K44" s="119"/>
      <c r="L44" s="119"/>
      <c r="M44" s="119"/>
      <c r="N44" s="119"/>
      <c r="O44" s="119"/>
      <c r="P44" s="119"/>
      <c r="Q44" s="119"/>
      <c r="R44" s="119"/>
      <c r="S44" s="119"/>
      <c r="T44" s="119"/>
      <c r="V44" s="244" t="s">
        <v>440</v>
      </c>
      <c r="W44" s="244" t="s">
        <v>457</v>
      </c>
      <c r="Y44" s="244" t="s">
        <v>440</v>
      </c>
      <c r="Z44" s="244" t="s">
        <v>457</v>
      </c>
    </row>
    <row r="45" spans="1:26">
      <c r="B45" s="119"/>
      <c r="C45" s="119"/>
      <c r="D45" s="119"/>
      <c r="E45" s="119"/>
      <c r="F45" s="119"/>
      <c r="G45" s="119"/>
      <c r="H45" s="119"/>
      <c r="I45" s="119"/>
      <c r="J45" s="119"/>
      <c r="K45" s="119"/>
      <c r="L45" s="119"/>
      <c r="M45" s="119"/>
      <c r="N45" s="119"/>
      <c r="O45" s="119"/>
      <c r="P45" s="119"/>
      <c r="Q45" s="119"/>
      <c r="R45" s="119"/>
      <c r="S45" s="119"/>
      <c r="T45" s="119"/>
      <c r="V45" s="244" t="s">
        <v>441</v>
      </c>
      <c r="W45" s="244" t="s">
        <v>458</v>
      </c>
      <c r="Y45" s="244" t="s">
        <v>441</v>
      </c>
      <c r="Z45" s="244" t="s">
        <v>458</v>
      </c>
    </row>
    <row r="46" spans="1:26">
      <c r="B46" s="119"/>
      <c r="C46" s="119"/>
      <c r="D46" s="119"/>
      <c r="E46" s="119"/>
      <c r="F46" s="119"/>
      <c r="G46" s="119"/>
      <c r="H46" s="119"/>
      <c r="I46" s="119"/>
      <c r="J46" s="119"/>
      <c r="K46" s="119"/>
      <c r="L46" s="119"/>
      <c r="M46" s="119"/>
      <c r="N46" s="119"/>
      <c r="O46" s="119"/>
      <c r="P46" s="119"/>
      <c r="Q46" s="119"/>
      <c r="R46" s="119"/>
      <c r="S46" s="119"/>
      <c r="T46" s="119"/>
      <c r="V46" s="244" t="s">
        <v>442</v>
      </c>
      <c r="W46" s="244" t="s">
        <v>459</v>
      </c>
      <c r="Y46" s="244" t="s">
        <v>442</v>
      </c>
      <c r="Z46" s="244" t="s">
        <v>459</v>
      </c>
    </row>
    <row r="47" spans="1:26">
      <c r="B47" s="119"/>
      <c r="C47" s="119"/>
      <c r="D47" s="119"/>
      <c r="E47" s="119"/>
      <c r="F47" s="119"/>
      <c r="G47" s="119"/>
      <c r="H47" s="119"/>
      <c r="I47" s="119"/>
      <c r="J47" s="119"/>
      <c r="K47" s="119"/>
      <c r="L47" s="119"/>
      <c r="M47" s="119"/>
      <c r="N47" s="119"/>
      <c r="O47" s="119"/>
      <c r="P47" s="119"/>
      <c r="Q47" s="119"/>
      <c r="R47" s="119"/>
      <c r="S47" s="119"/>
      <c r="T47" s="119"/>
      <c r="V47" s="244" t="s">
        <v>443</v>
      </c>
      <c r="W47" s="244" t="s">
        <v>460</v>
      </c>
      <c r="Y47" s="244" t="s">
        <v>443</v>
      </c>
      <c r="Z47" s="244" t="s">
        <v>460</v>
      </c>
    </row>
    <row r="48" spans="1:26">
      <c r="B48" s="119"/>
      <c r="C48" s="119"/>
      <c r="D48" s="119"/>
      <c r="E48" s="119"/>
      <c r="F48" s="119"/>
      <c r="G48" s="119"/>
      <c r="H48" s="119"/>
      <c r="I48" s="119"/>
      <c r="J48" s="119"/>
      <c r="K48" s="119"/>
      <c r="L48" s="119"/>
      <c r="M48" s="119"/>
      <c r="N48" s="119"/>
      <c r="O48" s="119"/>
      <c r="P48" s="119"/>
      <c r="Q48" s="119"/>
      <c r="R48" s="119"/>
      <c r="S48" s="119"/>
      <c r="T48" s="119"/>
      <c r="V48" s="244" t="s">
        <v>444</v>
      </c>
      <c r="W48" s="245" t="s">
        <v>461</v>
      </c>
      <c r="Y48" s="244" t="s">
        <v>444</v>
      </c>
      <c r="Z48" s="245" t="s">
        <v>461</v>
      </c>
    </row>
    <row r="49" spans="2:27">
      <c r="B49" s="119"/>
      <c r="C49" s="119"/>
      <c r="D49" s="119"/>
      <c r="E49" s="119"/>
      <c r="F49" s="119"/>
      <c r="G49" s="119"/>
      <c r="H49" s="119"/>
      <c r="I49" s="119"/>
      <c r="J49" s="119"/>
      <c r="K49" s="119"/>
      <c r="L49" s="119"/>
      <c r="M49" s="119"/>
      <c r="N49" s="119"/>
      <c r="O49" s="119"/>
      <c r="P49" s="119"/>
      <c r="Q49" s="119"/>
      <c r="R49" s="119"/>
      <c r="S49" s="119"/>
      <c r="T49" s="119"/>
      <c r="V49" s="244" t="s">
        <v>445</v>
      </c>
      <c r="W49" s="244" t="s">
        <v>462</v>
      </c>
      <c r="Y49" s="244" t="s">
        <v>445</v>
      </c>
      <c r="Z49" s="244" t="s">
        <v>462</v>
      </c>
    </row>
    <row r="50" spans="2:27">
      <c r="B50" s="119"/>
      <c r="C50" s="119"/>
      <c r="D50" s="119"/>
      <c r="E50" s="119"/>
      <c r="F50" s="119"/>
      <c r="G50" s="119"/>
      <c r="H50" s="119"/>
      <c r="I50" s="119"/>
      <c r="J50" s="119"/>
      <c r="K50" s="119"/>
      <c r="L50" s="119"/>
      <c r="M50" s="119"/>
      <c r="N50" s="119"/>
      <c r="O50" s="119"/>
      <c r="P50" s="119"/>
      <c r="Q50" s="119"/>
      <c r="R50" s="119"/>
      <c r="S50" s="119"/>
      <c r="T50" s="119"/>
      <c r="V50" s="246" t="s">
        <v>446</v>
      </c>
      <c r="W50" s="244" t="s">
        <v>463</v>
      </c>
      <c r="X50" s="6"/>
      <c r="Y50" s="246" t="s">
        <v>446</v>
      </c>
      <c r="Z50" s="244" t="s">
        <v>463</v>
      </c>
      <c r="AA50" s="6"/>
    </row>
    <row r="51" spans="2:27">
      <c r="B51" s="119"/>
      <c r="C51" s="119"/>
      <c r="D51" s="119"/>
      <c r="E51" s="119"/>
      <c r="F51" s="119"/>
      <c r="G51" s="119"/>
      <c r="H51" s="119"/>
      <c r="I51" s="119"/>
      <c r="J51" s="119"/>
      <c r="K51" s="119"/>
      <c r="L51" s="119"/>
      <c r="M51" s="119"/>
      <c r="N51" s="119"/>
      <c r="O51" s="119"/>
      <c r="P51" s="119"/>
      <c r="Q51" s="119"/>
      <c r="R51" s="119"/>
      <c r="S51" s="119"/>
      <c r="T51" s="119"/>
      <c r="V51" s="247" t="s">
        <v>447</v>
      </c>
      <c r="W51" s="244" t="s">
        <v>464</v>
      </c>
      <c r="X51" s="6"/>
      <c r="Y51" s="247" t="s">
        <v>447</v>
      </c>
      <c r="Z51" s="244" t="s">
        <v>464</v>
      </c>
      <c r="AA51" s="6"/>
    </row>
    <row r="52" spans="2:27">
      <c r="B52" s="119"/>
      <c r="C52" s="119"/>
      <c r="D52" s="119"/>
      <c r="E52" s="119"/>
      <c r="F52" s="119"/>
      <c r="G52" s="119"/>
      <c r="H52" s="119"/>
      <c r="I52" s="119"/>
      <c r="J52" s="119"/>
      <c r="K52" s="119"/>
      <c r="L52" s="119"/>
      <c r="M52" s="119"/>
      <c r="N52" s="119"/>
      <c r="O52" s="119"/>
      <c r="P52" s="119"/>
      <c r="Q52" s="119"/>
      <c r="R52" s="119"/>
      <c r="S52" s="119"/>
      <c r="T52" s="119"/>
      <c r="V52" s="295"/>
      <c r="W52" s="244" t="s">
        <v>465</v>
      </c>
      <c r="X52" s="6"/>
      <c r="Y52" s="284"/>
      <c r="Z52" s="244" t="s">
        <v>465</v>
      </c>
      <c r="AA52" s="6"/>
    </row>
    <row r="53" spans="2:27">
      <c r="B53" s="119"/>
      <c r="C53" s="119"/>
      <c r="D53" s="119"/>
      <c r="E53" s="119"/>
      <c r="F53" s="119"/>
      <c r="G53" s="119"/>
      <c r="H53" s="119"/>
      <c r="I53" s="119"/>
      <c r="J53" s="119"/>
      <c r="K53" s="119"/>
      <c r="L53" s="119"/>
      <c r="M53" s="119"/>
      <c r="N53" s="119"/>
      <c r="O53" s="119"/>
      <c r="P53" s="119"/>
      <c r="Q53" s="119"/>
      <c r="R53" s="119"/>
      <c r="S53" s="119"/>
      <c r="T53" s="119"/>
      <c r="V53" s="204"/>
      <c r="W53" s="248" t="s">
        <v>466</v>
      </c>
      <c r="X53" s="6"/>
      <c r="Y53" s="257"/>
      <c r="Z53" s="258" t="s">
        <v>466</v>
      </c>
      <c r="AA53" s="6"/>
    </row>
    <row r="54" spans="2:27">
      <c r="B54" s="119"/>
      <c r="C54" s="119"/>
      <c r="D54" s="119"/>
      <c r="E54" s="119"/>
      <c r="F54" s="119"/>
      <c r="G54" s="119"/>
      <c r="H54" s="119"/>
      <c r="I54" s="119"/>
      <c r="J54" s="119"/>
      <c r="K54" s="119"/>
      <c r="L54" s="119"/>
      <c r="M54" s="119"/>
      <c r="N54" s="119"/>
      <c r="O54" s="119"/>
      <c r="P54" s="119"/>
      <c r="Q54" s="119"/>
      <c r="R54" s="119"/>
      <c r="S54" s="119"/>
      <c r="T54" s="119"/>
      <c r="V54" s="250"/>
      <c r="W54" s="251"/>
      <c r="X54" s="6"/>
      <c r="Y54" s="250"/>
      <c r="Z54" s="251"/>
      <c r="AA54" s="6"/>
    </row>
    <row r="55" spans="2:27">
      <c r="B55" s="119"/>
      <c r="C55" s="119"/>
      <c r="D55" s="119"/>
      <c r="E55" s="119"/>
      <c r="F55" s="119"/>
      <c r="G55" s="119"/>
      <c r="H55" s="119"/>
      <c r="I55" s="119"/>
      <c r="J55" s="119"/>
      <c r="K55" s="119"/>
      <c r="L55" s="119"/>
      <c r="M55" s="119"/>
      <c r="N55" s="119"/>
      <c r="O55" s="119"/>
      <c r="P55" s="119"/>
      <c r="Q55" s="119"/>
      <c r="R55" s="119"/>
      <c r="S55" s="119"/>
      <c r="T55" s="119"/>
      <c r="V55" s="249"/>
      <c r="W55" s="251"/>
      <c r="X55" s="6"/>
      <c r="Y55" s="249"/>
      <c r="Z55" s="251"/>
      <c r="AA55" s="6"/>
    </row>
    <row r="56" spans="2:27">
      <c r="V56" s="6"/>
      <c r="W56" s="6"/>
      <c r="X56" s="6"/>
      <c r="Y56" s="6"/>
      <c r="Z56" s="6"/>
      <c r="AA56" s="6"/>
    </row>
  </sheetData>
  <mergeCells count="24">
    <mergeCell ref="B17:L17"/>
    <mergeCell ref="B11:L11"/>
    <mergeCell ref="C12:L12"/>
    <mergeCell ref="C13:L13"/>
    <mergeCell ref="C14:L14"/>
    <mergeCell ref="C15:L15"/>
    <mergeCell ref="B3:T3"/>
    <mergeCell ref="B4:T4"/>
    <mergeCell ref="B5:T5"/>
    <mergeCell ref="R7:T7"/>
    <mergeCell ref="B9:L9"/>
    <mergeCell ref="N9:T9"/>
    <mergeCell ref="C18:L18"/>
    <mergeCell ref="C19:L19"/>
    <mergeCell ref="C20:L20"/>
    <mergeCell ref="D21:L22"/>
    <mergeCell ref="C23:L25"/>
    <mergeCell ref="C26:L28"/>
    <mergeCell ref="C29:L30"/>
    <mergeCell ref="B32:T32"/>
    <mergeCell ref="Y32:Z32"/>
    <mergeCell ref="Y33:Z33"/>
    <mergeCell ref="V32:W32"/>
    <mergeCell ref="V33:W33"/>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18366"/>
  </sheetPr>
  <dimension ref="A2:AA56"/>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489</v>
      </c>
      <c r="C3" s="338"/>
      <c r="D3" s="338"/>
      <c r="E3" s="338"/>
      <c r="F3" s="338"/>
      <c r="G3" s="338"/>
      <c r="H3" s="338"/>
      <c r="I3" s="338"/>
      <c r="J3" s="338"/>
      <c r="K3" s="338"/>
      <c r="L3" s="338"/>
      <c r="M3" s="338"/>
      <c r="N3" s="338"/>
      <c r="O3" s="338"/>
      <c r="P3" s="338"/>
      <c r="Q3" s="338"/>
      <c r="R3" s="338"/>
      <c r="S3" s="338"/>
      <c r="T3" s="338"/>
    </row>
    <row r="4" spans="1:20" ht="30.75">
      <c r="B4" s="366" t="s">
        <v>657</v>
      </c>
      <c r="C4" s="366"/>
      <c r="D4" s="366"/>
      <c r="E4" s="366"/>
      <c r="F4" s="366"/>
      <c r="G4" s="366"/>
      <c r="H4" s="366"/>
      <c r="I4" s="366"/>
      <c r="J4" s="366"/>
      <c r="K4" s="366"/>
      <c r="L4" s="366"/>
      <c r="M4" s="366"/>
      <c r="N4" s="366"/>
      <c r="O4" s="366"/>
      <c r="P4" s="366"/>
      <c r="Q4" s="366"/>
      <c r="R4" s="366"/>
      <c r="S4" s="366"/>
      <c r="T4" s="366"/>
    </row>
    <row r="5" spans="1:20" ht="18">
      <c r="B5" s="340" t="s">
        <v>214</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306</v>
      </c>
      <c r="C9" s="341"/>
      <c r="D9" s="341"/>
      <c r="E9" s="341"/>
      <c r="F9" s="341"/>
      <c r="G9" s="341"/>
      <c r="H9" s="341"/>
      <c r="I9" s="341"/>
      <c r="J9" s="341"/>
      <c r="K9" s="341"/>
      <c r="L9" s="341"/>
      <c r="N9" s="331" t="s">
        <v>38</v>
      </c>
      <c r="O9" s="331"/>
      <c r="P9" s="331"/>
      <c r="Q9" s="331"/>
      <c r="R9" s="331"/>
      <c r="S9" s="331"/>
      <c r="T9" s="331"/>
    </row>
    <row r="10" spans="1:20" ht="23.25">
      <c r="B10" s="216"/>
      <c r="C10" s="216"/>
      <c r="D10" s="216"/>
      <c r="E10" s="216"/>
      <c r="F10" s="216"/>
      <c r="G10" s="216"/>
      <c r="H10" s="216"/>
      <c r="I10" s="216"/>
      <c r="J10" s="216"/>
      <c r="K10" s="216"/>
      <c r="L10" s="216"/>
      <c r="N10" s="122"/>
      <c r="O10" s="122"/>
      <c r="P10" s="122"/>
      <c r="Q10" s="122"/>
      <c r="R10" s="122"/>
      <c r="S10" s="122"/>
      <c r="T10" s="122"/>
    </row>
    <row r="11" spans="1:20">
      <c r="B11" s="348" t="s">
        <v>40</v>
      </c>
      <c r="C11" s="348"/>
      <c r="D11" s="348"/>
      <c r="E11" s="348"/>
      <c r="F11" s="348"/>
      <c r="G11" s="348"/>
      <c r="H11" s="348"/>
      <c r="I11" s="348"/>
      <c r="J11" s="348"/>
      <c r="K11" s="348"/>
      <c r="L11" s="348"/>
      <c r="N11" s="11"/>
      <c r="O11" s="11"/>
      <c r="P11" s="11"/>
      <c r="Q11" s="11"/>
    </row>
    <row r="12" spans="1:20">
      <c r="B12" s="217"/>
      <c r="C12" s="349" t="s">
        <v>380</v>
      </c>
      <c r="D12" s="349"/>
      <c r="E12" s="349"/>
      <c r="F12" s="349"/>
      <c r="G12" s="349"/>
      <c r="H12" s="349"/>
      <c r="I12" s="349"/>
      <c r="J12" s="349"/>
      <c r="K12" s="349"/>
      <c r="L12" s="349"/>
      <c r="N12" s="11"/>
      <c r="O12" s="11"/>
      <c r="P12" s="11"/>
      <c r="Q12" s="11"/>
    </row>
    <row r="13" spans="1:20">
      <c r="B13" s="218"/>
      <c r="C13" s="350" t="s">
        <v>277</v>
      </c>
      <c r="D13" s="350"/>
      <c r="E13" s="350"/>
      <c r="F13" s="350"/>
      <c r="G13" s="350"/>
      <c r="H13" s="350"/>
      <c r="I13" s="350"/>
      <c r="J13" s="350"/>
      <c r="K13" s="350"/>
      <c r="L13" s="350"/>
      <c r="N13" s="110"/>
      <c r="O13" s="111"/>
      <c r="P13" s="111"/>
      <c r="Q13" s="111"/>
    </row>
    <row r="14" spans="1:20">
      <c r="B14" s="218"/>
      <c r="C14" s="346" t="s">
        <v>292</v>
      </c>
      <c r="D14" s="346"/>
      <c r="E14" s="346"/>
      <c r="F14" s="346"/>
      <c r="G14" s="346"/>
      <c r="H14" s="346"/>
      <c r="I14" s="346"/>
      <c r="J14" s="346"/>
      <c r="K14" s="346"/>
      <c r="L14" s="346"/>
      <c r="N14" s="110"/>
      <c r="O14" s="111"/>
      <c r="P14" s="111"/>
      <c r="Q14" s="111"/>
    </row>
    <row r="15" spans="1:20">
      <c r="B15" s="218"/>
      <c r="C15" s="346" t="s">
        <v>278</v>
      </c>
      <c r="D15" s="346"/>
      <c r="E15" s="346"/>
      <c r="F15" s="346"/>
      <c r="G15" s="346"/>
      <c r="H15" s="346"/>
      <c r="I15" s="346"/>
      <c r="J15" s="346"/>
      <c r="K15" s="346"/>
      <c r="L15" s="346"/>
      <c r="N15" s="110"/>
      <c r="O15" s="111"/>
      <c r="P15" s="111"/>
      <c r="Q15" s="111"/>
    </row>
    <row r="16" spans="1:20">
      <c r="A16" s="3"/>
      <c r="B16" s="218"/>
      <c r="C16" s="219"/>
      <c r="D16" s="219"/>
      <c r="E16" s="219"/>
      <c r="F16" s="219"/>
      <c r="G16" s="219"/>
      <c r="H16" s="219"/>
      <c r="I16" s="219"/>
      <c r="J16" s="219"/>
      <c r="K16" s="219"/>
      <c r="L16" s="218"/>
      <c r="N16" s="110"/>
      <c r="O16" s="111"/>
      <c r="P16" s="111"/>
      <c r="Q16" s="111"/>
    </row>
    <row r="17" spans="1:26">
      <c r="A17" s="3"/>
      <c r="B17" s="348" t="s">
        <v>41</v>
      </c>
      <c r="C17" s="348"/>
      <c r="D17" s="348"/>
      <c r="E17" s="348"/>
      <c r="F17" s="348"/>
      <c r="G17" s="348"/>
      <c r="H17" s="348"/>
      <c r="I17" s="348"/>
      <c r="J17" s="348"/>
      <c r="K17" s="348"/>
      <c r="L17" s="348"/>
      <c r="N17" s="110"/>
      <c r="O17" s="111"/>
      <c r="P17" s="111"/>
      <c r="Q17" s="111"/>
    </row>
    <row r="18" spans="1:26">
      <c r="A18" s="3"/>
      <c r="B18" s="217"/>
      <c r="C18" s="346" t="s">
        <v>295</v>
      </c>
      <c r="D18" s="346"/>
      <c r="E18" s="346"/>
      <c r="F18" s="346"/>
      <c r="G18" s="346"/>
      <c r="H18" s="346"/>
      <c r="I18" s="346"/>
      <c r="J18" s="346"/>
      <c r="K18" s="346"/>
      <c r="L18" s="346"/>
      <c r="N18" s="110"/>
      <c r="O18" s="111"/>
      <c r="P18" s="111"/>
      <c r="Q18" s="111"/>
    </row>
    <row r="19" spans="1:26">
      <c r="A19" s="3"/>
      <c r="B19" s="218"/>
      <c r="C19" s="346" t="s">
        <v>317</v>
      </c>
      <c r="D19" s="346"/>
      <c r="E19" s="346"/>
      <c r="F19" s="346"/>
      <c r="G19" s="346"/>
      <c r="H19" s="346"/>
      <c r="I19" s="346"/>
      <c r="J19" s="346"/>
      <c r="K19" s="346"/>
      <c r="L19" s="346"/>
      <c r="N19" s="110"/>
      <c r="O19" s="111"/>
      <c r="P19" s="111"/>
      <c r="Q19" s="111"/>
    </row>
    <row r="20" spans="1:26">
      <c r="A20" s="3"/>
      <c r="B20" s="218"/>
      <c r="C20" s="346" t="s">
        <v>369</v>
      </c>
      <c r="D20" s="346"/>
      <c r="E20" s="346"/>
      <c r="F20" s="346"/>
      <c r="G20" s="346"/>
      <c r="H20" s="346"/>
      <c r="I20" s="346"/>
      <c r="J20" s="346"/>
      <c r="K20" s="346"/>
      <c r="L20" s="346"/>
      <c r="N20" s="110"/>
      <c r="O20" s="111"/>
      <c r="P20" s="111"/>
      <c r="Q20" s="111"/>
    </row>
    <row r="21" spans="1:26">
      <c r="A21" s="3"/>
      <c r="B21" s="218"/>
      <c r="C21" s="220" t="str">
        <f>"--&gt;"</f>
        <v>--&gt;</v>
      </c>
      <c r="D21" s="347" t="s">
        <v>212</v>
      </c>
      <c r="E21" s="347"/>
      <c r="F21" s="347"/>
      <c r="G21" s="347"/>
      <c r="H21" s="347"/>
      <c r="I21" s="347"/>
      <c r="J21" s="347"/>
      <c r="K21" s="347"/>
      <c r="L21" s="347"/>
      <c r="N21" s="110"/>
      <c r="O21" s="111"/>
      <c r="P21" s="111"/>
      <c r="Q21" s="111"/>
    </row>
    <row r="22" spans="1:26">
      <c r="A22" s="3"/>
      <c r="B22" s="218"/>
      <c r="C22" s="218"/>
      <c r="D22" s="347"/>
      <c r="E22" s="347"/>
      <c r="F22" s="347"/>
      <c r="G22" s="347"/>
      <c r="H22" s="347"/>
      <c r="I22" s="347"/>
      <c r="J22" s="347"/>
      <c r="K22" s="347"/>
      <c r="L22" s="347"/>
      <c r="N22" s="110"/>
      <c r="O22" s="111"/>
      <c r="P22" s="111"/>
      <c r="Q22" s="111"/>
    </row>
    <row r="23" spans="1:26">
      <c r="A23" s="3"/>
      <c r="B23" s="218"/>
      <c r="C23" s="346" t="s">
        <v>356</v>
      </c>
      <c r="D23" s="346"/>
      <c r="E23" s="346"/>
      <c r="F23" s="346"/>
      <c r="G23" s="346"/>
      <c r="H23" s="346"/>
      <c r="I23" s="346"/>
      <c r="J23" s="346"/>
      <c r="K23" s="346"/>
      <c r="L23" s="346"/>
    </row>
    <row r="24" spans="1:26">
      <c r="A24" s="3"/>
      <c r="B24" s="218"/>
      <c r="C24" s="346"/>
      <c r="D24" s="346"/>
      <c r="E24" s="346"/>
      <c r="F24" s="346"/>
      <c r="G24" s="346"/>
      <c r="H24" s="346"/>
      <c r="I24" s="346"/>
      <c r="J24" s="346"/>
      <c r="K24" s="346"/>
      <c r="L24" s="346"/>
      <c r="Q24" s="2"/>
      <c r="S24" s="11"/>
      <c r="T24" s="11"/>
    </row>
    <row r="25" spans="1:26">
      <c r="A25" s="3"/>
      <c r="B25" s="218"/>
      <c r="C25" s="346"/>
      <c r="D25" s="346"/>
      <c r="E25" s="346"/>
      <c r="F25" s="346"/>
      <c r="G25" s="346"/>
      <c r="H25" s="346"/>
      <c r="I25" s="346"/>
      <c r="J25" s="346"/>
      <c r="K25" s="346"/>
      <c r="L25" s="346"/>
      <c r="Q25" s="2"/>
      <c r="S25" s="11"/>
      <c r="T25" s="11"/>
    </row>
    <row r="26" spans="1:26" ht="14.45" customHeight="1">
      <c r="A26" s="3"/>
      <c r="B26" s="218"/>
      <c r="C26" s="344" t="s">
        <v>322</v>
      </c>
      <c r="D26" s="344"/>
      <c r="E26" s="344"/>
      <c r="F26" s="344"/>
      <c r="G26" s="344"/>
      <c r="H26" s="344"/>
      <c r="I26" s="344"/>
      <c r="J26" s="344"/>
      <c r="K26" s="344"/>
      <c r="L26" s="344"/>
      <c r="Q26" s="2"/>
      <c r="S26" s="11"/>
      <c r="T26" s="11"/>
    </row>
    <row r="27" spans="1:26">
      <c r="B27" s="219"/>
      <c r="C27" s="344"/>
      <c r="D27" s="344"/>
      <c r="E27" s="344"/>
      <c r="F27" s="344"/>
      <c r="G27" s="344"/>
      <c r="H27" s="344"/>
      <c r="I27" s="344"/>
      <c r="J27" s="344"/>
      <c r="K27" s="344"/>
      <c r="L27" s="344"/>
      <c r="Q27" s="2"/>
      <c r="S27" s="11"/>
      <c r="T27" s="11"/>
    </row>
    <row r="28" spans="1:26">
      <c r="B28" s="219"/>
      <c r="C28" s="344"/>
      <c r="D28" s="344"/>
      <c r="E28" s="344"/>
      <c r="F28" s="344"/>
      <c r="G28" s="344"/>
      <c r="H28" s="344"/>
      <c r="I28" s="344"/>
      <c r="J28" s="344"/>
      <c r="K28" s="344"/>
      <c r="L28" s="344"/>
      <c r="Q28" s="2"/>
      <c r="S28" s="11"/>
      <c r="T28" s="11"/>
    </row>
    <row r="29" spans="1:26">
      <c r="B29" s="221"/>
      <c r="C29" s="345"/>
      <c r="D29" s="345"/>
      <c r="E29" s="345"/>
      <c r="F29" s="345"/>
      <c r="G29" s="345"/>
      <c r="H29" s="345"/>
      <c r="I29" s="345"/>
      <c r="J29" s="345"/>
      <c r="K29" s="345"/>
      <c r="L29" s="345"/>
      <c r="S29" s="11"/>
      <c r="T29" s="11"/>
    </row>
    <row r="30" spans="1:26">
      <c r="B30" s="222"/>
      <c r="C30" s="345"/>
      <c r="D30" s="345"/>
      <c r="E30" s="345"/>
      <c r="F30" s="345"/>
      <c r="G30" s="345"/>
      <c r="H30" s="345"/>
      <c r="I30" s="345"/>
      <c r="J30" s="345"/>
      <c r="K30" s="345"/>
      <c r="L30" s="345"/>
      <c r="M30" s="9"/>
      <c r="N30" s="122"/>
      <c r="O30" s="34"/>
      <c r="P30" s="35"/>
      <c r="Q30" s="35"/>
      <c r="R30" s="35"/>
      <c r="S30" s="35"/>
      <c r="T30" s="122"/>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19"/>
      <c r="C33" s="119"/>
      <c r="D33" s="119"/>
      <c r="E33" s="119"/>
      <c r="F33" s="119"/>
      <c r="G33" s="119"/>
      <c r="H33" s="119"/>
      <c r="I33" s="119"/>
      <c r="J33" s="119"/>
      <c r="K33" s="119"/>
      <c r="L33" s="119"/>
      <c r="M33" s="119"/>
      <c r="N33" s="119"/>
      <c r="O33" s="119"/>
      <c r="P33" s="119"/>
      <c r="Q33" s="119"/>
      <c r="R33" s="119"/>
      <c r="S33" s="119"/>
      <c r="T33" s="119"/>
      <c r="V33" s="319" t="s">
        <v>65</v>
      </c>
      <c r="W33" s="320"/>
      <c r="X33" s="11"/>
      <c r="Y33" s="319" t="s">
        <v>66</v>
      </c>
      <c r="Z33" s="320"/>
    </row>
    <row r="34" spans="1:27">
      <c r="B34" s="119"/>
      <c r="C34" s="119"/>
      <c r="D34" s="119"/>
      <c r="E34" s="119"/>
      <c r="F34" s="119"/>
      <c r="G34" s="119"/>
      <c r="H34" s="119"/>
      <c r="I34" s="119"/>
      <c r="J34" s="119"/>
      <c r="K34" s="119"/>
      <c r="L34" s="119"/>
      <c r="M34" s="119"/>
      <c r="N34" s="119"/>
      <c r="O34" s="119"/>
      <c r="P34" s="119"/>
      <c r="Q34" s="119"/>
      <c r="R34" s="119"/>
      <c r="S34" s="119"/>
      <c r="T34" s="119"/>
      <c r="V34" s="56" t="s">
        <v>61</v>
      </c>
      <c r="W34" s="56" t="s">
        <v>62</v>
      </c>
      <c r="X34" s="11"/>
      <c r="Y34" s="56" t="s">
        <v>61</v>
      </c>
      <c r="Z34" s="56" t="s">
        <v>62</v>
      </c>
    </row>
    <row r="35" spans="1:27">
      <c r="B35" s="119"/>
      <c r="C35" s="119"/>
      <c r="D35" s="119"/>
      <c r="E35" s="119"/>
      <c r="F35" s="119"/>
      <c r="G35" s="119"/>
      <c r="H35" s="119"/>
      <c r="I35" s="119"/>
      <c r="J35" s="119"/>
      <c r="K35" s="119"/>
      <c r="L35" s="119"/>
      <c r="M35" s="119"/>
      <c r="N35" s="119"/>
      <c r="O35" s="119"/>
      <c r="P35" s="119"/>
      <c r="Q35" s="119"/>
      <c r="R35" s="119"/>
      <c r="S35" s="119"/>
      <c r="T35" s="119"/>
      <c r="V35" s="244" t="s">
        <v>392</v>
      </c>
      <c r="W35" s="244" t="s">
        <v>448</v>
      </c>
      <c r="X35" s="11"/>
      <c r="Y35" s="244" t="s">
        <v>392</v>
      </c>
      <c r="Z35" s="244" t="s">
        <v>448</v>
      </c>
    </row>
    <row r="36" spans="1:27">
      <c r="B36" s="119"/>
      <c r="C36" s="119"/>
      <c r="D36" s="119"/>
      <c r="E36" s="119"/>
      <c r="F36" s="119"/>
      <c r="G36" s="119"/>
      <c r="H36" s="119"/>
      <c r="I36" s="119"/>
      <c r="J36" s="119"/>
      <c r="K36" s="119"/>
      <c r="L36" s="119"/>
      <c r="M36" s="119"/>
      <c r="N36" s="119"/>
      <c r="O36" s="119"/>
      <c r="P36" s="119"/>
      <c r="Q36" s="119"/>
      <c r="R36" s="119"/>
      <c r="S36" s="119"/>
      <c r="T36" s="119"/>
      <c r="V36" s="244" t="s">
        <v>393</v>
      </c>
      <c r="W36" s="244" t="s">
        <v>449</v>
      </c>
      <c r="X36" s="11"/>
      <c r="Y36" s="244" t="s">
        <v>393</v>
      </c>
      <c r="Z36" s="244" t="s">
        <v>449</v>
      </c>
    </row>
    <row r="37" spans="1:27">
      <c r="B37" s="119"/>
      <c r="C37" s="119"/>
      <c r="D37" s="119"/>
      <c r="E37" s="119"/>
      <c r="F37" s="119"/>
      <c r="G37" s="119"/>
      <c r="H37" s="119"/>
      <c r="I37" s="119"/>
      <c r="J37" s="119"/>
      <c r="K37" s="119"/>
      <c r="L37" s="119"/>
      <c r="M37" s="119"/>
      <c r="N37" s="119"/>
      <c r="O37" s="119"/>
      <c r="P37" s="119"/>
      <c r="Q37" s="119"/>
      <c r="R37" s="119"/>
      <c r="S37" s="119"/>
      <c r="T37" s="119"/>
      <c r="V37" s="244" t="s">
        <v>394</v>
      </c>
      <c r="W37" s="244" t="s">
        <v>450</v>
      </c>
      <c r="X37" s="11"/>
      <c r="Y37" s="244" t="s">
        <v>394</v>
      </c>
      <c r="Z37" s="244" t="s">
        <v>450</v>
      </c>
    </row>
    <row r="38" spans="1:27">
      <c r="B38" s="119"/>
      <c r="C38" s="119"/>
      <c r="D38" s="119"/>
      <c r="E38" s="119"/>
      <c r="F38" s="119"/>
      <c r="G38" s="119"/>
      <c r="H38" s="119"/>
      <c r="I38" s="119"/>
      <c r="J38" s="119"/>
      <c r="K38" s="119"/>
      <c r="L38" s="119"/>
      <c r="M38" s="119"/>
      <c r="N38" s="119"/>
      <c r="O38" s="119"/>
      <c r="P38" s="119"/>
      <c r="Q38" s="119"/>
      <c r="R38" s="119"/>
      <c r="S38" s="119"/>
      <c r="T38" s="119"/>
      <c r="V38" s="244" t="s">
        <v>434</v>
      </c>
      <c r="W38" s="244" t="s">
        <v>451</v>
      </c>
      <c r="X38" s="11"/>
      <c r="Y38" s="244" t="s">
        <v>434</v>
      </c>
      <c r="Z38" s="244" t="s">
        <v>451</v>
      </c>
    </row>
    <row r="39" spans="1:27">
      <c r="B39" s="119"/>
      <c r="C39" s="119"/>
      <c r="D39" s="119"/>
      <c r="E39" s="119"/>
      <c r="F39" s="119"/>
      <c r="G39" s="119"/>
      <c r="H39" s="119"/>
      <c r="I39" s="119"/>
      <c r="J39" s="119"/>
      <c r="K39" s="119"/>
      <c r="L39" s="119"/>
      <c r="M39" s="119"/>
      <c r="N39" s="119"/>
      <c r="O39" s="119"/>
      <c r="P39" s="119"/>
      <c r="Q39" s="119"/>
      <c r="R39" s="119"/>
      <c r="S39" s="119"/>
      <c r="T39" s="119"/>
      <c r="V39" s="244" t="s">
        <v>435</v>
      </c>
      <c r="W39" s="244" t="s">
        <v>452</v>
      </c>
      <c r="Y39" s="244" t="s">
        <v>435</v>
      </c>
      <c r="Z39" s="244" t="s">
        <v>452</v>
      </c>
    </row>
    <row r="40" spans="1:27">
      <c r="B40" s="119"/>
      <c r="C40" s="119"/>
      <c r="D40" s="119"/>
      <c r="E40" s="119"/>
      <c r="F40" s="119"/>
      <c r="G40" s="119"/>
      <c r="H40" s="119"/>
      <c r="I40" s="119"/>
      <c r="J40" s="119"/>
      <c r="K40" s="119"/>
      <c r="L40" s="119"/>
      <c r="M40" s="119"/>
      <c r="N40" s="119"/>
      <c r="O40" s="119"/>
      <c r="P40" s="119"/>
      <c r="Q40" s="119"/>
      <c r="R40" s="119"/>
      <c r="S40" s="119"/>
      <c r="T40" s="119"/>
      <c r="V40" s="244" t="s">
        <v>436</v>
      </c>
      <c r="W40" s="244" t="s">
        <v>453</v>
      </c>
      <c r="Y40" s="244" t="s">
        <v>436</v>
      </c>
      <c r="Z40" s="244" t="s">
        <v>453</v>
      </c>
    </row>
    <row r="41" spans="1:27">
      <c r="B41" s="119"/>
      <c r="C41" s="119"/>
      <c r="D41" s="119"/>
      <c r="E41" s="119"/>
      <c r="F41" s="119"/>
      <c r="G41" s="119"/>
      <c r="H41" s="119"/>
      <c r="I41" s="119"/>
      <c r="J41" s="119"/>
      <c r="K41" s="119"/>
      <c r="L41" s="119"/>
      <c r="M41" s="119"/>
      <c r="N41" s="119"/>
      <c r="O41" s="119"/>
      <c r="P41" s="119"/>
      <c r="Q41" s="119"/>
      <c r="R41" s="119"/>
      <c r="S41" s="119"/>
      <c r="T41" s="119"/>
      <c r="V41" s="244" t="s">
        <v>437</v>
      </c>
      <c r="W41" s="245" t="s">
        <v>454</v>
      </c>
      <c r="Y41" s="244" t="s">
        <v>437</v>
      </c>
      <c r="Z41" s="245" t="s">
        <v>454</v>
      </c>
    </row>
    <row r="42" spans="1:27">
      <c r="B42" s="119"/>
      <c r="C42" s="119"/>
      <c r="D42" s="119"/>
      <c r="E42" s="119"/>
      <c r="F42" s="119"/>
      <c r="G42" s="119"/>
      <c r="H42" s="119"/>
      <c r="I42" s="119"/>
      <c r="J42" s="119"/>
      <c r="K42" s="119"/>
      <c r="L42" s="119"/>
      <c r="M42" s="119"/>
      <c r="N42" s="119"/>
      <c r="O42" s="119"/>
      <c r="P42" s="119"/>
      <c r="Q42" s="119"/>
      <c r="R42" s="119"/>
      <c r="S42" s="119"/>
      <c r="T42" s="119"/>
      <c r="V42" s="244" t="s">
        <v>438</v>
      </c>
      <c r="W42" s="244" t="s">
        <v>455</v>
      </c>
      <c r="Y42" s="244" t="s">
        <v>438</v>
      </c>
      <c r="Z42" s="244" t="s">
        <v>455</v>
      </c>
    </row>
    <row r="43" spans="1:27">
      <c r="B43" s="119"/>
      <c r="C43" s="119"/>
      <c r="D43" s="119"/>
      <c r="E43" s="119"/>
      <c r="F43" s="119"/>
      <c r="G43" s="119"/>
      <c r="H43" s="119"/>
      <c r="I43" s="119"/>
      <c r="J43" s="119"/>
      <c r="K43" s="119"/>
      <c r="L43" s="119"/>
      <c r="M43" s="119"/>
      <c r="N43" s="119"/>
      <c r="O43" s="119"/>
      <c r="P43" s="119"/>
      <c r="Q43" s="119"/>
      <c r="R43" s="119"/>
      <c r="S43" s="119"/>
      <c r="T43" s="119"/>
      <c r="V43" s="245" t="s">
        <v>439</v>
      </c>
      <c r="W43" s="244" t="s">
        <v>456</v>
      </c>
      <c r="Y43" s="244" t="s">
        <v>439</v>
      </c>
      <c r="Z43" s="244" t="s">
        <v>456</v>
      </c>
    </row>
    <row r="44" spans="1:27">
      <c r="B44" s="119"/>
      <c r="C44" s="119"/>
      <c r="D44" s="119"/>
      <c r="E44" s="119"/>
      <c r="F44" s="119"/>
      <c r="G44" s="119"/>
      <c r="H44" s="119"/>
      <c r="I44" s="119"/>
      <c r="J44" s="119"/>
      <c r="K44" s="119"/>
      <c r="L44" s="119"/>
      <c r="M44" s="119"/>
      <c r="N44" s="119"/>
      <c r="O44" s="119"/>
      <c r="P44" s="119"/>
      <c r="Q44" s="119"/>
      <c r="R44" s="119"/>
      <c r="S44" s="119"/>
      <c r="T44" s="119"/>
      <c r="V44" s="244" t="s">
        <v>440</v>
      </c>
      <c r="W44" s="244" t="s">
        <v>457</v>
      </c>
      <c r="Y44" s="244" t="s">
        <v>440</v>
      </c>
      <c r="Z44" s="244" t="s">
        <v>457</v>
      </c>
    </row>
    <row r="45" spans="1:27">
      <c r="B45" s="119"/>
      <c r="C45" s="119"/>
      <c r="D45" s="119"/>
      <c r="E45" s="119"/>
      <c r="F45" s="119"/>
      <c r="G45" s="119"/>
      <c r="H45" s="119"/>
      <c r="I45" s="119"/>
      <c r="J45" s="119"/>
      <c r="K45" s="119"/>
      <c r="L45" s="119"/>
      <c r="M45" s="119"/>
      <c r="N45" s="119"/>
      <c r="O45" s="119"/>
      <c r="P45" s="119"/>
      <c r="Q45" s="119"/>
      <c r="R45" s="119"/>
      <c r="S45" s="119"/>
      <c r="T45" s="119"/>
      <c r="V45" s="244" t="s">
        <v>441</v>
      </c>
      <c r="W45" s="244" t="s">
        <v>458</v>
      </c>
      <c r="Y45" s="244" t="s">
        <v>441</v>
      </c>
      <c r="Z45" s="244" t="s">
        <v>458</v>
      </c>
      <c r="AA45" s="9"/>
    </row>
    <row r="46" spans="1:27">
      <c r="B46" s="119"/>
      <c r="C46" s="119"/>
      <c r="D46" s="119"/>
      <c r="E46" s="119"/>
      <c r="F46" s="119"/>
      <c r="G46" s="119"/>
      <c r="H46" s="119"/>
      <c r="I46" s="119"/>
      <c r="J46" s="119"/>
      <c r="K46" s="119"/>
      <c r="L46" s="119"/>
      <c r="M46" s="119"/>
      <c r="N46" s="119"/>
      <c r="O46" s="119"/>
      <c r="P46" s="119"/>
      <c r="Q46" s="119"/>
      <c r="R46" s="119"/>
      <c r="S46" s="119"/>
      <c r="T46" s="119"/>
      <c r="V46" s="244" t="s">
        <v>442</v>
      </c>
      <c r="W46" s="244" t="s">
        <v>459</v>
      </c>
      <c r="Y46" s="244" t="s">
        <v>442</v>
      </c>
      <c r="Z46" s="244" t="s">
        <v>459</v>
      </c>
      <c r="AA46" s="9"/>
    </row>
    <row r="47" spans="1:27">
      <c r="B47" s="119"/>
      <c r="C47" s="119"/>
      <c r="D47" s="119"/>
      <c r="E47" s="119"/>
      <c r="F47" s="119"/>
      <c r="G47" s="119"/>
      <c r="H47" s="119"/>
      <c r="I47" s="119"/>
      <c r="J47" s="119"/>
      <c r="K47" s="119"/>
      <c r="L47" s="119"/>
      <c r="M47" s="119"/>
      <c r="N47" s="119"/>
      <c r="O47" s="119"/>
      <c r="P47" s="119"/>
      <c r="Q47" s="119"/>
      <c r="R47" s="119"/>
      <c r="S47" s="119"/>
      <c r="T47" s="119"/>
      <c r="V47" s="244" t="s">
        <v>443</v>
      </c>
      <c r="W47" s="244" t="s">
        <v>460</v>
      </c>
      <c r="Y47" s="244" t="s">
        <v>443</v>
      </c>
      <c r="Z47" s="244" t="s">
        <v>460</v>
      </c>
      <c r="AA47" s="9"/>
    </row>
    <row r="48" spans="1:27">
      <c r="B48" s="119"/>
      <c r="C48" s="119"/>
      <c r="D48" s="119"/>
      <c r="E48" s="119"/>
      <c r="F48" s="119"/>
      <c r="G48" s="119"/>
      <c r="H48" s="119"/>
      <c r="I48" s="119"/>
      <c r="J48" s="119"/>
      <c r="K48" s="119"/>
      <c r="L48" s="119"/>
      <c r="M48" s="119"/>
      <c r="N48" s="119"/>
      <c r="O48" s="119"/>
      <c r="P48" s="119"/>
      <c r="Q48" s="119"/>
      <c r="R48" s="119"/>
      <c r="S48" s="119"/>
      <c r="T48" s="119"/>
      <c r="V48" s="244" t="s">
        <v>444</v>
      </c>
      <c r="W48" s="245" t="s">
        <v>461</v>
      </c>
      <c r="Y48" s="244" t="s">
        <v>444</v>
      </c>
      <c r="Z48" s="245" t="s">
        <v>461</v>
      </c>
      <c r="AA48" s="9"/>
    </row>
    <row r="49" spans="2:27">
      <c r="B49" s="119"/>
      <c r="C49" s="119"/>
      <c r="D49" s="119"/>
      <c r="E49" s="119"/>
      <c r="F49" s="119"/>
      <c r="G49" s="119"/>
      <c r="H49" s="119"/>
      <c r="I49" s="119"/>
      <c r="J49" s="119"/>
      <c r="K49" s="119"/>
      <c r="L49" s="119"/>
      <c r="M49" s="119"/>
      <c r="N49" s="119"/>
      <c r="O49" s="119"/>
      <c r="P49" s="119"/>
      <c r="Q49" s="119"/>
      <c r="R49" s="119"/>
      <c r="S49" s="119"/>
      <c r="T49" s="119"/>
      <c r="V49" s="244" t="s">
        <v>445</v>
      </c>
      <c r="W49" s="244" t="s">
        <v>462</v>
      </c>
      <c r="X49" s="9"/>
      <c r="Y49" s="244" t="s">
        <v>445</v>
      </c>
      <c r="Z49" s="244" t="s">
        <v>462</v>
      </c>
      <c r="AA49" s="9"/>
    </row>
    <row r="50" spans="2:27">
      <c r="B50" s="119"/>
      <c r="C50" s="119"/>
      <c r="D50" s="119"/>
      <c r="E50" s="119"/>
      <c r="F50" s="119"/>
      <c r="G50" s="119"/>
      <c r="H50" s="119"/>
      <c r="I50" s="119"/>
      <c r="J50" s="119"/>
      <c r="K50" s="119"/>
      <c r="L50" s="119"/>
      <c r="M50" s="119"/>
      <c r="N50" s="119"/>
      <c r="O50" s="119"/>
      <c r="P50" s="119"/>
      <c r="Q50" s="119"/>
      <c r="R50" s="119"/>
      <c r="S50" s="119"/>
      <c r="T50" s="119"/>
      <c r="V50" s="246" t="s">
        <v>446</v>
      </c>
      <c r="W50" s="244" t="s">
        <v>463</v>
      </c>
      <c r="X50" s="9"/>
      <c r="Y50" s="246" t="s">
        <v>446</v>
      </c>
      <c r="Z50" s="244" t="s">
        <v>463</v>
      </c>
      <c r="AA50" s="9"/>
    </row>
    <row r="51" spans="2:27">
      <c r="B51" s="119"/>
      <c r="C51" s="119"/>
      <c r="D51" s="119"/>
      <c r="E51" s="119"/>
      <c r="F51" s="119"/>
      <c r="G51" s="119"/>
      <c r="H51" s="119"/>
      <c r="I51" s="119"/>
      <c r="J51" s="119"/>
      <c r="K51" s="119"/>
      <c r="L51" s="119"/>
      <c r="M51" s="119"/>
      <c r="N51" s="119"/>
      <c r="O51" s="119"/>
      <c r="P51" s="119"/>
      <c r="Q51" s="119"/>
      <c r="R51" s="119"/>
      <c r="S51" s="119"/>
      <c r="T51" s="119"/>
      <c r="V51" s="247" t="s">
        <v>447</v>
      </c>
      <c r="W51" s="244" t="s">
        <v>464</v>
      </c>
      <c r="X51" s="9"/>
      <c r="Y51" s="247" t="s">
        <v>447</v>
      </c>
      <c r="Z51" s="244" t="s">
        <v>464</v>
      </c>
      <c r="AA51" s="9"/>
    </row>
    <row r="52" spans="2:27">
      <c r="B52" s="119"/>
      <c r="C52" s="119"/>
      <c r="D52" s="119"/>
      <c r="E52" s="119"/>
      <c r="F52" s="119"/>
      <c r="G52" s="119"/>
      <c r="H52" s="119"/>
      <c r="I52" s="119"/>
      <c r="J52" s="119"/>
      <c r="K52" s="119"/>
      <c r="L52" s="119"/>
      <c r="M52" s="119"/>
      <c r="N52" s="119"/>
      <c r="O52" s="119"/>
      <c r="P52" s="119"/>
      <c r="Q52" s="119"/>
      <c r="R52" s="119"/>
      <c r="S52" s="119"/>
      <c r="T52" s="119"/>
      <c r="V52" s="295"/>
      <c r="W52" s="244" t="s">
        <v>465</v>
      </c>
      <c r="X52" s="9"/>
      <c r="Y52" s="284"/>
      <c r="Z52" s="244" t="s">
        <v>465</v>
      </c>
      <c r="AA52" s="9"/>
    </row>
    <row r="53" spans="2:27">
      <c r="B53" s="119"/>
      <c r="C53" s="119"/>
      <c r="D53" s="119"/>
      <c r="E53" s="119"/>
      <c r="F53" s="119"/>
      <c r="G53" s="119"/>
      <c r="H53" s="119"/>
      <c r="I53" s="119"/>
      <c r="J53" s="119"/>
      <c r="K53" s="119"/>
      <c r="L53" s="119"/>
      <c r="M53" s="119"/>
      <c r="N53" s="119"/>
      <c r="O53" s="119"/>
      <c r="P53" s="119"/>
      <c r="Q53" s="119"/>
      <c r="R53" s="119"/>
      <c r="S53" s="119"/>
      <c r="T53" s="119"/>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row r="56" spans="2:27">
      <c r="B56" s="119"/>
      <c r="C56" s="119"/>
      <c r="D56" s="119"/>
      <c r="E56" s="119"/>
      <c r="F56" s="119"/>
      <c r="G56" s="119"/>
      <c r="H56" s="119"/>
      <c r="I56" s="119"/>
      <c r="J56" s="119"/>
      <c r="K56" s="119"/>
      <c r="L56" s="119"/>
      <c r="M56" s="119"/>
      <c r="N56" s="119"/>
      <c r="O56" s="119"/>
      <c r="P56" s="119"/>
      <c r="Q56" s="119"/>
      <c r="R56" s="119"/>
      <c r="S56" s="119"/>
      <c r="T56" s="119"/>
    </row>
  </sheetData>
  <mergeCells count="24">
    <mergeCell ref="B3:T3"/>
    <mergeCell ref="B4:T4"/>
    <mergeCell ref="B5:T5"/>
    <mergeCell ref="R7:T7"/>
    <mergeCell ref="B9:L9"/>
    <mergeCell ref="N9:T9"/>
    <mergeCell ref="C26:L28"/>
    <mergeCell ref="B11:L11"/>
    <mergeCell ref="C12:L12"/>
    <mergeCell ref="C13:L13"/>
    <mergeCell ref="C14:L14"/>
    <mergeCell ref="C15:L15"/>
    <mergeCell ref="B17:L17"/>
    <mergeCell ref="C18:L18"/>
    <mergeCell ref="C19:L19"/>
    <mergeCell ref="C20:L20"/>
    <mergeCell ref="D21:L22"/>
    <mergeCell ref="C23:L25"/>
    <mergeCell ref="C29:L30"/>
    <mergeCell ref="B32:T32"/>
    <mergeCell ref="V32:W32"/>
    <mergeCell ref="Y32:Z32"/>
    <mergeCell ref="V33:W33"/>
    <mergeCell ref="Y33:Z33"/>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9073"/>
  </sheetPr>
  <dimension ref="A1:C2"/>
  <sheetViews>
    <sheetView showGridLines="0" zoomScale="70" zoomScaleNormal="70" workbookViewId="0"/>
  </sheetViews>
  <sheetFormatPr defaultRowHeight="14.25"/>
  <cols>
    <col min="3" max="3" width="12.796875" customWidth="1"/>
  </cols>
  <sheetData>
    <row r="1" spans="1:3" ht="15.75">
      <c r="A1" s="16" t="s">
        <v>658</v>
      </c>
    </row>
    <row r="2" spans="1:3" ht="15.75">
      <c r="A2" s="26" t="s">
        <v>34</v>
      </c>
      <c r="C2" s="27">
        <v>42977</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18366"/>
  </sheetPr>
  <dimension ref="A2:AA57"/>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489</v>
      </c>
      <c r="C3" s="338"/>
      <c r="D3" s="338"/>
      <c r="E3" s="338"/>
      <c r="F3" s="338"/>
      <c r="G3" s="338"/>
      <c r="H3" s="338"/>
      <c r="I3" s="338"/>
      <c r="J3" s="338"/>
      <c r="K3" s="338"/>
      <c r="L3" s="338"/>
      <c r="M3" s="338"/>
      <c r="N3" s="338"/>
      <c r="O3" s="338"/>
      <c r="P3" s="338"/>
      <c r="Q3" s="338"/>
      <c r="R3" s="338"/>
      <c r="S3" s="338"/>
      <c r="T3" s="338"/>
    </row>
    <row r="4" spans="1:20" ht="30.75">
      <c r="B4" s="366" t="s">
        <v>499</v>
      </c>
      <c r="C4" s="366"/>
      <c r="D4" s="366"/>
      <c r="E4" s="366"/>
      <c r="F4" s="366"/>
      <c r="G4" s="366"/>
      <c r="H4" s="366"/>
      <c r="I4" s="366"/>
      <c r="J4" s="366"/>
      <c r="K4" s="366"/>
      <c r="L4" s="366"/>
      <c r="M4" s="366"/>
      <c r="N4" s="366"/>
      <c r="O4" s="366"/>
      <c r="P4" s="366"/>
      <c r="Q4" s="366"/>
      <c r="R4" s="366"/>
      <c r="S4" s="366"/>
      <c r="T4" s="366"/>
    </row>
    <row r="5" spans="1:20" ht="18">
      <c r="B5" s="340" t="s">
        <v>214</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31"/>
      <c r="O10" s="31"/>
      <c r="P10" s="31"/>
      <c r="Q10" s="31"/>
      <c r="R10" s="31"/>
      <c r="S10" s="31"/>
      <c r="T10" s="31"/>
    </row>
    <row r="11" spans="1:20">
      <c r="B11" s="336" t="s">
        <v>40</v>
      </c>
      <c r="C11" s="336"/>
      <c r="D11" s="336"/>
      <c r="E11" s="336"/>
      <c r="F11" s="336"/>
      <c r="G11" s="336"/>
      <c r="H11" s="336"/>
      <c r="I11" s="336"/>
      <c r="J11" s="336"/>
      <c r="K11" s="336"/>
      <c r="L11" s="336"/>
      <c r="N11" s="87" t="s">
        <v>211</v>
      </c>
      <c r="O11" s="87" t="s">
        <v>286</v>
      </c>
      <c r="P11" s="86"/>
      <c r="R11" s="86"/>
    </row>
    <row r="12" spans="1:20">
      <c r="B12" s="1"/>
      <c r="C12" s="337" t="s">
        <v>614</v>
      </c>
      <c r="D12" s="337"/>
      <c r="E12" s="337"/>
      <c r="F12" s="337"/>
      <c r="G12" s="337"/>
      <c r="H12" s="337"/>
      <c r="I12" s="337"/>
      <c r="J12" s="337"/>
      <c r="K12" s="337"/>
      <c r="L12" s="337"/>
      <c r="N12" s="87" t="s">
        <v>287</v>
      </c>
      <c r="O12" s="86" t="s">
        <v>279</v>
      </c>
      <c r="P12" s="86" t="s">
        <v>280</v>
      </c>
      <c r="R12" s="86"/>
    </row>
    <row r="13" spans="1:20">
      <c r="B13" s="32"/>
      <c r="C13" s="332" t="s">
        <v>615</v>
      </c>
      <c r="D13" s="332"/>
      <c r="E13" s="332"/>
      <c r="F13" s="332"/>
      <c r="G13" s="332"/>
      <c r="H13" s="332"/>
      <c r="I13" s="332"/>
      <c r="J13" s="332"/>
      <c r="K13" s="332"/>
      <c r="L13" s="332"/>
      <c r="N13" s="88">
        <v>2017</v>
      </c>
      <c r="O13" s="86">
        <v>0.39130434782608697</v>
      </c>
      <c r="P13" s="86">
        <v>0.45652173913043476</v>
      </c>
      <c r="R13" s="86"/>
    </row>
    <row r="14" spans="1:20">
      <c r="B14" s="32"/>
      <c r="C14" s="333" t="s">
        <v>292</v>
      </c>
      <c r="D14" s="333"/>
      <c r="E14" s="333"/>
      <c r="F14" s="333"/>
      <c r="G14" s="333"/>
      <c r="H14" s="333"/>
      <c r="I14" s="333"/>
      <c r="J14" s="333"/>
      <c r="K14" s="333"/>
      <c r="L14" s="333"/>
      <c r="N14" s="88">
        <v>2018</v>
      </c>
      <c r="O14" s="86"/>
      <c r="P14" s="86"/>
      <c r="R14" s="86"/>
    </row>
    <row r="15" spans="1:20">
      <c r="B15" s="32"/>
      <c r="C15" s="333" t="s">
        <v>613</v>
      </c>
      <c r="D15" s="333"/>
      <c r="E15" s="333"/>
      <c r="F15" s="333"/>
      <c r="G15" s="333"/>
      <c r="H15" s="333"/>
      <c r="I15" s="333"/>
      <c r="J15" s="333"/>
      <c r="K15" s="333"/>
      <c r="L15" s="333"/>
      <c r="N15" s="88">
        <v>2019</v>
      </c>
      <c r="O15" s="86"/>
      <c r="P15" s="86"/>
      <c r="R15" s="86"/>
    </row>
    <row r="16" spans="1:20">
      <c r="A16" s="3"/>
      <c r="B16" s="32"/>
      <c r="C16" s="47"/>
      <c r="D16" s="47"/>
      <c r="E16" s="47"/>
      <c r="F16" s="47"/>
      <c r="G16" s="47"/>
      <c r="H16" s="47"/>
      <c r="I16" s="47"/>
      <c r="J16" s="47"/>
      <c r="K16" s="47"/>
      <c r="L16" s="32"/>
      <c r="N16" s="88">
        <v>2020</v>
      </c>
      <c r="O16" s="86"/>
      <c r="P16" s="86"/>
      <c r="R16" s="86"/>
    </row>
    <row r="17" spans="1:26">
      <c r="A17" s="3"/>
      <c r="B17" s="336" t="s">
        <v>41</v>
      </c>
      <c r="C17" s="336"/>
      <c r="D17" s="336"/>
      <c r="E17" s="336"/>
      <c r="F17" s="336"/>
      <c r="G17" s="336"/>
      <c r="H17" s="336"/>
      <c r="I17" s="336"/>
      <c r="J17" s="336"/>
      <c r="K17" s="336"/>
      <c r="L17" s="336"/>
      <c r="N17" s="88">
        <v>2021</v>
      </c>
      <c r="O17" s="86"/>
      <c r="P17" s="86"/>
      <c r="R17" s="86"/>
    </row>
    <row r="18" spans="1:26">
      <c r="A18" s="3"/>
      <c r="B18" s="1"/>
      <c r="C18" s="333" t="s">
        <v>295</v>
      </c>
      <c r="D18" s="333"/>
      <c r="E18" s="333"/>
      <c r="F18" s="333"/>
      <c r="G18" s="333"/>
      <c r="H18" s="333"/>
      <c r="I18" s="333"/>
      <c r="J18" s="333"/>
      <c r="K18" s="333"/>
      <c r="L18" s="333"/>
      <c r="N18" s="88">
        <v>2022</v>
      </c>
      <c r="O18" s="86"/>
      <c r="P18" s="86"/>
      <c r="R18" s="86"/>
    </row>
    <row r="19" spans="1:26">
      <c r="A19" s="3"/>
      <c r="B19" s="32"/>
      <c r="C19" s="333" t="s">
        <v>317</v>
      </c>
      <c r="D19" s="333"/>
      <c r="E19" s="333"/>
      <c r="F19" s="333"/>
      <c r="G19" s="333"/>
      <c r="H19" s="333"/>
      <c r="I19" s="333"/>
      <c r="J19" s="333"/>
      <c r="K19" s="333"/>
      <c r="L19" s="333"/>
      <c r="N19" s="88">
        <v>2023</v>
      </c>
      <c r="O19" s="86"/>
      <c r="P19" s="86"/>
      <c r="R19" s="86"/>
    </row>
    <row r="20" spans="1:26">
      <c r="A20" s="3"/>
      <c r="B20" s="32"/>
      <c r="C20" s="333" t="s">
        <v>369</v>
      </c>
      <c r="D20" s="333"/>
      <c r="E20" s="333"/>
      <c r="F20" s="333"/>
      <c r="G20" s="333"/>
      <c r="H20" s="333"/>
      <c r="I20" s="333"/>
      <c r="J20" s="333"/>
      <c r="K20" s="333"/>
      <c r="L20" s="333"/>
      <c r="N20" s="88">
        <v>2024</v>
      </c>
      <c r="O20" s="86"/>
      <c r="P20" s="86"/>
      <c r="R20" s="86"/>
    </row>
    <row r="21" spans="1:26">
      <c r="A21" s="3"/>
      <c r="B21" s="32"/>
      <c r="C21" s="58" t="str">
        <f>"--&gt;"</f>
        <v>--&gt;</v>
      </c>
      <c r="D21" s="334" t="s">
        <v>212</v>
      </c>
      <c r="E21" s="334"/>
      <c r="F21" s="334"/>
      <c r="G21" s="334"/>
      <c r="H21" s="334"/>
      <c r="I21" s="334"/>
      <c r="J21" s="334"/>
      <c r="K21" s="334"/>
      <c r="L21" s="334"/>
      <c r="N21" s="88">
        <v>2025</v>
      </c>
      <c r="O21" s="86"/>
      <c r="P21" s="86"/>
      <c r="R21" s="86"/>
    </row>
    <row r="22" spans="1:26">
      <c r="A22" s="3"/>
      <c r="B22" s="32"/>
      <c r="C22" s="32"/>
      <c r="D22" s="334"/>
      <c r="E22" s="334"/>
      <c r="F22" s="334"/>
      <c r="G22" s="334"/>
      <c r="H22" s="334"/>
      <c r="I22" s="334"/>
      <c r="J22" s="334"/>
      <c r="K22" s="334"/>
      <c r="L22" s="334"/>
      <c r="R22" s="86"/>
    </row>
    <row r="23" spans="1:26">
      <c r="A23" s="3"/>
      <c r="B23" s="32"/>
      <c r="C23" s="333" t="s">
        <v>356</v>
      </c>
      <c r="D23" s="333"/>
      <c r="E23" s="333"/>
      <c r="F23" s="333"/>
      <c r="G23" s="333"/>
      <c r="H23" s="333"/>
      <c r="I23" s="333"/>
      <c r="J23" s="333"/>
      <c r="K23" s="333"/>
      <c r="L23" s="333"/>
    </row>
    <row r="24" spans="1:26">
      <c r="A24" s="3"/>
      <c r="B24" s="32"/>
      <c r="C24" s="333"/>
      <c r="D24" s="333"/>
      <c r="E24" s="333"/>
      <c r="F24" s="333"/>
      <c r="G24" s="333"/>
      <c r="H24" s="333"/>
      <c r="I24" s="333"/>
      <c r="J24" s="333"/>
      <c r="K24" s="333"/>
      <c r="L24" s="333"/>
      <c r="Q24" s="2"/>
      <c r="S24" s="11"/>
      <c r="T24" s="11"/>
    </row>
    <row r="25" spans="1:26">
      <c r="A25" s="3"/>
      <c r="B25" s="32"/>
      <c r="C25" s="333"/>
      <c r="D25" s="333"/>
      <c r="E25" s="333"/>
      <c r="F25" s="333"/>
      <c r="G25" s="333"/>
      <c r="H25" s="333"/>
      <c r="I25" s="333"/>
      <c r="J25" s="333"/>
      <c r="K25" s="333"/>
      <c r="L25" s="333"/>
      <c r="Q25" s="2"/>
      <c r="S25" s="11"/>
      <c r="T25" s="11"/>
    </row>
    <row r="26" spans="1:26">
      <c r="A26" s="3"/>
      <c r="B26" s="32"/>
      <c r="C26" s="335" t="s">
        <v>322</v>
      </c>
      <c r="D26" s="335"/>
      <c r="E26" s="335"/>
      <c r="F26" s="335"/>
      <c r="G26" s="335"/>
      <c r="H26" s="335"/>
      <c r="I26" s="335"/>
      <c r="J26" s="335"/>
      <c r="K26" s="335"/>
      <c r="L26" s="335"/>
      <c r="Q26" s="2"/>
      <c r="S26" s="11"/>
      <c r="T26" s="11"/>
    </row>
    <row r="27" spans="1:26">
      <c r="B27" s="47"/>
      <c r="C27" s="335"/>
      <c r="D27" s="335"/>
      <c r="E27" s="335"/>
      <c r="F27" s="335"/>
      <c r="G27" s="335"/>
      <c r="H27" s="335"/>
      <c r="I27" s="335"/>
      <c r="J27" s="335"/>
      <c r="K27" s="335"/>
      <c r="L27" s="335"/>
      <c r="Q27" s="2"/>
      <c r="S27" s="11"/>
      <c r="T27" s="11"/>
    </row>
    <row r="28" spans="1:26">
      <c r="B28" s="47"/>
      <c r="C28" s="335"/>
      <c r="D28" s="335"/>
      <c r="E28" s="335"/>
      <c r="F28" s="335"/>
      <c r="G28" s="335"/>
      <c r="H28" s="335"/>
      <c r="I28" s="335"/>
      <c r="J28" s="335"/>
      <c r="K28" s="335"/>
      <c r="L28" s="335"/>
      <c r="Q28" s="2"/>
      <c r="S28" s="11"/>
      <c r="T28" s="11"/>
    </row>
    <row r="29" spans="1:26">
      <c r="B29" s="83"/>
      <c r="C29" s="351"/>
      <c r="D29" s="351"/>
      <c r="E29" s="351"/>
      <c r="F29" s="351"/>
      <c r="G29" s="351"/>
      <c r="H29" s="351"/>
      <c r="I29" s="351"/>
      <c r="J29" s="351"/>
      <c r="K29" s="351"/>
      <c r="L29" s="351"/>
      <c r="S29" s="11"/>
      <c r="T29" s="11"/>
    </row>
    <row r="30" spans="1:26">
      <c r="B30" s="31"/>
      <c r="C30" s="351"/>
      <c r="D30" s="351"/>
      <c r="E30" s="351"/>
      <c r="F30" s="351"/>
      <c r="G30" s="351"/>
      <c r="H30" s="351"/>
      <c r="I30" s="351"/>
      <c r="J30" s="351"/>
      <c r="K30" s="351"/>
      <c r="L30" s="351"/>
      <c r="M30" s="9"/>
      <c r="N30" s="31"/>
      <c r="O30" s="34"/>
      <c r="P30" s="35"/>
      <c r="Q30" s="35"/>
      <c r="R30" s="35"/>
      <c r="S30" s="35"/>
      <c r="T30" s="31"/>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7">
      <c r="B34" s="1"/>
      <c r="C34" s="1"/>
      <c r="D34" s="1"/>
      <c r="E34" s="1"/>
      <c r="F34" s="1"/>
      <c r="G34" s="1"/>
      <c r="H34" s="1"/>
      <c r="I34" s="1"/>
      <c r="J34" s="1"/>
      <c r="K34" s="1"/>
      <c r="L34" s="1"/>
      <c r="M34" s="1"/>
      <c r="N34" s="1"/>
      <c r="O34" s="1"/>
      <c r="P34" s="1"/>
      <c r="Q34" s="1"/>
      <c r="R34" s="1"/>
      <c r="S34" s="1"/>
      <c r="T34" s="1"/>
      <c r="V34" s="56" t="s">
        <v>61</v>
      </c>
      <c r="W34" s="56" t="s">
        <v>62</v>
      </c>
      <c r="X34" s="11"/>
      <c r="Y34" s="56" t="s">
        <v>61</v>
      </c>
      <c r="Z34" s="56" t="s">
        <v>62</v>
      </c>
    </row>
    <row r="35" spans="1:27">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7">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7">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7">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7">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7">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7">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7">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7">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7">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c r="AA44" s="9"/>
    </row>
    <row r="45" spans="1:27">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c r="AA45" s="9"/>
    </row>
    <row r="46" spans="1:27">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c r="AA46" s="9"/>
    </row>
    <row r="47" spans="1:27">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c r="AA47" s="9"/>
    </row>
    <row r="48" spans="1:27">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c r="AA48" s="9"/>
    </row>
    <row r="49" spans="2:27">
      <c r="B49" s="1"/>
      <c r="C49" s="1"/>
      <c r="D49" s="1"/>
      <c r="E49" s="1"/>
      <c r="F49" s="1"/>
      <c r="G49" s="1"/>
      <c r="H49" s="1"/>
      <c r="I49" s="1"/>
      <c r="J49" s="1"/>
      <c r="K49" s="1"/>
      <c r="L49" s="1"/>
      <c r="M49" s="1"/>
      <c r="N49" s="1"/>
      <c r="O49" s="1"/>
      <c r="P49" s="1"/>
      <c r="Q49" s="1"/>
      <c r="R49" s="1"/>
      <c r="S49" s="1"/>
      <c r="T49" s="1"/>
      <c r="V49" s="244" t="s">
        <v>445</v>
      </c>
      <c r="W49" s="244" t="s">
        <v>462</v>
      </c>
      <c r="X49" s="9"/>
      <c r="Y49" s="244" t="s">
        <v>445</v>
      </c>
      <c r="Z49" s="244" t="s">
        <v>462</v>
      </c>
      <c r="AA49" s="9"/>
    </row>
    <row r="50" spans="2:27">
      <c r="B50" s="1"/>
      <c r="C50" s="1"/>
      <c r="D50" s="1"/>
      <c r="E50" s="1"/>
      <c r="F50" s="1"/>
      <c r="G50" s="1"/>
      <c r="H50" s="1"/>
      <c r="I50" s="1"/>
      <c r="J50" s="1"/>
      <c r="K50" s="1"/>
      <c r="L50" s="1"/>
      <c r="M50" s="1"/>
      <c r="N50" s="1"/>
      <c r="O50" s="1"/>
      <c r="P50" s="1"/>
      <c r="Q50" s="1"/>
      <c r="R50" s="1"/>
      <c r="S50" s="1"/>
      <c r="T50" s="1"/>
      <c r="V50" s="246" t="s">
        <v>446</v>
      </c>
      <c r="W50" s="244" t="s">
        <v>463</v>
      </c>
      <c r="X50" s="9"/>
      <c r="Y50" s="246" t="s">
        <v>446</v>
      </c>
      <c r="Z50" s="244" t="s">
        <v>463</v>
      </c>
      <c r="AA50" s="9"/>
    </row>
    <row r="51" spans="2:27">
      <c r="B51" s="1"/>
      <c r="C51" s="1"/>
      <c r="D51" s="1"/>
      <c r="E51" s="1"/>
      <c r="F51" s="1"/>
      <c r="G51" s="1"/>
      <c r="H51" s="1"/>
      <c r="I51" s="1"/>
      <c r="J51" s="1"/>
      <c r="K51" s="1"/>
      <c r="L51" s="1"/>
      <c r="M51" s="1"/>
      <c r="N51" s="1"/>
      <c r="O51" s="1"/>
      <c r="P51" s="1"/>
      <c r="Q51" s="1"/>
      <c r="R51" s="1"/>
      <c r="S51" s="1"/>
      <c r="T51" s="1"/>
      <c r="V51" s="247" t="s">
        <v>447</v>
      </c>
      <c r="W51" s="244" t="s">
        <v>464</v>
      </c>
      <c r="X51" s="9"/>
      <c r="Y51" s="247" t="s">
        <v>447</v>
      </c>
      <c r="Z51" s="244" t="s">
        <v>464</v>
      </c>
      <c r="AA51" s="9"/>
    </row>
    <row r="52" spans="2:27">
      <c r="B52" s="1"/>
      <c r="C52" s="1"/>
      <c r="D52" s="1"/>
      <c r="E52" s="1"/>
      <c r="F52" s="1"/>
      <c r="G52" s="1"/>
      <c r="H52" s="1"/>
      <c r="I52" s="1"/>
      <c r="J52" s="1"/>
      <c r="K52" s="1"/>
      <c r="L52" s="1"/>
      <c r="M52" s="1"/>
      <c r="N52" s="1"/>
      <c r="O52" s="1"/>
      <c r="P52" s="1"/>
      <c r="Q52" s="1"/>
      <c r="R52" s="1"/>
      <c r="S52" s="1"/>
      <c r="T52" s="1"/>
      <c r="V52" s="295"/>
      <c r="W52" s="244" t="s">
        <v>465</v>
      </c>
      <c r="X52" s="9"/>
      <c r="Y52" s="284"/>
      <c r="Z52" s="244" t="s">
        <v>465</v>
      </c>
      <c r="AA52" s="9"/>
    </row>
    <row r="53" spans="2:27">
      <c r="B53" s="1"/>
      <c r="C53" s="1"/>
      <c r="D53" s="1"/>
      <c r="E53" s="1"/>
      <c r="F53" s="1"/>
      <c r="G53" s="1"/>
      <c r="H53" s="1"/>
      <c r="I53" s="1"/>
      <c r="J53" s="1"/>
      <c r="K53" s="1"/>
      <c r="L53" s="1"/>
      <c r="M53" s="1"/>
      <c r="N53" s="1"/>
      <c r="O53" s="1"/>
      <c r="P53" s="1"/>
      <c r="Q53" s="1"/>
      <c r="R53" s="1"/>
      <c r="S53" s="1"/>
      <c r="T53" s="1"/>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row r="56" spans="2:27">
      <c r="V56" s="9"/>
      <c r="W56" s="9"/>
      <c r="X56" s="9"/>
      <c r="Y56" s="9"/>
      <c r="Z56" s="9"/>
      <c r="AA56" s="9"/>
    </row>
    <row r="57" spans="2:27">
      <c r="V57" s="9"/>
      <c r="W57" s="9"/>
      <c r="X57" s="9"/>
      <c r="Y57" s="9"/>
      <c r="Z57" s="9"/>
      <c r="AA57" s="9"/>
    </row>
  </sheetData>
  <mergeCells count="24">
    <mergeCell ref="B11:L11"/>
    <mergeCell ref="C12:L12"/>
    <mergeCell ref="C13:L13"/>
    <mergeCell ref="C14:L14"/>
    <mergeCell ref="B3:T3"/>
    <mergeCell ref="B4:T4"/>
    <mergeCell ref="B5:T5"/>
    <mergeCell ref="R7:T7"/>
    <mergeCell ref="B9:L9"/>
    <mergeCell ref="N9:T9"/>
    <mergeCell ref="Y32:Z32"/>
    <mergeCell ref="Y33:Z33"/>
    <mergeCell ref="V33:W33"/>
    <mergeCell ref="C15:L15"/>
    <mergeCell ref="B17:L17"/>
    <mergeCell ref="C18:L18"/>
    <mergeCell ref="C19:L19"/>
    <mergeCell ref="C20:L20"/>
    <mergeCell ref="D21:L22"/>
    <mergeCell ref="C23:L25"/>
    <mergeCell ref="C26:L28"/>
    <mergeCell ref="C29:L30"/>
    <mergeCell ref="B32:T32"/>
    <mergeCell ref="V32:W32"/>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B49073"/>
  </sheetPr>
  <dimension ref="A1:AI154"/>
  <sheetViews>
    <sheetView showGridLines="0" zoomScale="70" zoomScaleNormal="70" workbookViewId="0"/>
  </sheetViews>
  <sheetFormatPr defaultRowHeight="14.25"/>
  <cols>
    <col min="1" max="1" width="15.796875" customWidth="1"/>
    <col min="2" max="8" width="26.796875" customWidth="1"/>
    <col min="9" max="20" width="12.796875" customWidth="1"/>
  </cols>
  <sheetData>
    <row r="1" spans="1:35" ht="15.75">
      <c r="A1" s="16" t="s">
        <v>233</v>
      </c>
      <c r="B1" s="84"/>
      <c r="C1" s="84"/>
      <c r="D1" s="84"/>
      <c r="E1" s="84"/>
      <c r="F1" s="84"/>
      <c r="G1" s="84"/>
    </row>
    <row r="2" spans="1:35" ht="15.75">
      <c r="A2" s="26" t="s">
        <v>34</v>
      </c>
      <c r="C2" s="27">
        <v>42977</v>
      </c>
      <c r="E2" s="342" t="s">
        <v>44</v>
      </c>
      <c r="F2" s="342"/>
      <c r="G2" s="342"/>
      <c r="H2" s="342"/>
    </row>
    <row r="3" spans="1:35" ht="23.65" thickBot="1">
      <c r="A3" s="354" t="s">
        <v>7</v>
      </c>
      <c r="B3" s="354"/>
      <c r="C3" s="354"/>
      <c r="D3" s="354"/>
      <c r="E3" s="354"/>
      <c r="F3" s="354"/>
      <c r="G3" s="354"/>
      <c r="H3" s="354"/>
      <c r="J3" s="321" t="s">
        <v>46</v>
      </c>
      <c r="K3" s="321"/>
      <c r="L3" s="11"/>
      <c r="M3" s="318" t="s">
        <v>46</v>
      </c>
      <c r="N3" s="318"/>
    </row>
    <row r="4" spans="1:35">
      <c r="A4" s="119"/>
      <c r="B4" s="119"/>
      <c r="C4" s="119"/>
      <c r="D4" s="119"/>
      <c r="E4" s="119"/>
      <c r="F4" s="119"/>
      <c r="G4" s="119"/>
      <c r="H4" s="119"/>
      <c r="J4" s="319" t="s">
        <v>65</v>
      </c>
      <c r="K4" s="320"/>
      <c r="L4" s="11"/>
      <c r="M4" s="319" t="s">
        <v>66</v>
      </c>
      <c r="N4" s="320"/>
    </row>
    <row r="5" spans="1:35">
      <c r="A5" s="119"/>
      <c r="B5" s="352" t="s">
        <v>374</v>
      </c>
      <c r="C5" s="352"/>
      <c r="D5" s="352"/>
      <c r="E5" s="352"/>
      <c r="F5" s="352"/>
      <c r="G5" s="352"/>
      <c r="H5" s="352"/>
      <c r="J5" s="56" t="s">
        <v>61</v>
      </c>
      <c r="K5" s="56" t="s">
        <v>62</v>
      </c>
      <c r="L5" s="11"/>
      <c r="M5" s="56" t="s">
        <v>61</v>
      </c>
      <c r="N5" s="56" t="s">
        <v>62</v>
      </c>
    </row>
    <row r="6" spans="1:35">
      <c r="A6" s="119"/>
      <c r="B6" s="352" t="s">
        <v>326</v>
      </c>
      <c r="C6" s="352"/>
      <c r="D6" s="352"/>
      <c r="E6" s="352"/>
      <c r="F6" s="352"/>
      <c r="G6" s="352"/>
      <c r="H6" s="352"/>
      <c r="J6" s="244" t="s">
        <v>392</v>
      </c>
      <c r="K6" s="244" t="s">
        <v>448</v>
      </c>
      <c r="L6" s="11"/>
      <c r="M6" s="244" t="s">
        <v>392</v>
      </c>
      <c r="N6" s="244" t="s">
        <v>448</v>
      </c>
    </row>
    <row r="7" spans="1:35">
      <c r="A7" s="119"/>
      <c r="B7" s="352" t="s">
        <v>329</v>
      </c>
      <c r="C7" s="352"/>
      <c r="D7" s="352"/>
      <c r="E7" s="352"/>
      <c r="F7" s="352"/>
      <c r="G7" s="352"/>
      <c r="H7" s="352"/>
      <c r="J7" s="244" t="s">
        <v>393</v>
      </c>
      <c r="K7" s="244" t="s">
        <v>449</v>
      </c>
      <c r="L7" s="11"/>
      <c r="M7" s="244" t="s">
        <v>393</v>
      </c>
      <c r="N7" s="244" t="s">
        <v>449</v>
      </c>
    </row>
    <row r="8" spans="1:35">
      <c r="A8" s="119"/>
      <c r="B8" s="353" t="s">
        <v>325</v>
      </c>
      <c r="C8" s="353"/>
      <c r="D8" s="353"/>
      <c r="E8" s="353"/>
      <c r="F8" s="353"/>
      <c r="G8" s="353"/>
      <c r="H8" s="353"/>
      <c r="J8" s="244" t="s">
        <v>394</v>
      </c>
      <c r="K8" s="244" t="s">
        <v>450</v>
      </c>
      <c r="L8" s="11"/>
      <c r="M8" s="244" t="s">
        <v>394</v>
      </c>
      <c r="N8" s="244" t="s">
        <v>450</v>
      </c>
    </row>
    <row r="9" spans="1:35">
      <c r="A9" s="119"/>
      <c r="B9" s="353" t="s">
        <v>616</v>
      </c>
      <c r="C9" s="353"/>
      <c r="D9" s="353"/>
      <c r="E9" s="353"/>
      <c r="F9" s="353"/>
      <c r="G9" s="353"/>
      <c r="H9" s="353"/>
      <c r="J9" s="244" t="s">
        <v>434</v>
      </c>
      <c r="K9" s="244" t="s">
        <v>451</v>
      </c>
      <c r="L9" s="11"/>
      <c r="M9" s="244" t="s">
        <v>434</v>
      </c>
      <c r="N9" s="244" t="s">
        <v>451</v>
      </c>
    </row>
    <row r="10" spans="1:35">
      <c r="A10" s="119"/>
      <c r="B10" s="123" t="s">
        <v>617</v>
      </c>
      <c r="C10" s="123"/>
      <c r="D10" s="123"/>
      <c r="E10" s="123"/>
      <c r="F10" s="123"/>
      <c r="G10" s="123"/>
      <c r="H10" s="123"/>
      <c r="J10" s="244" t="s">
        <v>435</v>
      </c>
      <c r="K10" s="244" t="s">
        <v>452</v>
      </c>
      <c r="M10" s="244" t="s">
        <v>435</v>
      </c>
      <c r="N10" s="244" t="s">
        <v>452</v>
      </c>
    </row>
    <row r="11" spans="1:35">
      <c r="A11" s="119"/>
      <c r="B11" s="119"/>
      <c r="C11" s="119"/>
      <c r="D11" s="119"/>
      <c r="E11" s="119"/>
      <c r="F11" s="119"/>
      <c r="G11" s="119"/>
      <c r="H11" s="119"/>
      <c r="J11" s="244" t="s">
        <v>436</v>
      </c>
      <c r="K11" s="244" t="s">
        <v>453</v>
      </c>
      <c r="M11" s="244" t="s">
        <v>436</v>
      </c>
      <c r="N11" s="244" t="s">
        <v>453</v>
      </c>
    </row>
    <row r="12" spans="1:35" ht="15.75">
      <c r="A12" s="26"/>
      <c r="C12" s="27"/>
      <c r="J12" s="244" t="s">
        <v>437</v>
      </c>
      <c r="K12" s="245" t="s">
        <v>454</v>
      </c>
      <c r="M12" s="244" t="s">
        <v>437</v>
      </c>
      <c r="N12" s="245" t="s">
        <v>454</v>
      </c>
    </row>
    <row r="13" spans="1:35">
      <c r="A13" s="133" t="s">
        <v>2</v>
      </c>
      <c r="B13" s="133" t="s">
        <v>203</v>
      </c>
      <c r="C13" s="133" t="s">
        <v>153</v>
      </c>
      <c r="D13" s="133" t="s">
        <v>158</v>
      </c>
      <c r="E13" s="133" t="s">
        <v>162</v>
      </c>
      <c r="F13" s="133" t="s">
        <v>178</v>
      </c>
      <c r="G13" s="133" t="s">
        <v>188</v>
      </c>
      <c r="H13" s="133" t="s">
        <v>209</v>
      </c>
      <c r="I13" s="152"/>
      <c r="J13" s="244" t="s">
        <v>438</v>
      </c>
      <c r="K13" s="244" t="s">
        <v>455</v>
      </c>
      <c r="M13" s="244" t="s">
        <v>438</v>
      </c>
      <c r="N13" s="244" t="s">
        <v>455</v>
      </c>
      <c r="O13" s="152"/>
      <c r="U13" s="152"/>
      <c r="V13" s="152"/>
      <c r="W13" s="152"/>
      <c r="X13" s="152"/>
      <c r="Y13" s="152"/>
      <c r="Z13" s="152"/>
      <c r="AA13" s="152"/>
      <c r="AB13" s="152"/>
      <c r="AC13" s="152"/>
      <c r="AD13" s="152"/>
      <c r="AE13" s="152"/>
      <c r="AF13" s="152"/>
      <c r="AG13" s="152"/>
      <c r="AH13" s="152"/>
      <c r="AI13" s="8"/>
    </row>
    <row r="14" spans="1:35">
      <c r="A14" s="2">
        <v>2017</v>
      </c>
      <c r="B14" t="s">
        <v>279</v>
      </c>
      <c r="C14" s="79">
        <f>COUNTIF(C$47:C$61,"=1")/COUNT(C$47:C$61)</f>
        <v>0.33333333333333331</v>
      </c>
      <c r="D14" s="79">
        <f>COUNTIF(C$62:C$66,"=1")/COUNT(C$62:C$66)</f>
        <v>0.33333333333333331</v>
      </c>
      <c r="E14" s="79">
        <f>COUNTIF(C$67:C$70,"=1")/COUNT(C$67:C$70)</f>
        <v>0.75</v>
      </c>
      <c r="F14" s="79">
        <f>COUNTIF(C$71:C$85,"=1")/COUNT(C$71:C$85)</f>
        <v>0.4</v>
      </c>
      <c r="G14" s="79">
        <f>COUNTIF(C$86:C$95,"=1")/COUNT(C$86:C$95)</f>
        <v>0.33333333333333331</v>
      </c>
      <c r="H14" s="79">
        <f>COUNTIF(C$47:C$95,"=1")/COUNT(C$47:C$95)</f>
        <v>0.39130434782608697</v>
      </c>
      <c r="I14" s="82"/>
      <c r="J14" s="245" t="s">
        <v>439</v>
      </c>
      <c r="K14" s="244" t="s">
        <v>456</v>
      </c>
      <c r="M14" s="244" t="s">
        <v>439</v>
      </c>
      <c r="N14" s="244" t="s">
        <v>456</v>
      </c>
      <c r="O14" s="153"/>
      <c r="U14" s="82"/>
      <c r="V14" s="82"/>
      <c r="W14" s="82"/>
      <c r="X14" s="82"/>
      <c r="Y14" s="82"/>
      <c r="Z14" s="82"/>
      <c r="AA14" s="82"/>
      <c r="AB14" s="82"/>
      <c r="AC14" s="153"/>
      <c r="AD14" s="82"/>
      <c r="AE14" s="153"/>
      <c r="AF14" s="82"/>
      <c r="AG14" s="153"/>
      <c r="AH14" s="82"/>
      <c r="AI14" s="8"/>
    </row>
    <row r="15" spans="1:35">
      <c r="A15">
        <v>2017</v>
      </c>
      <c r="B15" t="s">
        <v>280</v>
      </c>
      <c r="C15" s="79">
        <f>COUNTIF(D$47:D$61,"=1")/COUNT(D$47:D$61)</f>
        <v>0.53333333333333333</v>
      </c>
      <c r="D15" s="79">
        <f>COUNTIF(D$62:D$66,"=1")/COUNT(D$62:D$66)</f>
        <v>0.66666666666666663</v>
      </c>
      <c r="E15" s="79">
        <f>COUNTIF(D$67:D$70,"=1")/COUNT(D$67:D$70)</f>
        <v>0.75</v>
      </c>
      <c r="F15" s="79">
        <f>COUNTIF(D$71:D$85,"=1")/COUNT(D$71:D$85)</f>
        <v>0.33333333333333331</v>
      </c>
      <c r="G15" s="79">
        <f>COUNTIF(D$86:D$95,"=1")/COUNT(D$86:D$95)</f>
        <v>0.33333333333333331</v>
      </c>
      <c r="H15" s="79">
        <f>COUNTIF(D$47:D$95,"=1")/COUNT(D$47:D$95)</f>
        <v>0.45652173913043476</v>
      </c>
      <c r="I15" s="82"/>
      <c r="J15" s="244" t="s">
        <v>440</v>
      </c>
      <c r="K15" s="244" t="s">
        <v>457</v>
      </c>
      <c r="M15" s="244" t="s">
        <v>440</v>
      </c>
      <c r="N15" s="244" t="s">
        <v>457</v>
      </c>
      <c r="O15" s="153"/>
      <c r="U15" s="82"/>
      <c r="V15" s="82"/>
      <c r="W15" s="82"/>
      <c r="X15" s="82"/>
      <c r="Y15" s="82"/>
      <c r="Z15" s="82"/>
      <c r="AA15" s="82"/>
      <c r="AB15" s="82"/>
      <c r="AC15" s="153"/>
      <c r="AD15" s="82"/>
      <c r="AE15" s="153"/>
      <c r="AF15" s="82"/>
      <c r="AG15" s="153"/>
      <c r="AH15" s="82"/>
      <c r="AI15" s="8"/>
    </row>
    <row r="16" spans="1:35">
      <c r="A16" s="2">
        <v>2018</v>
      </c>
      <c r="B16" t="s">
        <v>279</v>
      </c>
      <c r="C16" s="79" t="e">
        <f>COUNTIF(E$47:E$61,"=1")/COUNT(E$47:E$61)</f>
        <v>#DIV/0!</v>
      </c>
      <c r="D16" s="79" t="e">
        <f>COUNTIF(E$62:E$66,"=1")/COUNT(E$62:E$66)</f>
        <v>#DIV/0!</v>
      </c>
      <c r="E16" s="79" t="e">
        <f>COUNTIF(E$67:E$70,"=1")/COUNT(E$67:E$70)</f>
        <v>#DIV/0!</v>
      </c>
      <c r="F16" s="79" t="e">
        <f>COUNTIF(E$71:E$85,"=1")/COUNT(E$71:E$85)</f>
        <v>#DIV/0!</v>
      </c>
      <c r="G16" s="79" t="e">
        <f>COUNTIF(E$86:E$95,"=1")/COUNT(E$86:E$95)</f>
        <v>#DIV/0!</v>
      </c>
      <c r="H16" s="79" t="e">
        <f>COUNTIF(E$47:E$95,"=1")/COUNT(E$47:E$95)</f>
        <v>#DIV/0!</v>
      </c>
      <c r="I16" s="82"/>
      <c r="J16" s="244" t="s">
        <v>441</v>
      </c>
      <c r="K16" s="244" t="s">
        <v>458</v>
      </c>
      <c r="M16" s="244" t="s">
        <v>441</v>
      </c>
      <c r="N16" s="244" t="s">
        <v>458</v>
      </c>
      <c r="O16" s="153"/>
      <c r="U16" s="82"/>
      <c r="V16" s="82"/>
      <c r="W16" s="82"/>
      <c r="X16" s="82"/>
      <c r="Y16" s="82"/>
      <c r="Z16" s="82"/>
      <c r="AA16" s="82"/>
      <c r="AB16" s="82"/>
      <c r="AC16" s="153"/>
      <c r="AD16" s="82"/>
      <c r="AE16" s="153"/>
      <c r="AF16" s="82"/>
      <c r="AG16" s="153"/>
      <c r="AH16" s="82"/>
      <c r="AI16" s="8"/>
    </row>
    <row r="17" spans="1:35">
      <c r="A17">
        <v>2018</v>
      </c>
      <c r="B17" t="s">
        <v>280</v>
      </c>
      <c r="C17" s="79" t="e">
        <f>COUNTIF(F$47:F$61,"=1")/COUNT(F$47:F$61)</f>
        <v>#DIV/0!</v>
      </c>
      <c r="D17" s="79" t="e">
        <f>COUNTIF(F$62:F$66,"=1")/COUNT(F$62:F$66)</f>
        <v>#DIV/0!</v>
      </c>
      <c r="E17" s="79" t="e">
        <f>COUNTIF(F$67:F$70,"=1")/COUNT(F$67:F$70)</f>
        <v>#DIV/0!</v>
      </c>
      <c r="F17" s="79" t="e">
        <f>COUNTIF(F$71:F$85,"=1")/COUNT(F$71:F$85)</f>
        <v>#DIV/0!</v>
      </c>
      <c r="G17" s="79" t="e">
        <f>COUNTIF(F$86:F$95,"=1")/COUNT(F$86:F$95)</f>
        <v>#DIV/0!</v>
      </c>
      <c r="H17" s="79" t="e">
        <f>COUNTIF(F$47:F$95,"=1")/COUNT(F$47:F$95)</f>
        <v>#DIV/0!</v>
      </c>
      <c r="I17" s="82"/>
      <c r="J17" s="244" t="s">
        <v>442</v>
      </c>
      <c r="K17" s="244" t="s">
        <v>459</v>
      </c>
      <c r="M17" s="244" t="s">
        <v>442</v>
      </c>
      <c r="N17" s="244" t="s">
        <v>459</v>
      </c>
      <c r="O17" s="82"/>
      <c r="U17" s="82"/>
      <c r="V17" s="82"/>
      <c r="W17" s="82"/>
      <c r="X17" s="82"/>
      <c r="Y17" s="82"/>
      <c r="Z17" s="82"/>
      <c r="AA17" s="82"/>
      <c r="AB17" s="82"/>
      <c r="AC17" s="82"/>
      <c r="AD17" s="82"/>
      <c r="AE17" s="82"/>
      <c r="AF17" s="82"/>
      <c r="AG17" s="82"/>
      <c r="AH17" s="82"/>
      <c r="AI17" s="8"/>
    </row>
    <row r="18" spans="1:35">
      <c r="A18">
        <v>2019</v>
      </c>
      <c r="B18" t="s">
        <v>279</v>
      </c>
      <c r="C18" s="79" t="e">
        <f>COUNTIF(G$47:G$61,"=1")/COUNT(G$47:G$61)</f>
        <v>#DIV/0!</v>
      </c>
      <c r="D18" s="79" t="e">
        <f>COUNTIF(G$62:G$66,"=1")/COUNT(G$62:G$66)</f>
        <v>#DIV/0!</v>
      </c>
      <c r="E18" s="79" t="e">
        <f>COUNTIF(G$67:G$70,"=1")/COUNT(G$67:G$70)</f>
        <v>#DIV/0!</v>
      </c>
      <c r="F18" s="79" t="e">
        <f>COUNTIF(G$71:G$85,"=1")/COUNT(G$71:G$85)</f>
        <v>#DIV/0!</v>
      </c>
      <c r="G18" s="79" t="e">
        <f>COUNTIF(G$86:G$95,"=1")/COUNT(G$86:G$95)</f>
        <v>#DIV/0!</v>
      </c>
      <c r="H18" s="79" t="e">
        <f>COUNTIF(G$47:G$95,"=1")/COUNT(G$47:G$95)</f>
        <v>#DIV/0!</v>
      </c>
      <c r="I18" s="82"/>
      <c r="J18" s="244" t="s">
        <v>443</v>
      </c>
      <c r="K18" s="244" t="s">
        <v>460</v>
      </c>
      <c r="M18" s="244" t="s">
        <v>443</v>
      </c>
      <c r="N18" s="244" t="s">
        <v>460</v>
      </c>
      <c r="O18" s="96"/>
      <c r="U18" s="82"/>
      <c r="V18" s="82"/>
      <c r="W18" s="82"/>
      <c r="X18" s="82"/>
      <c r="Y18" s="82"/>
      <c r="Z18" s="82"/>
      <c r="AA18" s="82"/>
      <c r="AB18" s="82"/>
      <c r="AC18" s="82"/>
      <c r="AD18" s="82"/>
      <c r="AE18" s="82"/>
      <c r="AF18" s="82"/>
      <c r="AG18" s="82"/>
      <c r="AH18" s="82"/>
      <c r="AI18" s="8"/>
    </row>
    <row r="19" spans="1:35">
      <c r="A19">
        <v>2019</v>
      </c>
      <c r="B19" t="s">
        <v>280</v>
      </c>
      <c r="C19" s="79" t="e">
        <f>COUNTIF(H$47:H$61,"=1")/COUNT(H$47:H$61)</f>
        <v>#DIV/0!</v>
      </c>
      <c r="D19" s="79" t="e">
        <f>COUNTIF(H$62:H$66,"=1")/COUNT(H$62:H$66)</f>
        <v>#DIV/0!</v>
      </c>
      <c r="E19" s="79" t="e">
        <f>COUNTIF(H$67:H$70,"=1")/COUNT(H$67:H$70)</f>
        <v>#DIV/0!</v>
      </c>
      <c r="F19" s="79" t="e">
        <f>COUNTIF(H$71:H$85,"=1")/COUNT(H$71:H$85)</f>
        <v>#DIV/0!</v>
      </c>
      <c r="G19" s="79" t="e">
        <f>COUNTIF(H$86:H$95,"=1")/COUNT(H$86:H$95)</f>
        <v>#DIV/0!</v>
      </c>
      <c r="H19" s="79" t="e">
        <f>COUNTIF(H$47:H$95,"=1")/COUNT(H$47:H$95)</f>
        <v>#DIV/0!</v>
      </c>
      <c r="I19" s="82"/>
      <c r="J19" s="244" t="s">
        <v>444</v>
      </c>
      <c r="K19" s="245" t="s">
        <v>461</v>
      </c>
      <c r="M19" s="244" t="s">
        <v>444</v>
      </c>
      <c r="N19" s="245" t="s">
        <v>461</v>
      </c>
      <c r="O19" s="96"/>
      <c r="U19" s="82"/>
      <c r="V19" s="82"/>
      <c r="W19" s="82"/>
      <c r="X19" s="82"/>
      <c r="Y19" s="82"/>
      <c r="Z19" s="82"/>
      <c r="AA19" s="82"/>
      <c r="AB19" s="82"/>
      <c r="AC19" s="82"/>
      <c r="AD19" s="82"/>
      <c r="AE19" s="82"/>
      <c r="AF19" s="82"/>
      <c r="AG19" s="82"/>
      <c r="AH19" s="82"/>
      <c r="AI19" s="8"/>
    </row>
    <row r="20" spans="1:35">
      <c r="A20">
        <v>2020</v>
      </c>
      <c r="B20" t="s">
        <v>279</v>
      </c>
      <c r="C20" s="79" t="e">
        <f>COUNTIF(I$47:I$61,"=1")/COUNT(I$47:I$61)</f>
        <v>#DIV/0!</v>
      </c>
      <c r="D20" s="79" t="e">
        <f>COUNTIF(I$62:I$66,"=1")/COUNT(I$62:I$66)</f>
        <v>#DIV/0!</v>
      </c>
      <c r="E20" s="79" t="e">
        <f>COUNTIF(I$67:I$70,"=1")/COUNT(I$67:I$70)</f>
        <v>#DIV/0!</v>
      </c>
      <c r="F20" s="79" t="e">
        <f>COUNTIF(I$71:I$85,"=1")/COUNT(I$71:I$85)</f>
        <v>#DIV/0!</v>
      </c>
      <c r="G20" s="79" t="e">
        <f>COUNTIF(I$86:I$95,"=1")/COUNT(I$86:I$95)</f>
        <v>#DIV/0!</v>
      </c>
      <c r="H20" s="79" t="e">
        <f>COUNTIF(I$47:I$95,"=1")/COUNT(I$47:I$95)</f>
        <v>#DIV/0!</v>
      </c>
      <c r="I20" s="8"/>
      <c r="J20" s="244" t="s">
        <v>445</v>
      </c>
      <c r="K20" s="244" t="s">
        <v>462</v>
      </c>
      <c r="L20" s="9"/>
      <c r="M20" s="244" t="s">
        <v>445</v>
      </c>
      <c r="N20" s="244" t="s">
        <v>462</v>
      </c>
      <c r="O20" s="9"/>
      <c r="U20" s="8"/>
      <c r="V20" s="8"/>
      <c r="W20" s="8"/>
      <c r="X20" s="8"/>
      <c r="Y20" s="8"/>
      <c r="Z20" s="8"/>
      <c r="AA20" s="8"/>
      <c r="AB20" s="8"/>
      <c r="AC20" s="8"/>
      <c r="AD20" s="8"/>
      <c r="AE20" s="8"/>
      <c r="AF20" s="8"/>
      <c r="AG20" s="8"/>
      <c r="AH20" s="8"/>
      <c r="AI20" s="8"/>
    </row>
    <row r="21" spans="1:35">
      <c r="A21">
        <v>2020</v>
      </c>
      <c r="B21" t="s">
        <v>280</v>
      </c>
      <c r="C21" s="79" t="e">
        <f>COUNTIF(J$47:J$61,"=1")/COUNT(J$47:J$61)</f>
        <v>#DIV/0!</v>
      </c>
      <c r="D21" s="79" t="e">
        <f>COUNTIF(J$62:J$66,"=1")/COUNT(J$62:J$66)</f>
        <v>#DIV/0!</v>
      </c>
      <c r="E21" s="79" t="e">
        <f>COUNTIF(J$67:J$70,"=1")/COUNT(J$67:J$70)</f>
        <v>#DIV/0!</v>
      </c>
      <c r="F21" s="79" t="e">
        <f>COUNTIF(J$71:J$85,"=1")/COUNT(J$71:J$85)</f>
        <v>#DIV/0!</v>
      </c>
      <c r="G21" s="79" t="e">
        <f>COUNTIF(J$86:J$95,"=1")/COUNT(J$86:J$95)</f>
        <v>#DIV/0!</v>
      </c>
      <c r="H21" s="79" t="e">
        <f>COUNTIF(J$47:J$95,"=1")/COUNT(J$47:J$95)</f>
        <v>#DIV/0!</v>
      </c>
      <c r="I21" s="8"/>
      <c r="J21" s="246" t="s">
        <v>446</v>
      </c>
      <c r="K21" s="244" t="s">
        <v>463</v>
      </c>
      <c r="L21" s="9"/>
      <c r="M21" s="246" t="s">
        <v>446</v>
      </c>
      <c r="N21" s="244" t="s">
        <v>463</v>
      </c>
      <c r="O21" s="9"/>
      <c r="U21" s="8"/>
      <c r="V21" s="8"/>
      <c r="W21" s="8"/>
      <c r="X21" s="8"/>
      <c r="Y21" s="8"/>
      <c r="Z21" s="8"/>
      <c r="AA21" s="8"/>
      <c r="AB21" s="8"/>
      <c r="AC21" s="8"/>
      <c r="AD21" s="8"/>
      <c r="AE21" s="8"/>
      <c r="AF21" s="8"/>
      <c r="AG21" s="8"/>
      <c r="AH21" s="8"/>
      <c r="AI21" s="8"/>
    </row>
    <row r="22" spans="1:35">
      <c r="A22">
        <v>2021</v>
      </c>
      <c r="B22" t="s">
        <v>279</v>
      </c>
      <c r="C22" s="79" t="e">
        <f>COUNTIF(K$47:K$61,"=1")/COUNT(K$47:K$61)</f>
        <v>#DIV/0!</v>
      </c>
      <c r="D22" s="79" t="e">
        <f>COUNTIF(K$62:K$66,"=1")/COUNT(K$62:K$66)</f>
        <v>#DIV/0!</v>
      </c>
      <c r="E22" s="79" t="e">
        <f>COUNTIF(K$67:K$70,"=1")/COUNT(K$67:K$70)</f>
        <v>#DIV/0!</v>
      </c>
      <c r="F22" s="79" t="e">
        <f>COUNTIF(K$71:K$85,"=1")/COUNT(K$71:K$85)</f>
        <v>#DIV/0!</v>
      </c>
      <c r="G22" s="79" t="e">
        <f>COUNTIF(K$86:K$95,"=1")/COUNT(K$86:K$95)</f>
        <v>#DIV/0!</v>
      </c>
      <c r="H22" s="79" t="e">
        <f>COUNTIF(K$47:K$95,"=1")/COUNT(K$47:K$95)</f>
        <v>#DIV/0!</v>
      </c>
      <c r="I22" s="8"/>
      <c r="J22" s="247" t="s">
        <v>447</v>
      </c>
      <c r="K22" s="244" t="s">
        <v>464</v>
      </c>
      <c r="L22" s="9"/>
      <c r="M22" s="247" t="s">
        <v>447</v>
      </c>
      <c r="N22" s="244" t="s">
        <v>464</v>
      </c>
      <c r="O22" s="9"/>
    </row>
    <row r="23" spans="1:35">
      <c r="A23">
        <v>2021</v>
      </c>
      <c r="B23" t="s">
        <v>280</v>
      </c>
      <c r="C23" s="79" t="e">
        <f>COUNTIF(L$47:L$61,"=1")/COUNT(L$47:L$61)</f>
        <v>#DIV/0!</v>
      </c>
      <c r="D23" s="79" t="e">
        <f>COUNTIF(L$62:L$66,"=1")/COUNT(L$62:L$66)</f>
        <v>#DIV/0!</v>
      </c>
      <c r="E23" s="79" t="e">
        <f>COUNTIF(L$67:L$70,"=1")/COUNT(L$67:L$70)</f>
        <v>#DIV/0!</v>
      </c>
      <c r="F23" s="79" t="e">
        <f>COUNTIF(L$71:L$85,"=1")/COUNT(L$71:L$85)</f>
        <v>#DIV/0!</v>
      </c>
      <c r="G23" s="79" t="e">
        <f>COUNTIF(L$86:L$95,"=1")/COUNT(L$86:L$95)</f>
        <v>#DIV/0!</v>
      </c>
      <c r="H23" s="79" t="e">
        <f>COUNTIF(L$47:L$95,"=1")/COUNT(L$47:L$95)</f>
        <v>#DIV/0!</v>
      </c>
      <c r="J23" s="295"/>
      <c r="K23" s="244" t="s">
        <v>465</v>
      </c>
      <c r="L23" s="9"/>
      <c r="M23" s="284"/>
      <c r="N23" s="244" t="s">
        <v>465</v>
      </c>
      <c r="O23" s="9"/>
    </row>
    <row r="24" spans="1:35">
      <c r="A24">
        <v>2022</v>
      </c>
      <c r="B24" t="s">
        <v>279</v>
      </c>
      <c r="C24" s="79" t="e">
        <f>COUNTIF(M$47:M$61,"=1")/COUNT(M$47:M$61)</f>
        <v>#DIV/0!</v>
      </c>
      <c r="D24" s="79" t="e">
        <f>COUNTIF(M$62:M$66,"=1")/COUNT(M$62:M$66)</f>
        <v>#DIV/0!</v>
      </c>
      <c r="E24" s="79" t="e">
        <f>COUNTIF(M$67:M$70,"=1")/COUNT(M$67:M$70)</f>
        <v>#DIV/0!</v>
      </c>
      <c r="F24" s="79" t="e">
        <f>COUNTIF(M$71:M$85,"=1")/COUNT(M$71:M$85)</f>
        <v>#DIV/0!</v>
      </c>
      <c r="G24" s="79" t="e">
        <f>COUNTIF(M$86:M$95,"=1")/COUNT(M$86:M$95)</f>
        <v>#DIV/0!</v>
      </c>
      <c r="H24" s="79" t="e">
        <f>COUNTIF(M$47:M$95,"=1")/COUNT(M$47:M$95)</f>
        <v>#DIV/0!</v>
      </c>
      <c r="J24" s="204"/>
      <c r="K24" s="248" t="s">
        <v>466</v>
      </c>
      <c r="L24" s="9"/>
      <c r="M24" s="257"/>
      <c r="N24" s="258" t="s">
        <v>466</v>
      </c>
      <c r="O24" s="9"/>
    </row>
    <row r="25" spans="1:35">
      <c r="A25">
        <v>2022</v>
      </c>
      <c r="B25" t="s">
        <v>280</v>
      </c>
      <c r="C25" s="79" t="e">
        <f>COUNTIF(N$47:N$61,"=1")/COUNT(N$47:N$61)</f>
        <v>#DIV/0!</v>
      </c>
      <c r="D25" s="79" t="e">
        <f>COUNTIF(N$62:N$66,"=1")/COUNT(N$62:N$66)</f>
        <v>#DIV/0!</v>
      </c>
      <c r="E25" s="79" t="e">
        <f>COUNTIF(N$67:N$70,"=1")/COUNT(N$67:N$70)</f>
        <v>#DIV/0!</v>
      </c>
      <c r="F25" s="79" t="e">
        <f>COUNTIF(N$71:N$85,"=1")/COUNT(N$71:N$85)</f>
        <v>#DIV/0!</v>
      </c>
      <c r="G25" s="79" t="e">
        <f>COUNTIF(N$86:N$95,"=1")/COUNT(N$86:N$95)</f>
        <v>#DIV/0!</v>
      </c>
      <c r="H25" s="79" t="e">
        <f>COUNTIF(N$47:N$95,"=1")/COUNT(N$47:N$95)</f>
        <v>#DIV/0!</v>
      </c>
      <c r="J25" s="256"/>
      <c r="K25" s="254"/>
      <c r="L25" s="9"/>
      <c r="M25" s="256"/>
      <c r="N25" s="254"/>
      <c r="O25" s="9"/>
    </row>
    <row r="26" spans="1:35">
      <c r="A26">
        <v>2023</v>
      </c>
      <c r="B26" t="s">
        <v>279</v>
      </c>
      <c r="C26" s="79" t="e">
        <f>COUNTIF(O$47:O$61,"=1")/COUNT(O$47:O$61)</f>
        <v>#DIV/0!</v>
      </c>
      <c r="D26" s="79" t="e">
        <f>COUNTIF(O$62:O$66,"=1")/COUNT(O$62:O$66)</f>
        <v>#DIV/0!</v>
      </c>
      <c r="E26" s="79" t="e">
        <f>COUNTIF(O$67:O$70,"=1")/COUNT(O$67:O$70)</f>
        <v>#DIV/0!</v>
      </c>
      <c r="F26" s="79" t="e">
        <f>COUNTIF(O$71:O$85,"=1")/COUNT(O$71:O$85)</f>
        <v>#DIV/0!</v>
      </c>
      <c r="G26" s="79" t="e">
        <f>COUNTIF(O$86:O$95,"=1")/COUNT(O$86:O$95)</f>
        <v>#DIV/0!</v>
      </c>
      <c r="H26" s="79" t="e">
        <f>COUNTIF(O$47:O$95,"=1")/COUNT(O$47:O$95)</f>
        <v>#DIV/0!</v>
      </c>
      <c r="J26" s="242"/>
      <c r="K26" s="254"/>
      <c r="L26" s="9"/>
      <c r="M26" s="242"/>
      <c r="N26" s="254"/>
      <c r="O26" s="9"/>
    </row>
    <row r="27" spans="1:35">
      <c r="A27">
        <v>2023</v>
      </c>
      <c r="B27" t="s">
        <v>280</v>
      </c>
      <c r="C27" s="79" t="e">
        <f>COUNTIF(P$47:P$61,"=1")/COUNT(P$47:P$61)</f>
        <v>#DIV/0!</v>
      </c>
      <c r="D27" s="79" t="e">
        <f>COUNTIF(P$62:P$66,"=1")/COUNT(P$62:P$66)</f>
        <v>#DIV/0!</v>
      </c>
      <c r="E27" s="79" t="e">
        <f>COUNTIF(P$67:P$70,"=1")/COUNT(P$67:P$70)</f>
        <v>#DIV/0!</v>
      </c>
      <c r="F27" s="79" t="e">
        <f>COUNTIF(P$71:P$85,"=1")/COUNT(P$71:P$85)</f>
        <v>#DIV/0!</v>
      </c>
      <c r="G27" s="79" t="e">
        <f>COUNTIF(P$86:P$95,"=1")/COUNT(P$86:P$95)</f>
        <v>#DIV/0!</v>
      </c>
      <c r="H27" s="79" t="e">
        <f>COUNTIF(P$47:P$95,"=1")/COUNT(P$47:P$95)</f>
        <v>#DIV/0!</v>
      </c>
      <c r="J27" s="9"/>
      <c r="K27" s="9"/>
      <c r="L27" s="9"/>
      <c r="M27" s="9"/>
      <c r="N27" s="9"/>
      <c r="O27" s="9"/>
    </row>
    <row r="28" spans="1:35">
      <c r="A28">
        <v>2024</v>
      </c>
      <c r="B28" t="s">
        <v>279</v>
      </c>
      <c r="C28" s="79" t="e">
        <f>COUNTIF(Q$47:Q$61,"=1")/COUNT(Q$47:Q$61)</f>
        <v>#DIV/0!</v>
      </c>
      <c r="D28" s="79" t="e">
        <f>COUNTIF(Q$62:Q$66,"=1")/COUNT(Q$62:Q$66)</f>
        <v>#DIV/0!</v>
      </c>
      <c r="E28" s="79" t="e">
        <f>COUNTIF(Q$67:Q$70,"=1")/COUNT(Q$67:Q$70)</f>
        <v>#DIV/0!</v>
      </c>
      <c r="F28" s="79" t="e">
        <f>COUNTIF(Q$71:Q$85,"=1")/COUNT(Q$71:Q$85)</f>
        <v>#DIV/0!</v>
      </c>
      <c r="G28" s="79" t="e">
        <f>COUNTIF(Q$86:Q$95,"=1")/COUNT(Q$86:Q$95)</f>
        <v>#DIV/0!</v>
      </c>
      <c r="H28" s="79" t="e">
        <f>COUNTIF(Q$47:Q$95,"=1")/COUNT(Q$47:Q$95)</f>
        <v>#DIV/0!</v>
      </c>
      <c r="J28" s="9"/>
      <c r="K28" s="9"/>
      <c r="L28" s="9"/>
      <c r="M28" s="9"/>
      <c r="N28" s="9"/>
      <c r="O28" s="9"/>
    </row>
    <row r="29" spans="1:35">
      <c r="A29">
        <v>2024</v>
      </c>
      <c r="B29" t="s">
        <v>280</v>
      </c>
      <c r="C29" s="79" t="e">
        <f>COUNTIF(R$47:R$61,"=1")/COUNT(R$47:R$61)</f>
        <v>#DIV/0!</v>
      </c>
      <c r="D29" s="79" t="e">
        <f>COUNTIF(R$62:R$66,"=1")/COUNT(R$62:R$66)</f>
        <v>#DIV/0!</v>
      </c>
      <c r="E29" s="79" t="e">
        <f>COUNTIF(R$67:R$70,"=1")/COUNT(R$67:R$70)</f>
        <v>#DIV/0!</v>
      </c>
      <c r="F29" s="79" t="e">
        <f>COUNTIF(R$71:R$85,"=1")/COUNT(R$71:R$85)</f>
        <v>#DIV/0!</v>
      </c>
      <c r="G29" s="79" t="e">
        <f>COUNTIF(R$86:R$95,"=1")/COUNT(R$86:R$95)</f>
        <v>#DIV/0!</v>
      </c>
      <c r="H29" s="79" t="e">
        <f>COUNTIF(R$47:R$95,"=1")/COUNT(R$47:R$95)</f>
        <v>#DIV/0!</v>
      </c>
    </row>
    <row r="30" spans="1:35">
      <c r="A30">
        <v>2025</v>
      </c>
      <c r="B30" t="s">
        <v>279</v>
      </c>
      <c r="C30" s="79" t="e">
        <f>COUNTIF(S$47:S$61,"=1")/COUNT(S$47:S$61)</f>
        <v>#DIV/0!</v>
      </c>
      <c r="D30" s="79" t="e">
        <f>COUNTIF(S$62:S$66,"=1")/COUNT(S$62:S$66)</f>
        <v>#DIV/0!</v>
      </c>
      <c r="E30" s="79" t="e">
        <f>COUNTIF(S$67:S$70,"=1")/COUNT(S$67:S$70)</f>
        <v>#DIV/0!</v>
      </c>
      <c r="F30" s="79" t="e">
        <f>COUNTIF(S$71:S$85,"=1")/COUNT(S$71:S$85)</f>
        <v>#DIV/0!</v>
      </c>
      <c r="G30" s="79" t="e">
        <f>COUNTIF(S$86:S$95,"=1")/COUNT(S$86:S$95)</f>
        <v>#DIV/0!</v>
      </c>
      <c r="H30" s="79" t="e">
        <f>COUNTIF(S$47:S$95,"=1")/COUNT(S$47:S$95)</f>
        <v>#DIV/0!</v>
      </c>
    </row>
    <row r="31" spans="1:35">
      <c r="A31">
        <v>2025</v>
      </c>
      <c r="B31" t="s">
        <v>280</v>
      </c>
      <c r="C31" s="79" t="e">
        <f>COUNTIF(T$47:T$61,"=1")/COUNT(T$47:T$61)</f>
        <v>#DIV/0!</v>
      </c>
      <c r="D31" s="79" t="e">
        <f>COUNTIF(T$62:T$66,"=1")/COUNT(T$62:T$66)</f>
        <v>#DIV/0!</v>
      </c>
      <c r="E31" s="79" t="e">
        <f>COUNTIF(T$67:T$70,"=1")/COUNT(T$67:T$70)</f>
        <v>#DIV/0!</v>
      </c>
      <c r="F31" s="79" t="e">
        <f>COUNTIF(T$71:T$85,"=1")/COUNT(T$71:T$85)</f>
        <v>#DIV/0!</v>
      </c>
      <c r="G31" s="79" t="e">
        <f>COUNTIF(T$86:T$95,"=1")/COUNT(T$86:T$95)</f>
        <v>#DIV/0!</v>
      </c>
      <c r="H31" s="79" t="e">
        <f>COUNTIF(T$47:T$95,"=1")/COUNT(T$47:T$95)</f>
        <v>#DIV/0!</v>
      </c>
    </row>
    <row r="32" spans="1:35">
      <c r="C32" s="79"/>
      <c r="D32" s="79"/>
      <c r="E32" s="79"/>
      <c r="F32" s="79"/>
      <c r="G32" s="79"/>
      <c r="H32" s="79"/>
    </row>
    <row r="33" spans="1:20">
      <c r="C33" s="79"/>
      <c r="D33" s="79"/>
      <c r="E33" s="79"/>
      <c r="F33" s="79"/>
      <c r="G33" s="79"/>
      <c r="H33" s="79"/>
    </row>
    <row r="34" spans="1:20">
      <c r="C34" s="79"/>
      <c r="D34" s="79"/>
      <c r="E34" s="79"/>
      <c r="F34" s="79"/>
      <c r="G34" s="79"/>
      <c r="H34" s="79"/>
    </row>
    <row r="35" spans="1:20">
      <c r="C35" s="79"/>
      <c r="D35" s="79"/>
      <c r="E35" s="79"/>
      <c r="F35" s="79"/>
      <c r="G35" s="79"/>
      <c r="H35" s="79"/>
    </row>
    <row r="36" spans="1:20">
      <c r="C36" s="79"/>
      <c r="D36" s="79"/>
      <c r="E36" s="79"/>
      <c r="F36" s="79"/>
      <c r="G36" s="79"/>
      <c r="H36" s="79"/>
    </row>
    <row r="37" spans="1:20">
      <c r="C37" s="79"/>
      <c r="D37" s="79"/>
      <c r="E37" s="79"/>
      <c r="F37" s="79"/>
      <c r="G37" s="79"/>
      <c r="H37" s="79"/>
    </row>
    <row r="38" spans="1:20">
      <c r="C38" s="79"/>
      <c r="D38" s="79"/>
      <c r="E38" s="79"/>
      <c r="F38" s="79"/>
      <c r="G38" s="79"/>
      <c r="H38" s="79"/>
    </row>
    <row r="39" spans="1:20">
      <c r="C39" s="79"/>
      <c r="D39" s="79"/>
      <c r="E39" s="79"/>
      <c r="F39" s="79"/>
      <c r="G39" s="79"/>
      <c r="H39" s="79"/>
    </row>
    <row r="40" spans="1:20">
      <c r="C40" s="79"/>
      <c r="D40" s="79"/>
      <c r="E40" s="79"/>
      <c r="F40" s="79"/>
      <c r="G40" s="79"/>
      <c r="H40" s="79"/>
    </row>
    <row r="41" spans="1:20">
      <c r="C41" s="79"/>
      <c r="D41" s="79"/>
      <c r="E41" s="79"/>
      <c r="F41" s="79"/>
      <c r="G41" s="79"/>
      <c r="H41" s="79"/>
    </row>
    <row r="42" spans="1:20">
      <c r="C42" s="79"/>
      <c r="D42" s="79"/>
      <c r="E42" s="79"/>
      <c r="F42" s="79"/>
      <c r="G42" s="79"/>
      <c r="H42" s="79"/>
    </row>
    <row r="43" spans="1:20">
      <c r="C43" s="79"/>
      <c r="D43" s="79"/>
      <c r="E43" s="79"/>
      <c r="F43" s="79"/>
      <c r="G43" s="79"/>
      <c r="H43" s="79"/>
    </row>
    <row r="45" spans="1:20" ht="18">
      <c r="A45" s="355" t="s">
        <v>195</v>
      </c>
      <c r="B45" s="355"/>
      <c r="C45" s="356">
        <v>2017</v>
      </c>
      <c r="D45" s="358"/>
      <c r="E45" s="356">
        <v>2018</v>
      </c>
      <c r="F45" s="358"/>
      <c r="G45" s="356">
        <v>2019</v>
      </c>
      <c r="H45" s="358"/>
      <c r="I45" s="356">
        <v>2020</v>
      </c>
      <c r="J45" s="358"/>
      <c r="K45" s="356">
        <v>2021</v>
      </c>
      <c r="L45" s="358"/>
      <c r="M45" s="356">
        <v>2022</v>
      </c>
      <c r="N45" s="358"/>
      <c r="O45" s="356">
        <v>2023</v>
      </c>
      <c r="P45" s="358"/>
      <c r="Q45" s="356">
        <v>2024</v>
      </c>
      <c r="R45" s="358"/>
      <c r="S45" s="356">
        <v>2025</v>
      </c>
      <c r="T45" s="358"/>
    </row>
    <row r="46" spans="1:20" ht="18">
      <c r="A46" s="81" t="s">
        <v>199</v>
      </c>
      <c r="B46" s="80" t="s">
        <v>210</v>
      </c>
      <c r="C46" s="178" t="s">
        <v>281</v>
      </c>
      <c r="D46" s="179" t="s">
        <v>282</v>
      </c>
      <c r="E46" s="178" t="s">
        <v>281</v>
      </c>
      <c r="F46" s="179" t="s">
        <v>282</v>
      </c>
      <c r="G46" s="178" t="s">
        <v>281</v>
      </c>
      <c r="H46" s="179" t="s">
        <v>282</v>
      </c>
      <c r="I46" s="178" t="s">
        <v>281</v>
      </c>
      <c r="J46" s="179" t="s">
        <v>282</v>
      </c>
      <c r="K46" s="178" t="s">
        <v>281</v>
      </c>
      <c r="L46" s="179" t="s">
        <v>282</v>
      </c>
      <c r="M46" s="131" t="s">
        <v>281</v>
      </c>
      <c r="N46" s="149" t="s">
        <v>282</v>
      </c>
      <c r="O46" s="131" t="s">
        <v>281</v>
      </c>
      <c r="P46" s="149" t="s">
        <v>282</v>
      </c>
      <c r="Q46" s="131" t="s">
        <v>281</v>
      </c>
      <c r="R46" s="149" t="s">
        <v>282</v>
      </c>
      <c r="S46" s="131" t="s">
        <v>281</v>
      </c>
      <c r="T46" s="149" t="s">
        <v>282</v>
      </c>
    </row>
    <row r="47" spans="1:20">
      <c r="A47" s="68" t="s">
        <v>189</v>
      </c>
      <c r="B47" t="s">
        <v>153</v>
      </c>
      <c r="C47" s="107">
        <v>0</v>
      </c>
      <c r="D47" s="107">
        <v>1</v>
      </c>
      <c r="E47" s="82"/>
      <c r="F47" s="82"/>
      <c r="G47" s="82"/>
      <c r="H47" s="82"/>
      <c r="I47" s="8"/>
      <c r="J47" s="82"/>
      <c r="K47" s="8"/>
      <c r="L47" s="8"/>
    </row>
    <row r="48" spans="1:20">
      <c r="A48" s="69" t="s">
        <v>141</v>
      </c>
      <c r="B48" t="s">
        <v>153</v>
      </c>
      <c r="C48" s="107">
        <v>0</v>
      </c>
      <c r="D48" s="107">
        <v>0</v>
      </c>
      <c r="E48" s="82"/>
      <c r="F48" s="82"/>
      <c r="G48" s="82"/>
      <c r="H48" s="82"/>
      <c r="I48" s="8"/>
      <c r="J48" s="82"/>
      <c r="K48" s="8"/>
      <c r="L48" s="8"/>
    </row>
    <row r="49" spans="1:12">
      <c r="A49" s="69" t="s">
        <v>143</v>
      </c>
      <c r="B49" t="s">
        <v>153</v>
      </c>
      <c r="C49" s="107">
        <v>1</v>
      </c>
      <c r="D49" s="107">
        <v>1</v>
      </c>
      <c r="E49" s="82"/>
      <c r="F49" s="82"/>
      <c r="G49" s="82"/>
      <c r="H49" s="82"/>
      <c r="I49" s="8"/>
      <c r="J49" s="82"/>
      <c r="K49" s="8"/>
      <c r="L49" s="8"/>
    </row>
    <row r="50" spans="1:12">
      <c r="A50" s="69" t="s">
        <v>152</v>
      </c>
      <c r="B50" t="s">
        <v>153</v>
      </c>
      <c r="C50" s="107">
        <v>0</v>
      </c>
      <c r="D50" s="107">
        <v>0</v>
      </c>
      <c r="E50" s="82"/>
      <c r="F50" s="82"/>
      <c r="G50" s="82"/>
      <c r="H50" s="82"/>
      <c r="I50" s="8"/>
      <c r="J50" s="82"/>
      <c r="K50" s="8"/>
      <c r="L50" s="8"/>
    </row>
    <row r="51" spans="1:12">
      <c r="A51" s="69" t="s">
        <v>146</v>
      </c>
      <c r="B51" t="s">
        <v>153</v>
      </c>
      <c r="C51" s="107">
        <v>1</v>
      </c>
      <c r="D51" s="107">
        <v>1</v>
      </c>
      <c r="E51" s="82"/>
      <c r="F51" s="82"/>
      <c r="G51" s="82"/>
      <c r="H51" s="82"/>
      <c r="I51" s="8"/>
      <c r="J51" s="82"/>
      <c r="K51" s="8"/>
      <c r="L51" s="8"/>
    </row>
    <row r="52" spans="1:12">
      <c r="A52" s="69" t="s">
        <v>142</v>
      </c>
      <c r="B52" t="s">
        <v>153</v>
      </c>
      <c r="C52" s="107">
        <v>0</v>
      </c>
      <c r="D52" s="107">
        <v>0</v>
      </c>
      <c r="E52" s="82"/>
      <c r="F52" s="82"/>
      <c r="G52" s="82"/>
      <c r="H52" s="82"/>
      <c r="I52" s="8"/>
      <c r="J52" s="82"/>
      <c r="K52" s="8"/>
      <c r="L52" s="8"/>
    </row>
    <row r="53" spans="1:12">
      <c r="A53" s="69" t="s">
        <v>148</v>
      </c>
      <c r="B53" t="s">
        <v>153</v>
      </c>
      <c r="C53" s="107">
        <v>0</v>
      </c>
      <c r="D53" s="107">
        <v>0</v>
      </c>
      <c r="E53" s="82"/>
      <c r="F53" s="82"/>
      <c r="G53" s="82"/>
      <c r="H53" s="82"/>
      <c r="I53" s="8"/>
      <c r="J53" s="82"/>
      <c r="K53" s="8"/>
      <c r="L53" s="8"/>
    </row>
    <row r="54" spans="1:12">
      <c r="A54" s="69" t="s">
        <v>149</v>
      </c>
      <c r="B54" t="s">
        <v>153</v>
      </c>
      <c r="C54" s="107">
        <v>0</v>
      </c>
      <c r="D54" s="107">
        <v>0</v>
      </c>
      <c r="E54" s="82"/>
      <c r="F54" s="82"/>
      <c r="G54" s="82"/>
      <c r="H54" s="82"/>
      <c r="I54" s="8"/>
      <c r="J54" s="82"/>
      <c r="K54" s="8"/>
      <c r="L54" s="8"/>
    </row>
    <row r="55" spans="1:12">
      <c r="A55" s="69" t="s">
        <v>147</v>
      </c>
      <c r="B55" t="s">
        <v>153</v>
      </c>
      <c r="C55" s="107">
        <v>0</v>
      </c>
      <c r="D55" s="107">
        <v>1</v>
      </c>
      <c r="E55" s="82"/>
      <c r="F55" s="82"/>
      <c r="G55" s="82"/>
      <c r="H55" s="82"/>
      <c r="I55" s="8"/>
      <c r="J55" s="82"/>
      <c r="K55" s="8"/>
      <c r="L55" s="8"/>
    </row>
    <row r="56" spans="1:12">
      <c r="A56" s="68" t="s">
        <v>190</v>
      </c>
      <c r="B56" t="s">
        <v>153</v>
      </c>
      <c r="C56" s="107">
        <v>0</v>
      </c>
      <c r="D56" s="107">
        <v>0</v>
      </c>
      <c r="E56" s="82"/>
      <c r="F56" s="82"/>
      <c r="G56" s="82"/>
      <c r="H56" s="82"/>
      <c r="I56" s="8"/>
      <c r="J56" s="82"/>
      <c r="K56" s="8"/>
      <c r="L56" s="8"/>
    </row>
    <row r="57" spans="1:12">
      <c r="A57" s="69" t="s">
        <v>145</v>
      </c>
      <c r="B57" t="s">
        <v>153</v>
      </c>
      <c r="C57" s="107">
        <v>0</v>
      </c>
      <c r="D57" s="107">
        <v>1</v>
      </c>
      <c r="E57" s="82"/>
      <c r="F57" s="82"/>
      <c r="G57" s="82"/>
      <c r="H57" s="82"/>
      <c r="I57" s="8"/>
      <c r="J57" s="82"/>
      <c r="K57" s="8"/>
      <c r="L57" s="8"/>
    </row>
    <row r="58" spans="1:12">
      <c r="A58" s="68" t="s">
        <v>191</v>
      </c>
      <c r="B58" t="s">
        <v>153</v>
      </c>
      <c r="C58" s="107">
        <v>1</v>
      </c>
      <c r="D58" s="107">
        <v>1</v>
      </c>
      <c r="E58" s="82"/>
      <c r="F58" s="82"/>
      <c r="G58" s="82"/>
      <c r="H58" s="82"/>
      <c r="I58" s="8"/>
      <c r="J58" s="82"/>
      <c r="K58" s="8"/>
      <c r="L58" s="8"/>
    </row>
    <row r="59" spans="1:12">
      <c r="A59" s="69" t="s">
        <v>150</v>
      </c>
      <c r="B59" t="s">
        <v>153</v>
      </c>
      <c r="C59" s="107">
        <v>0</v>
      </c>
      <c r="D59" s="107">
        <v>0</v>
      </c>
      <c r="E59" s="82"/>
      <c r="F59" s="82"/>
      <c r="G59" s="82"/>
      <c r="H59" s="82"/>
      <c r="I59" s="8"/>
      <c r="J59" s="82"/>
      <c r="K59" s="8"/>
      <c r="L59" s="8"/>
    </row>
    <row r="60" spans="1:12">
      <c r="A60" s="69" t="s">
        <v>151</v>
      </c>
      <c r="B60" t="s">
        <v>153</v>
      </c>
      <c r="C60" s="107">
        <v>1</v>
      </c>
      <c r="D60" s="107">
        <v>1</v>
      </c>
      <c r="E60" s="82"/>
      <c r="F60" s="82"/>
      <c r="G60" s="82"/>
      <c r="H60" s="82"/>
      <c r="I60" s="8"/>
      <c r="J60" s="82"/>
      <c r="K60" s="8"/>
      <c r="L60" s="8"/>
    </row>
    <row r="61" spans="1:12">
      <c r="A61" s="69" t="s">
        <v>144</v>
      </c>
      <c r="B61" t="s">
        <v>153</v>
      </c>
      <c r="C61" s="107">
        <v>1</v>
      </c>
      <c r="D61" s="107">
        <v>1</v>
      </c>
      <c r="E61" s="82"/>
      <c r="F61" s="82"/>
      <c r="G61" s="82"/>
      <c r="H61" s="82"/>
      <c r="I61" s="8"/>
      <c r="J61" s="82"/>
      <c r="K61" s="8"/>
      <c r="L61" s="8"/>
    </row>
    <row r="62" spans="1:12">
      <c r="A62" s="69" t="s">
        <v>154</v>
      </c>
      <c r="B62" s="71" t="s">
        <v>158</v>
      </c>
      <c r="C62" s="180" t="s">
        <v>207</v>
      </c>
      <c r="D62" s="180" t="s">
        <v>207</v>
      </c>
      <c r="E62" s="82"/>
      <c r="F62" s="82"/>
      <c r="G62" s="82"/>
      <c r="H62" s="82"/>
      <c r="I62" s="8"/>
      <c r="J62" s="82"/>
      <c r="K62" s="8"/>
      <c r="L62" s="8"/>
    </row>
    <row r="63" spans="1:12">
      <c r="A63" s="69" t="s">
        <v>155</v>
      </c>
      <c r="B63" s="71" t="s">
        <v>158</v>
      </c>
      <c r="C63" s="107">
        <v>0</v>
      </c>
      <c r="D63" s="107">
        <v>0</v>
      </c>
      <c r="E63" s="82"/>
      <c r="F63" s="82"/>
      <c r="G63" s="82"/>
      <c r="H63" s="82"/>
      <c r="I63" s="8"/>
      <c r="J63" s="82"/>
      <c r="K63" s="8"/>
      <c r="L63" s="8"/>
    </row>
    <row r="64" spans="1:12">
      <c r="A64" s="69" t="s">
        <v>156</v>
      </c>
      <c r="B64" s="71" t="s">
        <v>158</v>
      </c>
      <c r="C64" s="107">
        <v>1</v>
      </c>
      <c r="D64" s="107">
        <v>1</v>
      </c>
      <c r="E64" s="82"/>
      <c r="F64" s="82"/>
      <c r="G64" s="82"/>
      <c r="H64" s="82"/>
      <c r="I64" s="8"/>
      <c r="J64" s="82"/>
      <c r="K64" s="8"/>
      <c r="L64" s="8"/>
    </row>
    <row r="65" spans="1:12">
      <c r="A65" s="69" t="s">
        <v>157</v>
      </c>
      <c r="B65" s="71" t="s">
        <v>158</v>
      </c>
      <c r="C65" s="107">
        <v>0</v>
      </c>
      <c r="D65" s="107">
        <v>1</v>
      </c>
      <c r="E65" s="82"/>
      <c r="F65" s="82"/>
      <c r="G65" s="82"/>
      <c r="H65" s="82"/>
      <c r="I65" s="8"/>
      <c r="J65" s="82"/>
      <c r="K65" s="8"/>
      <c r="L65" s="8"/>
    </row>
    <row r="66" spans="1:12">
      <c r="A66" s="68" t="s">
        <v>192</v>
      </c>
      <c r="B66" s="71" t="s">
        <v>158</v>
      </c>
      <c r="C66" s="180" t="s">
        <v>207</v>
      </c>
      <c r="D66" s="180" t="s">
        <v>207</v>
      </c>
      <c r="E66" s="82"/>
      <c r="F66" s="82"/>
      <c r="G66" s="82"/>
      <c r="H66" s="82"/>
      <c r="I66" s="8"/>
      <c r="J66" s="82"/>
      <c r="K66" s="8"/>
      <c r="L66" s="8"/>
    </row>
    <row r="67" spans="1:12">
      <c r="A67" s="69" t="s">
        <v>159</v>
      </c>
      <c r="B67" s="71" t="s">
        <v>162</v>
      </c>
      <c r="C67" s="107">
        <v>0</v>
      </c>
      <c r="D67" s="107">
        <v>0</v>
      </c>
      <c r="E67" s="82"/>
      <c r="F67" s="82"/>
      <c r="G67" s="82"/>
      <c r="H67" s="82"/>
      <c r="I67" s="8"/>
      <c r="J67" s="82"/>
      <c r="K67" s="8"/>
      <c r="L67" s="8"/>
    </row>
    <row r="68" spans="1:12">
      <c r="A68" s="69" t="s">
        <v>160</v>
      </c>
      <c r="B68" s="71" t="s">
        <v>162</v>
      </c>
      <c r="C68" s="107">
        <v>1</v>
      </c>
      <c r="D68" s="107">
        <v>1</v>
      </c>
      <c r="E68" s="82"/>
      <c r="F68" s="82"/>
      <c r="G68" s="82"/>
      <c r="H68" s="82"/>
      <c r="I68" s="8"/>
      <c r="J68" s="82"/>
      <c r="K68" s="8"/>
      <c r="L68" s="8"/>
    </row>
    <row r="69" spans="1:12">
      <c r="A69" s="68" t="s">
        <v>193</v>
      </c>
      <c r="B69" s="71" t="s">
        <v>162</v>
      </c>
      <c r="C69" s="107">
        <v>1</v>
      </c>
      <c r="D69" s="107">
        <v>1</v>
      </c>
      <c r="E69" s="82"/>
      <c r="F69" s="82"/>
      <c r="G69" s="82"/>
      <c r="H69" s="82"/>
      <c r="I69" s="8"/>
      <c r="J69" s="82"/>
      <c r="K69" s="8"/>
      <c r="L69" s="8"/>
    </row>
    <row r="70" spans="1:12">
      <c r="A70" s="69" t="s">
        <v>161</v>
      </c>
      <c r="B70" s="71" t="s">
        <v>162</v>
      </c>
      <c r="C70" s="107">
        <v>1</v>
      </c>
      <c r="D70" s="107">
        <v>1</v>
      </c>
      <c r="E70" s="82"/>
      <c r="F70" s="82"/>
      <c r="G70" s="82"/>
      <c r="H70" s="82"/>
      <c r="I70" s="8"/>
      <c r="J70" s="82"/>
      <c r="K70" s="8"/>
      <c r="L70" s="8"/>
    </row>
    <row r="71" spans="1:12">
      <c r="A71" s="69" t="s">
        <v>163</v>
      </c>
      <c r="B71" s="71" t="s">
        <v>178</v>
      </c>
      <c r="C71" s="107">
        <v>0</v>
      </c>
      <c r="D71" s="107">
        <v>0</v>
      </c>
      <c r="E71" s="82"/>
      <c r="F71" s="82"/>
      <c r="G71" s="82"/>
      <c r="H71" s="82"/>
      <c r="I71" s="8"/>
      <c r="J71" s="82"/>
      <c r="K71" s="8"/>
      <c r="L71" s="8"/>
    </row>
    <row r="72" spans="1:12">
      <c r="A72" s="69" t="s">
        <v>164</v>
      </c>
      <c r="B72" s="71" t="s">
        <v>178</v>
      </c>
      <c r="C72" s="107">
        <v>0</v>
      </c>
      <c r="D72" s="107">
        <v>0</v>
      </c>
      <c r="E72" s="82"/>
      <c r="F72" s="82"/>
      <c r="G72" s="82"/>
      <c r="H72" s="82"/>
      <c r="I72" s="8"/>
      <c r="J72" s="82"/>
      <c r="K72" s="8"/>
      <c r="L72" s="8"/>
    </row>
    <row r="73" spans="1:12">
      <c r="A73" s="69" t="s">
        <v>165</v>
      </c>
      <c r="B73" s="71" t="s">
        <v>178</v>
      </c>
      <c r="C73" s="107">
        <v>0</v>
      </c>
      <c r="D73" s="107">
        <v>0</v>
      </c>
      <c r="E73" s="82"/>
      <c r="F73" s="82"/>
      <c r="G73" s="82"/>
      <c r="H73" s="82"/>
      <c r="I73" s="8"/>
      <c r="J73" s="82"/>
      <c r="K73" s="8"/>
      <c r="L73" s="8"/>
    </row>
    <row r="74" spans="1:12">
      <c r="A74" s="69" t="s">
        <v>166</v>
      </c>
      <c r="B74" s="71" t="s">
        <v>178</v>
      </c>
      <c r="C74" s="107">
        <v>1</v>
      </c>
      <c r="D74" s="107">
        <v>1</v>
      </c>
      <c r="E74" s="82"/>
      <c r="F74" s="82"/>
      <c r="G74" s="82"/>
      <c r="H74" s="82"/>
      <c r="I74" s="8"/>
      <c r="J74" s="82"/>
      <c r="K74" s="8"/>
      <c r="L74" s="8"/>
    </row>
    <row r="75" spans="1:12">
      <c r="A75" s="69" t="s">
        <v>167</v>
      </c>
      <c r="B75" s="71" t="s">
        <v>178</v>
      </c>
      <c r="C75" s="107">
        <v>1</v>
      </c>
      <c r="D75" s="107">
        <v>0</v>
      </c>
      <c r="E75" s="82"/>
      <c r="F75" s="82"/>
      <c r="G75" s="82"/>
      <c r="H75" s="82"/>
      <c r="I75" s="8"/>
      <c r="J75" s="82"/>
      <c r="K75" s="8"/>
      <c r="L75" s="8"/>
    </row>
    <row r="76" spans="1:12">
      <c r="A76" s="69" t="s">
        <v>168</v>
      </c>
      <c r="B76" s="71" t="s">
        <v>178</v>
      </c>
      <c r="C76" s="107">
        <v>0</v>
      </c>
      <c r="D76" s="107">
        <v>0</v>
      </c>
      <c r="E76" s="82"/>
      <c r="F76" s="82"/>
      <c r="G76" s="82"/>
      <c r="H76" s="82"/>
      <c r="I76" s="8"/>
      <c r="J76" s="82"/>
      <c r="K76" s="8"/>
      <c r="L76" s="8"/>
    </row>
    <row r="77" spans="1:12">
      <c r="A77" s="69" t="s">
        <v>169</v>
      </c>
      <c r="B77" s="71" t="s">
        <v>178</v>
      </c>
      <c r="C77" s="107">
        <v>0</v>
      </c>
      <c r="D77" s="107">
        <v>0</v>
      </c>
      <c r="E77" s="82"/>
      <c r="F77" s="82"/>
      <c r="G77" s="82"/>
      <c r="H77" s="82"/>
      <c r="I77" s="8"/>
      <c r="J77" s="82"/>
      <c r="K77" s="8"/>
      <c r="L77" s="8"/>
    </row>
    <row r="78" spans="1:12">
      <c r="A78" s="69" t="s">
        <v>170</v>
      </c>
      <c r="B78" s="71" t="s">
        <v>178</v>
      </c>
      <c r="C78" s="107">
        <v>1</v>
      </c>
      <c r="D78" s="107">
        <v>1</v>
      </c>
      <c r="E78" s="82"/>
      <c r="F78" s="82"/>
      <c r="G78" s="82"/>
      <c r="H78" s="82"/>
      <c r="I78" s="8"/>
      <c r="J78" s="82"/>
      <c r="K78" s="8"/>
      <c r="L78" s="8"/>
    </row>
    <row r="79" spans="1:12">
      <c r="A79" s="69" t="s">
        <v>171</v>
      </c>
      <c r="B79" s="71" t="s">
        <v>178</v>
      </c>
      <c r="C79" s="107">
        <v>1</v>
      </c>
      <c r="D79" s="107">
        <v>1</v>
      </c>
      <c r="E79" s="82"/>
      <c r="F79" s="82"/>
      <c r="G79" s="82"/>
      <c r="H79" s="82"/>
      <c r="I79" s="8"/>
      <c r="J79" s="82"/>
      <c r="K79" s="8"/>
      <c r="L79" s="8"/>
    </row>
    <row r="80" spans="1:12">
      <c r="A80" s="69" t="s">
        <v>172</v>
      </c>
      <c r="B80" s="71" t="s">
        <v>178</v>
      </c>
      <c r="C80" s="107">
        <v>0</v>
      </c>
      <c r="D80" s="107">
        <v>0</v>
      </c>
      <c r="E80" s="82"/>
      <c r="F80" s="82"/>
      <c r="G80" s="82"/>
      <c r="H80" s="82"/>
      <c r="I80" s="8"/>
      <c r="J80" s="82"/>
      <c r="K80" s="8"/>
      <c r="L80" s="8"/>
    </row>
    <row r="81" spans="1:12">
      <c r="A81" s="69" t="s">
        <v>173</v>
      </c>
      <c r="B81" s="71" t="s">
        <v>178</v>
      </c>
      <c r="C81" s="107">
        <v>0</v>
      </c>
      <c r="D81" s="107">
        <v>0</v>
      </c>
      <c r="E81" s="82"/>
      <c r="F81" s="82"/>
      <c r="G81" s="82"/>
      <c r="H81" s="82"/>
      <c r="I81" s="8"/>
      <c r="J81" s="82"/>
      <c r="K81" s="8"/>
      <c r="L81" s="8"/>
    </row>
    <row r="82" spans="1:12">
      <c r="A82" s="69" t="s">
        <v>174</v>
      </c>
      <c r="B82" s="71" t="s">
        <v>178</v>
      </c>
      <c r="C82" s="107">
        <v>1</v>
      </c>
      <c r="D82" s="107">
        <v>1</v>
      </c>
      <c r="E82" s="82"/>
      <c r="F82" s="82"/>
      <c r="G82" s="82"/>
      <c r="H82" s="82"/>
      <c r="I82" s="8"/>
      <c r="J82" s="82"/>
      <c r="K82" s="8"/>
      <c r="L82" s="8"/>
    </row>
    <row r="83" spans="1:12">
      <c r="A83" s="69" t="s">
        <v>175</v>
      </c>
      <c r="B83" s="71" t="s">
        <v>178</v>
      </c>
      <c r="C83" s="107">
        <v>1</v>
      </c>
      <c r="D83" s="107">
        <v>1</v>
      </c>
      <c r="E83" s="82"/>
      <c r="F83" s="82"/>
      <c r="G83" s="82"/>
      <c r="H83" s="82"/>
      <c r="I83" s="8"/>
      <c r="J83" s="82"/>
      <c r="K83" s="8"/>
      <c r="L83" s="8"/>
    </row>
    <row r="84" spans="1:12">
      <c r="A84" s="69" t="s">
        <v>176</v>
      </c>
      <c r="B84" s="71" t="s">
        <v>178</v>
      </c>
      <c r="C84" s="107">
        <v>0</v>
      </c>
      <c r="D84" s="107">
        <v>0</v>
      </c>
      <c r="E84" s="82"/>
      <c r="F84" s="82"/>
      <c r="G84" s="82"/>
      <c r="H84" s="82"/>
      <c r="I84" s="8"/>
      <c r="J84" s="82"/>
      <c r="K84" s="8"/>
      <c r="L84" s="8"/>
    </row>
    <row r="85" spans="1:12">
      <c r="A85" s="69" t="s">
        <v>177</v>
      </c>
      <c r="B85" s="71" t="s">
        <v>178</v>
      </c>
      <c r="C85" s="107">
        <v>0</v>
      </c>
      <c r="D85" s="107">
        <v>0</v>
      </c>
      <c r="E85" s="82"/>
      <c r="F85" s="82"/>
      <c r="G85" s="82"/>
      <c r="H85" s="82"/>
      <c r="I85" s="8"/>
      <c r="J85" s="82"/>
      <c r="K85" s="8"/>
      <c r="L85" s="8"/>
    </row>
    <row r="86" spans="1:12">
      <c r="A86" s="68" t="s">
        <v>194</v>
      </c>
      <c r="B86" s="71" t="s">
        <v>188</v>
      </c>
      <c r="C86" s="107">
        <v>1</v>
      </c>
      <c r="D86" s="107">
        <v>1</v>
      </c>
      <c r="E86" s="82"/>
      <c r="F86" s="82"/>
      <c r="G86" s="82"/>
      <c r="H86" s="82"/>
      <c r="I86" s="8"/>
      <c r="J86" s="82"/>
      <c r="K86" s="8"/>
      <c r="L86" s="8"/>
    </row>
    <row r="87" spans="1:12">
      <c r="A87" s="69" t="s">
        <v>184</v>
      </c>
      <c r="B87" s="71" t="s">
        <v>188</v>
      </c>
      <c r="C87" s="107">
        <v>0</v>
      </c>
      <c r="D87" s="107">
        <v>0</v>
      </c>
      <c r="E87" s="82"/>
      <c r="F87" s="82"/>
      <c r="G87" s="82"/>
      <c r="H87" s="82"/>
      <c r="I87" s="8"/>
      <c r="J87" s="82"/>
      <c r="K87" s="8"/>
      <c r="L87" s="8"/>
    </row>
    <row r="88" spans="1:12">
      <c r="A88" s="69" t="s">
        <v>182</v>
      </c>
      <c r="B88" s="71" t="s">
        <v>188</v>
      </c>
      <c r="C88" s="107">
        <v>1</v>
      </c>
      <c r="D88" s="107">
        <v>0</v>
      </c>
      <c r="E88" s="82"/>
      <c r="F88" s="82"/>
      <c r="G88" s="82"/>
      <c r="H88" s="82"/>
      <c r="I88" s="8"/>
      <c r="J88" s="82"/>
      <c r="K88" s="8"/>
      <c r="L88" s="8"/>
    </row>
    <row r="89" spans="1:12">
      <c r="A89" s="69" t="s">
        <v>181</v>
      </c>
      <c r="B89" s="71" t="s">
        <v>188</v>
      </c>
      <c r="C89" s="107">
        <v>0</v>
      </c>
      <c r="D89" s="107">
        <v>0</v>
      </c>
      <c r="E89" s="82"/>
      <c r="F89" s="82"/>
      <c r="G89" s="82"/>
      <c r="H89" s="82"/>
      <c r="I89" s="8"/>
      <c r="J89" s="82"/>
      <c r="K89" s="8"/>
      <c r="L89" s="8"/>
    </row>
    <row r="90" spans="1:12">
      <c r="A90" s="69" t="s">
        <v>179</v>
      </c>
      <c r="B90" s="71" t="s">
        <v>188</v>
      </c>
      <c r="C90" s="107">
        <v>0</v>
      </c>
      <c r="D90" s="107">
        <v>0</v>
      </c>
      <c r="E90" s="82"/>
      <c r="F90" s="82"/>
      <c r="G90" s="82"/>
      <c r="H90" s="82"/>
      <c r="I90" s="8"/>
      <c r="J90" s="82"/>
      <c r="K90" s="8"/>
      <c r="L90" s="8"/>
    </row>
    <row r="91" spans="1:12">
      <c r="A91" s="69" t="s">
        <v>185</v>
      </c>
      <c r="B91" s="71" t="s">
        <v>188</v>
      </c>
      <c r="C91" s="107">
        <v>0</v>
      </c>
      <c r="D91" s="107">
        <v>0</v>
      </c>
      <c r="E91" s="82"/>
      <c r="F91" s="82"/>
      <c r="G91" s="82"/>
      <c r="H91" s="82"/>
      <c r="I91" s="8"/>
      <c r="J91" s="82"/>
      <c r="K91" s="8"/>
      <c r="L91" s="8"/>
    </row>
    <row r="92" spans="1:12">
      <c r="A92" s="70" t="s">
        <v>187</v>
      </c>
      <c r="B92" s="71" t="s">
        <v>188</v>
      </c>
      <c r="C92" s="107">
        <v>0</v>
      </c>
      <c r="D92" s="107">
        <v>0</v>
      </c>
      <c r="E92" s="82"/>
      <c r="F92" s="82"/>
      <c r="G92" s="82"/>
      <c r="H92" s="82"/>
      <c r="I92" s="8"/>
      <c r="J92" s="82"/>
      <c r="K92" s="8"/>
      <c r="L92" s="8"/>
    </row>
    <row r="93" spans="1:12">
      <c r="A93" s="69" t="s">
        <v>186</v>
      </c>
      <c r="B93" s="71" t="s">
        <v>188</v>
      </c>
      <c r="C93" s="107">
        <v>1</v>
      </c>
      <c r="D93" s="107">
        <v>1</v>
      </c>
      <c r="E93" s="82"/>
      <c r="F93" s="82"/>
      <c r="G93" s="82"/>
      <c r="H93" s="82"/>
      <c r="I93" s="8"/>
      <c r="J93" s="82"/>
      <c r="K93" s="8"/>
      <c r="L93" s="8"/>
    </row>
    <row r="94" spans="1:12">
      <c r="A94" s="69" t="s">
        <v>183</v>
      </c>
      <c r="B94" s="71" t="s">
        <v>188</v>
      </c>
      <c r="C94" s="107">
        <v>0</v>
      </c>
      <c r="D94" s="107">
        <v>1</v>
      </c>
      <c r="E94" s="82"/>
      <c r="F94" s="82"/>
      <c r="G94" s="82"/>
      <c r="H94" s="82"/>
      <c r="I94" s="8"/>
      <c r="J94" s="82"/>
      <c r="K94" s="8"/>
      <c r="L94" s="8"/>
    </row>
    <row r="95" spans="1:12">
      <c r="A95" s="69" t="s">
        <v>180</v>
      </c>
      <c r="B95" s="71" t="s">
        <v>188</v>
      </c>
      <c r="C95" s="180" t="s">
        <v>207</v>
      </c>
      <c r="D95" s="180" t="s">
        <v>207</v>
      </c>
      <c r="E95" s="82"/>
      <c r="F95" s="82"/>
      <c r="G95" s="82"/>
      <c r="H95" s="82"/>
      <c r="I95" s="8"/>
      <c r="J95" s="82"/>
      <c r="K95" s="8"/>
      <c r="L95" s="8"/>
    </row>
    <row r="96" spans="1:12">
      <c r="C96" s="82"/>
      <c r="D96" s="82"/>
      <c r="E96" s="82"/>
      <c r="F96" s="82"/>
      <c r="G96" s="82"/>
      <c r="H96" s="82"/>
      <c r="I96" s="8"/>
      <c r="J96" s="8"/>
      <c r="K96" s="8"/>
      <c r="L96" s="8"/>
    </row>
    <row r="97" spans="3:12">
      <c r="C97" s="82"/>
      <c r="D97" s="82"/>
      <c r="E97" s="82"/>
      <c r="F97" s="82"/>
      <c r="G97" s="82"/>
      <c r="H97" s="82"/>
      <c r="I97" s="8"/>
      <c r="J97" s="8"/>
      <c r="K97" s="8"/>
      <c r="L97" s="8"/>
    </row>
    <row r="98" spans="3:12">
      <c r="C98" s="82"/>
      <c r="D98" s="82"/>
      <c r="E98" s="82"/>
      <c r="F98" s="82"/>
      <c r="G98" s="82"/>
      <c r="H98" s="82"/>
      <c r="I98" s="8"/>
      <c r="J98" s="8"/>
      <c r="K98" s="8"/>
      <c r="L98" s="8"/>
    </row>
    <row r="99" spans="3:12">
      <c r="C99" s="82"/>
      <c r="D99" s="82"/>
      <c r="E99" s="82"/>
      <c r="F99" s="82"/>
      <c r="G99" s="82"/>
      <c r="H99" s="82"/>
      <c r="I99" s="8"/>
      <c r="J99" s="8"/>
      <c r="K99" s="8"/>
      <c r="L99" s="8"/>
    </row>
    <row r="100" spans="3:12">
      <c r="C100" s="82"/>
      <c r="D100" s="82"/>
      <c r="E100" s="82"/>
      <c r="F100" s="82"/>
      <c r="G100" s="82"/>
      <c r="H100" s="82"/>
      <c r="I100" s="8"/>
      <c r="J100" s="8"/>
      <c r="K100" s="8"/>
      <c r="L100" s="8"/>
    </row>
    <row r="101" spans="3:12">
      <c r="C101" s="82"/>
      <c r="D101" s="82"/>
      <c r="E101" s="82"/>
      <c r="F101" s="82"/>
      <c r="G101" s="82"/>
      <c r="H101" s="82"/>
      <c r="I101" s="8"/>
      <c r="J101" s="8"/>
      <c r="K101" s="8"/>
      <c r="L101" s="8"/>
    </row>
    <row r="102" spans="3:12">
      <c r="C102" s="82"/>
      <c r="D102" s="82"/>
      <c r="E102" s="82"/>
      <c r="F102" s="82"/>
      <c r="G102" s="82"/>
      <c r="H102" s="8"/>
      <c r="I102" s="8"/>
      <c r="J102" s="8"/>
      <c r="K102" s="8"/>
      <c r="L102" s="8"/>
    </row>
    <row r="103" spans="3:12">
      <c r="C103" s="82"/>
      <c r="D103" s="82"/>
      <c r="E103" s="82"/>
      <c r="F103" s="82"/>
      <c r="G103" s="82"/>
      <c r="H103" s="8"/>
      <c r="I103" s="8"/>
      <c r="J103" s="8"/>
      <c r="K103" s="8"/>
      <c r="L103" s="8"/>
    </row>
    <row r="104" spans="3:12">
      <c r="C104" s="82"/>
      <c r="D104" s="82"/>
      <c r="E104" s="82"/>
      <c r="F104" s="82"/>
      <c r="G104" s="82"/>
      <c r="H104" s="8"/>
      <c r="I104" s="8"/>
      <c r="J104" s="8"/>
      <c r="K104" s="8"/>
      <c r="L104" s="8"/>
    </row>
    <row r="105" spans="3:12">
      <c r="C105" s="82"/>
      <c r="D105" s="82"/>
      <c r="E105" s="82"/>
      <c r="F105" s="82"/>
      <c r="G105" s="82"/>
      <c r="H105" s="8"/>
      <c r="I105" s="8"/>
      <c r="J105" s="8"/>
      <c r="K105" s="8"/>
      <c r="L105" s="8"/>
    </row>
    <row r="106" spans="3:12">
      <c r="C106" s="82"/>
      <c r="D106" s="82"/>
      <c r="E106" s="82"/>
      <c r="F106" s="82"/>
      <c r="G106" s="82"/>
      <c r="H106" s="8"/>
      <c r="I106" s="8"/>
      <c r="J106" s="8"/>
      <c r="K106" s="8"/>
      <c r="L106" s="8"/>
    </row>
    <row r="107" spans="3:12">
      <c r="C107" s="82"/>
      <c r="D107" s="82"/>
      <c r="E107" s="82"/>
      <c r="F107" s="82"/>
      <c r="G107" s="82"/>
      <c r="H107" s="8"/>
      <c r="I107" s="8"/>
      <c r="J107" s="8"/>
      <c r="K107" s="8"/>
      <c r="L107" s="8"/>
    </row>
    <row r="108" spans="3:12">
      <c r="C108" s="82"/>
      <c r="D108" s="82"/>
      <c r="E108" s="82"/>
      <c r="F108" s="82"/>
      <c r="G108" s="82"/>
      <c r="H108" s="8"/>
      <c r="I108" s="8"/>
      <c r="J108" s="8"/>
      <c r="K108" s="8"/>
      <c r="L108" s="8"/>
    </row>
    <row r="109" spans="3:12">
      <c r="C109" s="82"/>
      <c r="D109" s="82"/>
      <c r="E109" s="82"/>
      <c r="F109" s="82"/>
      <c r="G109" s="82"/>
      <c r="H109" s="8"/>
      <c r="I109" s="8"/>
      <c r="J109" s="8"/>
      <c r="K109" s="8"/>
      <c r="L109" s="8"/>
    </row>
    <row r="110" spans="3:12">
      <c r="C110" s="82"/>
      <c r="D110" s="82"/>
      <c r="E110" s="82"/>
      <c r="F110" s="82"/>
      <c r="G110" s="82"/>
      <c r="H110" s="8"/>
      <c r="I110" s="8"/>
      <c r="J110" s="8"/>
      <c r="K110" s="8"/>
      <c r="L110" s="8"/>
    </row>
    <row r="111" spans="3:12">
      <c r="C111" s="82"/>
      <c r="D111" s="82"/>
      <c r="E111" s="82"/>
      <c r="F111" s="82"/>
      <c r="G111" s="82"/>
      <c r="H111" s="8"/>
      <c r="I111" s="8"/>
      <c r="J111" s="8"/>
      <c r="K111" s="8"/>
      <c r="L111" s="8"/>
    </row>
    <row r="112" spans="3:12">
      <c r="C112" s="82"/>
      <c r="D112" s="82"/>
      <c r="E112" s="82"/>
      <c r="F112" s="82"/>
      <c r="G112" s="82"/>
      <c r="H112" s="8"/>
      <c r="I112" s="8"/>
      <c r="J112" s="8"/>
      <c r="K112" s="8"/>
      <c r="L112" s="8"/>
    </row>
    <row r="113" spans="3:12">
      <c r="C113" s="82"/>
      <c r="D113" s="82"/>
      <c r="E113" s="82"/>
      <c r="F113" s="82"/>
      <c r="G113" s="82"/>
      <c r="H113" s="8"/>
      <c r="I113" s="8"/>
      <c r="J113" s="8"/>
      <c r="K113" s="8"/>
      <c r="L113" s="8"/>
    </row>
    <row r="114" spans="3:12">
      <c r="C114" s="82"/>
      <c r="D114" s="82"/>
      <c r="E114" s="82"/>
      <c r="F114" s="82"/>
      <c r="G114" s="82"/>
      <c r="H114" s="8"/>
      <c r="I114" s="8"/>
      <c r="J114" s="8"/>
      <c r="K114" s="8"/>
      <c r="L114" s="8"/>
    </row>
    <row r="115" spans="3:12">
      <c r="C115" s="82"/>
      <c r="D115" s="82"/>
      <c r="E115" s="82"/>
      <c r="F115" s="82"/>
      <c r="G115" s="82"/>
      <c r="H115" s="8"/>
      <c r="I115" s="8"/>
      <c r="J115" s="8"/>
      <c r="K115" s="8"/>
      <c r="L115" s="8"/>
    </row>
    <row r="116" spans="3:12">
      <c r="C116" s="82"/>
      <c r="D116" s="82"/>
      <c r="E116" s="82"/>
      <c r="F116" s="82"/>
      <c r="G116" s="82"/>
      <c r="H116" s="8"/>
      <c r="I116" s="8"/>
      <c r="J116" s="8"/>
      <c r="K116" s="8"/>
      <c r="L116" s="8"/>
    </row>
    <row r="117" spans="3:12">
      <c r="C117" s="82"/>
      <c r="D117" s="82"/>
      <c r="E117" s="82"/>
      <c r="F117" s="82"/>
      <c r="G117" s="82"/>
      <c r="H117" s="8"/>
      <c r="I117" s="8"/>
      <c r="J117" s="8"/>
      <c r="K117" s="8"/>
      <c r="L117" s="8"/>
    </row>
    <row r="118" spans="3:12">
      <c r="C118" s="82"/>
      <c r="D118" s="82"/>
      <c r="E118" s="82"/>
      <c r="F118" s="82"/>
      <c r="G118" s="82"/>
      <c r="H118" s="8"/>
      <c r="I118" s="8"/>
      <c r="J118" s="8"/>
      <c r="K118" s="8"/>
      <c r="L118" s="8"/>
    </row>
    <row r="119" spans="3:12">
      <c r="C119" s="82"/>
      <c r="D119" s="82"/>
      <c r="E119" s="82"/>
      <c r="F119" s="82"/>
      <c r="G119" s="82"/>
      <c r="H119" s="8"/>
      <c r="I119" s="8"/>
      <c r="J119" s="8"/>
      <c r="K119" s="8"/>
      <c r="L119" s="8"/>
    </row>
    <row r="120" spans="3:12">
      <c r="C120" s="82"/>
      <c r="D120" s="82"/>
      <c r="E120" s="82"/>
      <c r="F120" s="82"/>
      <c r="G120" s="82"/>
      <c r="H120" s="8"/>
      <c r="I120" s="8"/>
      <c r="J120" s="8"/>
      <c r="K120" s="8"/>
      <c r="L120" s="8"/>
    </row>
    <row r="121" spans="3:12">
      <c r="C121" s="82"/>
      <c r="D121" s="82"/>
      <c r="E121" s="82"/>
      <c r="F121" s="82"/>
      <c r="G121" s="82"/>
      <c r="H121" s="8"/>
      <c r="I121" s="8"/>
      <c r="J121" s="8"/>
      <c r="K121" s="8"/>
      <c r="L121" s="8"/>
    </row>
    <row r="122" spans="3:12">
      <c r="C122" s="82"/>
      <c r="D122" s="82"/>
      <c r="E122" s="82"/>
      <c r="F122" s="82"/>
      <c r="G122" s="82"/>
      <c r="H122" s="8"/>
      <c r="I122" s="8"/>
      <c r="J122" s="8"/>
      <c r="K122" s="8"/>
      <c r="L122" s="8"/>
    </row>
    <row r="123" spans="3:12">
      <c r="C123" s="82"/>
      <c r="D123" s="82"/>
      <c r="E123" s="82"/>
      <c r="F123" s="82"/>
      <c r="G123" s="82"/>
      <c r="H123" s="8"/>
      <c r="I123" s="8"/>
      <c r="J123" s="8"/>
      <c r="K123" s="8"/>
      <c r="L123" s="8"/>
    </row>
    <row r="124" spans="3:12">
      <c r="C124" s="82"/>
      <c r="D124" s="82"/>
      <c r="E124" s="82"/>
      <c r="F124" s="82"/>
      <c r="G124" s="82"/>
      <c r="H124" s="8"/>
      <c r="I124" s="8"/>
      <c r="J124" s="8"/>
      <c r="K124" s="8"/>
      <c r="L124" s="8"/>
    </row>
    <row r="125" spans="3:12">
      <c r="C125" s="82"/>
      <c r="D125" s="82"/>
      <c r="E125" s="82"/>
      <c r="F125" s="82"/>
      <c r="G125" s="82"/>
      <c r="H125" s="8"/>
      <c r="I125" s="8"/>
      <c r="J125" s="8"/>
      <c r="K125" s="8"/>
      <c r="L125" s="8"/>
    </row>
    <row r="126" spans="3:12">
      <c r="C126" s="82"/>
      <c r="D126" s="82"/>
      <c r="E126" s="82"/>
      <c r="F126" s="82"/>
      <c r="G126" s="82"/>
      <c r="H126" s="8"/>
      <c r="I126" s="8"/>
      <c r="J126" s="8"/>
      <c r="K126" s="8"/>
      <c r="L126" s="8"/>
    </row>
    <row r="127" spans="3:12">
      <c r="C127" s="82"/>
      <c r="D127" s="82"/>
      <c r="E127" s="82"/>
      <c r="F127" s="82"/>
      <c r="G127" s="82"/>
      <c r="H127" s="8"/>
      <c r="I127" s="8"/>
      <c r="J127" s="8"/>
      <c r="K127" s="8"/>
      <c r="L127" s="8"/>
    </row>
    <row r="128" spans="3:12">
      <c r="C128" s="82"/>
      <c r="D128" s="82"/>
      <c r="E128" s="82"/>
      <c r="F128" s="82"/>
      <c r="G128" s="82"/>
      <c r="H128" s="8"/>
      <c r="I128" s="8"/>
      <c r="J128" s="8"/>
      <c r="K128" s="8"/>
      <c r="L128" s="8"/>
    </row>
    <row r="129" spans="3:12">
      <c r="C129" s="82"/>
      <c r="D129" s="82"/>
      <c r="E129" s="82"/>
      <c r="F129" s="82"/>
      <c r="G129" s="82"/>
      <c r="H129" s="8"/>
      <c r="I129" s="8"/>
      <c r="J129" s="8"/>
      <c r="K129" s="8"/>
      <c r="L129" s="8"/>
    </row>
    <row r="130" spans="3:12">
      <c r="C130" s="82"/>
      <c r="D130" s="82"/>
      <c r="E130" s="82"/>
      <c r="F130" s="82"/>
      <c r="G130" s="82"/>
      <c r="H130" s="8"/>
      <c r="I130" s="8"/>
      <c r="J130" s="8"/>
      <c r="K130" s="8"/>
      <c r="L130" s="8"/>
    </row>
    <row r="131" spans="3:12">
      <c r="C131" s="82"/>
      <c r="D131" s="82"/>
      <c r="E131" s="82"/>
      <c r="F131" s="82"/>
      <c r="G131" s="82"/>
      <c r="H131" s="8"/>
      <c r="I131" s="8"/>
      <c r="J131" s="8"/>
      <c r="K131" s="8"/>
      <c r="L131" s="8"/>
    </row>
    <row r="132" spans="3:12">
      <c r="C132" s="82"/>
      <c r="D132" s="82"/>
      <c r="E132" s="82"/>
      <c r="F132" s="82"/>
      <c r="G132" s="82"/>
      <c r="H132" s="8"/>
      <c r="I132" s="8"/>
      <c r="J132" s="8"/>
      <c r="K132" s="8"/>
      <c r="L132" s="8"/>
    </row>
    <row r="133" spans="3:12">
      <c r="C133" s="82"/>
      <c r="D133" s="82"/>
      <c r="E133" s="82"/>
      <c r="F133" s="82"/>
      <c r="G133" s="82"/>
      <c r="H133" s="8"/>
      <c r="I133" s="8"/>
      <c r="J133" s="8"/>
      <c r="K133" s="8"/>
      <c r="L133" s="8"/>
    </row>
    <row r="134" spans="3:12">
      <c r="C134" s="82"/>
      <c r="D134" s="82"/>
      <c r="E134" s="82"/>
      <c r="F134" s="82"/>
      <c r="G134" s="82"/>
      <c r="H134" s="8"/>
      <c r="I134" s="8"/>
      <c r="J134" s="8"/>
      <c r="K134" s="8"/>
      <c r="L134" s="8"/>
    </row>
    <row r="135" spans="3:12">
      <c r="C135" s="82"/>
      <c r="D135" s="82"/>
      <c r="E135" s="82"/>
      <c r="F135" s="82"/>
      <c r="G135" s="82"/>
      <c r="H135" s="8"/>
      <c r="I135" s="8"/>
      <c r="J135" s="8"/>
      <c r="K135" s="8"/>
      <c r="L135" s="8"/>
    </row>
    <row r="136" spans="3:12">
      <c r="C136" s="82"/>
      <c r="D136" s="82"/>
      <c r="E136" s="82"/>
      <c r="F136" s="82"/>
      <c r="G136" s="82"/>
      <c r="H136" s="8"/>
      <c r="I136" s="8"/>
      <c r="J136" s="8"/>
      <c r="K136" s="8"/>
      <c r="L136" s="8"/>
    </row>
    <row r="137" spans="3:12">
      <c r="C137" s="82"/>
      <c r="D137" s="82"/>
      <c r="E137" s="82"/>
      <c r="F137" s="82"/>
      <c r="G137" s="82"/>
      <c r="H137" s="8"/>
      <c r="I137" s="8"/>
      <c r="J137" s="8"/>
      <c r="K137" s="8"/>
      <c r="L137" s="8"/>
    </row>
    <row r="138" spans="3:12">
      <c r="C138" s="82"/>
      <c r="D138" s="82"/>
      <c r="E138" s="82"/>
      <c r="F138" s="82"/>
      <c r="G138" s="82"/>
      <c r="H138" s="8"/>
      <c r="I138" s="8"/>
      <c r="J138" s="8"/>
      <c r="K138" s="8"/>
      <c r="L138" s="8"/>
    </row>
    <row r="139" spans="3:12">
      <c r="C139" s="82"/>
      <c r="D139" s="82"/>
      <c r="E139" s="82"/>
      <c r="F139" s="82"/>
      <c r="G139" s="82"/>
      <c r="H139" s="8"/>
      <c r="I139" s="8"/>
      <c r="J139" s="8"/>
      <c r="K139" s="8"/>
      <c r="L139" s="8"/>
    </row>
    <row r="140" spans="3:12">
      <c r="C140" s="82"/>
      <c r="D140" s="82"/>
      <c r="E140" s="82"/>
      <c r="F140" s="82"/>
      <c r="G140" s="82"/>
      <c r="H140" s="8"/>
      <c r="I140" s="8"/>
      <c r="J140" s="8"/>
      <c r="K140" s="8"/>
      <c r="L140" s="8"/>
    </row>
    <row r="141" spans="3:12">
      <c r="C141" s="82"/>
      <c r="D141" s="82"/>
      <c r="E141" s="82"/>
      <c r="F141" s="82"/>
      <c r="G141" s="82"/>
      <c r="H141" s="8"/>
      <c r="I141" s="8"/>
      <c r="J141" s="8"/>
      <c r="K141" s="8"/>
      <c r="L141" s="8"/>
    </row>
    <row r="142" spans="3:12">
      <c r="C142" s="82"/>
      <c r="D142" s="82"/>
      <c r="E142" s="82"/>
      <c r="F142" s="82"/>
      <c r="G142" s="82"/>
      <c r="H142" s="8"/>
      <c r="I142" s="8"/>
      <c r="J142" s="8"/>
      <c r="K142" s="8"/>
      <c r="L142" s="8"/>
    </row>
    <row r="143" spans="3:12">
      <c r="C143" s="8"/>
      <c r="D143" s="8"/>
      <c r="E143" s="8"/>
      <c r="F143" s="8"/>
      <c r="G143" s="8"/>
      <c r="H143" s="8"/>
      <c r="I143" s="8"/>
      <c r="J143" s="8"/>
      <c r="K143" s="8"/>
      <c r="L143" s="8"/>
    </row>
    <row r="144" spans="3:12">
      <c r="C144" s="8"/>
      <c r="D144" s="8"/>
      <c r="E144" s="8"/>
      <c r="F144" s="8"/>
      <c r="G144" s="8"/>
      <c r="H144" s="8"/>
      <c r="I144" s="8"/>
      <c r="J144" s="8"/>
      <c r="K144" s="8"/>
      <c r="L144" s="8"/>
    </row>
    <row r="145" spans="1:12">
      <c r="C145" s="8"/>
      <c r="D145" s="8"/>
      <c r="E145" s="8"/>
      <c r="F145" s="8"/>
      <c r="G145" s="8"/>
      <c r="H145" s="8"/>
      <c r="I145" s="8"/>
      <c r="J145" s="8"/>
      <c r="K145" s="8"/>
      <c r="L145" s="8"/>
    </row>
    <row r="146" spans="1:12">
      <c r="C146" s="8"/>
      <c r="D146" s="8"/>
      <c r="E146" s="8"/>
      <c r="F146" s="8"/>
      <c r="G146" s="8"/>
      <c r="H146" s="8"/>
      <c r="I146" s="8"/>
      <c r="J146" s="8"/>
      <c r="K146" s="8"/>
      <c r="L146" s="8"/>
    </row>
    <row r="147" spans="1:12">
      <c r="C147" s="8"/>
      <c r="D147" s="8"/>
      <c r="E147" s="8"/>
      <c r="F147" s="8"/>
      <c r="G147" s="8"/>
      <c r="H147" s="8"/>
      <c r="I147" s="8"/>
      <c r="J147" s="8"/>
      <c r="K147" s="8"/>
      <c r="L147" s="8"/>
    </row>
    <row r="148" spans="1:12">
      <c r="C148" s="8"/>
      <c r="D148" s="8"/>
      <c r="E148" s="8"/>
      <c r="F148" s="8"/>
      <c r="G148" s="8"/>
      <c r="H148" s="8"/>
      <c r="I148" s="8"/>
      <c r="J148" s="8"/>
      <c r="K148" s="8"/>
      <c r="L148" s="8"/>
    </row>
    <row r="149" spans="1:12">
      <c r="C149" s="8"/>
      <c r="D149" s="8"/>
      <c r="E149" s="8"/>
      <c r="F149" s="8"/>
      <c r="G149" s="8"/>
      <c r="H149" s="8"/>
      <c r="I149" s="8"/>
      <c r="J149" s="8"/>
      <c r="K149" s="8"/>
      <c r="L149" s="8"/>
    </row>
    <row r="150" spans="1:12">
      <c r="C150" s="8"/>
      <c r="D150" s="8"/>
      <c r="E150" s="8"/>
      <c r="F150" s="8"/>
      <c r="G150" s="8"/>
      <c r="H150" s="8"/>
      <c r="I150" s="8"/>
      <c r="J150" s="8"/>
      <c r="K150" s="8"/>
      <c r="L150" s="8"/>
    </row>
    <row r="151" spans="1:12">
      <c r="C151" s="8"/>
      <c r="D151" s="8"/>
      <c r="E151" s="8"/>
      <c r="F151" s="8"/>
      <c r="G151" s="8"/>
      <c r="H151" s="8"/>
      <c r="I151" s="8"/>
      <c r="J151" s="8"/>
      <c r="K151" s="8"/>
      <c r="L151" s="8"/>
    </row>
    <row r="152" spans="1:12">
      <c r="C152" s="8"/>
      <c r="D152" s="8"/>
      <c r="E152" s="8"/>
      <c r="F152" s="8"/>
      <c r="G152" s="8"/>
      <c r="H152" s="8"/>
      <c r="I152" s="8"/>
      <c r="J152" s="8"/>
      <c r="K152" s="8"/>
      <c r="L152" s="8"/>
    </row>
    <row r="153" spans="1:12">
      <c r="A153" s="69"/>
      <c r="C153" s="8"/>
      <c r="D153" s="8"/>
      <c r="E153" s="8"/>
      <c r="F153" s="8"/>
      <c r="G153" s="8"/>
      <c r="H153" s="8"/>
      <c r="I153" s="8"/>
      <c r="J153" s="8"/>
      <c r="K153" s="8"/>
      <c r="L153" s="8"/>
    </row>
    <row r="154" spans="1:12">
      <c r="A154" s="68"/>
      <c r="B154" s="71"/>
    </row>
  </sheetData>
  <autoFilter ref="A46:T95">
    <sortState ref="A47:T95">
      <sortCondition ref="B46:B95"/>
    </sortState>
  </autoFilter>
  <mergeCells count="21">
    <mergeCell ref="A45:B45"/>
    <mergeCell ref="M45:N45"/>
    <mergeCell ref="O45:P45"/>
    <mergeCell ref="Q45:R45"/>
    <mergeCell ref="S45:T45"/>
    <mergeCell ref="C45:D45"/>
    <mergeCell ref="E45:F45"/>
    <mergeCell ref="G45:H45"/>
    <mergeCell ref="I45:J45"/>
    <mergeCell ref="K45:L45"/>
    <mergeCell ref="B9:H9"/>
    <mergeCell ref="E2:H2"/>
    <mergeCell ref="J3:K3"/>
    <mergeCell ref="M3:N3"/>
    <mergeCell ref="J4:K4"/>
    <mergeCell ref="M4:N4"/>
    <mergeCell ref="A3:H3"/>
    <mergeCell ref="B5:H5"/>
    <mergeCell ref="B6:H6"/>
    <mergeCell ref="B7:H7"/>
    <mergeCell ref="B8:H8"/>
  </mergeCells>
  <conditionalFormatting sqref="C14:H43">
    <cfRule type="expression" dxfId="15" priority="1">
      <formula>ISERROR(C14)</formula>
    </cfRule>
  </conditionalFormatting>
  <hyperlinks>
    <hyperlink ref="E2" location="'Information och Innehåll'!A1" display="Tillbaka till Information och Innehåll"/>
    <hyperlink ref="J6" location="V1.1.1!A1" display="V1.1.1"/>
    <hyperlink ref="J7" location="V1.1.2!A1" display="V1.1.2"/>
    <hyperlink ref="J8" location="V1.1.3!A1" display="V1.1.3"/>
    <hyperlink ref="J9" location="V2.1.1!A1" display="V2.1.1"/>
    <hyperlink ref="J10" location="V2.1.2!A1" display="V2.1.2"/>
    <hyperlink ref="J12" location="V3.1.2!A1" display="V3.1.2"/>
    <hyperlink ref="J11" location="V3.1.1!A1" display="V3.1.1"/>
    <hyperlink ref="J13" location="V3.1.3!A1" display="V3.1.3"/>
    <hyperlink ref="J15" location="V4.1.1!A1" display="V4.1.1"/>
    <hyperlink ref="J16" location="V4.2.1!A1" display="V4.2.1"/>
    <hyperlink ref="J17" location="V4.2.2!A1" display="V4.2.2"/>
    <hyperlink ref="J18" location="V4.2.3!A1" display="V4.2.3"/>
    <hyperlink ref="J19" location="V4.2.4!A1" display="V4.2.4"/>
    <hyperlink ref="J20" location="V5.1.1!A1" display="V5.1.1"/>
    <hyperlink ref="J21" location="V5.1.2!A1" display="V5.1.2"/>
    <hyperlink ref="K6" location="B1.1.1!A1" display="B1.1.1"/>
    <hyperlink ref="K7" location="B1.1.2!A1" display="B1.1.2"/>
    <hyperlink ref="K8" location="B1.2.1!A1" display="B1.2.1"/>
    <hyperlink ref="K9" location="B1.2.2!A1" display="B1.2.2"/>
    <hyperlink ref="K10" location="B1.2.3!A1" display="B1.2.3"/>
    <hyperlink ref="K11" location="B2.1.1!A1" display="B2.1.1"/>
    <hyperlink ref="K13" location="B2.2.1!A1" display="B2.2.1"/>
    <hyperlink ref="K14" location="B2.2.2!A1" display="B2.2.2"/>
    <hyperlink ref="K15" location="B2.2.3!A1" display="B2.2.3"/>
    <hyperlink ref="K16" location="B2.2.4!A1" display="B2.2.4"/>
    <hyperlink ref="K17" location="B3.1.1!A1" display="B3.1.1"/>
    <hyperlink ref="K18" location="B3.1.2!A1" display="B3.1.2"/>
    <hyperlink ref="K21" location="B4.1.1!A1" display="B4.1.1"/>
    <hyperlink ref="K22" location="B5.1.1!A1" display="B5.1.1"/>
    <hyperlink ref="K23" location="B5.1.2!A1" display="B5.1.2"/>
    <hyperlink ref="K24" location="B5.1.3!A1" display="B5.1.3"/>
    <hyperlink ref="K19" location="B3.1.3!A1" display="B3.1.3"/>
    <hyperlink ref="K12" location="B2.1.2!A1" display="B2.1.2"/>
    <hyperlink ref="J22" location="V5.1.3!A1" display="V5.1.3"/>
    <hyperlink ref="K20" location="B3.2.1!A1" display="B3.2.1"/>
    <hyperlink ref="J14" location="B3.2.1!A1" display="V3.2.1"/>
    <hyperlink ref="M6" location="'V1.1.1 DATA'!A1" display="V1.1.1"/>
    <hyperlink ref="M7" location="'V1.1.2 DATA'!A1" display="V1.1.2"/>
    <hyperlink ref="M8" location="'V1.1.3 Data'!A1" display="V1.1.3"/>
    <hyperlink ref="M9" location="'V2.1.1 DATA'!A1" display="V2.1.1"/>
    <hyperlink ref="M10" location="'V2.1.2 DATA'!A1" display="V2.1.2"/>
    <hyperlink ref="M12" location="'V3.1.2 DATA'!A1" display="V3.1.2"/>
    <hyperlink ref="M11" location="'V3.1.1 DATA'!A1" display="V3.1.1"/>
    <hyperlink ref="M13" location="'V3.1.3 DATA'!A1" display="V3.1.3"/>
    <hyperlink ref="M14" location="'V3.2.1 DATA'!A1" display="V3.2.1"/>
    <hyperlink ref="M15" location="'V4.1.1 DATA'!A1" display="V4.1.1"/>
    <hyperlink ref="M16" location="'V4.2.1 DATA'!A1" display="V4.2.1"/>
    <hyperlink ref="M18" location="'V4.2.3 DATA'!A1" display="V4.2.3"/>
    <hyperlink ref="M19" location="'V4.2.4 DATA'!A1" display="V4.2.4"/>
    <hyperlink ref="M20" location="'V5.1.1 DATA'!A1" display="V5.1.1"/>
    <hyperlink ref="M21" location="'V5.1.2 DATA'!A1" display="V5.1.2"/>
    <hyperlink ref="N6" location="'B1.1.1 DATA'!A1" display="B1.1.1"/>
    <hyperlink ref="N7" location="'B1.1.2 DATA'!A1" display="B1.1.2"/>
    <hyperlink ref="N8" location="'B1.2.1 DATA'!A1" display="B1.2.1"/>
    <hyperlink ref="N9" location="'B1.2.2 DATA'!A1" display="B1.2.2"/>
    <hyperlink ref="N10" location="'B1.2.3 DATA'!A1" display="B1.2.3"/>
    <hyperlink ref="N11" location="'B2.1.1 DATA'!A1" display="B2.1.1"/>
    <hyperlink ref="N13" location="'B2.2.1 DATA'!A1" display="B2.2.1"/>
    <hyperlink ref="N14" location="'B2.2.2 DATA'!A1" display="B2.2.2"/>
    <hyperlink ref="N15" location="'B2.2.3 DATA'!A1" display="B2.2.3"/>
    <hyperlink ref="N16" location="'B2.2.4 DATA'!A1" display="B2.2.4"/>
    <hyperlink ref="N17" location="'B3.1.1 DATA'!A1" display="B3.1.1"/>
    <hyperlink ref="N18" location="'B3.1.2 DATA'!A1" display="B3.1.2"/>
    <hyperlink ref="N20" location="'B3.2.1 DATA'!A1" display="B3.2.1"/>
    <hyperlink ref="N21" location="'B4.1.1 DATA'!A1" display="B4.1.1"/>
    <hyperlink ref="N22" location="'B5.1.1 DATA'!A1" display="B5.1.1"/>
    <hyperlink ref="N23" location="'B5.1.2 DATA'!A1" display="B5.1.2"/>
    <hyperlink ref="N24" location="'B5.1.3 DATA'!A1" display="B5.1.3"/>
    <hyperlink ref="N12" location="'B2.1.2 DATA'!A1" display="B2.1.2"/>
    <hyperlink ref="M22" location="'V5.1.3 DATA'!A1" display="V5.1.3"/>
    <hyperlink ref="N19" location="'B3.1.3 DATA'!A1" display="B3.1.3"/>
    <hyperlink ref="M17" location="'V4.2.2 DATA'!A1" display="V4.2.2"/>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18366"/>
  </sheetPr>
  <dimension ref="A1:AN56"/>
  <sheetViews>
    <sheetView showGridLine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1" spans="1:40">
      <c r="V1" s="9"/>
      <c r="W1" s="9"/>
      <c r="X1" s="9"/>
      <c r="Y1" s="9"/>
      <c r="Z1" s="9"/>
      <c r="AA1" s="9"/>
      <c r="AB1" s="9"/>
      <c r="AC1" s="9"/>
      <c r="AD1" s="9"/>
      <c r="AE1" s="9"/>
      <c r="AF1" s="9"/>
      <c r="AG1" s="9"/>
      <c r="AH1" s="9"/>
      <c r="AI1" s="9"/>
      <c r="AJ1" s="9"/>
      <c r="AK1" s="9"/>
      <c r="AL1" s="9"/>
      <c r="AM1" s="9"/>
      <c r="AN1" s="9"/>
    </row>
    <row r="2" spans="1:40" ht="21">
      <c r="P2" s="10"/>
      <c r="Q2" s="260"/>
      <c r="R2" s="260"/>
      <c r="V2" s="9"/>
      <c r="W2" s="9"/>
      <c r="X2" s="9"/>
      <c r="Y2" s="9"/>
      <c r="Z2" s="9"/>
      <c r="AA2" s="9"/>
      <c r="AB2" s="9"/>
      <c r="AC2" s="9"/>
      <c r="AD2" s="9"/>
      <c r="AE2" s="9"/>
      <c r="AF2" s="9"/>
      <c r="AG2" s="9"/>
      <c r="AH2" s="9"/>
      <c r="AI2" s="9"/>
      <c r="AJ2" s="9"/>
      <c r="AK2" s="9"/>
      <c r="AL2" s="9"/>
      <c r="AM2" s="9"/>
      <c r="AN2" s="9"/>
    </row>
    <row r="3" spans="1:40" ht="23.25">
      <c r="B3" s="338" t="s">
        <v>398</v>
      </c>
      <c r="C3" s="338"/>
      <c r="D3" s="338"/>
      <c r="E3" s="338"/>
      <c r="F3" s="338"/>
      <c r="G3" s="338"/>
      <c r="H3" s="338"/>
      <c r="I3" s="338"/>
      <c r="J3" s="338"/>
      <c r="K3" s="338"/>
      <c r="L3" s="338"/>
      <c r="M3" s="338"/>
      <c r="N3" s="338"/>
      <c r="O3" s="338"/>
      <c r="P3" s="338"/>
      <c r="Q3" s="338"/>
      <c r="R3" s="338"/>
      <c r="S3" s="338"/>
      <c r="T3" s="338"/>
      <c r="V3" s="375"/>
      <c r="W3" s="375"/>
      <c r="X3" s="375"/>
      <c r="Y3" s="375"/>
      <c r="Z3" s="375"/>
      <c r="AA3" s="375"/>
      <c r="AB3" s="375"/>
      <c r="AC3" s="375"/>
      <c r="AD3" s="375"/>
      <c r="AE3" s="375"/>
      <c r="AF3" s="375"/>
      <c r="AG3" s="375"/>
      <c r="AH3" s="375"/>
      <c r="AI3" s="375"/>
      <c r="AJ3" s="375"/>
      <c r="AK3" s="375"/>
      <c r="AL3" s="375"/>
      <c r="AM3" s="375"/>
      <c r="AN3" s="375"/>
    </row>
    <row r="4" spans="1:40" ht="30.75">
      <c r="B4" s="366" t="s">
        <v>636</v>
      </c>
      <c r="C4" s="366"/>
      <c r="D4" s="366"/>
      <c r="E4" s="366"/>
      <c r="F4" s="366"/>
      <c r="G4" s="366"/>
      <c r="H4" s="366"/>
      <c r="I4" s="366"/>
      <c r="J4" s="366"/>
      <c r="K4" s="366"/>
      <c r="L4" s="366"/>
      <c r="M4" s="366"/>
      <c r="N4" s="366"/>
      <c r="O4" s="366"/>
      <c r="P4" s="366"/>
      <c r="Q4" s="366"/>
      <c r="R4" s="366"/>
      <c r="S4" s="366"/>
      <c r="T4" s="366"/>
      <c r="V4" s="376"/>
      <c r="W4" s="376"/>
      <c r="X4" s="376"/>
      <c r="Y4" s="376"/>
      <c r="Z4" s="376"/>
      <c r="AA4" s="376"/>
      <c r="AB4" s="376"/>
      <c r="AC4" s="376"/>
      <c r="AD4" s="376"/>
      <c r="AE4" s="376"/>
      <c r="AF4" s="376"/>
      <c r="AG4" s="376"/>
      <c r="AH4" s="376"/>
      <c r="AI4" s="376"/>
      <c r="AJ4" s="376"/>
      <c r="AK4" s="376"/>
      <c r="AL4" s="376"/>
      <c r="AM4" s="376"/>
      <c r="AN4" s="376"/>
    </row>
    <row r="5" spans="1:40" ht="18">
      <c r="B5" s="340" t="s">
        <v>214</v>
      </c>
      <c r="C5" s="340"/>
      <c r="D5" s="340"/>
      <c r="E5" s="340"/>
      <c r="F5" s="340"/>
      <c r="G5" s="340"/>
      <c r="H5" s="340"/>
      <c r="I5" s="340"/>
      <c r="J5" s="340"/>
      <c r="K5" s="340"/>
      <c r="L5" s="340"/>
      <c r="M5" s="340"/>
      <c r="N5" s="340"/>
      <c r="O5" s="340"/>
      <c r="P5" s="340"/>
      <c r="Q5" s="340"/>
      <c r="R5" s="340"/>
      <c r="S5" s="340"/>
      <c r="T5" s="340"/>
      <c r="V5" s="377"/>
      <c r="W5" s="377"/>
      <c r="X5" s="377"/>
      <c r="Y5" s="377"/>
      <c r="Z5" s="377"/>
      <c r="AA5" s="377"/>
      <c r="AB5" s="377"/>
      <c r="AC5" s="377"/>
      <c r="AD5" s="377"/>
      <c r="AE5" s="377"/>
      <c r="AF5" s="377"/>
      <c r="AG5" s="377"/>
      <c r="AH5" s="377"/>
      <c r="AI5" s="377"/>
      <c r="AJ5" s="377"/>
      <c r="AK5" s="377"/>
      <c r="AL5" s="377"/>
      <c r="AM5" s="377"/>
      <c r="AN5" s="377"/>
    </row>
    <row r="6" spans="1:40">
      <c r="P6" s="260"/>
      <c r="Q6" s="260"/>
      <c r="R6" s="260"/>
      <c r="V6" s="9"/>
      <c r="W6" s="9"/>
      <c r="X6" s="9"/>
      <c r="Y6" s="9"/>
      <c r="Z6" s="9"/>
      <c r="AA6" s="9"/>
      <c r="AB6" s="9"/>
      <c r="AC6" s="9"/>
      <c r="AD6" s="9"/>
      <c r="AE6" s="9"/>
      <c r="AF6" s="9"/>
      <c r="AG6" s="9"/>
      <c r="AH6" s="9"/>
      <c r="AI6" s="9"/>
      <c r="AJ6" s="9"/>
      <c r="AK6" s="9"/>
      <c r="AL6" s="9"/>
      <c r="AM6" s="9"/>
      <c r="AN6" s="9"/>
    </row>
    <row r="7" spans="1:40" ht="15.75">
      <c r="B7" s="26" t="s">
        <v>35</v>
      </c>
      <c r="E7" s="27">
        <v>42985</v>
      </c>
      <c r="P7" s="260"/>
      <c r="Q7" s="260"/>
      <c r="R7" s="342" t="s">
        <v>44</v>
      </c>
      <c r="S7" s="342"/>
      <c r="T7" s="342"/>
    </row>
    <row r="8" spans="1:40">
      <c r="P8" s="260"/>
      <c r="Q8" s="260"/>
      <c r="R8" s="260"/>
    </row>
    <row r="9" spans="1:40" ht="23.65" thickBot="1">
      <c r="B9" s="341" t="s">
        <v>306</v>
      </c>
      <c r="C9" s="341"/>
      <c r="D9" s="341"/>
      <c r="E9" s="341"/>
      <c r="F9" s="341"/>
      <c r="G9" s="341"/>
      <c r="H9" s="341"/>
      <c r="I9" s="341"/>
      <c r="J9" s="341"/>
      <c r="K9" s="341"/>
      <c r="L9" s="341"/>
      <c r="N9" s="331" t="s">
        <v>38</v>
      </c>
      <c r="O9" s="331"/>
      <c r="P9" s="331"/>
      <c r="Q9" s="331"/>
      <c r="R9" s="331"/>
      <c r="S9" s="331"/>
      <c r="T9" s="331"/>
    </row>
    <row r="10" spans="1:40" ht="23.25">
      <c r="B10" s="216"/>
      <c r="C10" s="216"/>
      <c r="D10" s="216"/>
      <c r="E10" s="216"/>
      <c r="F10" s="216"/>
      <c r="G10" s="216"/>
      <c r="H10" s="216"/>
      <c r="I10" s="216"/>
      <c r="J10" s="216"/>
      <c r="K10" s="216"/>
      <c r="L10" s="216"/>
      <c r="N10" s="240"/>
      <c r="O10" s="240"/>
      <c r="P10" s="240"/>
      <c r="Q10" s="240"/>
      <c r="R10" s="240"/>
      <c r="S10" s="240"/>
      <c r="T10" s="240"/>
    </row>
    <row r="11" spans="1:40">
      <c r="B11" s="348" t="s">
        <v>40</v>
      </c>
      <c r="C11" s="348"/>
      <c r="D11" s="348"/>
      <c r="E11" s="348"/>
      <c r="F11" s="348"/>
      <c r="G11" s="348"/>
      <c r="H11" s="348"/>
      <c r="I11" s="348"/>
      <c r="J11" s="348"/>
      <c r="K11" s="348"/>
      <c r="L11" s="348"/>
      <c r="N11" s="260"/>
      <c r="O11" s="260"/>
      <c r="P11" s="260"/>
      <c r="Q11" s="260"/>
    </row>
    <row r="12" spans="1:40">
      <c r="B12" s="237"/>
      <c r="C12" s="349" t="s">
        <v>381</v>
      </c>
      <c r="D12" s="349"/>
      <c r="E12" s="349"/>
      <c r="F12" s="349"/>
      <c r="G12" s="349"/>
      <c r="H12" s="349"/>
      <c r="I12" s="349"/>
      <c r="J12" s="349"/>
      <c r="K12" s="349"/>
      <c r="L12" s="349"/>
      <c r="N12" s="260"/>
      <c r="O12" s="260"/>
      <c r="P12" s="260"/>
      <c r="Q12" s="260"/>
    </row>
    <row r="13" spans="1:40">
      <c r="B13" s="238"/>
      <c r="C13" s="350" t="s">
        <v>314</v>
      </c>
      <c r="D13" s="350"/>
      <c r="E13" s="350"/>
      <c r="F13" s="350"/>
      <c r="G13" s="350"/>
      <c r="H13" s="350"/>
      <c r="I13" s="350"/>
      <c r="J13" s="350"/>
      <c r="K13" s="350"/>
      <c r="L13" s="350"/>
      <c r="N13" s="110"/>
      <c r="O13" s="111"/>
      <c r="P13" s="111"/>
      <c r="Q13" s="111"/>
    </row>
    <row r="14" spans="1:40">
      <c r="B14" s="238"/>
      <c r="C14" s="346" t="s">
        <v>292</v>
      </c>
      <c r="D14" s="346"/>
      <c r="E14" s="346"/>
      <c r="F14" s="346"/>
      <c r="G14" s="346"/>
      <c r="H14" s="346"/>
      <c r="I14" s="346"/>
      <c r="J14" s="346"/>
      <c r="K14" s="346"/>
      <c r="L14" s="346"/>
      <c r="N14" s="110"/>
      <c r="O14" s="111"/>
      <c r="P14" s="111"/>
      <c r="Q14" s="111"/>
    </row>
    <row r="15" spans="1:40">
      <c r="B15" s="238"/>
      <c r="C15" s="346" t="s">
        <v>315</v>
      </c>
      <c r="D15" s="346"/>
      <c r="E15" s="346"/>
      <c r="F15" s="346"/>
      <c r="G15" s="346"/>
      <c r="H15" s="346"/>
      <c r="I15" s="346"/>
      <c r="J15" s="346"/>
      <c r="K15" s="346"/>
      <c r="L15" s="346"/>
      <c r="N15" s="110"/>
      <c r="O15" s="111"/>
      <c r="P15" s="111"/>
      <c r="Q15" s="111"/>
    </row>
    <row r="16" spans="1:40">
      <c r="A16" s="3"/>
      <c r="B16" s="238"/>
      <c r="C16" s="239"/>
      <c r="D16" s="239"/>
      <c r="E16" s="239"/>
      <c r="F16" s="239"/>
      <c r="G16" s="239"/>
      <c r="H16" s="239"/>
      <c r="I16" s="239"/>
      <c r="J16" s="239"/>
      <c r="K16" s="239"/>
      <c r="L16" s="238"/>
      <c r="N16" s="110"/>
      <c r="O16" s="111"/>
      <c r="P16" s="111"/>
      <c r="Q16" s="111"/>
    </row>
    <row r="17" spans="1:26">
      <c r="A17" s="3"/>
      <c r="B17" s="348" t="s">
        <v>41</v>
      </c>
      <c r="C17" s="348"/>
      <c r="D17" s="348"/>
      <c r="E17" s="348"/>
      <c r="F17" s="348"/>
      <c r="G17" s="348"/>
      <c r="H17" s="348"/>
      <c r="I17" s="348"/>
      <c r="J17" s="348"/>
      <c r="K17" s="348"/>
      <c r="L17" s="348"/>
      <c r="N17" s="110"/>
      <c r="O17" s="111"/>
      <c r="P17" s="111"/>
      <c r="Q17" s="111"/>
    </row>
    <row r="18" spans="1:26">
      <c r="A18" s="3"/>
      <c r="B18" s="237"/>
      <c r="C18" s="346" t="s">
        <v>295</v>
      </c>
      <c r="D18" s="346"/>
      <c r="E18" s="346"/>
      <c r="F18" s="346"/>
      <c r="G18" s="346"/>
      <c r="H18" s="346"/>
      <c r="I18" s="346"/>
      <c r="J18" s="346"/>
      <c r="K18" s="346"/>
      <c r="L18" s="346"/>
      <c r="N18" s="110"/>
      <c r="O18" s="111"/>
      <c r="P18" s="111"/>
      <c r="Q18" s="111"/>
    </row>
    <row r="19" spans="1:26">
      <c r="A19" s="3"/>
      <c r="B19" s="238"/>
      <c r="C19" s="346" t="s">
        <v>317</v>
      </c>
      <c r="D19" s="346"/>
      <c r="E19" s="346"/>
      <c r="F19" s="346"/>
      <c r="G19" s="346"/>
      <c r="H19" s="346"/>
      <c r="I19" s="346"/>
      <c r="J19" s="346"/>
      <c r="K19" s="346"/>
      <c r="L19" s="346"/>
      <c r="N19" s="110"/>
      <c r="O19" s="111"/>
      <c r="P19" s="111"/>
      <c r="Q19" s="111"/>
    </row>
    <row r="20" spans="1:26">
      <c r="A20" s="3"/>
      <c r="B20" s="238"/>
      <c r="C20" s="346" t="s">
        <v>369</v>
      </c>
      <c r="D20" s="346"/>
      <c r="E20" s="346"/>
      <c r="F20" s="346"/>
      <c r="G20" s="346"/>
      <c r="H20" s="346"/>
      <c r="I20" s="346"/>
      <c r="J20" s="346"/>
      <c r="K20" s="346"/>
      <c r="L20" s="346"/>
      <c r="N20" s="110"/>
      <c r="O20" s="111"/>
      <c r="P20" s="111"/>
      <c r="Q20" s="111"/>
    </row>
    <row r="21" spans="1:26">
      <c r="A21" s="3"/>
      <c r="B21" s="238"/>
      <c r="C21" s="220" t="str">
        <f>"--&gt;"</f>
        <v>--&gt;</v>
      </c>
      <c r="D21" s="347" t="s">
        <v>212</v>
      </c>
      <c r="E21" s="347"/>
      <c r="F21" s="347"/>
      <c r="G21" s="347"/>
      <c r="H21" s="347"/>
      <c r="I21" s="347"/>
      <c r="J21" s="347"/>
      <c r="K21" s="347"/>
      <c r="L21" s="347"/>
      <c r="N21" s="110"/>
      <c r="O21" s="111"/>
      <c r="P21" s="111"/>
      <c r="Q21" s="111"/>
    </row>
    <row r="22" spans="1:26">
      <c r="A22" s="3"/>
      <c r="B22" s="238"/>
      <c r="C22" s="238"/>
      <c r="D22" s="347"/>
      <c r="E22" s="347"/>
      <c r="F22" s="347"/>
      <c r="G22" s="347"/>
      <c r="H22" s="347"/>
      <c r="I22" s="347"/>
      <c r="J22" s="347"/>
      <c r="K22" s="347"/>
      <c r="L22" s="347"/>
      <c r="N22" s="110"/>
      <c r="O22" s="111"/>
      <c r="P22" s="111"/>
      <c r="Q22" s="111"/>
    </row>
    <row r="23" spans="1:26">
      <c r="A23" s="3"/>
      <c r="B23" s="238"/>
      <c r="C23" s="346" t="s">
        <v>356</v>
      </c>
      <c r="D23" s="346"/>
      <c r="E23" s="346"/>
      <c r="F23" s="346"/>
      <c r="G23" s="346"/>
      <c r="H23" s="346"/>
      <c r="I23" s="346"/>
      <c r="J23" s="346"/>
      <c r="K23" s="346"/>
      <c r="L23" s="346"/>
    </row>
    <row r="24" spans="1:26">
      <c r="A24" s="3"/>
      <c r="B24" s="238"/>
      <c r="C24" s="346"/>
      <c r="D24" s="346"/>
      <c r="E24" s="346"/>
      <c r="F24" s="346"/>
      <c r="G24" s="346"/>
      <c r="H24" s="346"/>
      <c r="I24" s="346"/>
      <c r="J24" s="346"/>
      <c r="K24" s="346"/>
      <c r="L24" s="346"/>
      <c r="Q24" s="2"/>
      <c r="S24" s="260"/>
      <c r="T24" s="260"/>
    </row>
    <row r="25" spans="1:26">
      <c r="A25" s="3"/>
      <c r="B25" s="238"/>
      <c r="C25" s="346"/>
      <c r="D25" s="346"/>
      <c r="E25" s="346"/>
      <c r="F25" s="346"/>
      <c r="G25" s="346"/>
      <c r="H25" s="346"/>
      <c r="I25" s="346"/>
      <c r="J25" s="346"/>
      <c r="K25" s="346"/>
      <c r="L25" s="346"/>
      <c r="Q25" s="2"/>
      <c r="S25" s="260"/>
      <c r="T25" s="260"/>
    </row>
    <row r="26" spans="1:26" ht="14.45" customHeight="1">
      <c r="A26" s="3"/>
      <c r="B26" s="238"/>
      <c r="C26" s="344" t="s">
        <v>322</v>
      </c>
      <c r="D26" s="344"/>
      <c r="E26" s="344"/>
      <c r="F26" s="344"/>
      <c r="G26" s="344"/>
      <c r="H26" s="344"/>
      <c r="I26" s="344"/>
      <c r="J26" s="344"/>
      <c r="K26" s="344"/>
      <c r="L26" s="344"/>
      <c r="Q26" s="2"/>
      <c r="S26" s="260"/>
      <c r="T26" s="260"/>
    </row>
    <row r="27" spans="1:26">
      <c r="B27" s="239"/>
      <c r="C27" s="344"/>
      <c r="D27" s="344"/>
      <c r="E27" s="344"/>
      <c r="F27" s="344"/>
      <c r="G27" s="344"/>
      <c r="H27" s="344"/>
      <c r="I27" s="344"/>
      <c r="J27" s="344"/>
      <c r="K27" s="344"/>
      <c r="L27" s="344"/>
      <c r="Q27" s="2"/>
      <c r="S27" s="260"/>
      <c r="T27" s="260"/>
    </row>
    <row r="28" spans="1:26">
      <c r="B28" s="239"/>
      <c r="C28" s="344"/>
      <c r="D28" s="344"/>
      <c r="E28" s="344"/>
      <c r="F28" s="344"/>
      <c r="G28" s="344"/>
      <c r="H28" s="344"/>
      <c r="I28" s="344"/>
      <c r="J28" s="344"/>
      <c r="K28" s="344"/>
      <c r="L28" s="344"/>
      <c r="Q28" s="2"/>
      <c r="S28" s="260"/>
      <c r="T28" s="260"/>
    </row>
    <row r="29" spans="1:26">
      <c r="B29" s="221"/>
      <c r="C29" s="345"/>
      <c r="D29" s="345"/>
      <c r="E29" s="345"/>
      <c r="F29" s="345"/>
      <c r="G29" s="345"/>
      <c r="H29" s="345"/>
      <c r="I29" s="345"/>
      <c r="J29" s="345"/>
      <c r="K29" s="345"/>
      <c r="L29" s="345"/>
      <c r="S29" s="260"/>
      <c r="T29" s="260"/>
    </row>
    <row r="30" spans="1:26">
      <c r="B30" s="222"/>
      <c r="C30" s="345"/>
      <c r="D30" s="345"/>
      <c r="E30" s="345"/>
      <c r="F30" s="345"/>
      <c r="G30" s="345"/>
      <c r="H30" s="345"/>
      <c r="I30" s="345"/>
      <c r="J30" s="345"/>
      <c r="K30" s="345"/>
      <c r="L30" s="345"/>
      <c r="M30" s="9"/>
      <c r="N30" s="240"/>
      <c r="O30" s="34"/>
      <c r="P30" s="35"/>
      <c r="Q30" s="35"/>
      <c r="R30" s="35"/>
      <c r="S30" s="35"/>
      <c r="T30" s="240"/>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260"/>
      <c r="Y32" s="318" t="s">
        <v>46</v>
      </c>
      <c r="Z32" s="318"/>
    </row>
    <row r="33" spans="1:27">
      <c r="A33" s="3"/>
      <c r="B33" s="236"/>
      <c r="C33" s="236"/>
      <c r="D33" s="236"/>
      <c r="E33" s="236"/>
      <c r="F33" s="236"/>
      <c r="G33" s="236"/>
      <c r="H33" s="236"/>
      <c r="I33" s="236"/>
      <c r="J33" s="236"/>
      <c r="K33" s="236"/>
      <c r="L33" s="236"/>
      <c r="M33" s="236"/>
      <c r="N33" s="236"/>
      <c r="O33" s="236"/>
      <c r="P33" s="236"/>
      <c r="Q33" s="236"/>
      <c r="R33" s="236"/>
      <c r="S33" s="236"/>
      <c r="T33" s="236"/>
      <c r="V33" s="319" t="s">
        <v>65</v>
      </c>
      <c r="W33" s="320"/>
      <c r="X33" s="260"/>
      <c r="Y33" s="319" t="s">
        <v>66</v>
      </c>
      <c r="Z33" s="320"/>
    </row>
    <row r="34" spans="1:27">
      <c r="B34" s="236"/>
      <c r="C34" s="236"/>
      <c r="D34" s="236"/>
      <c r="E34" s="236"/>
      <c r="F34" s="236"/>
      <c r="G34" s="236"/>
      <c r="H34" s="236"/>
      <c r="I34" s="236"/>
      <c r="J34" s="236"/>
      <c r="K34" s="236"/>
      <c r="L34" s="236"/>
      <c r="M34" s="236"/>
      <c r="N34" s="236"/>
      <c r="O34" s="236"/>
      <c r="P34" s="236"/>
      <c r="Q34" s="236"/>
      <c r="R34" s="236"/>
      <c r="S34" s="236"/>
      <c r="T34" s="236"/>
      <c r="V34" s="56" t="s">
        <v>61</v>
      </c>
      <c r="W34" s="56" t="s">
        <v>62</v>
      </c>
      <c r="X34" s="260"/>
      <c r="Y34" s="56" t="s">
        <v>61</v>
      </c>
      <c r="Z34" s="56" t="s">
        <v>62</v>
      </c>
    </row>
    <row r="35" spans="1:27">
      <c r="B35" s="236"/>
      <c r="C35" s="236"/>
      <c r="D35" s="236"/>
      <c r="E35" s="236"/>
      <c r="F35" s="236"/>
      <c r="G35" s="236"/>
      <c r="H35" s="236"/>
      <c r="I35" s="236"/>
      <c r="J35" s="236"/>
      <c r="K35" s="236"/>
      <c r="L35" s="236"/>
      <c r="M35" s="236"/>
      <c r="N35" s="236"/>
      <c r="O35" s="236"/>
      <c r="P35" s="236"/>
      <c r="Q35" s="236"/>
      <c r="R35" s="236"/>
      <c r="S35" s="236"/>
      <c r="T35" s="236"/>
      <c r="V35" s="244" t="s">
        <v>392</v>
      </c>
      <c r="W35" s="244" t="s">
        <v>448</v>
      </c>
      <c r="X35" s="260"/>
      <c r="Y35" s="244" t="s">
        <v>392</v>
      </c>
      <c r="Z35" s="244" t="s">
        <v>448</v>
      </c>
    </row>
    <row r="36" spans="1:27">
      <c r="B36" s="236"/>
      <c r="C36" s="236"/>
      <c r="D36" s="236"/>
      <c r="E36" s="236"/>
      <c r="F36" s="236"/>
      <c r="G36" s="236"/>
      <c r="H36" s="236"/>
      <c r="I36" s="236"/>
      <c r="J36" s="236"/>
      <c r="K36" s="236"/>
      <c r="L36" s="236"/>
      <c r="M36" s="236"/>
      <c r="N36" s="236"/>
      <c r="O36" s="236"/>
      <c r="P36" s="236"/>
      <c r="Q36" s="236"/>
      <c r="R36" s="236"/>
      <c r="S36" s="236"/>
      <c r="T36" s="236"/>
      <c r="V36" s="244" t="s">
        <v>393</v>
      </c>
      <c r="W36" s="244" t="s">
        <v>449</v>
      </c>
      <c r="X36" s="260"/>
      <c r="Y36" s="244" t="s">
        <v>393</v>
      </c>
      <c r="Z36" s="244" t="s">
        <v>449</v>
      </c>
    </row>
    <row r="37" spans="1:27">
      <c r="B37" s="236"/>
      <c r="C37" s="236"/>
      <c r="D37" s="236"/>
      <c r="E37" s="236"/>
      <c r="F37" s="236"/>
      <c r="G37" s="236"/>
      <c r="H37" s="236"/>
      <c r="I37" s="236"/>
      <c r="J37" s="236"/>
      <c r="K37" s="236"/>
      <c r="L37" s="236"/>
      <c r="M37" s="236"/>
      <c r="N37" s="236"/>
      <c r="O37" s="236"/>
      <c r="P37" s="236"/>
      <c r="Q37" s="236"/>
      <c r="R37" s="236"/>
      <c r="S37" s="236"/>
      <c r="T37" s="236"/>
      <c r="V37" s="244" t="s">
        <v>394</v>
      </c>
      <c r="W37" s="244" t="s">
        <v>450</v>
      </c>
      <c r="X37" s="260"/>
      <c r="Y37" s="244" t="s">
        <v>394</v>
      </c>
      <c r="Z37" s="244" t="s">
        <v>450</v>
      </c>
    </row>
    <row r="38" spans="1:27">
      <c r="B38" s="236"/>
      <c r="C38" s="236"/>
      <c r="D38" s="236"/>
      <c r="E38" s="236"/>
      <c r="F38" s="236"/>
      <c r="G38" s="236"/>
      <c r="H38" s="236"/>
      <c r="I38" s="236"/>
      <c r="J38" s="236"/>
      <c r="K38" s="236"/>
      <c r="L38" s="236"/>
      <c r="M38" s="236"/>
      <c r="N38" s="236"/>
      <c r="O38" s="236"/>
      <c r="P38" s="236"/>
      <c r="Q38" s="236"/>
      <c r="R38" s="236"/>
      <c r="S38" s="236"/>
      <c r="T38" s="236"/>
      <c r="V38" s="244" t="s">
        <v>434</v>
      </c>
      <c r="W38" s="244" t="s">
        <v>451</v>
      </c>
      <c r="X38" s="260"/>
      <c r="Y38" s="244" t="s">
        <v>434</v>
      </c>
      <c r="Z38" s="244" t="s">
        <v>451</v>
      </c>
    </row>
    <row r="39" spans="1:27">
      <c r="B39" s="236"/>
      <c r="C39" s="236"/>
      <c r="D39" s="236"/>
      <c r="E39" s="236"/>
      <c r="F39" s="236"/>
      <c r="G39" s="236"/>
      <c r="H39" s="236"/>
      <c r="I39" s="236"/>
      <c r="J39" s="236"/>
      <c r="K39" s="236"/>
      <c r="L39" s="236"/>
      <c r="M39" s="236"/>
      <c r="N39" s="236"/>
      <c r="O39" s="236"/>
      <c r="P39" s="236"/>
      <c r="Q39" s="236"/>
      <c r="R39" s="236"/>
      <c r="S39" s="236"/>
      <c r="T39" s="236"/>
      <c r="V39" s="244" t="s">
        <v>435</v>
      </c>
      <c r="W39" s="244" t="s">
        <v>452</v>
      </c>
      <c r="Y39" s="244" t="s">
        <v>435</v>
      </c>
      <c r="Z39" s="244" t="s">
        <v>452</v>
      </c>
    </row>
    <row r="40" spans="1:27">
      <c r="B40" s="236"/>
      <c r="C40" s="236"/>
      <c r="D40" s="236"/>
      <c r="E40" s="236"/>
      <c r="F40" s="236"/>
      <c r="G40" s="236"/>
      <c r="H40" s="236"/>
      <c r="I40" s="236"/>
      <c r="J40" s="236"/>
      <c r="K40" s="236"/>
      <c r="L40" s="236"/>
      <c r="M40" s="236"/>
      <c r="N40" s="236"/>
      <c r="O40" s="236"/>
      <c r="P40" s="236"/>
      <c r="Q40" s="236"/>
      <c r="R40" s="236"/>
      <c r="S40" s="236"/>
      <c r="T40" s="236"/>
      <c r="V40" s="244" t="s">
        <v>436</v>
      </c>
      <c r="W40" s="244" t="s">
        <v>453</v>
      </c>
      <c r="Y40" s="244" t="s">
        <v>436</v>
      </c>
      <c r="Z40" s="244" t="s">
        <v>453</v>
      </c>
    </row>
    <row r="41" spans="1:27">
      <c r="B41" s="236"/>
      <c r="C41" s="236"/>
      <c r="D41" s="236"/>
      <c r="E41" s="236"/>
      <c r="F41" s="236"/>
      <c r="G41" s="236"/>
      <c r="H41" s="236"/>
      <c r="I41" s="236"/>
      <c r="J41" s="236"/>
      <c r="K41" s="236"/>
      <c r="L41" s="236"/>
      <c r="M41" s="236"/>
      <c r="N41" s="236"/>
      <c r="O41" s="236"/>
      <c r="P41" s="236"/>
      <c r="Q41" s="236"/>
      <c r="R41" s="236"/>
      <c r="S41" s="236"/>
      <c r="T41" s="236"/>
      <c r="V41" s="244" t="s">
        <v>437</v>
      </c>
      <c r="W41" s="245" t="s">
        <v>454</v>
      </c>
      <c r="Y41" s="244" t="s">
        <v>437</v>
      </c>
      <c r="Z41" s="245" t="s">
        <v>454</v>
      </c>
    </row>
    <row r="42" spans="1:27">
      <c r="B42" s="236"/>
      <c r="C42" s="236"/>
      <c r="D42" s="236"/>
      <c r="E42" s="236"/>
      <c r="F42" s="236"/>
      <c r="G42" s="236"/>
      <c r="H42" s="236"/>
      <c r="I42" s="236"/>
      <c r="J42" s="236"/>
      <c r="K42" s="236"/>
      <c r="L42" s="236"/>
      <c r="M42" s="236"/>
      <c r="N42" s="236"/>
      <c r="O42" s="236"/>
      <c r="P42" s="236"/>
      <c r="Q42" s="236"/>
      <c r="R42" s="236"/>
      <c r="S42" s="236"/>
      <c r="T42" s="236"/>
      <c r="V42" s="244" t="s">
        <v>438</v>
      </c>
      <c r="W42" s="244" t="s">
        <v>455</v>
      </c>
      <c r="Y42" s="244" t="s">
        <v>438</v>
      </c>
      <c r="Z42" s="244" t="s">
        <v>455</v>
      </c>
    </row>
    <row r="43" spans="1:27">
      <c r="B43" s="236"/>
      <c r="C43" s="236"/>
      <c r="D43" s="236"/>
      <c r="E43" s="236"/>
      <c r="F43" s="236"/>
      <c r="G43" s="236"/>
      <c r="H43" s="236"/>
      <c r="I43" s="236"/>
      <c r="J43" s="236"/>
      <c r="K43" s="236"/>
      <c r="L43" s="236"/>
      <c r="M43" s="236"/>
      <c r="N43" s="236"/>
      <c r="O43" s="236"/>
      <c r="P43" s="236"/>
      <c r="Q43" s="236"/>
      <c r="R43" s="236"/>
      <c r="S43" s="236"/>
      <c r="T43" s="236"/>
      <c r="V43" s="245" t="s">
        <v>439</v>
      </c>
      <c r="W43" s="244" t="s">
        <v>456</v>
      </c>
      <c r="Y43" s="244" t="s">
        <v>439</v>
      </c>
      <c r="Z43" s="244" t="s">
        <v>456</v>
      </c>
      <c r="AA43" s="9"/>
    </row>
    <row r="44" spans="1:27">
      <c r="B44" s="236"/>
      <c r="C44" s="236"/>
      <c r="D44" s="236"/>
      <c r="E44" s="236"/>
      <c r="F44" s="236"/>
      <c r="G44" s="236"/>
      <c r="H44" s="236"/>
      <c r="I44" s="236"/>
      <c r="J44" s="236"/>
      <c r="K44" s="236"/>
      <c r="L44" s="236"/>
      <c r="M44" s="236"/>
      <c r="N44" s="236"/>
      <c r="O44" s="236"/>
      <c r="P44" s="236"/>
      <c r="Q44" s="236"/>
      <c r="R44" s="236"/>
      <c r="S44" s="236"/>
      <c r="T44" s="236"/>
      <c r="V44" s="244" t="s">
        <v>440</v>
      </c>
      <c r="W44" s="244" t="s">
        <v>457</v>
      </c>
      <c r="Y44" s="244" t="s">
        <v>440</v>
      </c>
      <c r="Z44" s="244" t="s">
        <v>457</v>
      </c>
      <c r="AA44" s="9"/>
    </row>
    <row r="45" spans="1:27">
      <c r="B45" s="236"/>
      <c r="C45" s="236"/>
      <c r="D45" s="236"/>
      <c r="E45" s="236"/>
      <c r="F45" s="236"/>
      <c r="G45" s="236"/>
      <c r="H45" s="236"/>
      <c r="I45" s="236"/>
      <c r="J45" s="236"/>
      <c r="K45" s="236"/>
      <c r="L45" s="236"/>
      <c r="M45" s="236"/>
      <c r="N45" s="236"/>
      <c r="O45" s="236"/>
      <c r="P45" s="236"/>
      <c r="Q45" s="236"/>
      <c r="R45" s="236"/>
      <c r="S45" s="236"/>
      <c r="T45" s="236"/>
      <c r="V45" s="244" t="s">
        <v>441</v>
      </c>
      <c r="W45" s="244" t="s">
        <v>458</v>
      </c>
      <c r="Y45" s="244" t="s">
        <v>441</v>
      </c>
      <c r="Z45" s="244" t="s">
        <v>458</v>
      </c>
      <c r="AA45" s="9"/>
    </row>
    <row r="46" spans="1:27">
      <c r="B46" s="236"/>
      <c r="C46" s="236"/>
      <c r="D46" s="236"/>
      <c r="E46" s="236"/>
      <c r="F46" s="236"/>
      <c r="G46" s="236"/>
      <c r="H46" s="236"/>
      <c r="I46" s="236"/>
      <c r="J46" s="236"/>
      <c r="K46" s="236"/>
      <c r="L46" s="236"/>
      <c r="M46" s="236"/>
      <c r="N46" s="236"/>
      <c r="O46" s="236"/>
      <c r="P46" s="236"/>
      <c r="Q46" s="236"/>
      <c r="R46" s="236"/>
      <c r="S46" s="236"/>
      <c r="T46" s="236"/>
      <c r="V46" s="244" t="s">
        <v>442</v>
      </c>
      <c r="W46" s="244" t="s">
        <v>459</v>
      </c>
      <c r="Y46" s="244" t="s">
        <v>442</v>
      </c>
      <c r="Z46" s="244" t="s">
        <v>459</v>
      </c>
      <c r="AA46" s="9"/>
    </row>
    <row r="47" spans="1:27">
      <c r="B47" s="236"/>
      <c r="C47" s="236"/>
      <c r="D47" s="236"/>
      <c r="E47" s="236"/>
      <c r="F47" s="236"/>
      <c r="G47" s="236"/>
      <c r="H47" s="236"/>
      <c r="I47" s="236"/>
      <c r="J47" s="236"/>
      <c r="K47" s="236"/>
      <c r="L47" s="236"/>
      <c r="M47" s="236"/>
      <c r="N47" s="236"/>
      <c r="O47" s="236"/>
      <c r="P47" s="236"/>
      <c r="Q47" s="236"/>
      <c r="R47" s="236"/>
      <c r="S47" s="236"/>
      <c r="T47" s="236"/>
      <c r="V47" s="244" t="s">
        <v>443</v>
      </c>
      <c r="W47" s="244" t="s">
        <v>460</v>
      </c>
      <c r="Y47" s="244" t="s">
        <v>443</v>
      </c>
      <c r="Z47" s="244" t="s">
        <v>460</v>
      </c>
      <c r="AA47" s="9"/>
    </row>
    <row r="48" spans="1:27">
      <c r="B48" s="236"/>
      <c r="C48" s="236"/>
      <c r="D48" s="236"/>
      <c r="E48" s="236"/>
      <c r="F48" s="236"/>
      <c r="G48" s="236"/>
      <c r="H48" s="236"/>
      <c r="I48" s="236"/>
      <c r="J48" s="236"/>
      <c r="K48" s="236"/>
      <c r="L48" s="236"/>
      <c r="M48" s="236"/>
      <c r="N48" s="236"/>
      <c r="O48" s="236"/>
      <c r="P48" s="236"/>
      <c r="Q48" s="236"/>
      <c r="R48" s="236"/>
      <c r="S48" s="236"/>
      <c r="T48" s="236"/>
      <c r="V48" s="244" t="s">
        <v>444</v>
      </c>
      <c r="W48" s="245" t="s">
        <v>461</v>
      </c>
      <c r="Y48" s="244" t="s">
        <v>444</v>
      </c>
      <c r="Z48" s="245" t="s">
        <v>461</v>
      </c>
      <c r="AA48" s="9"/>
    </row>
    <row r="49" spans="2:27">
      <c r="B49" s="236"/>
      <c r="C49" s="236"/>
      <c r="D49" s="236"/>
      <c r="E49" s="236"/>
      <c r="F49" s="236"/>
      <c r="G49" s="236"/>
      <c r="H49" s="236"/>
      <c r="I49" s="236"/>
      <c r="J49" s="236"/>
      <c r="K49" s="236"/>
      <c r="L49" s="236"/>
      <c r="M49" s="236"/>
      <c r="N49" s="236"/>
      <c r="O49" s="236"/>
      <c r="P49" s="236"/>
      <c r="Q49" s="236"/>
      <c r="R49" s="236"/>
      <c r="S49" s="236"/>
      <c r="T49" s="236"/>
      <c r="V49" s="244" t="s">
        <v>445</v>
      </c>
      <c r="W49" s="244" t="s">
        <v>462</v>
      </c>
      <c r="X49" s="9"/>
      <c r="Y49" s="244" t="s">
        <v>445</v>
      </c>
      <c r="Z49" s="244" t="s">
        <v>462</v>
      </c>
      <c r="AA49" s="9"/>
    </row>
    <row r="50" spans="2:27">
      <c r="B50" s="236"/>
      <c r="C50" s="236"/>
      <c r="D50" s="236"/>
      <c r="E50" s="236"/>
      <c r="F50" s="236"/>
      <c r="G50" s="236"/>
      <c r="H50" s="236"/>
      <c r="I50" s="236"/>
      <c r="J50" s="236"/>
      <c r="K50" s="236"/>
      <c r="L50" s="236"/>
      <c r="M50" s="236"/>
      <c r="N50" s="236"/>
      <c r="O50" s="236"/>
      <c r="P50" s="236"/>
      <c r="Q50" s="236"/>
      <c r="R50" s="236"/>
      <c r="S50" s="236"/>
      <c r="T50" s="236"/>
      <c r="V50" s="246" t="s">
        <v>446</v>
      </c>
      <c r="W50" s="244" t="s">
        <v>463</v>
      </c>
      <c r="X50" s="9"/>
      <c r="Y50" s="246" t="s">
        <v>446</v>
      </c>
      <c r="Z50" s="244" t="s">
        <v>463</v>
      </c>
      <c r="AA50" s="9"/>
    </row>
    <row r="51" spans="2:27">
      <c r="B51" s="236"/>
      <c r="C51" s="236"/>
      <c r="D51" s="236"/>
      <c r="E51" s="236"/>
      <c r="F51" s="236"/>
      <c r="G51" s="236"/>
      <c r="H51" s="236"/>
      <c r="I51" s="236"/>
      <c r="J51" s="236"/>
      <c r="K51" s="236"/>
      <c r="L51" s="236"/>
      <c r="M51" s="236"/>
      <c r="N51" s="236"/>
      <c r="O51" s="236"/>
      <c r="P51" s="236"/>
      <c r="Q51" s="236"/>
      <c r="R51" s="236"/>
      <c r="S51" s="236"/>
      <c r="T51" s="236"/>
      <c r="V51" s="247" t="s">
        <v>447</v>
      </c>
      <c r="W51" s="244" t="s">
        <v>464</v>
      </c>
      <c r="X51" s="9"/>
      <c r="Y51" s="247" t="s">
        <v>447</v>
      </c>
      <c r="Z51" s="244" t="s">
        <v>464</v>
      </c>
      <c r="AA51" s="9"/>
    </row>
    <row r="52" spans="2:27">
      <c r="B52" s="236"/>
      <c r="C52" s="236"/>
      <c r="D52" s="236"/>
      <c r="E52" s="236"/>
      <c r="F52" s="236"/>
      <c r="G52" s="236"/>
      <c r="H52" s="236"/>
      <c r="I52" s="236"/>
      <c r="J52" s="236"/>
      <c r="K52" s="236"/>
      <c r="L52" s="236"/>
      <c r="M52" s="236"/>
      <c r="N52" s="236"/>
      <c r="O52" s="236"/>
      <c r="P52" s="236"/>
      <c r="Q52" s="236"/>
      <c r="R52" s="236"/>
      <c r="S52" s="236"/>
      <c r="T52" s="236"/>
      <c r="V52" s="295"/>
      <c r="W52" s="244" t="s">
        <v>465</v>
      </c>
      <c r="X52" s="9"/>
      <c r="Y52" s="284"/>
      <c r="Z52" s="244" t="s">
        <v>465</v>
      </c>
      <c r="AA52" s="9"/>
    </row>
    <row r="53" spans="2:27">
      <c r="B53" s="236"/>
      <c r="C53" s="236"/>
      <c r="D53" s="236"/>
      <c r="E53" s="236"/>
      <c r="F53" s="236"/>
      <c r="G53" s="236"/>
      <c r="H53" s="236"/>
      <c r="I53" s="236"/>
      <c r="J53" s="236"/>
      <c r="K53" s="236"/>
      <c r="L53" s="236"/>
      <c r="M53" s="236"/>
      <c r="N53" s="236"/>
      <c r="O53" s="236"/>
      <c r="P53" s="236"/>
      <c r="Q53" s="236"/>
      <c r="R53" s="236"/>
      <c r="S53" s="236"/>
      <c r="T53" s="236"/>
      <c r="V53" s="204"/>
      <c r="W53" s="248" t="s">
        <v>466</v>
      </c>
      <c r="X53" s="9"/>
      <c r="Y53" s="257"/>
      <c r="Z53" s="258" t="s">
        <v>466</v>
      </c>
      <c r="AA53" s="9"/>
    </row>
    <row r="54" spans="2:27">
      <c r="B54" s="236"/>
      <c r="C54" s="236"/>
      <c r="D54" s="236"/>
      <c r="E54" s="236"/>
      <c r="F54" s="236"/>
      <c r="G54" s="236"/>
      <c r="H54" s="236"/>
      <c r="I54" s="236"/>
      <c r="J54" s="236"/>
      <c r="K54" s="236"/>
      <c r="L54" s="236"/>
      <c r="M54" s="236"/>
      <c r="N54" s="236"/>
      <c r="O54" s="236"/>
      <c r="P54" s="236"/>
      <c r="Q54" s="236"/>
      <c r="R54" s="236"/>
      <c r="S54" s="236"/>
      <c r="T54" s="236"/>
      <c r="V54" s="256"/>
      <c r="W54" s="254"/>
      <c r="X54" s="9"/>
      <c r="Y54" s="256"/>
      <c r="Z54" s="254"/>
      <c r="AA54" s="9"/>
    </row>
    <row r="55" spans="2:27">
      <c r="B55" s="236"/>
      <c r="C55" s="236"/>
      <c r="D55" s="236"/>
      <c r="E55" s="236"/>
      <c r="F55" s="236"/>
      <c r="G55" s="236"/>
      <c r="H55" s="236"/>
      <c r="I55" s="236"/>
      <c r="J55" s="236"/>
      <c r="K55" s="236"/>
      <c r="L55" s="236"/>
      <c r="M55" s="236"/>
      <c r="N55" s="236"/>
      <c r="O55" s="236"/>
      <c r="P55" s="236"/>
      <c r="Q55" s="236"/>
      <c r="R55" s="236"/>
      <c r="S55" s="236"/>
      <c r="T55" s="236"/>
      <c r="V55" s="242"/>
      <c r="W55" s="254"/>
      <c r="X55" s="9"/>
      <c r="Y55" s="242"/>
      <c r="Z55" s="254"/>
      <c r="AA55" s="9"/>
    </row>
    <row r="56" spans="2:27">
      <c r="V56" s="9"/>
      <c r="W56" s="9"/>
      <c r="X56" s="9"/>
      <c r="Y56" s="9"/>
      <c r="Z56" s="9"/>
      <c r="AA56" s="9"/>
    </row>
  </sheetData>
  <mergeCells count="27">
    <mergeCell ref="V3:AN3"/>
    <mergeCell ref="V4:AN4"/>
    <mergeCell ref="V5:AN5"/>
    <mergeCell ref="C29:L30"/>
    <mergeCell ref="B32:T32"/>
    <mergeCell ref="V32:W32"/>
    <mergeCell ref="Y32:Z32"/>
    <mergeCell ref="B11:L11"/>
    <mergeCell ref="C12:L12"/>
    <mergeCell ref="C13:L13"/>
    <mergeCell ref="C14:L14"/>
    <mergeCell ref="C15:L15"/>
    <mergeCell ref="B17:L17"/>
    <mergeCell ref="B3:T3"/>
    <mergeCell ref="B4:T4"/>
    <mergeCell ref="B5:T5"/>
    <mergeCell ref="R7:T7"/>
    <mergeCell ref="B9:L9"/>
    <mergeCell ref="N9:T9"/>
    <mergeCell ref="V33:W33"/>
    <mergeCell ref="Y33:Z33"/>
    <mergeCell ref="C18:L18"/>
    <mergeCell ref="C19:L19"/>
    <mergeCell ref="C20:L20"/>
    <mergeCell ref="D21:L22"/>
    <mergeCell ref="C23:L25"/>
    <mergeCell ref="C26:L28"/>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B49073"/>
  </sheetPr>
  <dimension ref="A1:P96"/>
  <sheetViews>
    <sheetView showGridLines="0" showRowColHeaders="0" zoomScale="70" zoomScaleNormal="70" workbookViewId="0"/>
  </sheetViews>
  <sheetFormatPr defaultRowHeight="14.25"/>
  <cols>
    <col min="1" max="1" width="15.796875" style="262" customWidth="1"/>
    <col min="2" max="8" width="26.796875" style="262" customWidth="1"/>
    <col min="9" max="15" width="12.796875" style="262" customWidth="1"/>
    <col min="16" max="16384" width="9.06640625" style="262"/>
  </cols>
  <sheetData>
    <row r="1" spans="1:14" ht="15.75">
      <c r="A1" s="16" t="s">
        <v>311</v>
      </c>
      <c r="B1" s="121"/>
      <c r="C1" s="121"/>
      <c r="D1" s="121"/>
      <c r="E1" s="272"/>
      <c r="F1" s="272"/>
      <c r="G1" s="272"/>
    </row>
    <row r="2" spans="1:14" ht="15.75">
      <c r="A2" s="26" t="s">
        <v>34</v>
      </c>
      <c r="B2"/>
      <c r="C2" s="27">
        <v>42985</v>
      </c>
      <c r="D2"/>
      <c r="E2" s="378"/>
      <c r="F2" s="378"/>
      <c r="G2" s="378"/>
      <c r="H2" s="378"/>
    </row>
    <row r="3" spans="1:14" ht="23.25">
      <c r="A3" s="379"/>
      <c r="B3" s="379"/>
      <c r="C3" s="379"/>
      <c r="D3" s="379"/>
      <c r="E3" s="379"/>
      <c r="F3" s="379"/>
      <c r="G3" s="379"/>
      <c r="H3" s="379"/>
      <c r="J3" s="379"/>
      <c r="K3" s="379"/>
      <c r="M3" s="382"/>
      <c r="N3" s="382"/>
    </row>
    <row r="4" spans="1:14">
      <c r="J4" s="383"/>
      <c r="K4" s="383"/>
      <c r="M4" s="383"/>
      <c r="N4" s="383"/>
    </row>
    <row r="5" spans="1:14">
      <c r="B5" s="380"/>
      <c r="C5" s="380"/>
      <c r="D5" s="380"/>
      <c r="E5" s="380"/>
      <c r="F5" s="380"/>
      <c r="G5" s="380"/>
      <c r="H5" s="380"/>
      <c r="J5" s="275"/>
      <c r="K5" s="275"/>
      <c r="M5" s="275"/>
      <c r="N5" s="275"/>
    </row>
    <row r="6" spans="1:14">
      <c r="B6" s="380"/>
      <c r="C6" s="380"/>
      <c r="D6" s="380"/>
      <c r="E6" s="380"/>
      <c r="F6" s="380"/>
      <c r="G6" s="380"/>
      <c r="H6" s="380"/>
      <c r="J6" s="276"/>
      <c r="K6" s="276"/>
      <c r="M6" s="276"/>
      <c r="N6" s="276"/>
    </row>
    <row r="7" spans="1:14">
      <c r="B7" s="380"/>
      <c r="C7" s="380"/>
      <c r="D7" s="380"/>
      <c r="E7" s="380"/>
      <c r="F7" s="380"/>
      <c r="G7" s="380"/>
      <c r="H7" s="380"/>
      <c r="J7" s="276"/>
      <c r="K7" s="276"/>
      <c r="M7" s="276"/>
      <c r="N7" s="276"/>
    </row>
    <row r="8" spans="1:14">
      <c r="B8" s="380"/>
      <c r="C8" s="380"/>
      <c r="D8" s="380"/>
      <c r="E8" s="380"/>
      <c r="F8" s="380"/>
      <c r="G8" s="380"/>
      <c r="H8" s="380"/>
      <c r="J8" s="276"/>
      <c r="K8" s="276"/>
      <c r="M8" s="276"/>
      <c r="N8" s="276"/>
    </row>
    <row r="9" spans="1:14">
      <c r="B9" s="380"/>
      <c r="C9" s="380"/>
      <c r="D9" s="380"/>
      <c r="E9" s="380"/>
      <c r="F9" s="380"/>
      <c r="G9" s="380"/>
      <c r="H9" s="380"/>
      <c r="J9" s="276"/>
      <c r="K9" s="276"/>
      <c r="M9" s="276"/>
      <c r="N9" s="276"/>
    </row>
    <row r="10" spans="1:14">
      <c r="B10" s="261"/>
      <c r="C10" s="261"/>
      <c r="D10" s="261"/>
      <c r="E10" s="261"/>
      <c r="F10" s="261"/>
      <c r="G10" s="261"/>
      <c r="H10" s="261"/>
      <c r="J10" s="276"/>
      <c r="K10" s="276"/>
      <c r="M10" s="276"/>
      <c r="N10" s="276"/>
    </row>
    <row r="11" spans="1:14">
      <c r="J11" s="276"/>
      <c r="K11" s="276"/>
      <c r="M11" s="276"/>
      <c r="N11" s="276"/>
    </row>
    <row r="12" spans="1:14" ht="15.75">
      <c r="A12" s="273"/>
      <c r="C12" s="274"/>
      <c r="J12" s="276"/>
      <c r="K12" s="277"/>
      <c r="M12" s="276"/>
      <c r="N12" s="277"/>
    </row>
    <row r="13" spans="1:14">
      <c r="A13" s="278"/>
      <c r="B13" s="278"/>
      <c r="C13" s="278"/>
      <c r="D13" s="278"/>
      <c r="E13" s="278"/>
      <c r="F13" s="278"/>
      <c r="G13" s="278"/>
      <c r="H13" s="278"/>
      <c r="I13" s="279"/>
      <c r="J13" s="276"/>
      <c r="K13" s="276"/>
      <c r="M13" s="276"/>
      <c r="N13" s="276"/>
    </row>
    <row r="14" spans="1:14">
      <c r="A14" s="280"/>
      <c r="B14" s="280"/>
      <c r="C14" s="279"/>
      <c r="D14" s="279"/>
      <c r="E14" s="279"/>
      <c r="F14" s="279"/>
      <c r="G14" s="279"/>
      <c r="H14" s="279"/>
      <c r="I14" s="279"/>
      <c r="J14" s="276"/>
      <c r="K14" s="276"/>
      <c r="M14" s="276"/>
      <c r="N14" s="276"/>
    </row>
    <row r="15" spans="1:14">
      <c r="B15" s="280"/>
      <c r="C15" s="279"/>
      <c r="D15" s="279"/>
      <c r="E15" s="279"/>
      <c r="F15" s="279"/>
      <c r="G15" s="279"/>
      <c r="H15" s="279"/>
      <c r="I15" s="279"/>
      <c r="J15" s="276"/>
      <c r="K15" s="276"/>
      <c r="M15" s="276"/>
      <c r="N15" s="276"/>
    </row>
    <row r="16" spans="1:14">
      <c r="A16" s="280"/>
      <c r="B16" s="280"/>
      <c r="C16" s="279"/>
      <c r="D16" s="279"/>
      <c r="E16" s="279"/>
      <c r="F16" s="279"/>
      <c r="G16" s="279"/>
      <c r="H16" s="279"/>
      <c r="I16" s="279"/>
      <c r="J16" s="276"/>
      <c r="K16" s="276"/>
      <c r="M16" s="276"/>
      <c r="N16" s="276"/>
    </row>
    <row r="17" spans="1:14">
      <c r="B17" s="280"/>
      <c r="C17" s="279"/>
      <c r="D17" s="279"/>
      <c r="E17" s="279"/>
      <c r="F17" s="279"/>
      <c r="G17" s="279"/>
      <c r="H17" s="279"/>
      <c r="I17" s="279"/>
      <c r="J17" s="276"/>
      <c r="K17" s="276"/>
      <c r="M17" s="276"/>
      <c r="N17" s="276"/>
    </row>
    <row r="18" spans="1:14">
      <c r="A18" s="280"/>
      <c r="B18" s="280"/>
      <c r="C18" s="279"/>
      <c r="D18" s="279"/>
      <c r="E18" s="279"/>
      <c r="F18" s="279"/>
      <c r="G18" s="279"/>
      <c r="H18" s="279"/>
      <c r="I18" s="279"/>
      <c r="J18" s="276"/>
      <c r="K18" s="276"/>
      <c r="M18" s="276"/>
      <c r="N18" s="276"/>
    </row>
    <row r="19" spans="1:14">
      <c r="B19" s="280"/>
      <c r="C19" s="279"/>
      <c r="D19" s="279"/>
      <c r="E19" s="279"/>
      <c r="F19" s="279"/>
      <c r="G19" s="279"/>
      <c r="H19" s="279"/>
      <c r="I19" s="279"/>
      <c r="J19" s="276"/>
      <c r="K19" s="277"/>
      <c r="M19" s="276"/>
      <c r="N19" s="277"/>
    </row>
    <row r="20" spans="1:14">
      <c r="A20" s="280"/>
      <c r="B20" s="280"/>
      <c r="C20" s="279"/>
      <c r="D20" s="279"/>
      <c r="E20" s="279"/>
      <c r="F20" s="279"/>
      <c r="G20" s="279"/>
      <c r="H20" s="279"/>
      <c r="I20" s="279"/>
      <c r="J20" s="276"/>
      <c r="K20" s="276"/>
      <c r="M20" s="276"/>
      <c r="N20" s="276"/>
    </row>
    <row r="21" spans="1:14">
      <c r="B21" s="280"/>
      <c r="C21" s="279"/>
      <c r="D21" s="279"/>
      <c r="E21" s="279"/>
      <c r="F21" s="279"/>
      <c r="G21" s="279"/>
      <c r="H21" s="279"/>
      <c r="I21" s="279"/>
      <c r="J21" s="276"/>
      <c r="K21" s="276"/>
      <c r="M21" s="276"/>
      <c r="N21" s="276"/>
    </row>
    <row r="22" spans="1:14">
      <c r="A22" s="280"/>
      <c r="B22" s="280"/>
      <c r="C22" s="279"/>
      <c r="D22" s="279"/>
      <c r="E22" s="279"/>
      <c r="F22" s="279"/>
      <c r="G22" s="279"/>
      <c r="H22" s="279"/>
      <c r="I22" s="279"/>
      <c r="J22" s="276"/>
      <c r="K22" s="276"/>
      <c r="M22" s="276"/>
      <c r="N22" s="276"/>
    </row>
    <row r="23" spans="1:14">
      <c r="B23" s="280"/>
      <c r="C23" s="279"/>
      <c r="D23" s="279"/>
      <c r="E23" s="279"/>
      <c r="F23" s="279"/>
      <c r="G23" s="279"/>
      <c r="H23" s="279"/>
      <c r="I23" s="279"/>
      <c r="J23" s="277"/>
      <c r="K23" s="276"/>
      <c r="M23" s="277"/>
      <c r="N23" s="276"/>
    </row>
    <row r="24" spans="1:14">
      <c r="D24" s="279"/>
      <c r="E24" s="279"/>
      <c r="F24" s="279"/>
      <c r="G24" s="279"/>
      <c r="H24" s="279"/>
      <c r="I24" s="279"/>
      <c r="K24" s="276"/>
      <c r="N24" s="276"/>
    </row>
    <row r="25" spans="1:14">
      <c r="D25" s="279"/>
      <c r="E25" s="279"/>
      <c r="F25" s="279"/>
      <c r="G25" s="279"/>
      <c r="H25" s="279"/>
      <c r="I25" s="279"/>
      <c r="J25" s="263"/>
      <c r="K25" s="264"/>
      <c r="M25" s="263"/>
      <c r="N25" s="264"/>
    </row>
    <row r="26" spans="1:14">
      <c r="D26" s="279"/>
      <c r="E26" s="279"/>
      <c r="F26" s="279"/>
      <c r="G26" s="279"/>
      <c r="H26" s="279"/>
      <c r="I26" s="279"/>
      <c r="K26" s="264"/>
      <c r="N26" s="264"/>
    </row>
    <row r="27" spans="1:14">
      <c r="D27" s="279"/>
      <c r="E27" s="279"/>
      <c r="F27" s="279"/>
      <c r="G27" s="279"/>
      <c r="H27" s="279"/>
      <c r="I27" s="279"/>
    </row>
    <row r="28" spans="1:14">
      <c r="D28" s="279"/>
      <c r="E28" s="279"/>
      <c r="F28" s="279"/>
      <c r="G28" s="279"/>
      <c r="H28" s="279"/>
      <c r="I28" s="279"/>
    </row>
    <row r="29" spans="1:14">
      <c r="D29" s="279"/>
      <c r="E29" s="279"/>
      <c r="F29" s="279"/>
      <c r="G29" s="279"/>
      <c r="H29" s="279"/>
      <c r="I29" s="279"/>
    </row>
    <row r="30" spans="1:14">
      <c r="D30" s="279"/>
      <c r="E30" s="279"/>
      <c r="F30" s="279"/>
      <c r="G30" s="279"/>
      <c r="H30" s="279"/>
      <c r="I30" s="279"/>
    </row>
    <row r="31" spans="1:14">
      <c r="D31" s="279"/>
      <c r="E31" s="279"/>
      <c r="F31" s="279"/>
      <c r="G31" s="279"/>
      <c r="H31" s="279"/>
      <c r="I31" s="279"/>
    </row>
    <row r="32" spans="1:14">
      <c r="D32" s="279"/>
      <c r="E32" s="279"/>
      <c r="F32" s="279"/>
      <c r="G32" s="279"/>
      <c r="H32" s="279"/>
      <c r="I32" s="279"/>
    </row>
    <row r="33" spans="1:16">
      <c r="D33" s="279"/>
      <c r="E33" s="279"/>
      <c r="F33" s="279"/>
      <c r="G33" s="279"/>
      <c r="H33" s="279"/>
      <c r="I33" s="279"/>
    </row>
    <row r="34" spans="1:16">
      <c r="D34" s="279"/>
      <c r="E34" s="279"/>
      <c r="F34" s="279"/>
      <c r="G34" s="279"/>
      <c r="H34" s="279"/>
      <c r="I34" s="279"/>
    </row>
    <row r="35" spans="1:16">
      <c r="C35" s="279"/>
      <c r="D35" s="279"/>
      <c r="E35" s="279"/>
      <c r="F35" s="279"/>
      <c r="G35" s="279"/>
      <c r="H35" s="279"/>
    </row>
    <row r="37" spans="1:16" ht="18">
      <c r="A37" s="381"/>
      <c r="B37" s="381"/>
    </row>
    <row r="38" spans="1:16" ht="18">
      <c r="A38" s="265"/>
      <c r="B38" s="266"/>
      <c r="C38" s="267"/>
      <c r="D38" s="267"/>
      <c r="E38" s="267"/>
      <c r="F38" s="267"/>
      <c r="G38" s="267"/>
      <c r="H38" s="267"/>
      <c r="I38" s="267"/>
      <c r="J38" s="267"/>
      <c r="K38" s="267"/>
      <c r="L38" s="267"/>
    </row>
    <row r="39" spans="1:16">
      <c r="A39" s="268"/>
      <c r="C39" s="269"/>
      <c r="D39" s="269"/>
      <c r="E39" s="270"/>
      <c r="F39" s="270"/>
      <c r="G39" s="270"/>
      <c r="H39" s="270"/>
      <c r="I39" s="270"/>
      <c r="J39" s="270"/>
      <c r="K39" s="270"/>
      <c r="L39" s="270"/>
    </row>
    <row r="40" spans="1:16">
      <c r="A40" s="281"/>
      <c r="C40" s="269"/>
      <c r="D40" s="269"/>
      <c r="E40" s="270"/>
      <c r="F40" s="270"/>
      <c r="G40" s="270"/>
      <c r="H40" s="270"/>
      <c r="I40" s="270"/>
      <c r="J40" s="270"/>
      <c r="K40" s="270"/>
      <c r="L40" s="270"/>
      <c r="M40" s="270"/>
      <c r="N40" s="270"/>
    </row>
    <row r="41" spans="1:16">
      <c r="A41" s="281"/>
      <c r="C41" s="269"/>
      <c r="D41" s="269"/>
      <c r="E41" s="270"/>
      <c r="F41" s="270"/>
      <c r="G41" s="270"/>
      <c r="H41" s="270"/>
      <c r="I41" s="270"/>
      <c r="J41" s="270"/>
      <c r="K41" s="270"/>
      <c r="L41" s="270"/>
      <c r="M41" s="270"/>
      <c r="N41" s="270"/>
    </row>
    <row r="42" spans="1:16">
      <c r="A42" s="281"/>
      <c r="C42" s="271"/>
      <c r="D42" s="269"/>
      <c r="E42" s="270"/>
      <c r="F42" s="270"/>
      <c r="G42" s="270"/>
      <c r="H42" s="270"/>
      <c r="I42" s="270"/>
      <c r="J42" s="270"/>
      <c r="K42" s="270"/>
      <c r="L42" s="270"/>
      <c r="M42" s="270"/>
      <c r="N42" s="270"/>
    </row>
    <row r="43" spans="1:16">
      <c r="A43" s="281"/>
      <c r="C43" s="269"/>
      <c r="D43" s="269"/>
      <c r="E43" s="270"/>
      <c r="F43" s="270"/>
      <c r="G43" s="270"/>
      <c r="H43" s="270"/>
      <c r="I43" s="270"/>
      <c r="J43" s="270"/>
      <c r="K43" s="270"/>
      <c r="L43" s="270"/>
      <c r="M43" s="270"/>
      <c r="N43" s="270"/>
    </row>
    <row r="44" spans="1:16">
      <c r="A44" s="281"/>
      <c r="C44" s="271"/>
      <c r="D44" s="269"/>
      <c r="E44" s="270"/>
      <c r="F44" s="270"/>
      <c r="G44" s="270"/>
      <c r="H44" s="270"/>
      <c r="I44" s="270"/>
      <c r="J44" s="270"/>
      <c r="K44" s="270"/>
      <c r="L44" s="270"/>
      <c r="M44" s="270"/>
      <c r="N44" s="270"/>
    </row>
    <row r="45" spans="1:16">
      <c r="A45" s="281"/>
      <c r="C45" s="269"/>
      <c r="D45" s="269"/>
      <c r="E45" s="270"/>
      <c r="F45" s="270"/>
      <c r="G45" s="270"/>
      <c r="H45" s="270"/>
      <c r="I45" s="270"/>
      <c r="J45" s="270"/>
      <c r="K45" s="270"/>
      <c r="L45" s="270"/>
      <c r="M45" s="270"/>
      <c r="N45" s="270"/>
    </row>
    <row r="46" spans="1:16">
      <c r="A46" s="281"/>
      <c r="C46" s="269"/>
      <c r="D46" s="269"/>
      <c r="E46" s="270"/>
      <c r="F46" s="270"/>
      <c r="G46" s="270"/>
      <c r="H46" s="270"/>
      <c r="I46" s="270"/>
      <c r="J46" s="270"/>
      <c r="K46" s="270"/>
      <c r="L46" s="270"/>
      <c r="M46" s="270"/>
      <c r="N46" s="270"/>
    </row>
    <row r="47" spans="1:16">
      <c r="A47" s="281"/>
      <c r="C47" s="269"/>
      <c r="D47" s="269"/>
      <c r="E47" s="270"/>
      <c r="F47" s="270"/>
      <c r="G47" s="270"/>
      <c r="H47" s="270"/>
      <c r="I47" s="270"/>
      <c r="J47" s="270"/>
      <c r="K47" s="270"/>
      <c r="L47" s="270"/>
      <c r="M47" s="270"/>
      <c r="N47" s="270"/>
    </row>
    <row r="48" spans="1:16">
      <c r="A48" s="268"/>
      <c r="C48" s="269"/>
      <c r="D48" s="269"/>
      <c r="E48" s="270"/>
      <c r="F48" s="270"/>
      <c r="G48" s="270"/>
      <c r="H48" s="270"/>
      <c r="I48" s="270"/>
      <c r="J48" s="270"/>
      <c r="K48" s="270"/>
      <c r="L48" s="270"/>
      <c r="M48" s="270"/>
      <c r="N48" s="270"/>
      <c r="O48" s="270"/>
      <c r="P48" s="270"/>
    </row>
    <row r="49" spans="1:16">
      <c r="A49" s="281"/>
      <c r="C49" s="269"/>
      <c r="D49" s="269"/>
      <c r="E49" s="270"/>
      <c r="F49" s="270"/>
      <c r="G49" s="270"/>
      <c r="H49" s="270"/>
      <c r="I49" s="270"/>
      <c r="J49" s="270"/>
      <c r="K49" s="270"/>
      <c r="L49" s="270"/>
      <c r="M49" s="270"/>
      <c r="N49" s="270"/>
      <c r="O49" s="270"/>
      <c r="P49" s="270"/>
    </row>
    <row r="50" spans="1:16">
      <c r="A50" s="268"/>
      <c r="C50" s="269"/>
      <c r="D50" s="269"/>
      <c r="E50" s="270"/>
      <c r="F50" s="270"/>
      <c r="G50" s="270"/>
      <c r="H50" s="270"/>
      <c r="I50" s="270"/>
      <c r="J50" s="270"/>
      <c r="K50" s="270"/>
      <c r="L50" s="270"/>
      <c r="M50" s="270"/>
      <c r="N50" s="270"/>
      <c r="O50" s="270"/>
      <c r="P50" s="270"/>
    </row>
    <row r="51" spans="1:16">
      <c r="A51" s="281"/>
      <c r="C51" s="269"/>
      <c r="D51" s="269"/>
      <c r="E51" s="270"/>
      <c r="F51" s="270"/>
      <c r="G51" s="270"/>
      <c r="H51" s="270"/>
      <c r="I51" s="270"/>
      <c r="J51" s="270"/>
      <c r="K51" s="270"/>
      <c r="L51" s="270"/>
      <c r="M51" s="270"/>
      <c r="N51" s="270"/>
      <c r="O51" s="270"/>
      <c r="P51" s="270"/>
    </row>
    <row r="52" spans="1:16">
      <c r="A52" s="281"/>
      <c r="C52" s="269"/>
      <c r="D52" s="269"/>
      <c r="E52" s="270"/>
      <c r="F52" s="270"/>
      <c r="G52" s="270"/>
      <c r="H52" s="270"/>
      <c r="I52" s="270"/>
      <c r="J52" s="270"/>
      <c r="K52" s="270"/>
      <c r="L52" s="270"/>
      <c r="M52" s="270"/>
      <c r="N52" s="270"/>
      <c r="O52" s="270"/>
      <c r="P52" s="270"/>
    </row>
    <row r="53" spans="1:16">
      <c r="A53" s="281"/>
      <c r="C53" s="269"/>
      <c r="D53" s="269"/>
      <c r="E53" s="270"/>
      <c r="F53" s="270"/>
      <c r="G53" s="270"/>
      <c r="H53" s="270"/>
      <c r="I53" s="270"/>
      <c r="J53" s="270"/>
      <c r="K53" s="270"/>
      <c r="L53" s="270"/>
      <c r="M53" s="270"/>
      <c r="N53" s="270"/>
      <c r="O53" s="270"/>
      <c r="P53" s="270"/>
    </row>
    <row r="54" spans="1:16">
      <c r="A54" s="281"/>
      <c r="B54" s="282"/>
      <c r="C54" s="271"/>
      <c r="D54" s="271"/>
      <c r="E54" s="270"/>
      <c r="F54" s="270"/>
      <c r="G54" s="270"/>
      <c r="H54" s="270"/>
      <c r="I54" s="270"/>
      <c r="J54" s="270"/>
      <c r="K54" s="270"/>
      <c r="L54" s="270"/>
      <c r="M54" s="270"/>
      <c r="N54" s="270"/>
      <c r="O54" s="270"/>
      <c r="P54" s="270"/>
    </row>
    <row r="55" spans="1:16">
      <c r="A55" s="281"/>
      <c r="B55" s="282"/>
      <c r="C55" s="269"/>
      <c r="D55" s="269"/>
      <c r="E55" s="270"/>
      <c r="F55" s="270"/>
      <c r="G55" s="270"/>
      <c r="H55" s="270"/>
      <c r="I55" s="270"/>
      <c r="J55" s="270"/>
      <c r="K55" s="270"/>
      <c r="L55" s="270"/>
      <c r="M55" s="270"/>
      <c r="N55" s="270"/>
      <c r="O55" s="270"/>
      <c r="P55" s="270"/>
    </row>
    <row r="56" spans="1:16">
      <c r="A56" s="281"/>
      <c r="B56" s="282"/>
      <c r="C56" s="269"/>
      <c r="D56" s="269"/>
      <c r="E56" s="270"/>
      <c r="F56" s="270"/>
      <c r="G56" s="270"/>
      <c r="H56" s="270"/>
      <c r="I56" s="270"/>
      <c r="J56" s="270"/>
      <c r="K56" s="270"/>
      <c r="L56" s="270"/>
      <c r="M56" s="270"/>
      <c r="N56" s="270"/>
      <c r="O56" s="270"/>
      <c r="P56" s="270"/>
    </row>
    <row r="57" spans="1:16">
      <c r="A57" s="281"/>
      <c r="B57" s="282"/>
      <c r="C57" s="269"/>
      <c r="D57" s="269"/>
      <c r="E57" s="270"/>
      <c r="F57" s="270"/>
      <c r="G57" s="270"/>
      <c r="H57" s="270"/>
      <c r="I57" s="270"/>
      <c r="J57" s="270"/>
      <c r="K57" s="270"/>
      <c r="L57" s="270"/>
      <c r="M57" s="270"/>
      <c r="N57" s="270"/>
      <c r="O57" s="270"/>
      <c r="P57" s="270"/>
    </row>
    <row r="58" spans="1:16">
      <c r="A58" s="268"/>
      <c r="B58" s="282"/>
      <c r="C58" s="271"/>
      <c r="D58" s="271"/>
      <c r="E58" s="270"/>
      <c r="F58" s="270"/>
      <c r="G58" s="270"/>
      <c r="H58" s="270"/>
      <c r="I58" s="270"/>
      <c r="J58" s="270"/>
      <c r="K58" s="270"/>
      <c r="L58" s="270"/>
      <c r="M58" s="270"/>
      <c r="N58" s="270"/>
      <c r="O58" s="270"/>
      <c r="P58" s="270"/>
    </row>
    <row r="59" spans="1:16">
      <c r="A59" s="281"/>
      <c r="B59" s="282"/>
      <c r="C59" s="269"/>
      <c r="D59" s="269"/>
      <c r="E59" s="270"/>
      <c r="F59" s="270"/>
      <c r="G59" s="270"/>
      <c r="H59" s="270"/>
      <c r="I59" s="270"/>
      <c r="J59" s="270"/>
      <c r="K59" s="270"/>
      <c r="L59" s="270"/>
      <c r="M59" s="270"/>
      <c r="N59" s="270"/>
      <c r="O59" s="270"/>
      <c r="P59" s="270"/>
    </row>
    <row r="60" spans="1:16">
      <c r="A60" s="281"/>
      <c r="B60" s="282"/>
      <c r="C60" s="269"/>
      <c r="D60" s="269"/>
      <c r="E60" s="270"/>
      <c r="F60" s="270"/>
      <c r="G60" s="270"/>
      <c r="H60" s="270"/>
      <c r="I60" s="270"/>
      <c r="J60" s="270"/>
      <c r="K60" s="270"/>
      <c r="L60" s="270"/>
      <c r="M60" s="270"/>
      <c r="N60" s="270"/>
      <c r="O60" s="270"/>
      <c r="P60" s="270"/>
    </row>
    <row r="61" spans="1:16">
      <c r="A61" s="268"/>
      <c r="B61" s="282"/>
      <c r="C61" s="269"/>
      <c r="D61" s="269"/>
      <c r="E61" s="270"/>
      <c r="F61" s="270"/>
      <c r="G61" s="270"/>
      <c r="H61" s="270"/>
      <c r="I61" s="270"/>
      <c r="J61" s="270"/>
      <c r="K61" s="270"/>
      <c r="L61" s="270"/>
      <c r="M61" s="270"/>
      <c r="N61" s="270"/>
      <c r="O61" s="270"/>
      <c r="P61" s="270"/>
    </row>
    <row r="62" spans="1:16">
      <c r="A62" s="281"/>
      <c r="B62" s="282"/>
      <c r="C62" s="269"/>
      <c r="D62" s="269"/>
      <c r="E62" s="270"/>
      <c r="F62" s="270"/>
      <c r="G62" s="270"/>
      <c r="H62" s="270"/>
      <c r="I62" s="270"/>
      <c r="J62" s="270"/>
      <c r="K62" s="270"/>
      <c r="L62" s="270"/>
      <c r="M62" s="270"/>
      <c r="N62" s="270"/>
      <c r="O62" s="270"/>
      <c r="P62" s="270"/>
    </row>
    <row r="63" spans="1:16">
      <c r="A63" s="281"/>
      <c r="B63" s="282"/>
      <c r="C63" s="271"/>
      <c r="D63" s="269"/>
      <c r="E63" s="270"/>
      <c r="F63" s="270"/>
      <c r="G63" s="270"/>
      <c r="H63" s="270"/>
      <c r="I63" s="270"/>
      <c r="J63" s="270"/>
      <c r="K63" s="270"/>
      <c r="L63" s="270"/>
      <c r="M63" s="270"/>
      <c r="N63" s="270"/>
      <c r="O63" s="270"/>
      <c r="P63" s="270"/>
    </row>
    <row r="64" spans="1:16">
      <c r="A64" s="281"/>
      <c r="B64" s="282"/>
      <c r="C64" s="269"/>
      <c r="D64" s="269"/>
      <c r="E64" s="270"/>
      <c r="F64" s="270"/>
      <c r="G64" s="270"/>
      <c r="H64" s="270"/>
      <c r="I64" s="270"/>
      <c r="J64" s="270"/>
      <c r="K64" s="270"/>
      <c r="L64" s="270"/>
      <c r="M64" s="270"/>
      <c r="N64" s="270"/>
      <c r="O64" s="270"/>
      <c r="P64" s="270"/>
    </row>
    <row r="65" spans="1:16">
      <c r="A65" s="281"/>
      <c r="B65" s="282"/>
      <c r="C65" s="269"/>
      <c r="D65" s="269"/>
      <c r="E65" s="270"/>
      <c r="F65" s="270"/>
      <c r="G65" s="270"/>
      <c r="H65" s="270"/>
      <c r="I65" s="270"/>
      <c r="J65" s="270"/>
      <c r="K65" s="270"/>
      <c r="L65" s="270"/>
      <c r="M65" s="270"/>
      <c r="N65" s="270"/>
      <c r="O65" s="270"/>
      <c r="P65" s="270"/>
    </row>
    <row r="66" spans="1:16">
      <c r="A66" s="281"/>
      <c r="B66" s="282"/>
      <c r="C66" s="271"/>
      <c r="D66" s="269"/>
      <c r="E66" s="270"/>
      <c r="F66" s="270"/>
      <c r="G66" s="270"/>
      <c r="H66" s="270"/>
      <c r="I66" s="270"/>
      <c r="J66" s="270"/>
      <c r="K66" s="270"/>
      <c r="L66" s="270"/>
      <c r="M66" s="270"/>
      <c r="N66" s="270"/>
      <c r="O66" s="270"/>
      <c r="P66" s="270"/>
    </row>
    <row r="67" spans="1:16">
      <c r="A67" s="281"/>
      <c r="B67" s="282"/>
      <c r="C67" s="269"/>
      <c r="D67" s="269"/>
      <c r="E67" s="270"/>
      <c r="F67" s="270"/>
      <c r="G67" s="270"/>
      <c r="H67" s="270"/>
      <c r="I67" s="270"/>
      <c r="J67" s="270"/>
      <c r="K67" s="270"/>
      <c r="L67" s="270"/>
      <c r="M67" s="270"/>
      <c r="N67" s="270"/>
      <c r="O67" s="270"/>
      <c r="P67" s="270"/>
    </row>
    <row r="68" spans="1:16">
      <c r="A68" s="281"/>
      <c r="B68" s="282"/>
      <c r="C68" s="269"/>
      <c r="D68" s="269"/>
      <c r="E68" s="270"/>
      <c r="F68" s="270"/>
      <c r="G68" s="270"/>
      <c r="H68" s="270"/>
      <c r="I68" s="270"/>
      <c r="J68" s="270"/>
      <c r="K68" s="270"/>
      <c r="L68" s="270"/>
      <c r="M68" s="270"/>
      <c r="N68" s="270"/>
      <c r="O68" s="270"/>
      <c r="P68" s="270"/>
    </row>
    <row r="69" spans="1:16">
      <c r="A69" s="281"/>
      <c r="B69" s="282"/>
      <c r="C69" s="269"/>
      <c r="D69" s="269"/>
      <c r="E69" s="270"/>
      <c r="F69" s="270"/>
      <c r="G69" s="270"/>
      <c r="H69" s="270"/>
      <c r="I69" s="270"/>
      <c r="J69" s="270"/>
      <c r="K69" s="270"/>
      <c r="L69" s="270"/>
      <c r="M69" s="270"/>
      <c r="N69" s="270"/>
      <c r="O69" s="270"/>
      <c r="P69" s="270"/>
    </row>
    <row r="70" spans="1:16">
      <c r="A70" s="281"/>
      <c r="B70" s="282"/>
      <c r="C70" s="269"/>
      <c r="D70" s="269"/>
      <c r="E70" s="270"/>
      <c r="F70" s="270"/>
      <c r="G70" s="270"/>
      <c r="H70" s="270"/>
      <c r="I70" s="270"/>
      <c r="J70" s="270"/>
      <c r="K70" s="270"/>
      <c r="L70" s="270"/>
      <c r="M70" s="270"/>
      <c r="N70" s="270"/>
      <c r="O70" s="270"/>
      <c r="P70" s="270"/>
    </row>
    <row r="71" spans="1:16">
      <c r="A71" s="281"/>
      <c r="B71" s="282"/>
      <c r="C71" s="271"/>
      <c r="D71" s="269"/>
      <c r="E71" s="270"/>
      <c r="F71" s="270"/>
      <c r="G71" s="270"/>
      <c r="H71" s="270"/>
      <c r="I71" s="270"/>
      <c r="J71" s="270"/>
      <c r="K71" s="270"/>
      <c r="L71" s="270"/>
      <c r="M71" s="270"/>
      <c r="N71" s="270"/>
      <c r="O71" s="270"/>
      <c r="P71" s="270"/>
    </row>
    <row r="72" spans="1:16">
      <c r="A72" s="281"/>
      <c r="B72" s="282"/>
      <c r="C72" s="269"/>
      <c r="D72" s="269"/>
      <c r="E72" s="270"/>
      <c r="F72" s="270"/>
      <c r="G72" s="270"/>
      <c r="H72" s="270"/>
      <c r="I72" s="270"/>
      <c r="J72" s="270"/>
      <c r="K72" s="270"/>
      <c r="L72" s="270"/>
      <c r="M72" s="270"/>
      <c r="N72" s="270"/>
      <c r="O72" s="270"/>
      <c r="P72" s="270"/>
    </row>
    <row r="73" spans="1:16">
      <c r="A73" s="281"/>
      <c r="B73" s="282"/>
      <c r="C73" s="269"/>
      <c r="D73" s="269"/>
      <c r="E73" s="270"/>
      <c r="F73" s="270"/>
      <c r="G73" s="270"/>
      <c r="H73" s="270"/>
      <c r="I73" s="270"/>
      <c r="J73" s="270"/>
      <c r="K73" s="270"/>
      <c r="L73" s="270"/>
      <c r="M73" s="270"/>
      <c r="N73" s="270"/>
      <c r="O73" s="270"/>
      <c r="P73" s="270"/>
    </row>
    <row r="74" spans="1:16">
      <c r="A74" s="281"/>
      <c r="B74" s="282"/>
      <c r="C74" s="269"/>
      <c r="D74" s="269"/>
      <c r="E74" s="270"/>
      <c r="F74" s="270"/>
      <c r="G74" s="270"/>
      <c r="H74" s="270"/>
      <c r="I74" s="270"/>
      <c r="J74" s="270"/>
      <c r="K74" s="270"/>
      <c r="L74" s="270"/>
      <c r="M74" s="270"/>
      <c r="N74" s="270"/>
      <c r="O74" s="270"/>
      <c r="P74" s="270"/>
    </row>
    <row r="75" spans="1:16">
      <c r="A75" s="281"/>
      <c r="B75" s="282"/>
      <c r="C75" s="269"/>
      <c r="D75" s="269"/>
      <c r="E75" s="270"/>
      <c r="F75" s="270"/>
      <c r="G75" s="270"/>
      <c r="H75" s="270"/>
      <c r="I75" s="270"/>
      <c r="J75" s="270"/>
      <c r="K75" s="270"/>
      <c r="L75" s="270"/>
      <c r="M75" s="270"/>
      <c r="N75" s="270"/>
      <c r="O75" s="270"/>
      <c r="P75" s="270"/>
    </row>
    <row r="76" spans="1:16">
      <c r="A76" s="281"/>
      <c r="B76" s="282"/>
      <c r="C76" s="269"/>
      <c r="D76" s="269"/>
      <c r="E76" s="270"/>
      <c r="F76" s="270"/>
      <c r="G76" s="270"/>
      <c r="H76" s="270"/>
      <c r="I76" s="270"/>
      <c r="J76" s="270"/>
      <c r="K76" s="270"/>
      <c r="L76" s="270"/>
      <c r="M76" s="270"/>
      <c r="N76" s="270"/>
      <c r="O76" s="270"/>
      <c r="P76" s="270"/>
    </row>
    <row r="77" spans="1:16">
      <c r="A77" s="281"/>
      <c r="B77" s="282"/>
      <c r="C77" s="269"/>
      <c r="D77" s="269"/>
      <c r="E77" s="270"/>
      <c r="F77" s="270"/>
      <c r="G77" s="270"/>
      <c r="H77" s="270"/>
      <c r="I77" s="270"/>
      <c r="J77" s="270"/>
      <c r="K77" s="270"/>
      <c r="L77" s="270"/>
      <c r="M77" s="270"/>
      <c r="N77" s="270"/>
      <c r="O77" s="270"/>
      <c r="P77" s="270"/>
    </row>
    <row r="78" spans="1:16">
      <c r="A78" s="268"/>
      <c r="B78" s="282"/>
      <c r="C78" s="269"/>
      <c r="D78" s="269"/>
      <c r="E78" s="270"/>
      <c r="F78" s="270"/>
      <c r="G78" s="270"/>
      <c r="H78" s="270"/>
      <c r="I78" s="270"/>
      <c r="J78" s="270"/>
      <c r="K78" s="270"/>
      <c r="L78" s="270"/>
      <c r="M78" s="270"/>
      <c r="N78" s="270"/>
      <c r="O78" s="270"/>
      <c r="P78" s="270"/>
    </row>
    <row r="79" spans="1:16">
      <c r="A79" s="281"/>
      <c r="B79" s="282"/>
      <c r="C79" s="269"/>
      <c r="D79" s="269"/>
      <c r="E79" s="270"/>
      <c r="F79" s="270"/>
      <c r="G79" s="270"/>
      <c r="H79" s="270"/>
      <c r="I79" s="270"/>
      <c r="J79" s="270"/>
      <c r="K79" s="270"/>
      <c r="L79" s="270"/>
      <c r="M79" s="270"/>
      <c r="N79" s="270"/>
      <c r="O79" s="270"/>
      <c r="P79" s="270"/>
    </row>
    <row r="80" spans="1:16">
      <c r="A80" s="281"/>
      <c r="B80" s="282"/>
      <c r="C80" s="269"/>
      <c r="D80" s="269"/>
      <c r="E80" s="270"/>
      <c r="F80" s="270"/>
      <c r="G80" s="270"/>
      <c r="H80" s="270"/>
      <c r="I80" s="270"/>
      <c r="J80" s="270"/>
      <c r="K80" s="270"/>
      <c r="L80" s="270"/>
      <c r="M80" s="270"/>
      <c r="N80" s="270"/>
      <c r="O80" s="270"/>
      <c r="P80" s="270"/>
    </row>
    <row r="81" spans="1:16">
      <c r="A81" s="281"/>
      <c r="B81" s="282"/>
      <c r="C81" s="269"/>
      <c r="D81" s="269"/>
      <c r="E81" s="270"/>
      <c r="F81" s="270"/>
      <c r="G81" s="270"/>
      <c r="H81" s="270"/>
      <c r="I81" s="270"/>
      <c r="J81" s="270"/>
      <c r="K81" s="270"/>
      <c r="L81" s="270"/>
      <c r="M81" s="270"/>
      <c r="N81" s="270"/>
      <c r="O81" s="270"/>
      <c r="P81" s="270"/>
    </row>
    <row r="82" spans="1:16">
      <c r="A82" s="281"/>
      <c r="B82" s="282"/>
      <c r="C82" s="269"/>
      <c r="D82" s="269"/>
      <c r="E82" s="270"/>
      <c r="F82" s="270"/>
      <c r="G82" s="270"/>
      <c r="H82" s="270"/>
      <c r="I82" s="270"/>
      <c r="J82" s="270"/>
      <c r="K82" s="270"/>
      <c r="L82" s="270"/>
      <c r="M82" s="270"/>
      <c r="N82" s="270"/>
      <c r="O82" s="270"/>
      <c r="P82" s="270"/>
    </row>
    <row r="83" spans="1:16">
      <c r="A83" s="281"/>
      <c r="B83" s="282"/>
      <c r="C83" s="269"/>
      <c r="D83" s="269"/>
      <c r="E83" s="270"/>
      <c r="F83" s="270"/>
      <c r="G83" s="270"/>
      <c r="H83" s="270"/>
      <c r="I83" s="270"/>
      <c r="J83" s="270"/>
      <c r="K83" s="270"/>
      <c r="L83" s="270"/>
      <c r="M83" s="270"/>
      <c r="N83" s="270"/>
      <c r="O83" s="270"/>
      <c r="P83" s="270"/>
    </row>
    <row r="84" spans="1:16">
      <c r="A84" s="283"/>
      <c r="B84" s="282"/>
      <c r="C84" s="269"/>
      <c r="D84" s="269"/>
      <c r="E84" s="270"/>
      <c r="F84" s="270"/>
      <c r="G84" s="270"/>
      <c r="H84" s="270"/>
      <c r="I84" s="270"/>
      <c r="J84" s="270"/>
      <c r="K84" s="270"/>
      <c r="L84" s="270"/>
      <c r="M84" s="270"/>
      <c r="N84" s="270"/>
      <c r="O84" s="270"/>
      <c r="P84" s="270"/>
    </row>
    <row r="85" spans="1:16">
      <c r="A85" s="281"/>
      <c r="B85" s="282"/>
      <c r="C85" s="269"/>
      <c r="D85" s="269"/>
      <c r="E85" s="270"/>
      <c r="F85" s="270"/>
      <c r="G85" s="270"/>
      <c r="H85" s="270"/>
      <c r="I85" s="270"/>
      <c r="J85" s="270"/>
      <c r="K85" s="270"/>
      <c r="L85" s="270"/>
      <c r="M85" s="270"/>
      <c r="N85" s="270"/>
      <c r="O85" s="270"/>
      <c r="P85" s="270"/>
    </row>
    <row r="86" spans="1:16">
      <c r="A86" s="281"/>
      <c r="B86" s="282"/>
      <c r="C86" s="271"/>
      <c r="D86" s="269"/>
      <c r="E86" s="270"/>
      <c r="F86" s="270"/>
      <c r="G86" s="270"/>
      <c r="H86" s="270"/>
      <c r="I86" s="270"/>
      <c r="J86" s="270"/>
      <c r="K86" s="270"/>
      <c r="L86" s="270"/>
      <c r="M86" s="270"/>
      <c r="N86" s="270"/>
      <c r="O86" s="270"/>
      <c r="P86" s="270"/>
    </row>
    <row r="87" spans="1:16">
      <c r="A87" s="281"/>
      <c r="B87" s="282"/>
      <c r="C87" s="269"/>
      <c r="D87" s="271"/>
      <c r="E87" s="270"/>
      <c r="F87" s="270"/>
      <c r="G87" s="270"/>
      <c r="H87" s="270"/>
      <c r="I87" s="270"/>
      <c r="J87" s="270"/>
      <c r="K87" s="270"/>
      <c r="L87" s="270"/>
      <c r="M87" s="270"/>
      <c r="N87" s="270"/>
      <c r="O87" s="270"/>
      <c r="P87" s="270"/>
    </row>
    <row r="88" spans="1:16">
      <c r="C88" s="270"/>
      <c r="D88" s="270"/>
      <c r="E88" s="270"/>
      <c r="F88" s="270"/>
      <c r="G88" s="270"/>
      <c r="H88" s="270"/>
      <c r="I88" s="270"/>
      <c r="J88" s="270"/>
      <c r="K88" s="270"/>
      <c r="L88" s="270"/>
      <c r="M88" s="270"/>
      <c r="N88" s="270"/>
      <c r="O88" s="270"/>
      <c r="P88" s="270"/>
    </row>
    <row r="89" spans="1:16">
      <c r="C89" s="270"/>
      <c r="D89" s="270"/>
      <c r="E89" s="270"/>
      <c r="F89" s="270"/>
      <c r="G89" s="270"/>
      <c r="H89" s="270"/>
      <c r="I89" s="270"/>
      <c r="J89" s="270"/>
      <c r="K89" s="270"/>
      <c r="L89" s="270"/>
      <c r="M89" s="270"/>
      <c r="N89" s="270"/>
      <c r="O89" s="270"/>
      <c r="P89" s="270"/>
    </row>
    <row r="90" spans="1:16">
      <c r="C90" s="270"/>
      <c r="D90" s="270"/>
      <c r="E90" s="270"/>
      <c r="F90" s="270"/>
      <c r="G90" s="270"/>
      <c r="H90" s="270"/>
      <c r="I90" s="270"/>
      <c r="J90" s="270"/>
      <c r="K90" s="270"/>
      <c r="L90" s="270"/>
      <c r="M90" s="270"/>
      <c r="N90" s="270"/>
      <c r="O90" s="270"/>
      <c r="P90" s="270"/>
    </row>
    <row r="91" spans="1:16">
      <c r="C91" s="270"/>
      <c r="D91" s="270"/>
      <c r="E91" s="270"/>
      <c r="F91" s="270"/>
      <c r="G91" s="270"/>
      <c r="H91" s="270"/>
      <c r="I91" s="270"/>
      <c r="J91" s="270"/>
      <c r="K91" s="270"/>
      <c r="L91" s="270"/>
      <c r="M91" s="270"/>
      <c r="N91" s="270"/>
      <c r="O91" s="270"/>
      <c r="P91" s="270"/>
    </row>
    <row r="92" spans="1:16">
      <c r="C92" s="270"/>
      <c r="D92" s="270"/>
      <c r="E92" s="270"/>
      <c r="F92" s="270"/>
      <c r="G92" s="270"/>
      <c r="H92" s="270"/>
      <c r="I92" s="270"/>
      <c r="J92" s="270"/>
      <c r="K92" s="270"/>
      <c r="L92" s="270"/>
      <c r="M92" s="270"/>
      <c r="N92" s="270"/>
      <c r="O92" s="270"/>
      <c r="P92" s="270"/>
    </row>
    <row r="93" spans="1:16">
      <c r="C93" s="270"/>
      <c r="D93" s="270"/>
      <c r="E93" s="270"/>
      <c r="F93" s="270"/>
      <c r="G93" s="270"/>
      <c r="H93" s="270"/>
      <c r="I93" s="270"/>
      <c r="J93" s="270"/>
      <c r="K93" s="270"/>
      <c r="L93" s="270"/>
      <c r="M93" s="270"/>
      <c r="N93" s="270"/>
      <c r="O93" s="270"/>
      <c r="P93" s="270"/>
    </row>
    <row r="94" spans="1:16">
      <c r="H94" s="270"/>
      <c r="I94" s="270"/>
      <c r="J94" s="270"/>
      <c r="K94" s="270"/>
      <c r="L94" s="270"/>
      <c r="M94" s="270"/>
      <c r="N94" s="270"/>
      <c r="O94" s="270"/>
      <c r="P94" s="270"/>
    </row>
    <row r="95" spans="1:16">
      <c r="H95" s="270"/>
      <c r="I95" s="270"/>
      <c r="J95" s="270"/>
      <c r="K95" s="270"/>
      <c r="L95" s="270"/>
      <c r="M95" s="270"/>
      <c r="N95" s="270"/>
      <c r="O95" s="270"/>
      <c r="P95" s="270"/>
    </row>
    <row r="96" spans="1:16">
      <c r="H96" s="270"/>
      <c r="I96" s="270"/>
      <c r="J96" s="270"/>
      <c r="K96" s="270"/>
      <c r="L96" s="270"/>
      <c r="M96" s="270"/>
      <c r="N96" s="270"/>
      <c r="O96" s="270"/>
      <c r="P96" s="270"/>
    </row>
  </sheetData>
  <mergeCells count="12">
    <mergeCell ref="A37:B37"/>
    <mergeCell ref="M3:N3"/>
    <mergeCell ref="J4:K4"/>
    <mergeCell ref="M4:N4"/>
    <mergeCell ref="B9:H9"/>
    <mergeCell ref="B7:H7"/>
    <mergeCell ref="B8:H8"/>
    <mergeCell ref="E2:H2"/>
    <mergeCell ref="J3:K3"/>
    <mergeCell ref="A3:H3"/>
    <mergeCell ref="B5:H5"/>
    <mergeCell ref="B6:H6"/>
  </mergeCells>
  <conditionalFormatting sqref="C14:I14 C15:H23 D24:H31 C35:H35 D32:I34">
    <cfRule type="expression" dxfId="14" priority="3">
      <formula>ISERROR(C14)</formula>
    </cfRule>
  </conditionalFormatting>
  <conditionalFormatting sqref="I15:I31">
    <cfRule type="expression" dxfId="13" priority="2">
      <formula>ISERROR(I15)</formula>
    </cfRule>
  </conditionalFormatting>
  <conditionalFormatting sqref="I13">
    <cfRule type="expression" dxfId="12" priority="1">
      <formula>ISERROR(I13)</formula>
    </cfRule>
  </conditionalFormatting>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18366"/>
  </sheetPr>
  <dimension ref="A2:AA58"/>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399</v>
      </c>
      <c r="C3" s="338"/>
      <c r="D3" s="338"/>
      <c r="E3" s="338"/>
      <c r="F3" s="338"/>
      <c r="G3" s="338"/>
      <c r="H3" s="338"/>
      <c r="I3" s="338"/>
      <c r="J3" s="338"/>
      <c r="K3" s="338"/>
      <c r="L3" s="338"/>
      <c r="M3" s="338"/>
      <c r="N3" s="338"/>
      <c r="O3" s="338"/>
      <c r="P3" s="338"/>
      <c r="Q3" s="338"/>
      <c r="R3" s="338"/>
      <c r="S3" s="338"/>
      <c r="T3" s="338"/>
    </row>
    <row r="4" spans="1:20" ht="30.75">
      <c r="B4" s="366" t="s">
        <v>500</v>
      </c>
      <c r="C4" s="366"/>
      <c r="D4" s="366"/>
      <c r="E4" s="366"/>
      <c r="F4" s="366"/>
      <c r="G4" s="366"/>
      <c r="H4" s="366"/>
      <c r="I4" s="366"/>
      <c r="J4" s="366"/>
      <c r="K4" s="366"/>
      <c r="L4" s="366"/>
      <c r="M4" s="366"/>
      <c r="N4" s="366"/>
      <c r="O4" s="366"/>
      <c r="P4" s="366"/>
      <c r="Q4" s="366"/>
      <c r="R4" s="366"/>
      <c r="S4" s="366"/>
      <c r="T4" s="366"/>
    </row>
    <row r="5" spans="1:20" ht="18">
      <c r="B5" s="340" t="s">
        <v>45</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342" t="s">
        <v>44</v>
      </c>
      <c r="R7" s="342"/>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31"/>
      <c r="O10" s="31"/>
      <c r="P10" s="31"/>
      <c r="Q10" s="31"/>
      <c r="R10" s="31"/>
      <c r="S10" s="31"/>
      <c r="T10" s="31"/>
    </row>
    <row r="11" spans="1:20">
      <c r="B11" s="336" t="s">
        <v>40</v>
      </c>
      <c r="C11" s="336"/>
      <c r="D11" s="336"/>
      <c r="E11" s="336"/>
      <c r="F11" s="336"/>
      <c r="G11" s="336"/>
      <c r="H11" s="336"/>
      <c r="I11" s="336"/>
      <c r="J11" s="336"/>
      <c r="K11" s="336"/>
      <c r="L11" s="336"/>
      <c r="N11" s="113" t="s">
        <v>211</v>
      </c>
      <c r="O11" s="113" t="s">
        <v>286</v>
      </c>
      <c r="P11" s="113"/>
      <c r="Q11" s="113"/>
    </row>
    <row r="12" spans="1:20">
      <c r="B12" s="1"/>
      <c r="C12" s="337" t="s">
        <v>618</v>
      </c>
      <c r="D12" s="337"/>
      <c r="E12" s="337"/>
      <c r="F12" s="337"/>
      <c r="G12" s="337"/>
      <c r="H12" s="337"/>
      <c r="I12" s="337"/>
      <c r="J12" s="337"/>
      <c r="K12" s="337"/>
      <c r="L12" s="337"/>
      <c r="N12" s="113" t="s">
        <v>287</v>
      </c>
      <c r="O12" s="113" t="s">
        <v>126</v>
      </c>
      <c r="P12" s="113" t="s">
        <v>75</v>
      </c>
      <c r="Q12" s="113" t="s">
        <v>198</v>
      </c>
    </row>
    <row r="13" spans="1:20">
      <c r="B13" s="32"/>
      <c r="C13" s="332" t="s">
        <v>619</v>
      </c>
      <c r="D13" s="332"/>
      <c r="E13" s="332"/>
      <c r="F13" s="332"/>
      <c r="G13" s="332"/>
      <c r="H13" s="332"/>
      <c r="I13" s="332"/>
      <c r="J13" s="332"/>
      <c r="K13" s="332"/>
      <c r="L13" s="332"/>
      <c r="N13" s="112">
        <v>2014</v>
      </c>
      <c r="O13" s="113">
        <v>103</v>
      </c>
      <c r="P13" s="113">
        <v>143</v>
      </c>
      <c r="Q13" s="113">
        <v>322</v>
      </c>
    </row>
    <row r="14" spans="1:20">
      <c r="B14" s="32"/>
      <c r="C14" s="333" t="s">
        <v>292</v>
      </c>
      <c r="D14" s="333"/>
      <c r="E14" s="333"/>
      <c r="F14" s="333"/>
      <c r="G14" s="333"/>
      <c r="H14" s="333"/>
      <c r="I14" s="333"/>
      <c r="J14" s="333"/>
      <c r="K14" s="333"/>
      <c r="L14" s="333"/>
      <c r="N14" s="112">
        <v>2015</v>
      </c>
      <c r="O14" s="113">
        <v>103</v>
      </c>
      <c r="P14" s="113">
        <v>134</v>
      </c>
      <c r="Q14" s="113">
        <v>329</v>
      </c>
    </row>
    <row r="15" spans="1:20">
      <c r="B15" s="32"/>
      <c r="C15" s="333" t="s">
        <v>622</v>
      </c>
      <c r="D15" s="333"/>
      <c r="E15" s="333"/>
      <c r="F15" s="333"/>
      <c r="G15" s="333"/>
      <c r="H15" s="333"/>
      <c r="I15" s="333"/>
      <c r="J15" s="333"/>
      <c r="K15" s="333"/>
      <c r="L15" s="333"/>
      <c r="N15" s="112">
        <v>2016</v>
      </c>
      <c r="O15" s="113">
        <v>212</v>
      </c>
      <c r="P15" s="113">
        <v>245</v>
      </c>
      <c r="Q15" s="113">
        <v>610</v>
      </c>
    </row>
    <row r="16" spans="1:20">
      <c r="A16" s="3"/>
      <c r="B16" s="1"/>
      <c r="C16" s="1"/>
      <c r="D16" s="1"/>
      <c r="E16" s="1"/>
      <c r="F16" s="1"/>
      <c r="G16" s="1"/>
      <c r="H16" s="1"/>
      <c r="I16" s="1"/>
      <c r="J16" s="1"/>
      <c r="K16" s="1"/>
      <c r="L16" s="31"/>
      <c r="N16" s="112">
        <v>2017</v>
      </c>
      <c r="O16" s="113"/>
      <c r="P16" s="113"/>
      <c r="Q16" s="113"/>
    </row>
    <row r="17" spans="1:26">
      <c r="A17" s="3"/>
      <c r="B17" s="361" t="s">
        <v>41</v>
      </c>
      <c r="C17" s="361"/>
      <c r="D17" s="361"/>
      <c r="E17" s="361"/>
      <c r="F17" s="361"/>
      <c r="G17" s="361"/>
      <c r="H17" s="361"/>
      <c r="I17" s="361"/>
      <c r="J17" s="361"/>
      <c r="K17" s="361"/>
      <c r="L17" s="361"/>
      <c r="N17" s="112">
        <v>2018</v>
      </c>
      <c r="O17" s="113"/>
      <c r="P17" s="113"/>
      <c r="Q17" s="113"/>
    </row>
    <row r="18" spans="1:26">
      <c r="A18" s="3"/>
      <c r="B18" s="122"/>
      <c r="C18" s="362" t="s">
        <v>295</v>
      </c>
      <c r="D18" s="362"/>
      <c r="E18" s="362"/>
      <c r="F18" s="362"/>
      <c r="G18" s="362"/>
      <c r="H18" s="362"/>
      <c r="I18" s="362"/>
      <c r="J18" s="362"/>
      <c r="K18" s="362"/>
      <c r="L18" s="362"/>
      <c r="N18" s="112">
        <v>2019</v>
      </c>
      <c r="O18" s="113"/>
      <c r="P18" s="113"/>
      <c r="Q18" s="113"/>
    </row>
    <row r="19" spans="1:26">
      <c r="A19" s="3"/>
      <c r="B19" s="122"/>
      <c r="C19" s="362" t="s">
        <v>366</v>
      </c>
      <c r="D19" s="362"/>
      <c r="E19" s="362"/>
      <c r="F19" s="362"/>
      <c r="G19" s="362"/>
      <c r="H19" s="362"/>
      <c r="I19" s="362"/>
      <c r="J19" s="362"/>
      <c r="K19" s="362"/>
      <c r="L19" s="362"/>
      <c r="N19" s="112">
        <v>2020</v>
      </c>
      <c r="O19" s="113"/>
      <c r="P19" s="113"/>
      <c r="Q19" s="113"/>
    </row>
    <row r="20" spans="1:26">
      <c r="A20" s="3"/>
      <c r="B20" s="122"/>
      <c r="C20" s="353" t="s">
        <v>367</v>
      </c>
      <c r="D20" s="353"/>
      <c r="E20" s="353"/>
      <c r="F20" s="353"/>
      <c r="G20" s="353"/>
      <c r="H20" s="353"/>
      <c r="I20" s="353"/>
      <c r="J20" s="353"/>
      <c r="K20" s="353"/>
      <c r="L20" s="353"/>
      <c r="N20" s="112">
        <v>2021</v>
      </c>
      <c r="O20" s="113"/>
      <c r="P20" s="113"/>
      <c r="Q20" s="113"/>
    </row>
    <row r="21" spans="1:26" ht="15" customHeight="1">
      <c r="A21" s="3"/>
      <c r="B21" s="122"/>
      <c r="C21" s="48" t="str">
        <f>"--&gt;"</f>
        <v>--&gt;</v>
      </c>
      <c r="D21" s="334" t="s">
        <v>283</v>
      </c>
      <c r="E21" s="334"/>
      <c r="F21" s="334"/>
      <c r="G21" s="334"/>
      <c r="H21" s="334"/>
      <c r="I21" s="334"/>
      <c r="J21" s="334"/>
      <c r="K21" s="334"/>
      <c r="L21" s="334"/>
      <c r="N21" s="112">
        <v>2022</v>
      </c>
      <c r="O21" s="113"/>
      <c r="P21" s="113"/>
      <c r="Q21" s="113"/>
    </row>
    <row r="22" spans="1:26">
      <c r="A22" s="3"/>
      <c r="B22" s="122"/>
      <c r="C22" s="122"/>
      <c r="D22" s="334"/>
      <c r="E22" s="334"/>
      <c r="F22" s="334"/>
      <c r="G22" s="334"/>
      <c r="H22" s="334"/>
      <c r="I22" s="334"/>
      <c r="J22" s="334"/>
      <c r="K22" s="334"/>
      <c r="L22" s="334"/>
      <c r="N22" s="112">
        <v>2023</v>
      </c>
      <c r="O22" s="113"/>
      <c r="P22" s="113"/>
      <c r="Q22" s="113"/>
    </row>
    <row r="23" spans="1:26" ht="14.45" customHeight="1">
      <c r="A23" s="3"/>
      <c r="B23" s="122"/>
      <c r="C23" s="333" t="s">
        <v>356</v>
      </c>
      <c r="D23" s="333"/>
      <c r="E23" s="333"/>
      <c r="F23" s="333"/>
      <c r="G23" s="333"/>
      <c r="H23" s="333"/>
      <c r="I23" s="333"/>
      <c r="J23" s="333"/>
      <c r="K23" s="333"/>
      <c r="L23" s="333"/>
      <c r="N23" s="112">
        <v>2024</v>
      </c>
      <c r="O23" s="113"/>
      <c r="P23" s="113"/>
      <c r="Q23" s="113"/>
    </row>
    <row r="24" spans="1:26">
      <c r="A24" s="3"/>
      <c r="B24" s="122"/>
      <c r="C24" s="333"/>
      <c r="D24" s="333"/>
      <c r="E24" s="333"/>
      <c r="F24" s="333"/>
      <c r="G24" s="333"/>
      <c r="H24" s="333"/>
      <c r="I24" s="333"/>
      <c r="J24" s="333"/>
      <c r="K24" s="333"/>
      <c r="L24" s="333"/>
      <c r="N24" s="112">
        <v>2025</v>
      </c>
      <c r="O24" s="113"/>
      <c r="P24" s="113"/>
      <c r="Q24" s="113"/>
    </row>
    <row r="25" spans="1:26">
      <c r="A25" s="3"/>
      <c r="B25" s="122"/>
      <c r="C25" s="333"/>
      <c r="D25" s="333"/>
      <c r="E25" s="333"/>
      <c r="F25" s="333"/>
      <c r="G25" s="333"/>
      <c r="H25" s="333"/>
      <c r="I25" s="333"/>
      <c r="J25" s="333"/>
      <c r="K25" s="333"/>
      <c r="L25" s="333"/>
    </row>
    <row r="26" spans="1:26" ht="14.45" customHeight="1">
      <c r="A26" s="3"/>
      <c r="B26" s="119"/>
      <c r="C26" s="335" t="s">
        <v>365</v>
      </c>
      <c r="D26" s="335"/>
      <c r="E26" s="335"/>
      <c r="F26" s="335"/>
      <c r="G26" s="335"/>
      <c r="H26" s="335"/>
      <c r="I26" s="335"/>
      <c r="J26" s="335"/>
      <c r="K26" s="335"/>
      <c r="L26" s="335"/>
    </row>
    <row r="27" spans="1:26">
      <c r="B27" s="119"/>
      <c r="C27" s="335"/>
      <c r="D27" s="335"/>
      <c r="E27" s="335"/>
      <c r="F27" s="335"/>
      <c r="G27" s="335"/>
      <c r="H27" s="335"/>
      <c r="I27" s="335"/>
      <c r="J27" s="335"/>
      <c r="K27" s="335"/>
      <c r="L27" s="335"/>
      <c r="Q27" s="37"/>
    </row>
    <row r="28" spans="1:26">
      <c r="B28" s="119"/>
      <c r="C28" s="335"/>
      <c r="D28" s="335"/>
      <c r="E28" s="335"/>
      <c r="F28" s="335"/>
      <c r="G28" s="335"/>
      <c r="H28" s="335"/>
      <c r="I28" s="335"/>
      <c r="J28" s="335"/>
      <c r="K28" s="335"/>
      <c r="L28" s="335"/>
      <c r="Q28" s="37"/>
    </row>
    <row r="29" spans="1:26">
      <c r="B29" s="83"/>
      <c r="C29" s="351"/>
      <c r="D29" s="351"/>
      <c r="E29" s="351"/>
      <c r="F29" s="351"/>
      <c r="G29" s="351"/>
      <c r="H29" s="351"/>
      <c r="I29" s="351"/>
      <c r="J29" s="351"/>
      <c r="K29" s="351"/>
      <c r="L29" s="351"/>
    </row>
    <row r="30" spans="1:26">
      <c r="B30" s="122"/>
      <c r="C30" s="351"/>
      <c r="D30" s="351"/>
      <c r="E30" s="351"/>
      <c r="F30" s="351"/>
      <c r="G30" s="351"/>
      <c r="H30" s="351"/>
      <c r="I30" s="351"/>
      <c r="J30" s="351"/>
      <c r="K30" s="351"/>
      <c r="L30" s="351"/>
      <c r="M30" s="9"/>
      <c r="N30" s="31"/>
      <c r="O30" s="34"/>
      <c r="P30" s="35"/>
      <c r="Q30" s="35"/>
      <c r="R30" s="35"/>
      <c r="S30" s="35"/>
      <c r="T30" s="31"/>
    </row>
    <row r="31" spans="1:26">
      <c r="A31" s="3"/>
      <c r="B31" s="9"/>
      <c r="C31" s="9"/>
      <c r="D31" s="9"/>
      <c r="E31" s="9"/>
      <c r="F31" s="9"/>
      <c r="G31" s="9"/>
      <c r="H31" s="9"/>
      <c r="I31" s="9"/>
      <c r="J31" s="9"/>
      <c r="K31" s="9"/>
      <c r="L31" s="9"/>
      <c r="M31" s="11"/>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7" ht="23.25">
      <c r="B34" s="1"/>
      <c r="C34" s="22"/>
      <c r="D34" s="22"/>
      <c r="E34" s="22"/>
      <c r="F34" s="22"/>
      <c r="G34" s="22"/>
      <c r="H34" s="22"/>
      <c r="I34" s="22"/>
      <c r="J34" s="22"/>
      <c r="K34" s="22"/>
      <c r="L34" s="22"/>
      <c r="M34" s="31"/>
      <c r="N34" s="1"/>
      <c r="O34" s="1"/>
      <c r="P34" s="1"/>
      <c r="Q34" s="1"/>
      <c r="R34" s="1"/>
      <c r="S34" s="1"/>
      <c r="T34" s="1"/>
      <c r="V34" s="56" t="s">
        <v>61</v>
      </c>
      <c r="W34" s="56" t="s">
        <v>62</v>
      </c>
      <c r="X34" s="11"/>
      <c r="Y34" s="56" t="s">
        <v>61</v>
      </c>
      <c r="Z34" s="56" t="s">
        <v>62</v>
      </c>
    </row>
    <row r="35" spans="1:27">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7">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7">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7">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7">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7">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7">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7">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7">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7">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7">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c r="AA45" s="9"/>
    </row>
    <row r="46" spans="1:27">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c r="AA46" s="9"/>
    </row>
    <row r="47" spans="1:27">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c r="AA47" s="9"/>
    </row>
    <row r="48" spans="1:27">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c r="AA48" s="9"/>
    </row>
    <row r="49" spans="2:27">
      <c r="B49" s="1"/>
      <c r="C49" s="1"/>
      <c r="D49" s="1"/>
      <c r="E49" s="1"/>
      <c r="F49" s="1"/>
      <c r="G49" s="1"/>
      <c r="H49" s="1"/>
      <c r="I49" s="1"/>
      <c r="J49" s="1"/>
      <c r="K49" s="1"/>
      <c r="L49" s="1"/>
      <c r="M49" s="1"/>
      <c r="N49" s="1"/>
      <c r="O49" s="1"/>
      <c r="P49" s="1"/>
      <c r="Q49" s="1"/>
      <c r="R49" s="1"/>
      <c r="S49" s="1"/>
      <c r="T49" s="1"/>
      <c r="V49" s="244" t="s">
        <v>445</v>
      </c>
      <c r="W49" s="244" t="s">
        <v>462</v>
      </c>
      <c r="X49" s="9"/>
      <c r="Y49" s="244" t="s">
        <v>445</v>
      </c>
      <c r="Z49" s="244" t="s">
        <v>462</v>
      </c>
      <c r="AA49" s="9"/>
    </row>
    <row r="50" spans="2:27">
      <c r="B50" s="1"/>
      <c r="C50" s="1"/>
      <c r="D50" s="1"/>
      <c r="E50" s="1"/>
      <c r="F50" s="1"/>
      <c r="G50" s="1"/>
      <c r="H50" s="1"/>
      <c r="I50" s="1"/>
      <c r="J50" s="1"/>
      <c r="K50" s="1"/>
      <c r="L50" s="1"/>
      <c r="M50" s="1"/>
      <c r="N50" s="1"/>
      <c r="O50" s="1"/>
      <c r="P50" s="1"/>
      <c r="Q50" s="1"/>
      <c r="R50" s="1"/>
      <c r="S50" s="1"/>
      <c r="T50" s="1"/>
      <c r="V50" s="246" t="s">
        <v>446</v>
      </c>
      <c r="W50" s="244" t="s">
        <v>463</v>
      </c>
      <c r="X50" s="9"/>
      <c r="Y50" s="246" t="s">
        <v>446</v>
      </c>
      <c r="Z50" s="244" t="s">
        <v>463</v>
      </c>
      <c r="AA50" s="9"/>
    </row>
    <row r="51" spans="2:27">
      <c r="B51" s="1"/>
      <c r="C51" s="1"/>
      <c r="D51" s="1"/>
      <c r="E51" s="1"/>
      <c r="F51" s="1"/>
      <c r="G51" s="1"/>
      <c r="H51" s="1"/>
      <c r="I51" s="1"/>
      <c r="J51" s="1"/>
      <c r="K51" s="1"/>
      <c r="L51" s="1"/>
      <c r="M51" s="1"/>
      <c r="N51" s="1"/>
      <c r="O51" s="1"/>
      <c r="P51" s="1"/>
      <c r="Q51" s="1"/>
      <c r="R51" s="1"/>
      <c r="S51" s="1"/>
      <c r="T51" s="1"/>
      <c r="V51" s="247" t="s">
        <v>447</v>
      </c>
      <c r="W51" s="244" t="s">
        <v>464</v>
      </c>
      <c r="X51" s="9"/>
      <c r="Y51" s="247" t="s">
        <v>447</v>
      </c>
      <c r="Z51" s="244" t="s">
        <v>464</v>
      </c>
      <c r="AA51" s="9"/>
    </row>
    <row r="52" spans="2:27">
      <c r="B52" s="1"/>
      <c r="C52" s="1"/>
      <c r="D52" s="1"/>
      <c r="E52" s="1"/>
      <c r="F52" s="1"/>
      <c r="G52" s="1"/>
      <c r="H52" s="1"/>
      <c r="I52" s="1"/>
      <c r="J52" s="1"/>
      <c r="K52" s="1"/>
      <c r="L52" s="1"/>
      <c r="M52" s="1"/>
      <c r="N52" s="1"/>
      <c r="O52" s="1"/>
      <c r="P52" s="1"/>
      <c r="Q52" s="1"/>
      <c r="R52" s="1"/>
      <c r="S52" s="1"/>
      <c r="T52" s="1"/>
      <c r="V52" s="295"/>
      <c r="W52" s="244" t="s">
        <v>465</v>
      </c>
      <c r="X52" s="9"/>
      <c r="Y52" s="284"/>
      <c r="Z52" s="244" t="s">
        <v>465</v>
      </c>
      <c r="AA52" s="9"/>
    </row>
    <row r="53" spans="2:27">
      <c r="B53" s="1"/>
      <c r="C53" s="1"/>
      <c r="D53" s="1"/>
      <c r="E53" s="1"/>
      <c r="F53" s="1"/>
      <c r="G53" s="1"/>
      <c r="H53" s="1"/>
      <c r="I53" s="1"/>
      <c r="J53" s="1"/>
      <c r="K53" s="1"/>
      <c r="L53" s="1"/>
      <c r="M53" s="1"/>
      <c r="N53" s="1"/>
      <c r="O53" s="1"/>
      <c r="P53" s="1"/>
      <c r="Q53" s="1"/>
      <c r="R53" s="1"/>
      <c r="S53" s="1"/>
      <c r="T53" s="1"/>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row r="56" spans="2:27">
      <c r="V56" s="9"/>
      <c r="W56" s="9"/>
      <c r="X56" s="9"/>
      <c r="Y56" s="9"/>
      <c r="Z56" s="9"/>
      <c r="AA56" s="9"/>
    </row>
    <row r="57" spans="2:27">
      <c r="V57" s="9"/>
      <c r="W57" s="9"/>
      <c r="X57" s="9"/>
      <c r="Y57" s="9"/>
      <c r="Z57" s="9"/>
      <c r="AA57" s="9"/>
    </row>
    <row r="58" spans="2:27">
      <c r="V58" s="9"/>
      <c r="W58" s="9"/>
      <c r="X58" s="9"/>
      <c r="Y58" s="9"/>
      <c r="Z58" s="9"/>
      <c r="AA58" s="9"/>
    </row>
  </sheetData>
  <mergeCells count="24">
    <mergeCell ref="B11:L11"/>
    <mergeCell ref="C12:L12"/>
    <mergeCell ref="C13:L13"/>
    <mergeCell ref="C14:L14"/>
    <mergeCell ref="B3:T3"/>
    <mergeCell ref="B4:T4"/>
    <mergeCell ref="B5:T5"/>
    <mergeCell ref="B9:L9"/>
    <mergeCell ref="N9:T9"/>
    <mergeCell ref="Q7:T7"/>
    <mergeCell ref="Y32:Z32"/>
    <mergeCell ref="Y33:Z33"/>
    <mergeCell ref="V33:W33"/>
    <mergeCell ref="C15:L15"/>
    <mergeCell ref="B17:L17"/>
    <mergeCell ref="C18:L18"/>
    <mergeCell ref="C19:L19"/>
    <mergeCell ref="C20:L20"/>
    <mergeCell ref="D21:L22"/>
    <mergeCell ref="C23:L25"/>
    <mergeCell ref="C26:L28"/>
    <mergeCell ref="C29:L30"/>
    <mergeCell ref="B32:T32"/>
    <mergeCell ref="V32:W32"/>
  </mergeCells>
  <hyperlinks>
    <hyperlink ref="Q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9">
    <tabColor rgb="FFB49073"/>
  </sheetPr>
  <dimension ref="A1:Y6897"/>
  <sheetViews>
    <sheetView showGridLines="0" showRowColHeaders="0" zoomScale="70" zoomScaleNormal="70" workbookViewId="0"/>
  </sheetViews>
  <sheetFormatPr defaultRowHeight="14.25"/>
  <cols>
    <col min="1" max="1" width="15.796875" customWidth="1"/>
    <col min="2" max="2" width="26.796875" customWidth="1"/>
    <col min="3" max="3" width="30.796875" customWidth="1"/>
    <col min="4" max="5" width="26.796875" customWidth="1"/>
    <col min="6" max="7" width="5.796875" customWidth="1"/>
    <col min="8" max="14" width="26.796875" customWidth="1"/>
    <col min="15" max="16" width="2.796875" customWidth="1"/>
    <col min="17" max="17" width="15.796875" customWidth="1"/>
    <col min="18" max="18" width="31.796875" customWidth="1"/>
    <col min="19" max="19" width="5.796875" customWidth="1"/>
    <col min="20" max="24" width="12.796875" customWidth="1"/>
  </cols>
  <sheetData>
    <row r="1" spans="1:24" ht="15.75">
      <c r="A1" s="16" t="s">
        <v>202</v>
      </c>
      <c r="J1" s="78"/>
    </row>
    <row r="2" spans="1:24" ht="15.75">
      <c r="A2" s="26" t="s">
        <v>35</v>
      </c>
      <c r="C2" s="27">
        <v>42977</v>
      </c>
      <c r="E2" s="342" t="s">
        <v>44</v>
      </c>
      <c r="F2" s="342"/>
      <c r="G2" s="342"/>
      <c r="H2" s="342"/>
    </row>
    <row r="3" spans="1:24" ht="23.25">
      <c r="A3" s="354" t="s">
        <v>7</v>
      </c>
      <c r="B3" s="354"/>
      <c r="C3" s="354"/>
      <c r="D3" s="354"/>
      <c r="E3" s="354"/>
      <c r="F3" s="354"/>
      <c r="G3" s="354"/>
      <c r="H3" s="354"/>
    </row>
    <row r="4" spans="1:24">
      <c r="A4" s="119"/>
      <c r="B4" s="119"/>
      <c r="C4" s="119"/>
      <c r="D4" s="119"/>
      <c r="E4" s="119"/>
      <c r="F4" s="119"/>
      <c r="G4" s="119"/>
      <c r="H4" s="119"/>
    </row>
    <row r="5" spans="1:24">
      <c r="A5" s="119"/>
      <c r="B5" s="352" t="s">
        <v>374</v>
      </c>
      <c r="C5" s="352"/>
      <c r="D5" s="352"/>
      <c r="E5" s="352"/>
      <c r="F5" s="352"/>
      <c r="G5" s="352"/>
      <c r="H5" s="352"/>
    </row>
    <row r="6" spans="1:24">
      <c r="A6" s="119"/>
      <c r="B6" s="352" t="s">
        <v>336</v>
      </c>
      <c r="C6" s="352"/>
      <c r="D6" s="352"/>
      <c r="E6" s="352"/>
      <c r="F6" s="352"/>
      <c r="G6" s="352"/>
      <c r="H6" s="352"/>
    </row>
    <row r="7" spans="1:24">
      <c r="A7" s="119"/>
      <c r="B7" s="352" t="s">
        <v>337</v>
      </c>
      <c r="C7" s="352"/>
      <c r="D7" s="352"/>
      <c r="E7" s="352"/>
      <c r="F7" s="352"/>
      <c r="G7" s="352"/>
      <c r="H7" s="352"/>
    </row>
    <row r="8" spans="1:24">
      <c r="A8" s="119"/>
      <c r="B8" s="353" t="s">
        <v>620</v>
      </c>
      <c r="C8" s="353"/>
      <c r="D8" s="353"/>
      <c r="E8" s="353"/>
      <c r="F8" s="353"/>
      <c r="G8" s="353"/>
      <c r="H8" s="353"/>
    </row>
    <row r="9" spans="1:24">
      <c r="A9" s="119"/>
      <c r="B9" s="353" t="s">
        <v>621</v>
      </c>
      <c r="C9" s="353"/>
      <c r="D9" s="353"/>
      <c r="E9" s="353"/>
      <c r="F9" s="353"/>
      <c r="G9" s="353"/>
      <c r="H9" s="353"/>
    </row>
    <row r="10" spans="1:24">
      <c r="A10" s="119"/>
      <c r="B10" s="353"/>
      <c r="C10" s="353"/>
      <c r="D10" s="353"/>
      <c r="E10" s="353"/>
      <c r="F10" s="353"/>
      <c r="G10" s="353"/>
      <c r="H10" s="353"/>
    </row>
    <row r="11" spans="1:24">
      <c r="A11" s="11"/>
      <c r="B11" s="187"/>
      <c r="C11" s="187"/>
      <c r="D11" s="187"/>
      <c r="E11" s="187"/>
      <c r="F11" s="187"/>
      <c r="G11" s="187"/>
      <c r="H11" s="187"/>
    </row>
    <row r="12" spans="1:24" ht="35.450000000000003" customHeight="1" thickBot="1">
      <c r="A12" s="137" t="s">
        <v>69</v>
      </c>
      <c r="B12" s="138" t="s">
        <v>70</v>
      </c>
      <c r="C12" s="138" t="s">
        <v>71</v>
      </c>
      <c r="D12" s="138" t="s">
        <v>72</v>
      </c>
      <c r="E12" s="76" t="s">
        <v>140</v>
      </c>
      <c r="F12" s="75"/>
      <c r="G12" s="76" t="s">
        <v>2</v>
      </c>
      <c r="H12" s="76" t="s">
        <v>364</v>
      </c>
      <c r="I12" s="76" t="s">
        <v>153</v>
      </c>
      <c r="J12" s="76" t="s">
        <v>158</v>
      </c>
      <c r="K12" s="76" t="s">
        <v>162</v>
      </c>
      <c r="L12" s="76" t="s">
        <v>178</v>
      </c>
      <c r="M12" s="76" t="s">
        <v>188</v>
      </c>
      <c r="N12" s="76" t="s">
        <v>209</v>
      </c>
      <c r="Q12" s="355" t="s">
        <v>195</v>
      </c>
      <c r="R12" s="355"/>
      <c r="T12" s="321" t="s">
        <v>46</v>
      </c>
      <c r="U12" s="321"/>
      <c r="V12" s="11"/>
      <c r="W12" s="318" t="s">
        <v>46</v>
      </c>
      <c r="X12" s="318"/>
    </row>
    <row r="13" spans="1:24" ht="14.45" customHeight="1">
      <c r="A13" s="64">
        <v>41659</v>
      </c>
      <c r="B13" s="65" t="s">
        <v>102</v>
      </c>
      <c r="C13" s="65" t="s">
        <v>85</v>
      </c>
      <c r="D13" s="65" t="s">
        <v>75</v>
      </c>
      <c r="E13" t="str">
        <f t="shared" ref="E13:E76" si="0">VLOOKUP(B13,$Q$13:$R$61,2,FALSE)</f>
        <v>Delregion Södra Älvsborg</v>
      </c>
      <c r="G13">
        <v>2014</v>
      </c>
      <c r="H13" s="68" t="s">
        <v>75</v>
      </c>
      <c r="I13">
        <f>COUNTIFS($E:$E,"=Delregion Fyrbodal",$D:$D,"=Socialtjänst",$A:$A,"&gt;2014-01-01",$A:$A,"&lt;2014-12-31")</f>
        <v>30</v>
      </c>
      <c r="J13">
        <f>COUNTIFS($E:$E,"=Delregion Göteborg",$D:$D,"=Socialtjänst",$A:$A,"&gt;2014-01-01",$A:$A,"&lt;2014-12-31")</f>
        <v>61</v>
      </c>
      <c r="K13">
        <f>COUNTIFS($E:$E,"=Delregion SIMBA",$D:$D,"=Socialtjänst",$A:$A,"&gt;2014-01-01",$A:$A,"&lt;2014-12-31")</f>
        <v>11</v>
      </c>
      <c r="L13">
        <f>COUNTIFS($E:$E,"=Delregion Skaraborg",$D:$D,"=Socialtjänst",$A:$A,"&gt;2014-01-01",$A:$A,"&lt;2014-12-31")</f>
        <v>20</v>
      </c>
      <c r="M13">
        <f>COUNTIFS($E:$E,"=Delregion Södra Älvsborg",$D:$D,"=Socialtjänst",$A:$A,"&gt;2014-01-01",$A:$A,"&lt;2014-12-31")</f>
        <v>21</v>
      </c>
      <c r="N13">
        <f>SUM(I13:M13)</f>
        <v>143</v>
      </c>
      <c r="Q13" s="68" t="s">
        <v>189</v>
      </c>
      <c r="R13" t="s">
        <v>153</v>
      </c>
      <c r="T13" s="319" t="s">
        <v>65</v>
      </c>
      <c r="U13" s="320"/>
      <c r="V13" s="11"/>
      <c r="W13" s="319" t="s">
        <v>66</v>
      </c>
      <c r="X13" s="320"/>
    </row>
    <row r="14" spans="1:24" ht="14.45" customHeight="1">
      <c r="A14" s="64">
        <v>41661</v>
      </c>
      <c r="B14" s="65" t="s">
        <v>112</v>
      </c>
      <c r="C14" s="65" t="s">
        <v>85</v>
      </c>
      <c r="D14" s="65" t="s">
        <v>75</v>
      </c>
      <c r="E14" t="str">
        <f t="shared" si="0"/>
        <v>Delregion Göteborg</v>
      </c>
      <c r="G14">
        <v>2014</v>
      </c>
      <c r="H14" s="68" t="s">
        <v>85</v>
      </c>
      <c r="I14">
        <f>COUNTIFS($E:$E,"=Delregion Fyrbodal",$C:$C,"=Barn och familj",$A:$A,"&gt;2014-01-01",$A:$A,"&lt;2014-12-31")</f>
        <v>16</v>
      </c>
      <c r="J14">
        <f>COUNTIFS($E:$E,"=Delregion Göteborg",$C:$C,"=Barn och familj",$A:$A,"&gt;2014-01-01",$A:$A,"&lt;2014-12-31")</f>
        <v>23</v>
      </c>
      <c r="K14">
        <f>COUNTIFS($E:$E,"=Delregion SIMBA",$C:$C,"=Barn och familj",$A:$A,"&gt;2014-01-01",$A:$A,"&lt;2014-12-31")</f>
        <v>6</v>
      </c>
      <c r="L14">
        <f>COUNTIFS($E:$E,"=Delregion Skaraborg",$C:$C,"=Barn och familj",$A:$A,"&gt;2014-01-01",$A:$A,"&lt;2014-12-31")</f>
        <v>13</v>
      </c>
      <c r="M14">
        <f>COUNTIFS($E:$E,"=Delregion Södra Älvsborg",$C:$C,"=Barn och familj",$A:$A,"&gt;2014-01-01",$A:$A,"&lt;2014-12-31")</f>
        <v>11</v>
      </c>
      <c r="N14">
        <f t="shared" ref="N14:N30" si="1">SUM(I14:M14)</f>
        <v>69</v>
      </c>
      <c r="Q14" s="69" t="s">
        <v>141</v>
      </c>
      <c r="R14" t="s">
        <v>153</v>
      </c>
      <c r="T14" s="56" t="s">
        <v>61</v>
      </c>
      <c r="U14" s="56" t="s">
        <v>62</v>
      </c>
      <c r="V14" s="11"/>
      <c r="W14" s="56" t="s">
        <v>61</v>
      </c>
      <c r="X14" s="56" t="s">
        <v>62</v>
      </c>
    </row>
    <row r="15" spans="1:24" ht="14.45" customHeight="1">
      <c r="A15" s="64">
        <v>41669</v>
      </c>
      <c r="B15" s="65" t="s">
        <v>95</v>
      </c>
      <c r="C15" s="65" t="s">
        <v>85</v>
      </c>
      <c r="D15" s="65" t="s">
        <v>75</v>
      </c>
      <c r="E15" t="str">
        <f t="shared" si="0"/>
        <v>Delregion Södra Älvsborg</v>
      </c>
      <c r="G15">
        <v>2014</v>
      </c>
      <c r="H15" s="68" t="s">
        <v>88</v>
      </c>
      <c r="I15">
        <f>COUNTIFS($E:$E,"=Delregion Fyrbodal",$C:$C,"=Familjerätt",$A:$A,"&gt;2014-01-01",$A:$A,"&lt;2014-12-31")</f>
        <v>1</v>
      </c>
      <c r="J15">
        <f>COUNTIFS($E:$E,"=Delregion Göteborg",$C:$C,"=Familjerätt",$A:$A,"&gt;2014-01-01",$A:$A,"&lt;2014-12-31")</f>
        <v>2</v>
      </c>
      <c r="K15">
        <f>COUNTIFS($E:$E,"=Delregion SIMBA",$C:$C,"=Familjerätt",$A:$A,"&gt;2014-01-01",$A:$A,"&lt;2014-12-31")</f>
        <v>0</v>
      </c>
      <c r="L15">
        <f>COUNTIFS($E:$E,"=Delregion Skaraborg",$C:$C,"=Familjerätt",$A:$A,"&gt;2014-01-01",$A:$A,"&lt;2014-12-31")</f>
        <v>2</v>
      </c>
      <c r="M15">
        <f>COUNTIFS($E:$E,"=Delregion Södra Älvsborg",$C:$C,"=Familjerätt",$A:$A,"&gt;2014-01-01",$A:$A,"&lt;2014-12-31")</f>
        <v>2</v>
      </c>
      <c r="N15">
        <f t="shared" si="1"/>
        <v>7</v>
      </c>
      <c r="Q15" s="69" t="s">
        <v>142</v>
      </c>
      <c r="R15" t="s">
        <v>153</v>
      </c>
      <c r="T15" s="244" t="s">
        <v>392</v>
      </c>
      <c r="U15" s="244" t="s">
        <v>448</v>
      </c>
      <c r="V15" s="11"/>
      <c r="W15" s="244" t="s">
        <v>392</v>
      </c>
      <c r="X15" s="244" t="s">
        <v>448</v>
      </c>
    </row>
    <row r="16" spans="1:24" ht="14.45" customHeight="1">
      <c r="A16" s="64">
        <v>41680</v>
      </c>
      <c r="B16" s="65" t="s">
        <v>104</v>
      </c>
      <c r="C16" s="65" t="s">
        <v>85</v>
      </c>
      <c r="D16" s="65" t="s">
        <v>75</v>
      </c>
      <c r="E16" t="str">
        <f t="shared" si="0"/>
        <v>Delregion SIMBA</v>
      </c>
      <c r="G16">
        <v>2014</v>
      </c>
      <c r="H16" s="68" t="s">
        <v>126</v>
      </c>
      <c r="I16">
        <f>COUNTIFS($E:$E,"=Delregion Fyrbodal",$D:$D,"=Hälso- och sjukvård",$A:$A,"&gt;2014-01-01",$A:$A,"&lt;2014-12-31")</f>
        <v>19</v>
      </c>
      <c r="J16">
        <f>COUNTIFS($E:$E,"=Delregion Göteborg",$D:$D,"=Hälso- och sjukvård",$A:$A,"&gt;2014-01-01",$A:$A,"&lt;2014-12-31")</f>
        <v>51</v>
      </c>
      <c r="K16">
        <f>COUNTIFS($E:$E,"=Delregion SIMBA",$D:$D,"=Hälso- och sjukvård",$A:$A,"&gt;2014-01-01",$A:$A,"&lt;2014-12-31")</f>
        <v>6</v>
      </c>
      <c r="L16">
        <f>COUNTIFS($E:$E,"=Delregion Skaraborg",$D:$D,"=Hälso- och sjukvård",$A:$A,"&gt;2014-01-01",$A:$A,"&lt;2014-12-31")</f>
        <v>8</v>
      </c>
      <c r="M16">
        <f>COUNTIFS($E:$E,"=Delregion Södra Älvsborg",$D:$D,"=Hälso- och sjukvård",$A:$A,"&gt;2014-01-01",$A:$A,"&lt;2014-12-31")</f>
        <v>19</v>
      </c>
      <c r="N16">
        <f t="shared" si="1"/>
        <v>103</v>
      </c>
      <c r="Q16" s="69" t="s">
        <v>143</v>
      </c>
      <c r="R16" t="s">
        <v>153</v>
      </c>
      <c r="T16" s="244" t="s">
        <v>393</v>
      </c>
      <c r="U16" s="244" t="s">
        <v>449</v>
      </c>
      <c r="V16" s="11"/>
      <c r="W16" s="244" t="s">
        <v>393</v>
      </c>
      <c r="X16" s="244" t="s">
        <v>449</v>
      </c>
    </row>
    <row r="17" spans="1:24" ht="14.45" customHeight="1">
      <c r="A17" s="64">
        <v>41682</v>
      </c>
      <c r="B17" s="65" t="s">
        <v>73</v>
      </c>
      <c r="C17" s="65" t="s">
        <v>85</v>
      </c>
      <c r="D17" s="65" t="s">
        <v>75</v>
      </c>
      <c r="E17" t="str">
        <f t="shared" si="0"/>
        <v>Delregion Göteborg</v>
      </c>
      <c r="G17">
        <v>2014</v>
      </c>
      <c r="H17" s="68" t="s">
        <v>138</v>
      </c>
      <c r="I17">
        <f>COUNTIFS($E:$E,"=Delregion Fyrbodal",$C:$C,"=Elevhälsa",$A:$A,"&gt;2014-01-01",$A:$A,"&lt;2014-12-31")</f>
        <v>0</v>
      </c>
      <c r="J17">
        <f>COUNTIFS($E:$E,"=Delregion Göteborg",$C:$C,"=Elevhälsa",$A:$A,"&gt;2014-01-01",$A:$A,"&lt;2014-12-31")</f>
        <v>0</v>
      </c>
      <c r="K17">
        <f>COUNTIFS($E:$E,"=Delregion SIMBA",$C:$C,"=Elevhälsa",$A:$A,"&gt;2014-01-01",$A:$A,"&lt;2014-12-31")</f>
        <v>0</v>
      </c>
      <c r="L17">
        <f>COUNTIFS($E:$E,"=Delregion Skaraborg",$C:$C,"=Elevhälsa",$A:$A,"&gt;2014-01-01",$A:$A,"&lt;2014-12-31")</f>
        <v>0</v>
      </c>
      <c r="M17">
        <f>COUNTIFS($E:$E,"=Delregion Södra Älvsborg",$C:$C,"=Elevhälsa",$A:$A,"&gt;2014-01-01",$A:$A,"&lt;2014-12-31")</f>
        <v>0</v>
      </c>
      <c r="N17">
        <f t="shared" si="1"/>
        <v>0</v>
      </c>
      <c r="Q17" s="69" t="s">
        <v>144</v>
      </c>
      <c r="R17" t="s">
        <v>153</v>
      </c>
      <c r="T17" s="244" t="s">
        <v>394</v>
      </c>
      <c r="U17" s="244" t="s">
        <v>450</v>
      </c>
      <c r="V17" s="11"/>
      <c r="W17" s="244" t="s">
        <v>394</v>
      </c>
      <c r="X17" s="244" t="s">
        <v>450</v>
      </c>
    </row>
    <row r="18" spans="1:24" ht="14.45" customHeight="1">
      <c r="A18" s="64">
        <v>41694</v>
      </c>
      <c r="B18" s="65" t="s">
        <v>73</v>
      </c>
      <c r="C18" s="65" t="s">
        <v>85</v>
      </c>
      <c r="D18" s="65" t="s">
        <v>75</v>
      </c>
      <c r="E18" t="str">
        <f t="shared" si="0"/>
        <v>Delregion Göteborg</v>
      </c>
      <c r="G18">
        <v>2014</v>
      </c>
      <c r="H18" s="68" t="s">
        <v>198</v>
      </c>
      <c r="I18">
        <f>SUM(I13:I16)</f>
        <v>66</v>
      </c>
      <c r="J18">
        <f>SUM(J13:J16)</f>
        <v>137</v>
      </c>
      <c r="K18">
        <f>SUM(K13:K16)</f>
        <v>23</v>
      </c>
      <c r="L18">
        <f>SUM(L13:L16)</f>
        <v>43</v>
      </c>
      <c r="M18">
        <f>SUM(M13:M16)</f>
        <v>53</v>
      </c>
      <c r="N18">
        <f t="shared" si="1"/>
        <v>322</v>
      </c>
      <c r="Q18" s="68" t="s">
        <v>190</v>
      </c>
      <c r="R18" t="s">
        <v>153</v>
      </c>
      <c r="T18" s="244" t="s">
        <v>434</v>
      </c>
      <c r="U18" s="244" t="s">
        <v>451</v>
      </c>
      <c r="V18" s="11"/>
      <c r="W18" s="244" t="s">
        <v>434</v>
      </c>
      <c r="X18" s="244" t="s">
        <v>451</v>
      </c>
    </row>
    <row r="19" spans="1:24" ht="14.45" customHeight="1">
      <c r="A19" s="64">
        <v>41704</v>
      </c>
      <c r="B19" s="65" t="s">
        <v>102</v>
      </c>
      <c r="C19" s="65" t="s">
        <v>85</v>
      </c>
      <c r="D19" s="65" t="s">
        <v>75</v>
      </c>
      <c r="E19" t="str">
        <f t="shared" si="0"/>
        <v>Delregion Södra Älvsborg</v>
      </c>
      <c r="G19">
        <v>2015</v>
      </c>
      <c r="H19" s="68" t="s">
        <v>75</v>
      </c>
      <c r="I19">
        <f>COUNTIFS($E:$E,"=Delregion Fyrbodal",$D:$D,"=Socialtjänst",$A:$A,"&gt;2015-01-01",$A:$A,"&lt;2015-12-31")</f>
        <v>22</v>
      </c>
      <c r="J19">
        <f>COUNTIFS($E:$E,"=Delregion Göteborg",$D:$D,"=Socialtjänst",$A:$A,"&gt;2015-01-01",$A:$A,"&lt;2015-12-31")</f>
        <v>61</v>
      </c>
      <c r="K19">
        <f>COUNTIFS($E:$E,"=Delregion SIMBA",$D:$D,"=Socialtjänst",$A:$A,"&gt;2015-01-01",$A:$A,"&lt;2015-12-31")</f>
        <v>9</v>
      </c>
      <c r="L19">
        <f>COUNTIFS($E:$E,"=Delregion Skaraborg",$D:$D,"=Socialtjänst",$A:$A,"&gt;2015-01-01",$A:$A,"&lt;2015-12-31")</f>
        <v>23</v>
      </c>
      <c r="M19">
        <f>COUNTIFS($E:$E,"=Delregion Södra Älvsborg",$D:$D,"=Socialtjänst",$A:$A,"&gt;2015-01-01",$A:$A,"&lt;2015-12-31")</f>
        <v>19</v>
      </c>
      <c r="N19">
        <f t="shared" si="1"/>
        <v>134</v>
      </c>
      <c r="Q19" s="69" t="s">
        <v>145</v>
      </c>
      <c r="R19" t="s">
        <v>153</v>
      </c>
      <c r="T19" s="244" t="s">
        <v>435</v>
      </c>
      <c r="U19" s="244" t="s">
        <v>452</v>
      </c>
      <c r="W19" s="244" t="s">
        <v>435</v>
      </c>
      <c r="X19" s="244" t="s">
        <v>452</v>
      </c>
    </row>
    <row r="20" spans="1:24" ht="14.45" customHeight="1">
      <c r="A20" s="64">
        <v>41708</v>
      </c>
      <c r="B20" s="65" t="s">
        <v>90</v>
      </c>
      <c r="C20" s="65" t="s">
        <v>85</v>
      </c>
      <c r="D20" s="65" t="s">
        <v>75</v>
      </c>
      <c r="E20" t="str">
        <f t="shared" si="0"/>
        <v>Delregion Skaraborg</v>
      </c>
      <c r="G20">
        <v>2015</v>
      </c>
      <c r="H20" s="68" t="s">
        <v>85</v>
      </c>
      <c r="I20">
        <f>COUNTIFS($E:$E,"=Delregion Fyrbodal",$C:$C,"=Barn och familj",$A:$A,"&gt;2015-01-01",$A:$A,"&lt;2015-12-31")</f>
        <v>15</v>
      </c>
      <c r="J20">
        <f>COUNTIFS($E:$E,"=Delregion Göteborg",$C:$C,"=Barn och familj",$A:$A,"&gt;2015-01-01",$A:$A,"&lt;2015-12-31")</f>
        <v>42</v>
      </c>
      <c r="K20">
        <f>COUNTIFS($E:$E,"=Delregion SIMBA",$C:$C,"=Barn och familj",$A:$A,"&gt;2015-01-01",$A:$A,"&lt;2015-12-31")</f>
        <v>8</v>
      </c>
      <c r="L20">
        <f>COUNTIFS($E:$E,"=Delregion Skaraborg",$C:$C,"=Barn och familj",$A:$A,"&gt;2015-01-01",$A:$A,"&lt;2015-12-31")</f>
        <v>16</v>
      </c>
      <c r="M20">
        <f>COUNTIFS($E:$E,"=Delregion Södra Älvsborg",$C:$C,"=Barn och familj",$A:$A,"&gt;2015-01-01",$A:$A,"&lt;2015-12-31")</f>
        <v>4</v>
      </c>
      <c r="N20">
        <f t="shared" si="1"/>
        <v>85</v>
      </c>
      <c r="Q20" s="69" t="s">
        <v>146</v>
      </c>
      <c r="R20" t="s">
        <v>153</v>
      </c>
      <c r="T20" s="244" t="s">
        <v>436</v>
      </c>
      <c r="U20" s="244" t="s">
        <v>453</v>
      </c>
      <c r="W20" s="244" t="s">
        <v>436</v>
      </c>
      <c r="X20" s="244" t="s">
        <v>453</v>
      </c>
    </row>
    <row r="21" spans="1:24" ht="14.45" customHeight="1">
      <c r="A21" s="64">
        <v>41709</v>
      </c>
      <c r="B21" s="65" t="s">
        <v>73</v>
      </c>
      <c r="C21" s="65" t="s">
        <v>85</v>
      </c>
      <c r="D21" s="65" t="s">
        <v>75</v>
      </c>
      <c r="E21" t="str">
        <f t="shared" si="0"/>
        <v>Delregion Göteborg</v>
      </c>
      <c r="G21">
        <v>2015</v>
      </c>
      <c r="H21" s="68" t="s">
        <v>88</v>
      </c>
      <c r="I21">
        <f>COUNTIFS($E:$E,"=Delregion Fyrbodal",$C:$C,"=Familjerätt",$A:$A,"&gt;2015-01-01",$A:$A,"&lt;2015-12-31")</f>
        <v>1</v>
      </c>
      <c r="J21">
        <f>COUNTIFS($E:$E,"=Delregion Göteborg",$C:$C,"=Familjerätt",$A:$A,"&gt;2015-01-01",$A:$A,"&lt;2015-12-31")</f>
        <v>3</v>
      </c>
      <c r="K21">
        <f>COUNTIFS($E:$E,"=Delregion SIMBA",$C:$C,"=Familjerätt",$A:$A,"&gt;2015-01-01",$A:$A,"&lt;2015-12-31")</f>
        <v>0</v>
      </c>
      <c r="L21">
        <f>COUNTIFS($E:$E,"=Delregion Skaraborg",$C:$C,"=Familjerätt",$A:$A,"&gt;2015-01-01",$A:$A,"&lt;2015-12-31")</f>
        <v>2</v>
      </c>
      <c r="M21">
        <f>COUNTIFS($E:$E,"=Delregion Södra Älvsborg",$C:$C,"=Familjerätt",$A:$A,"&gt;2015-01-01",$A:$A,"&lt;2015-12-31")</f>
        <v>1</v>
      </c>
      <c r="N21">
        <f t="shared" si="1"/>
        <v>7</v>
      </c>
      <c r="Q21" s="69" t="s">
        <v>147</v>
      </c>
      <c r="R21" t="s">
        <v>153</v>
      </c>
      <c r="T21" s="244" t="s">
        <v>437</v>
      </c>
      <c r="U21" s="245" t="s">
        <v>454</v>
      </c>
      <c r="W21" s="244" t="s">
        <v>437</v>
      </c>
      <c r="X21" s="245" t="s">
        <v>454</v>
      </c>
    </row>
    <row r="22" spans="1:24" ht="14.45" customHeight="1">
      <c r="A22" s="64">
        <v>41716</v>
      </c>
      <c r="B22" s="65" t="s">
        <v>94</v>
      </c>
      <c r="C22" s="65" t="s">
        <v>85</v>
      </c>
      <c r="D22" s="65" t="s">
        <v>75</v>
      </c>
      <c r="E22" t="str">
        <f t="shared" si="0"/>
        <v>Delregion Fyrbodal</v>
      </c>
      <c r="G22">
        <v>2015</v>
      </c>
      <c r="H22" s="68" t="s">
        <v>126</v>
      </c>
      <c r="I22">
        <f>COUNTIFS($E:$E,"=Delregion Fyrbodal",$D:$D,"=Hälso- och sjukvård",$A:$A,"&gt;2015-01-01",$A:$A,"&lt;2015-12-31")</f>
        <v>14</v>
      </c>
      <c r="J22">
        <f>COUNTIFS($E:$E,"=Delregion Göteborg",$D:$D,"=Hälso- och sjukvård",$A:$A,"&gt;2015-01-01",$A:$A,"&lt;2015-12-31")</f>
        <v>65</v>
      </c>
      <c r="K22">
        <f>COUNTIFS($E:$E,"=Delregion SIMBA",$D:$D,"=Hälso- och sjukvård",$A:$A,"&gt;2015-01-01",$A:$A,"&lt;2015-12-31")</f>
        <v>3</v>
      </c>
      <c r="L22">
        <f>COUNTIFS($E:$E,"=Delregion Skaraborg",$D:$D,"=Hälso- och sjukvård",$A:$A,"&gt;2015-01-01",$A:$A,"&lt;2015-12-31")</f>
        <v>9</v>
      </c>
      <c r="M22">
        <f>COUNTIFS($E:$E,"=Delregion Södra Älvsborg",$D:$D,"=Hälso- och sjukvård",$A:$A,"&gt;2015-01-01",$A:$A,"&lt;2015-12-31")</f>
        <v>12</v>
      </c>
      <c r="N22">
        <f t="shared" si="1"/>
        <v>103</v>
      </c>
      <c r="Q22" s="69" t="s">
        <v>148</v>
      </c>
      <c r="R22" t="s">
        <v>153</v>
      </c>
      <c r="T22" s="244" t="s">
        <v>438</v>
      </c>
      <c r="U22" s="244" t="s">
        <v>455</v>
      </c>
      <c r="W22" s="244" t="s">
        <v>438</v>
      </c>
      <c r="X22" s="244" t="s">
        <v>455</v>
      </c>
    </row>
    <row r="23" spans="1:24" ht="14.45" customHeight="1">
      <c r="A23" s="64">
        <v>41717</v>
      </c>
      <c r="B23" s="65" t="s">
        <v>114</v>
      </c>
      <c r="C23" s="65" t="s">
        <v>85</v>
      </c>
      <c r="D23" s="65" t="s">
        <v>75</v>
      </c>
      <c r="E23" t="str">
        <f t="shared" si="0"/>
        <v>Delregion Fyrbodal</v>
      </c>
      <c r="G23">
        <v>2015</v>
      </c>
      <c r="H23" s="68" t="s">
        <v>138</v>
      </c>
      <c r="I23">
        <f>COUNTIFS($E:$E,"=Delregion Fyrbodal",$C:$C,"=Elevhälsa",$A:$A,"&gt;2015-01-01",$A:$A,"&lt;2015-12-31")</f>
        <v>0</v>
      </c>
      <c r="J23">
        <f>COUNTIFS($E:$E,"=Delregion Göteborg",$C:$C,"=Elevhälsa",$A:$A,"&gt;2015-01-01",$A:$A,"&lt;2015-12-31")</f>
        <v>1</v>
      </c>
      <c r="K23">
        <f>COUNTIFS($E:$E,"=Delregion SIMBA",$C:$C,"=Elevhälsa",$A:$A,"&gt;2015-01-01",$A:$A,"&lt;2015-12-31")</f>
        <v>0</v>
      </c>
      <c r="L23">
        <f>COUNTIFS($E:$E,"=Delregion Skaraborg",$C:$C,"=Elevhälsa",$A:$A,"&gt;2015-01-01",$A:$A,"&lt;2015-12-31")</f>
        <v>0</v>
      </c>
      <c r="M23">
        <f>COUNTIFS($E:$E,"=Delregion Södra Älvsborg",$C:$C,"=Elevhälsa",$A:$A,"&gt;2015-01-01",$A:$A,"&lt;2015-12-31")</f>
        <v>0</v>
      </c>
      <c r="N23">
        <f t="shared" si="1"/>
        <v>1</v>
      </c>
      <c r="Q23" s="69" t="s">
        <v>149</v>
      </c>
      <c r="R23" t="s">
        <v>153</v>
      </c>
      <c r="T23" s="245" t="s">
        <v>439</v>
      </c>
      <c r="U23" s="244" t="s">
        <v>456</v>
      </c>
      <c r="W23" s="244" t="s">
        <v>439</v>
      </c>
      <c r="X23" s="244" t="s">
        <v>456</v>
      </c>
    </row>
    <row r="24" spans="1:24" ht="14.45" customHeight="1">
      <c r="A24" s="64">
        <v>41717</v>
      </c>
      <c r="B24" s="65" t="s">
        <v>114</v>
      </c>
      <c r="C24" s="65" t="s">
        <v>85</v>
      </c>
      <c r="D24" s="65" t="s">
        <v>75</v>
      </c>
      <c r="E24" t="str">
        <f t="shared" si="0"/>
        <v>Delregion Fyrbodal</v>
      </c>
      <c r="G24">
        <v>2015</v>
      </c>
      <c r="H24" s="68" t="s">
        <v>198</v>
      </c>
      <c r="I24">
        <f>SUM(I19:I22)</f>
        <v>52</v>
      </c>
      <c r="J24">
        <f>SUM(J19:J22)</f>
        <v>171</v>
      </c>
      <c r="K24">
        <f>SUM(K19:K22)</f>
        <v>20</v>
      </c>
      <c r="L24">
        <f>SUM(L19:L22)</f>
        <v>50</v>
      </c>
      <c r="M24">
        <f>SUM(M19:M22)</f>
        <v>36</v>
      </c>
      <c r="N24">
        <f t="shared" si="1"/>
        <v>329</v>
      </c>
      <c r="Q24" s="69" t="s">
        <v>150</v>
      </c>
      <c r="R24" t="s">
        <v>153</v>
      </c>
      <c r="T24" s="244" t="s">
        <v>440</v>
      </c>
      <c r="U24" s="244" t="s">
        <v>457</v>
      </c>
      <c r="W24" s="244" t="s">
        <v>440</v>
      </c>
      <c r="X24" s="244" t="s">
        <v>457</v>
      </c>
    </row>
    <row r="25" spans="1:24" ht="14.45" customHeight="1">
      <c r="A25" s="64">
        <v>41717</v>
      </c>
      <c r="B25" s="65" t="s">
        <v>114</v>
      </c>
      <c r="C25" s="65" t="s">
        <v>85</v>
      </c>
      <c r="D25" s="65" t="s">
        <v>75</v>
      </c>
      <c r="E25" t="str">
        <f t="shared" si="0"/>
        <v>Delregion Fyrbodal</v>
      </c>
      <c r="G25">
        <v>2016</v>
      </c>
      <c r="H25" s="68" t="s">
        <v>75</v>
      </c>
      <c r="I25">
        <f>COUNTIFS($E:$E,"=Delregion Fyrbodal",$D:$D,"=Socialtjänst",$A:$A,"&gt;2016-01-01",$A:$A,"&lt;2016-12-31")</f>
        <v>52</v>
      </c>
      <c r="J25">
        <f>COUNTIFS($E:$E,"=Delregion Göteborg",$D:$D,"=Socialtjänst",$A:$A,"&gt;2016-01-01",$A:$A,"&lt;2016-12-31")</f>
        <v>92</v>
      </c>
      <c r="K25">
        <f>COUNTIFS($E:$E,"=Delregion SIMBA",$D:$D,"=Socialtjänst",$A:$A,"&gt;2016-01-01",$A:$A,"&lt;2016-12-31")</f>
        <v>27</v>
      </c>
      <c r="L25">
        <f>COUNTIFS($E:$E,"=Delregion Skaraborg",$D:$D,"=Socialtjänst",$A:$A,"&gt;2016-01-01",$A:$A,"&lt;2016-12-31")</f>
        <v>36</v>
      </c>
      <c r="M25">
        <f>COUNTIFS($E:$E,"=Delregion Södra Älvsborg",$D:$D,"=Socialtjänst",$A:$A,"&gt;2016-01-01",$A:$A,"&lt;2016-12-31")</f>
        <v>38</v>
      </c>
      <c r="N25">
        <f t="shared" si="1"/>
        <v>245</v>
      </c>
      <c r="Q25" s="69" t="s">
        <v>151</v>
      </c>
      <c r="R25" t="s">
        <v>153</v>
      </c>
      <c r="T25" s="244" t="s">
        <v>441</v>
      </c>
      <c r="U25" s="244" t="s">
        <v>458</v>
      </c>
      <c r="W25" s="244" t="s">
        <v>441</v>
      </c>
      <c r="X25" s="244" t="s">
        <v>458</v>
      </c>
    </row>
    <row r="26" spans="1:24" ht="14.45" customHeight="1">
      <c r="A26" s="64">
        <v>41717</v>
      </c>
      <c r="B26" s="65" t="s">
        <v>114</v>
      </c>
      <c r="C26" s="65" t="s">
        <v>85</v>
      </c>
      <c r="D26" s="65" t="s">
        <v>75</v>
      </c>
      <c r="E26" t="str">
        <f t="shared" si="0"/>
        <v>Delregion Fyrbodal</v>
      </c>
      <c r="G26">
        <v>2016</v>
      </c>
      <c r="H26" s="68" t="s">
        <v>85</v>
      </c>
      <c r="I26">
        <f>COUNTIFS($E:$E,"=Delregion Fyrbodal",$C:$C,"=Barn och familj",$A:$A,"&gt;2016-01-01",$A:$A,"&lt;2016-12-31")</f>
        <v>35</v>
      </c>
      <c r="J26">
        <f>COUNTIFS($E:$E,"=Delregion Göteborg",$C:$C,"=Barn och familj",$A:$A,"&gt;2016-01-01",$A:$A,"&lt;2016-12-31")</f>
        <v>47</v>
      </c>
      <c r="K26">
        <f>COUNTIFS($E:$E,"=Delregion SIMBA",$C:$C,"=Barn och familj",$A:$A,"&gt;2016-01-01",$A:$A,"&lt;2016-12-31")</f>
        <v>19</v>
      </c>
      <c r="L26">
        <f>COUNTIFS($E:$E,"=Delregion Skaraborg",$C:$C,"=Barn och familj",$A:$A,"&gt;2016-01-01",$A:$A,"&lt;2016-12-31")</f>
        <v>18</v>
      </c>
      <c r="M26">
        <f>COUNTIFS($E:$E,"=Delregion Södra Älvsborg",$C:$C,"=Barn och familj",$A:$A,"&gt;2016-01-01",$A:$A,"&lt;2016-12-31")</f>
        <v>24</v>
      </c>
      <c r="N26">
        <f t="shared" si="1"/>
        <v>143</v>
      </c>
      <c r="Q26" s="68" t="s">
        <v>191</v>
      </c>
      <c r="R26" t="s">
        <v>153</v>
      </c>
      <c r="T26" s="244" t="s">
        <v>442</v>
      </c>
      <c r="U26" s="244" t="s">
        <v>459</v>
      </c>
      <c r="W26" s="244" t="s">
        <v>442</v>
      </c>
      <c r="X26" s="244" t="s">
        <v>459</v>
      </c>
    </row>
    <row r="27" spans="1:24" ht="14.45" customHeight="1">
      <c r="A27" s="64">
        <v>41717</v>
      </c>
      <c r="B27" s="65" t="s">
        <v>114</v>
      </c>
      <c r="C27" s="65" t="s">
        <v>85</v>
      </c>
      <c r="D27" s="65" t="s">
        <v>75</v>
      </c>
      <c r="E27" t="str">
        <f t="shared" si="0"/>
        <v>Delregion Fyrbodal</v>
      </c>
      <c r="G27">
        <v>2016</v>
      </c>
      <c r="H27" s="68" t="s">
        <v>88</v>
      </c>
      <c r="I27">
        <f>COUNTIFS($E:$E,"=Delregion Fyrbodal",$C:$C,"=Familjerätt",$A:$A,"&gt;2016-01-01",$A:$A,"&lt;2016-12-31")</f>
        <v>3</v>
      </c>
      <c r="J27">
        <f>COUNTIFS($E:$E,"=Delregion Göteborg",$C:$C,"=Familjerätt",$A:$A,"&gt;2016-01-01",$A:$A,"&lt;2016-12-31")</f>
        <v>1</v>
      </c>
      <c r="K27">
        <f>COUNTIFS($E:$E,"=Delregion SIMBA",$C:$C,"=Familjerätt",$A:$A,"&gt;2016-01-01",$A:$A,"&lt;2016-12-31")</f>
        <v>0</v>
      </c>
      <c r="L27">
        <f>COUNTIFS($E:$E,"=Delregion Skaraborg",$C:$C,"=Familjerätt",$A:$A,"&gt;2016-01-01",$A:$A,"&lt;2016-12-31")</f>
        <v>5</v>
      </c>
      <c r="M27">
        <f>COUNTIFS($E:$E,"=Delregion Södra Älvsborg",$C:$C,"=Familjerätt",$A:$A,"&gt;2016-01-01",$A:$A,"&lt;2016-12-31")</f>
        <v>1</v>
      </c>
      <c r="N27">
        <f t="shared" si="1"/>
        <v>10</v>
      </c>
      <c r="Q27" s="69" t="s">
        <v>152</v>
      </c>
      <c r="R27" t="s">
        <v>153</v>
      </c>
      <c r="T27" s="244" t="s">
        <v>443</v>
      </c>
      <c r="U27" s="244" t="s">
        <v>460</v>
      </c>
      <c r="W27" s="244" t="s">
        <v>443</v>
      </c>
      <c r="X27" s="244" t="s">
        <v>460</v>
      </c>
    </row>
    <row r="28" spans="1:24" ht="14.45" customHeight="1">
      <c r="A28" s="64">
        <v>41717</v>
      </c>
      <c r="B28" s="65" t="s">
        <v>114</v>
      </c>
      <c r="C28" s="65" t="s">
        <v>85</v>
      </c>
      <c r="D28" s="65" t="s">
        <v>75</v>
      </c>
      <c r="E28" t="str">
        <f t="shared" si="0"/>
        <v>Delregion Fyrbodal</v>
      </c>
      <c r="G28">
        <v>2016</v>
      </c>
      <c r="H28" s="68" t="s">
        <v>126</v>
      </c>
      <c r="I28">
        <f>IF(COUNTIFS($E:$E,"=Delregion Fyrbodal",$D:$D,"=Hälso- och sjukvård",$A:$A,"&gt;2016-01-01",$A:$A,"&lt;2016-12-31")=0," ",COUNTIFS($E:$E,"=Delregion Fyrbodal",$D:$D,"=Hälso- och sjukvård",$A:$A,"&gt;2016-01-01",$A:$A,"&lt;2016-12-31"))</f>
        <v>28</v>
      </c>
      <c r="J28">
        <f>COUNTIFS($E:$E,"=Delregion Göteborg",$D:$D,"=Hälso- och sjukvård",$A:$A,"&gt;2016-01-01",$A:$A,"&lt;2016-12-31")</f>
        <v>106</v>
      </c>
      <c r="K28">
        <f>COUNTIFS($E:$E,"=Delregion SIMBA",$D:$D,"=Hälso- och sjukvård",$A:$A,"&gt;2016-01-01",$A:$A,"&lt;2016-12-31")</f>
        <v>12</v>
      </c>
      <c r="L28">
        <f>COUNTIFS($E:$E,"=Delregion Skaraborg",$D:$D,"=Hälso- och sjukvård",$A:$A,"&gt;2016-01-01",$A:$A,"&lt;2016-12-31")</f>
        <v>34</v>
      </c>
      <c r="M28">
        <f>COUNTIFS($E:$E,"=Delregion Södra Älvsborg",$D:$D,"=Hälso- och sjukvård",$A:$A,"&gt;2016-01-01",$A:$A,"&lt;2016-12-31")</f>
        <v>32</v>
      </c>
      <c r="N28">
        <f t="shared" si="1"/>
        <v>212</v>
      </c>
      <c r="Q28" s="69" t="s">
        <v>154</v>
      </c>
      <c r="R28" s="71" t="s">
        <v>158</v>
      </c>
      <c r="T28" s="244" t="s">
        <v>444</v>
      </c>
      <c r="U28" s="245" t="s">
        <v>461</v>
      </c>
      <c r="W28" s="244" t="s">
        <v>444</v>
      </c>
      <c r="X28" s="245" t="s">
        <v>461</v>
      </c>
    </row>
    <row r="29" spans="1:24" ht="14.45" customHeight="1">
      <c r="A29" s="64">
        <v>41718</v>
      </c>
      <c r="B29" s="65" t="s">
        <v>112</v>
      </c>
      <c r="C29" s="65" t="s">
        <v>85</v>
      </c>
      <c r="D29" s="65" t="s">
        <v>75</v>
      </c>
      <c r="E29" t="str">
        <f t="shared" si="0"/>
        <v>Delregion Göteborg</v>
      </c>
      <c r="G29">
        <v>2016</v>
      </c>
      <c r="H29" s="68" t="s">
        <v>138</v>
      </c>
      <c r="I29" t="str">
        <f>IF(COUNTIFS($E:$E,"=Delregion Fyrbodal",$C:$C,"=Elevhälsa",$A:$A,"&gt;2016-01-01",$A:$A,"&lt;2016-12-31")=0," ",COUNTIFS($E:$E,"=Delregion Fyrbodal",$C:$C,"=Elevhälsa",$A:$A,"&gt;2016-01-01",$A:$A,"&lt;2016-12-31"))</f>
        <v xml:space="preserve"> </v>
      </c>
      <c r="J29">
        <f>COUNTIFS($E:$E,"=Delregion Göteborg",$C:$C,"=Elevhälsa",$A:$A,"&gt;2016-01-01",$A:$A,"&lt;2016-12-31")</f>
        <v>0</v>
      </c>
      <c r="K29">
        <f>COUNTIFS($E:$E,"=Delregion SIMBA",$C:$C,"=Elevhälsa",$A:$A,"&gt;2016-01-01",$A:$A,"&lt;2016-12-31")</f>
        <v>0</v>
      </c>
      <c r="L29">
        <f>COUNTIFS($E:$E,"=Delregion Skaraborg",$C:$C,"=Elevhälsa",$A:$A,"&gt;2016-01-01",$A:$A,"&lt;2016-12-31")</f>
        <v>0</v>
      </c>
      <c r="M29">
        <f>COUNTIFS($E:$E,"=Delregion Södra Älvsborg",$C:$C,"=Elevhälsa",$A:$A,"&gt;2016-01-01",$A:$A,"&lt;2016-12-31")</f>
        <v>1</v>
      </c>
      <c r="N29">
        <f t="shared" si="1"/>
        <v>1</v>
      </c>
      <c r="Q29" s="69" t="s">
        <v>155</v>
      </c>
      <c r="R29" s="71" t="s">
        <v>158</v>
      </c>
      <c r="T29" s="244" t="s">
        <v>445</v>
      </c>
      <c r="U29" s="244" t="s">
        <v>462</v>
      </c>
      <c r="V29" s="9"/>
      <c r="W29" s="244" t="s">
        <v>445</v>
      </c>
      <c r="X29" s="244" t="s">
        <v>462</v>
      </c>
    </row>
    <row r="30" spans="1:24" ht="14.45" customHeight="1">
      <c r="A30" s="64">
        <v>41733</v>
      </c>
      <c r="B30" s="65" t="s">
        <v>102</v>
      </c>
      <c r="C30" s="65" t="s">
        <v>85</v>
      </c>
      <c r="D30" s="65" t="s">
        <v>75</v>
      </c>
      <c r="E30" t="str">
        <f t="shared" si="0"/>
        <v>Delregion Södra Älvsborg</v>
      </c>
      <c r="G30">
        <v>2016</v>
      </c>
      <c r="H30" s="68" t="s">
        <v>198</v>
      </c>
      <c r="I30">
        <f>SUM(I25:I28)</f>
        <v>118</v>
      </c>
      <c r="J30">
        <f>SUM(J25:J28)</f>
        <v>246</v>
      </c>
      <c r="K30">
        <f>SUM(K25:K28)</f>
        <v>58</v>
      </c>
      <c r="L30">
        <f>SUM(L25:L28)</f>
        <v>93</v>
      </c>
      <c r="M30">
        <f>SUM(M25:M28)</f>
        <v>95</v>
      </c>
      <c r="N30">
        <f t="shared" si="1"/>
        <v>610</v>
      </c>
      <c r="Q30" s="69" t="s">
        <v>156</v>
      </c>
      <c r="R30" s="71" t="s">
        <v>158</v>
      </c>
      <c r="T30" s="246" t="s">
        <v>446</v>
      </c>
      <c r="U30" s="244" t="s">
        <v>463</v>
      </c>
      <c r="V30" s="9"/>
      <c r="W30" s="246" t="s">
        <v>446</v>
      </c>
      <c r="X30" s="244" t="s">
        <v>463</v>
      </c>
    </row>
    <row r="31" spans="1:24" ht="14.45" customHeight="1">
      <c r="A31" s="64">
        <v>41751</v>
      </c>
      <c r="B31" s="65" t="s">
        <v>73</v>
      </c>
      <c r="C31" s="65" t="s">
        <v>85</v>
      </c>
      <c r="D31" s="65" t="s">
        <v>75</v>
      </c>
      <c r="E31" t="str">
        <f t="shared" si="0"/>
        <v>Delregion Göteborg</v>
      </c>
      <c r="G31">
        <v>2017</v>
      </c>
      <c r="H31" s="68" t="s">
        <v>75</v>
      </c>
      <c r="I31" t="e">
        <f>IF(COUNTIFS($E:$E,"=Delregion Fyrbodal",$D:$D,"=Socialtjänst",$A:$A,"&gt;2017-01-01",$A:$A,"&lt;2017-12-31")=0,FIND(" ",O21,1),COUNTIFS($E:$E,"=Delregion Fyrbodal",$D:$D,"=Socialtjänst",$A:$A,"&gt;2017-01-01",$A:$A,"&lt;2017-12-31"))</f>
        <v>#VALUE!</v>
      </c>
      <c r="J31" t="e">
        <f>IF(COUNTIFS($E:$E,"=Delregion Göteborg",$D:$D,"=Socialtjänst",$A:$A,"&gt;2017-01-01",$A:$A,"&lt;2017-12-31")=0,FIND(" ",O21,1),COUNTIFS($E:$E,"=Delregion Göteborg",$D:$D,"=Socialtjänst",$A:$A,"&gt;2017-01-01",$A:$A,"&lt;2017-12-31"))</f>
        <v>#VALUE!</v>
      </c>
      <c r="K31" t="e">
        <f>IF(COUNTIFS($E:$E,"=Delregion SIMBA",$D:$D,"=Socialtjänst",$A:$A,"&gt;2017-01-01",$A:$A,"&lt;2017-12-31")=0,FIND(" ",O21,1),COUNTIFS($E:$E,"=Delregion SIMBA",$D:$D,"=Socialtjänst",$A:$A,"&gt;2017-01-01",$A:$A,"&lt;2017-12-31"))</f>
        <v>#VALUE!</v>
      </c>
      <c r="L31" t="e">
        <f>IF(COUNTIFS($E:$E,"=Delregion Skaraborg",$D:$D,"=Socialtjänst",$A:$A,"&gt;2017-01-01",$A:$A,"&lt;2017-12-31")=0,FIND(" ",O21,1),COUNTIFS($E:$E,"=Delregion Skaraborg",$D:$D,"=Socialtjänst",$A:$A,"&gt;2017-01-01",$A:$A,"&lt;2017-12-31"))</f>
        <v>#VALUE!</v>
      </c>
      <c r="M31" t="e">
        <f>IF(COUNTIFS($E:$E,"=Delregion Södra Älvsborg",$D:$D,"=Socialtjänst",$A:$A,"&gt;2017-01-01",$A:$A,"&lt;2017-12-31")=0,FIND(" ",O21,1),COUNTIFS($E:$E,"=Delregion Södra Älvsborg",$D:$D,"=Socialtjänst",$A:$A,"&gt;2017-01-01",$A:$A,"&lt;2017-12-31"))</f>
        <v>#VALUE!</v>
      </c>
      <c r="N31" t="e">
        <f>IF(SUM(I31:M31)=0,FIND(" ",O65,1),SUM(I31:M31))</f>
        <v>#VALUE!</v>
      </c>
      <c r="Q31" s="69" t="s">
        <v>157</v>
      </c>
      <c r="R31" s="71" t="s">
        <v>158</v>
      </c>
      <c r="T31" s="247" t="s">
        <v>447</v>
      </c>
      <c r="U31" s="244" t="s">
        <v>464</v>
      </c>
      <c r="V31" s="9"/>
      <c r="W31" s="247" t="s">
        <v>447</v>
      </c>
      <c r="X31" s="244" t="s">
        <v>464</v>
      </c>
    </row>
    <row r="32" spans="1:24" ht="14.45" customHeight="1">
      <c r="A32" s="64">
        <v>41752</v>
      </c>
      <c r="B32" s="65" t="s">
        <v>73</v>
      </c>
      <c r="C32" s="65" t="s">
        <v>85</v>
      </c>
      <c r="D32" s="65" t="s">
        <v>75</v>
      </c>
      <c r="E32" t="str">
        <f t="shared" si="0"/>
        <v>Delregion Göteborg</v>
      </c>
      <c r="G32">
        <v>2017</v>
      </c>
      <c r="H32" s="68" t="s">
        <v>85</v>
      </c>
      <c r="I32" t="e">
        <f>IF(COUNTIFS($E:$E,"=Delregion Fyrbodal",$C:$C,"=Barn och familj",$A:$A,"&gt;2017-01-01",$A:$A,"&lt;2017-12-31")=0,FIND(" ",O22,1),COUNTIFS($E:$E,"=Delregion Fyrbodal",$C:$C,"=Barn och familj",$A:$A,"&gt;2017-01-01",$A:$A,"&lt;2017-12-31"))</f>
        <v>#VALUE!</v>
      </c>
      <c r="J32" t="e">
        <f>IF(COUNTIFS($E:$E,"=Delregion Göteborg",$C:$C,"=Barn och familj",$A:$A,"&gt;2017-01-01",$A:$A,"&lt;2017-12-31")=0,FIND(" ",O22,1),COUNTIFS($E:$E,"=Delregion Göteborg",$C:$C,"=Barn och familj",$A:$A,"&gt;2017-01-01",$A:$A,"&lt;2017-12-31"))</f>
        <v>#VALUE!</v>
      </c>
      <c r="K32" t="e">
        <f>IF(COUNTIFS($E:$E,"=Delregion SIMBA",$C:$C,"=Barn och familj",$A:$A,"&gt;2017-01-01",$A:$A,"&lt;2017-12-31")=0,FIND(" ",O22,1),COUNTIFS($E:$E,"=Delregion SIMBA",$C:$C,"=Barn och familj",$A:$A,"&gt;2017-01-01",$A:$A,"&lt;2017-12-31"))</f>
        <v>#VALUE!</v>
      </c>
      <c r="L32" t="e">
        <f>IF(COUNTIFS($E:$E,"=Delregion Skaraborg",$C:$C,"=Barn och familj",$A:$A,"&gt;2017-01-01",$A:$A,"&lt;2017-12-31")=0,FIND(" ",O22,1),COUNTIFS($E:$E,"=Delregion Skaraborg",$C:$C,"=Barn och familj",$A:$A,"&gt;2017-01-01",$A:$A,"&lt;2017-12-31"))</f>
        <v>#VALUE!</v>
      </c>
      <c r="M32" t="e">
        <f>IF(COUNTIFS($E:$E,"=Delregion Södra Älvsborg",$C:$C,"=Barn och familj",$A:$A,"&gt;2017-01-01",$A:$A,"&lt;2017-12-31")=0,FIND(" ",O22,1),COUNTIFS($E:$E,"=Delregion Södra Älvsborg",$C:$C,"=Barn och familj",$A:$A,"&gt;2017-01-01",$A:$A,"&lt;2017-12-31"))</f>
        <v>#VALUE!</v>
      </c>
      <c r="N32" t="e">
        <f t="shared" ref="N32:N84" si="2">IF(SUM(I32:M32)=0,FIND(" ",O66,1),SUM(I32:M32))</f>
        <v>#VALUE!</v>
      </c>
      <c r="Q32" s="68" t="s">
        <v>192</v>
      </c>
      <c r="R32" s="71" t="s">
        <v>158</v>
      </c>
      <c r="T32" s="295"/>
      <c r="U32" s="244" t="s">
        <v>465</v>
      </c>
      <c r="V32" s="9"/>
      <c r="W32" s="284"/>
      <c r="X32" s="244" t="s">
        <v>465</v>
      </c>
    </row>
    <row r="33" spans="1:25" ht="14.45" customHeight="1">
      <c r="A33" s="64">
        <v>41752</v>
      </c>
      <c r="B33" s="65" t="s">
        <v>73</v>
      </c>
      <c r="C33" s="65" t="s">
        <v>85</v>
      </c>
      <c r="D33" s="65" t="s">
        <v>75</v>
      </c>
      <c r="E33" t="str">
        <f t="shared" si="0"/>
        <v>Delregion Göteborg</v>
      </c>
      <c r="G33">
        <v>2017</v>
      </c>
      <c r="H33" s="68" t="s">
        <v>88</v>
      </c>
      <c r="I33" t="e">
        <f>IF(COUNTIFS($E:$E,"=Delregion Fyrbodal",$C:$C,"=Familjerätt",$A:$A,"&gt;2017-01-01",$A:$A,"&lt;2017-12-31")=0,FIND(" ",O23,1),COUNTIFS($E:$E,"=Delregion Fyrbodal",$C:$C,"=Familjerätt",$A:$A,"&gt;2017-01-01",$A:$A,"&lt;2017-12-31"))</f>
        <v>#VALUE!</v>
      </c>
      <c r="J33" t="e">
        <f>IF(COUNTIFS($E:$E,"=Delregion Göteborg",$C:$C,"=Familjerätt",$A:$A,"&gt;2017-01-01",$A:$A,"&lt;2017-12-31")=0,FIND(" ",O23,1),COUNTIFS($E:$E,"=Delregion Göteborg",$C:$C,"=Familjerätt",$A:$A,"&gt;2017-01-01",$A:$A,"&lt;2017-12-31"))</f>
        <v>#VALUE!</v>
      </c>
      <c r="K33" t="e">
        <f>IF(COUNTIFS($E:$E,"=Delregion SIMBA",$C:$C,"=Familjerätt",$A:$A,"&gt;2017-01-01",$A:$A,"&lt;2017-12-31")=0,FIND(" ",O23,1),COUNTIFS($E:$E,"=Delregion SIMBA",$C:$C,"=Familjerätt",$A:$A,"&gt;2017-01-01",$A:$A,"&lt;2017-12-31"))</f>
        <v>#VALUE!</v>
      </c>
      <c r="L33" t="e">
        <f>IF(COUNTIFS($E:$E,"=Delregion Skaraborg",$C:$C,"=Familjerätt",$A:$A,"&gt;2017-01-01",$A:$A,"&lt;2017-12-31")=0,FIND(" ",O23,1),COUNTIFS($E:$E,"=Delregion Skaraborg",$C:$C,"=Familjerätt",$A:$A,"&gt;2017-01-01",$A:$A,"&lt;2017-12-31"))</f>
        <v>#VALUE!</v>
      </c>
      <c r="M33" t="e">
        <f>IF(COUNTIFS($E:$E,"=Delregion Södra Älvsborg",$C:$C,"=Familjerätt",$A:$A,"&gt;2017-01-01",$A:$A,"&lt;2017-12-31")=0,FIND(" ",O23,1),COUNTIFS($E:$E,"=Delregion Södra Älvsborg",$C:$C,"=Familjerätt",$A:$A,"&gt;2017-01-01",$A:$A,"&lt;2017-12-31"))</f>
        <v>#VALUE!</v>
      </c>
      <c r="N33" t="e">
        <f t="shared" si="2"/>
        <v>#VALUE!</v>
      </c>
      <c r="Q33" s="69" t="s">
        <v>159</v>
      </c>
      <c r="R33" s="71" t="s">
        <v>162</v>
      </c>
      <c r="T33" s="204"/>
      <c r="U33" s="248" t="s">
        <v>466</v>
      </c>
      <c r="V33" s="9"/>
      <c r="W33" s="257"/>
      <c r="X33" s="258" t="s">
        <v>466</v>
      </c>
    </row>
    <row r="34" spans="1:25" ht="14.45" customHeight="1">
      <c r="A34" s="64">
        <v>41753</v>
      </c>
      <c r="B34" s="65" t="s">
        <v>73</v>
      </c>
      <c r="C34" s="65" t="s">
        <v>85</v>
      </c>
      <c r="D34" s="65" t="s">
        <v>75</v>
      </c>
      <c r="E34" t="str">
        <f t="shared" si="0"/>
        <v>Delregion Göteborg</v>
      </c>
      <c r="G34">
        <v>2017</v>
      </c>
      <c r="H34" s="68" t="s">
        <v>126</v>
      </c>
      <c r="I34" t="e">
        <f>IF(COUNTIFS($E:$E,"=Delregion Fyrbodal",$D:$D,"=Hälso- och sjukvård",$A:$A,"&gt;2017-01-01",$A:$A,"&lt;2017-12-31")=0,FIND(" ",O21,1),COUNTIFS($E:$E,"=Delregion Fyrbodal",$D:$D,"=Hälso- och sjukvård",$A:$A,"&gt;2017-01-01",$A:$A,"&lt;2017-12-31"))</f>
        <v>#VALUE!</v>
      </c>
      <c r="J34" t="e">
        <f>IF(COUNTIFS($E:$E,"=Delregion Göteborg",$D:$D,"=Hälso- och sjukvård",$A:$A,"&gt;2017-01-01",$A:$A,"&lt;2017-12-31")=0,FIND(" ",O21,1),COUNTIFS($E:$E,"=Delregion Göteborg",$D:$D,"=Hälso- och sjukvård",$A:$A,"&gt;2017-01-01",$A:$A,"&lt;2017-12-31"))</f>
        <v>#VALUE!</v>
      </c>
      <c r="K34" t="e">
        <f>IF(COUNTIFS($E:$E,"=Delregion SIMBA",$D:$D,"=Hälso- och sjukvård",$A:$A,"&gt;2017-01-01",$A:$A,"&lt;2017-12-31")=0,FIND(" ",O21,1),COUNTIFS($E:$E,"=Delregion SIMBA",$D:$D,"=Hälso- och sjukvård",$A:$A,"&gt;2017-01-01",$A:$A,"&lt;2017-12-31"))</f>
        <v>#VALUE!</v>
      </c>
      <c r="L34" t="e">
        <f>IF(COUNTIFS($E:$E,"=Delregion Skaraborg",$D:$D,"=Hälso- och sjukvård",$A:$A,"&gt;2017-01-01",$A:$A,"&lt;2017-12-31")=0,FIND(" ",O21,1),COUNTIFS($E:$E,"=Delregion Skaraborg",$D:$D,"=Hälso- och sjukvård",$A:$A,"&gt;2017-01-01",$A:$A,"&lt;2017-12-31"))</f>
        <v>#VALUE!</v>
      </c>
      <c r="M34" t="e">
        <f>IF(COUNTIFS($E:$E,"=Delregion Södra Älvsborg",$D:$D,"=Hälso- och sjukvård",$A:$A,"&gt;2017-01-01",$A:$A,"&lt;2017-12-31")=0,FIND(" ",O21,1),COUNTIFS($E:$E,"=Delregion Södra Älvsborg",$D:$D,"=Hälso- och sjukvård",$A:$A,"&gt;2017-01-01",$A:$A,"&lt;2017-12-31"))</f>
        <v>#VALUE!</v>
      </c>
      <c r="N34" t="e">
        <f t="shared" si="2"/>
        <v>#VALUE!</v>
      </c>
      <c r="Q34" s="69" t="s">
        <v>160</v>
      </c>
      <c r="R34" s="71" t="s">
        <v>162</v>
      </c>
      <c r="T34" s="296"/>
      <c r="U34" s="297"/>
      <c r="W34" s="296"/>
      <c r="X34" s="297"/>
      <c r="Y34" s="240"/>
    </row>
    <row r="35" spans="1:25" ht="14.45" customHeight="1">
      <c r="A35" s="64">
        <v>41753</v>
      </c>
      <c r="B35" s="65" t="s">
        <v>86</v>
      </c>
      <c r="C35" s="65" t="s">
        <v>85</v>
      </c>
      <c r="D35" s="65" t="s">
        <v>75</v>
      </c>
      <c r="E35" t="str">
        <f t="shared" si="0"/>
        <v>Delregion Fyrbodal</v>
      </c>
      <c r="G35">
        <v>2017</v>
      </c>
      <c r="H35" s="68" t="s">
        <v>138</v>
      </c>
      <c r="I35" t="e">
        <f>IF(COUNTIFS($E:$E,"=Delregion Fyrbodal",$C:$C,"=Elevhälsa",$A:$A,"&gt;2017-01-01",$A:$A,"&lt;2017-12-31")=0,FIND(" ",O22,1),COUNTIFS($E:$E,"=Delregion Fyrbodal",$C:$C,"=Elevhälsa",$A:$A,"&gt;2017-01-01",$A:$A,"&lt;2017-12-31"))</f>
        <v>#VALUE!</v>
      </c>
      <c r="J35" t="e">
        <f>IF(COUNTIFS($E:$E,"=Delregion Göteborg",$C:$C,"=Elevhälsa",$A:$A,"&gt;2017-01-01",$A:$A,"&lt;2017-12-31")=0,FIND(" ",O22,1),COUNTIFS($E:$E,"=Delregion Göteborg",$C:$C,"=Elevhälsa",$A:$A,"&gt;2017-01-01",$A:$A,"&lt;2017-12-31"))</f>
        <v>#VALUE!</v>
      </c>
      <c r="K35" t="e">
        <f>IF(COUNTIFS($E:$E,"=Delregion SIMBA",$C:$C,"=Elevhälsa",$A:$A,"&gt;2017-01-01",$A:$A,"&lt;2017-12-31")=0,FIND(" ",O22,1),COUNTIFS($E:$E,"=Delregion SIMBA",$C:$C,"=Elevhälsa",$A:$A,"&gt;2017-01-01",$A:$A,"&lt;2017-12-31"))</f>
        <v>#VALUE!</v>
      </c>
      <c r="L35" t="e">
        <f>IF(COUNTIFS($E:$E,"=Delregion Skaraborg",$C:$C,"=Elevhälsa",$A:$A,"&gt;2017-01-01",$A:$A,"&lt;2017-12-31")=0,FIND(" ",O22,1),COUNTIFS($E:$E,"=Delregion Skaraborg",$C:$C,"=Elevhälsa",$A:$A,"&gt;2017-01-01",$A:$A,"&lt;2017-12-31"))</f>
        <v>#VALUE!</v>
      </c>
      <c r="M35" t="e">
        <f>IF(COUNTIFS($E:$E,"=Delregion Södra Älvsborg",$C:$C,"=Elevhälsa",$A:$A,"&gt;2017-01-01",$A:$A,"&lt;2017-12-31")=0,FIND(" ",O22,1),COUNTIFS($E:$E,"=Delregion Södra Älvsborg",$C:$C,"=Elevhälsa",$A:$A,"&gt;2017-01-01",$A:$A,"&lt;2017-12-31"))</f>
        <v>#VALUE!</v>
      </c>
      <c r="N35" t="e">
        <f t="shared" si="2"/>
        <v>#VALUE!</v>
      </c>
      <c r="Q35" s="68" t="s">
        <v>193</v>
      </c>
      <c r="R35" s="71" t="s">
        <v>162</v>
      </c>
      <c r="T35" s="298"/>
      <c r="U35" s="297"/>
      <c r="W35" s="298"/>
      <c r="X35" s="297"/>
      <c r="Y35" s="240"/>
    </row>
    <row r="36" spans="1:25" ht="14.45" customHeight="1">
      <c r="A36" s="64">
        <v>41754</v>
      </c>
      <c r="B36" s="65" t="s">
        <v>99</v>
      </c>
      <c r="C36" s="65" t="s">
        <v>85</v>
      </c>
      <c r="D36" s="65" t="s">
        <v>75</v>
      </c>
      <c r="E36" t="str">
        <f t="shared" si="0"/>
        <v>Delregion Skaraborg</v>
      </c>
      <c r="G36">
        <v>2017</v>
      </c>
      <c r="H36" s="68" t="s">
        <v>198</v>
      </c>
      <c r="I36" t="e">
        <f>IF(SUM(I31:I34)=0,FIND(" ",O21,1),SUM(I31:I34))</f>
        <v>#VALUE!</v>
      </c>
      <c r="J36" t="e">
        <f>IF(SUM(J31:J34)=0,FIND(" ",O21,1),SUM(J31:J34))</f>
        <v>#VALUE!</v>
      </c>
      <c r="K36" t="e">
        <f>IF(SUM(K31:K34)=0,FIND(" ",O21,1),SUM(K31:K34))</f>
        <v>#VALUE!</v>
      </c>
      <c r="L36" t="e">
        <f>IF(SUM(L31:L34)=0,FIND(" ",O21,1),SUM(L31:L34))</f>
        <v>#VALUE!</v>
      </c>
      <c r="M36" t="e">
        <f>IF(SUM(M31:M34)=0,FIND(" ",O21,1),SUM(M31:M34))</f>
        <v>#VALUE!</v>
      </c>
      <c r="N36" t="e">
        <f t="shared" si="2"/>
        <v>#VALUE!</v>
      </c>
      <c r="Q36" s="69" t="s">
        <v>161</v>
      </c>
      <c r="R36" s="71" t="s">
        <v>162</v>
      </c>
      <c r="W36" s="240"/>
      <c r="X36" s="240"/>
      <c r="Y36" s="240"/>
    </row>
    <row r="37" spans="1:25" ht="14.45" customHeight="1">
      <c r="A37" s="64">
        <v>41757</v>
      </c>
      <c r="B37" s="65" t="s">
        <v>76</v>
      </c>
      <c r="C37" s="65" t="s">
        <v>85</v>
      </c>
      <c r="D37" s="65" t="s">
        <v>75</v>
      </c>
      <c r="E37" t="str">
        <f t="shared" si="0"/>
        <v>Delregion Skaraborg</v>
      </c>
      <c r="G37">
        <v>2018</v>
      </c>
      <c r="H37" s="68" t="s">
        <v>75</v>
      </c>
      <c r="I37" t="e">
        <f>IF(COUNTIFS($E:$E,"=Delregion Fyrbodal",$D:$D,"=Socialtjänst",$A:$A,"&gt;2018-01-01",$A:$A,"&lt;2018-12-31")=0,FIND(" ",O21,1),COUNTIFS($E:$E,"=Delregion Fyrbodal",$D:$D,"=Socialtjänst",$A:$A,"&gt;2018-01-01",$A:$A,"&lt;2018-12-31"))</f>
        <v>#VALUE!</v>
      </c>
      <c r="J37" t="e">
        <f>IF(COUNTIFS($E:$E,"=Delregion Göteborg",$D:$D,"=Socialtjänst",$A:$A,"&gt;2018-01-01",$A:$A,"&lt;2018-12-31")=0,FIND(" ",O21,1),COUNTIFS($E:$E,"=Delregion Göteborg",$D:$D,"=Socialtjänst",$A:$A,"&gt;2018-01-01",$A:$A,"&lt;2018-12-31"))</f>
        <v>#VALUE!</v>
      </c>
      <c r="K37" t="e">
        <f>IF(COUNTIFS($E:$E,"=Delregion SIMBA",$D:$D,"=Socialtjänst",$A:$A,"&gt;2018-01-01",$A:$A,"&lt;2018-12-31")=0,FIND(" ",O21,1),COUNTIFS($E:$E,"=Delregion SIMBA",$D:$D,"=Socialtjänst",$A:$A,"&gt;2018-01-01",$A:$A,"&lt;2018-12-31"))</f>
        <v>#VALUE!</v>
      </c>
      <c r="L37" t="e">
        <f>IF(COUNTIFS($E:$E,"=Delregion Skaraborg",$D:$D,"=Socialtjänst",$A:$A,"&gt;2018-01-01",$A:$A,"&lt;2018-12-31")=0,FIND(" ",O21,1),COUNTIFS($E:$E,"=Delregion Skaraborg",$D:$D,"=Socialtjänst",$A:$A,"&gt;2018-01-01",$A:$A,"&lt;2018-12-31"))</f>
        <v>#VALUE!</v>
      </c>
      <c r="M37" t="e">
        <f>IF(COUNTIFS($E:$E,"=Delregion Södra Älvsborg",$D:$D,"=Socialtjänst",$A:$A,"&gt;2018-01-01",$A:$A,"&lt;2018-12-31")=0,FIND(" ",O21,1),COUNTIFS($E:$E,"=Delregion Södra Älvsborg",$D:$D,"=Socialtjänst",$A:$A,"&gt;2018-01-01",$A:$A,"&lt;2018-12-31"))</f>
        <v>#VALUE!</v>
      </c>
      <c r="N37" t="e">
        <f t="shared" si="2"/>
        <v>#VALUE!</v>
      </c>
      <c r="Q37" s="69" t="s">
        <v>163</v>
      </c>
      <c r="R37" s="71" t="s">
        <v>178</v>
      </c>
    </row>
    <row r="38" spans="1:25" ht="14.45" customHeight="1">
      <c r="A38" s="64">
        <v>41787</v>
      </c>
      <c r="B38" s="65" t="s">
        <v>102</v>
      </c>
      <c r="C38" s="65" t="s">
        <v>85</v>
      </c>
      <c r="D38" s="65" t="s">
        <v>75</v>
      </c>
      <c r="E38" t="str">
        <f t="shared" si="0"/>
        <v>Delregion Södra Älvsborg</v>
      </c>
      <c r="G38">
        <v>2018</v>
      </c>
      <c r="H38" s="68" t="s">
        <v>85</v>
      </c>
      <c r="I38" t="e">
        <f>IF(COUNTIFS($E:$E,"=Delregion Fyrbodal",$C:$C,"=Barn och familj",$A:$A,"&gt;2018-01-01",$A:$A,"&lt;2018-12-31")=0,FIND(" ",O22,1),COUNTIFS($E:$E,"=Delregion Fyrbodal",$C:$C,"=Barn och familj",$A:$A,"&gt;2018-01-01",$A:$A,"&lt;2018-12-31"))</f>
        <v>#VALUE!</v>
      </c>
      <c r="J38" t="e">
        <f>IF(COUNTIFS($E:$E,"=Delregion Göteborg",$C:$C,"=Barn och familj",$A:$A,"&gt;2018-01-01",$A:$A,"&lt;2018-12-31")=0,FIND(" ",O22,1),COUNTIFS($E:$E,"=Delregion Göteborg",$C:$C,"=Barn och familj",$A:$A,"&gt;2018-01-01",$A:$A,"&lt;2018-12-31"))</f>
        <v>#VALUE!</v>
      </c>
      <c r="K38" t="e">
        <f>IF(COUNTIFS($E:$E,"=Delregion SIMBA",$C:$C,"=Barn och familj",$A:$A,"&gt;2018-01-01",$A:$A,"&lt;2018-12-31")=0,FIND(" ",O22,1),COUNTIFS($E:$E,"=Delregion SIMBA",$C:$C,"=Barn och familj",$A:$A,"&gt;2018-01-01",$A:$A,"&lt;2018-12-31"))</f>
        <v>#VALUE!</v>
      </c>
      <c r="L38" t="e">
        <f>IF(COUNTIFS($E:$E,"=Delregion Skaraborg",$C:$C,"=Barn och familj",$A:$A,"&gt;2018-01-01",$A:$A,"&lt;2018-12-31")=0,FIND(" ",O22,1),COUNTIFS($E:$E,"=Delregion Skaraborg",$C:$C,"=Barn och familj",$A:$A,"&gt;2018-01-01",$A:$A,"&lt;2018-12-31"))</f>
        <v>#VALUE!</v>
      </c>
      <c r="M38" t="e">
        <f>IF(COUNTIFS($E:$E,"=Delregion Södra Älvsborg",$C:$C,"=Barn och familj",$A:$A,"&gt;2018-01-01",$A:$A,"&lt;2018-12-31")=0,FIND(" ",O22,1),COUNTIFS($E:$E,"=Delregion Södra Älvsborg",$C:$C,"=Barn och familj",$A:$A,"&gt;2018-01-01",$A:$A,"&lt;2018-12-31"))</f>
        <v>#VALUE!</v>
      </c>
      <c r="N38" t="e">
        <f t="shared" si="2"/>
        <v>#VALUE!</v>
      </c>
      <c r="Q38" s="69" t="s">
        <v>164</v>
      </c>
      <c r="R38" s="71" t="s">
        <v>178</v>
      </c>
    </row>
    <row r="39" spans="1:25" ht="14.45" customHeight="1">
      <c r="A39" s="64">
        <v>41793</v>
      </c>
      <c r="B39" s="65" t="s">
        <v>73</v>
      </c>
      <c r="C39" s="65" t="s">
        <v>85</v>
      </c>
      <c r="D39" s="65" t="s">
        <v>75</v>
      </c>
      <c r="E39" t="str">
        <f t="shared" si="0"/>
        <v>Delregion Göteborg</v>
      </c>
      <c r="G39">
        <v>2018</v>
      </c>
      <c r="H39" s="68" t="s">
        <v>88</v>
      </c>
      <c r="I39" t="e">
        <f>IF(COUNTIFS($E:$E,"=Delregion Fyrbodal",$C:$C,"=Familjerätt",$A:$A,"&gt;2018-01-01",$A:$A,"&lt;2018-12-31")=0,FIND(" ",O23,1),COUNTIFS($E:$E,"=Delregion Fyrbodal",$C:$C,"=Familjerätt",$A:$A,"&gt;2018-01-01",$A:$A,"&lt;2018-12-31"))</f>
        <v>#VALUE!</v>
      </c>
      <c r="J39" t="e">
        <f>IF(COUNTIFS($E:$E,"=Delregion Göteborg",$C:$C,"=Familjerätt",$A:$A,"&gt;2018-01-01",$A:$A,"&lt;2018-12-31")=0,FIND(" ",O23,1),COUNTIFS($E:$E,"=Delregion Göteborg",$C:$C,"=Familjerätt",$A:$A,"&gt;2018-01-01",$A:$A,"&lt;2018-12-31"))</f>
        <v>#VALUE!</v>
      </c>
      <c r="K39" t="e">
        <f>IF(COUNTIFS($E:$E,"=Delregion SIMBA",$C:$C,"=Familjerätt",$A:$A,"&gt;2018-01-01",$A:$A,"&lt;2018-12-31")=0,FIND(" ",O23,1),COUNTIFS($E:$E,"=Delregion SIMBA",$C:$C,"=Familjerätt",$A:$A,"&gt;2018-01-01",$A:$A,"&lt;2018-12-31"))</f>
        <v>#VALUE!</v>
      </c>
      <c r="L39" t="e">
        <f>IF(COUNTIFS($E:$E,"=Delregion Skaraborg",$C:$C,"=Familjerätt",$A:$A,"&gt;2018-01-01",$A:$A,"&lt;2018-12-31")=0,FIND(" ",O23,1),COUNTIFS($E:$E,"=Delregion Skaraborg",$C:$C,"=Familjerätt",$A:$A,"&gt;2018-01-01",$A:$A,"&lt;2018-12-31"))</f>
        <v>#VALUE!</v>
      </c>
      <c r="M39" t="e">
        <f>IF(COUNTIFS($E:$E,"=Delregion Södra Älvsborg",$C:$C,"=Familjerätt",$A:$A,"&gt;2018-01-01",$A:$A,"&lt;2018-12-31")=0,FIND(" ",O23,1),COUNTIFS($E:$E,"=Delregion Södra Älvsborg",$C:$C,"=Familjerätt",$A:$A,"&gt;2018-01-01",$A:$A,"&lt;2018-12-31"))</f>
        <v>#VALUE!</v>
      </c>
      <c r="N39" t="e">
        <f t="shared" si="2"/>
        <v>#VALUE!</v>
      </c>
      <c r="Q39" s="69" t="s">
        <v>165</v>
      </c>
      <c r="R39" s="71" t="s">
        <v>178</v>
      </c>
    </row>
    <row r="40" spans="1:25" ht="14.45" customHeight="1">
      <c r="A40" s="64">
        <v>41799</v>
      </c>
      <c r="B40" s="65" t="s">
        <v>73</v>
      </c>
      <c r="C40" s="65" t="s">
        <v>85</v>
      </c>
      <c r="D40" s="65" t="s">
        <v>75</v>
      </c>
      <c r="E40" t="str">
        <f t="shared" si="0"/>
        <v>Delregion Göteborg</v>
      </c>
      <c r="G40">
        <v>2018</v>
      </c>
      <c r="H40" s="68" t="s">
        <v>126</v>
      </c>
      <c r="I40" t="e">
        <f>IF(COUNTIFS($E:$E,"=Delregion Fyrbodal",$D:$D,"=Hälso- och sjukvård",$A:$A,"&gt;2018-01-01",$A:$A,"&lt;2018-12-31")=0,FIND(" ",O21,1),COUNTIFS($E:$E,"=Delregion Fyrbodal",$D:$D,"=Hälso- och sjukvård",$A:$A,"&gt;2018-01-01",$A:$A,"&lt;2018-12-31"))</f>
        <v>#VALUE!</v>
      </c>
      <c r="J40" t="e">
        <f>IF(COUNTIFS($E:$E,"=Delregion Göteborg",$D:$D,"=Hälso- och sjukvård",$A:$A,"&gt;2018-01-01",$A:$A,"&lt;2018-12-31")=0,FIND(" ",O21,1),COUNTIFS($E:$E,"=Delregion Göteborg",$D:$D,"=Hälso- och sjukvård",$A:$A,"&gt;2018-01-01",$A:$A,"&lt;2018-12-31"))</f>
        <v>#VALUE!</v>
      </c>
      <c r="K40" t="e">
        <f>IF(COUNTIFS($E:$E,"=Delregion SIMBA",$D:$D,"=Hälso- och sjukvård",$A:$A,"&gt;2018-01-01",$A:$A,"&lt;2018-12-31")=0,FIND(" ",O21,1),COUNTIFS($E:$E,"=Delregion SIMBA",$D:$D,"=Hälso- och sjukvård",$A:$A,"&gt;2018-01-01",$A:$A,"&lt;2018-12-31"))</f>
        <v>#VALUE!</v>
      </c>
      <c r="L40" t="e">
        <f>IF(COUNTIFS($E:$E,"=Delregion Skaraborg",$D:$D,"=Hälso- och sjukvård",$A:$A,"&gt;2018-01-01",$A:$A,"&lt;2018-12-31")=0,FIND(" ",O21,1),COUNTIFS($E:$E,"=Delregion Skaraborg",$D:$D,"=Hälso- och sjukvård",$A:$A,"&gt;2018-01-01",$A:$A,"&lt;2018-12-31"))</f>
        <v>#VALUE!</v>
      </c>
      <c r="M40" t="e">
        <f>IF(COUNTIFS($E:$E,"=Delregion Södra Älvsborg",$D:$D,"=Hälso- och sjukvård",$A:$A,"&gt;2018-01-01",$A:$A,"&lt;2018-12-31")=0,FIND(" ",O21,1),COUNTIFS($E:$E,"=Delregion Södra Älvsborg",$D:$D,"=Hälso- och sjukvård",$A:$A,"&gt;2018-01-01",$A:$A,"&lt;2018-12-31"))</f>
        <v>#VALUE!</v>
      </c>
      <c r="N40" t="e">
        <f t="shared" si="2"/>
        <v>#VALUE!</v>
      </c>
      <c r="Q40" s="69" t="s">
        <v>166</v>
      </c>
      <c r="R40" s="71" t="s">
        <v>178</v>
      </c>
    </row>
    <row r="41" spans="1:25" ht="14.45" customHeight="1">
      <c r="A41" s="64">
        <v>41799</v>
      </c>
      <c r="B41" s="65" t="s">
        <v>89</v>
      </c>
      <c r="C41" s="65" t="s">
        <v>85</v>
      </c>
      <c r="D41" s="65" t="s">
        <v>75</v>
      </c>
      <c r="E41" t="str">
        <f t="shared" si="0"/>
        <v>Delregion Skaraborg</v>
      </c>
      <c r="G41">
        <v>2018</v>
      </c>
      <c r="H41" s="68" t="s">
        <v>138</v>
      </c>
      <c r="I41" t="e">
        <f>IF(COUNTIFS($E:$E,"=Delregion Fyrbodal",$C:$C,"=Elevhälsa",$A:$A,"&gt;2018-01-01",$A:$A,"&lt;2018-12-31")=0,FIND(" ",O22,1),COUNTIFS($E:$E,"=Delregion Fyrbodal",$C:$C,"=Elevhälsa",$A:$A,"&gt;2018-01-01",$A:$A,"&lt;2018-12-31"))</f>
        <v>#VALUE!</v>
      </c>
      <c r="J41" t="e">
        <f>IF(COUNTIFS($E:$E,"=Delregion Göteborg",$C:$C,"=Elevhälsa",$A:$A,"&gt;2018-01-01",$A:$A,"&lt;2018-12-31")=0,FIND(" ",O22,1),COUNTIFS($E:$E,"=Delregion Göteborg",$C:$C,"=Elevhälsa",$A:$A,"&gt;2018-01-01",$A:$A,"&lt;2018-12-31"))</f>
        <v>#VALUE!</v>
      </c>
      <c r="K41" t="e">
        <f>IF(COUNTIFS($E:$E,"=Delregion SIMBA",$C:$C,"=Elevhälsa",$A:$A,"&gt;2018-01-01",$A:$A,"&lt;2018-12-31")=0,FIND(" ",O22,1),COUNTIFS($E:$E,"=Delregion SIMBA",$C:$C,"=Elevhälsa",$A:$A,"&gt;2018-01-01",$A:$A,"&lt;2018-12-31"))</f>
        <v>#VALUE!</v>
      </c>
      <c r="L41" t="e">
        <f>IF(COUNTIFS($E:$E,"=Delregion Skaraborg",$C:$C,"=Elevhälsa",$A:$A,"&gt;2018-01-01",$A:$A,"&lt;2018-12-31")=0,FIND(" ",O22,1),COUNTIFS($E:$E,"=Delregion Skaraborg",$C:$C,"=Elevhälsa",$A:$A,"&gt;2018-01-01",$A:$A,"&lt;2018-12-31"))</f>
        <v>#VALUE!</v>
      </c>
      <c r="M41" t="e">
        <f>IF(COUNTIFS($E:$E,"=Delregion Södra Älvsborg",$C:$C,"=Elevhälsa",$A:$A,"&gt;2018-01-01",$A:$A,"&lt;2018-12-31")=0,FIND(" ",O22,1),COUNTIFS($E:$E,"=Delregion Södra Älvsborg",$C:$C,"=Elevhälsa",$A:$A,"&gt;2018-01-01",$A:$A,"&lt;2018-12-31"))</f>
        <v>#VALUE!</v>
      </c>
      <c r="N41" t="e">
        <f t="shared" si="2"/>
        <v>#VALUE!</v>
      </c>
      <c r="Q41" s="69" t="s">
        <v>167</v>
      </c>
      <c r="R41" s="71" t="s">
        <v>178</v>
      </c>
    </row>
    <row r="42" spans="1:25" ht="14.45" customHeight="1">
      <c r="A42" s="64">
        <v>41800</v>
      </c>
      <c r="B42" s="65" t="s">
        <v>73</v>
      </c>
      <c r="C42" s="65" t="s">
        <v>85</v>
      </c>
      <c r="D42" s="65" t="s">
        <v>75</v>
      </c>
      <c r="E42" t="str">
        <f t="shared" si="0"/>
        <v>Delregion Göteborg</v>
      </c>
      <c r="G42">
        <v>2018</v>
      </c>
      <c r="H42" s="68" t="s">
        <v>198</v>
      </c>
      <c r="I42" t="e">
        <f>IF(SUM(I37:I40)=0,FIND(" ",O21,1),SUM(I37:I40))</f>
        <v>#VALUE!</v>
      </c>
      <c r="J42" t="e">
        <f>IF(SUM(J37:J40)=0,FIND(" ",O21,1),SUM(J37:J40))</f>
        <v>#VALUE!</v>
      </c>
      <c r="K42" t="e">
        <f>IF(SUM(K37:K40)=0,FIND(" ",O21,1),SUM(K37:K40))</f>
        <v>#VALUE!</v>
      </c>
      <c r="L42" t="e">
        <f>IF(SUM(L37:L40)=0,FIND(" ",O21,1),SUM(L37:L40))</f>
        <v>#VALUE!</v>
      </c>
      <c r="M42" t="e">
        <f>IF(SUM(M37:M40)=0,FIND(" ",O21,1),SUM(M37:M40))</f>
        <v>#VALUE!</v>
      </c>
      <c r="N42" t="e">
        <f t="shared" si="2"/>
        <v>#VALUE!</v>
      </c>
      <c r="Q42" s="69" t="s">
        <v>168</v>
      </c>
      <c r="R42" s="71" t="s">
        <v>178</v>
      </c>
    </row>
    <row r="43" spans="1:25" ht="14.45" customHeight="1">
      <c r="A43" s="64">
        <v>41801</v>
      </c>
      <c r="B43" s="65" t="s">
        <v>73</v>
      </c>
      <c r="C43" s="65" t="s">
        <v>85</v>
      </c>
      <c r="D43" s="65" t="s">
        <v>75</v>
      </c>
      <c r="E43" t="str">
        <f t="shared" si="0"/>
        <v>Delregion Göteborg</v>
      </c>
      <c r="G43">
        <v>2019</v>
      </c>
      <c r="H43" s="68" t="s">
        <v>75</v>
      </c>
      <c r="I43" t="e">
        <f>IF(COUNTIFS($E:$E,"=Delregion Fyrbodal",$D:$D,"=Socialtjänst",$A:$A,"&gt;2019-01-01",$A:$A,"&lt;2019-12-31")=0,FIND(" ",O21,1),COUNTIFS($E:$E,"=Delregion Fyrbodal",$D:$D,"=Socialtjänst",$A:$A,"&gt;2019-01-01",$A:$A,"&lt;2019-12-31"))</f>
        <v>#VALUE!</v>
      </c>
      <c r="J43" t="e">
        <f>IF(COUNTIFS($E:$E,"=Delregion Göteborg",$D:$D,"=Socialtjänst",$A:$A,"&gt;2019-01-01",$A:$A,"&lt;2019-12-31")=0,FIND(" ",O21,1),COUNTIFS($E:$E,"=Delregion Göteborg",$D:$D,"=Socialtjänst",$A:$A,"&gt;2019-01-01",$A:$A,"&lt;2019-12-31"))</f>
        <v>#VALUE!</v>
      </c>
      <c r="K43" t="e">
        <f>IF(COUNTIFS($E:$E,"=Delregion SIMBA",$D:$D,"=Socialtjänst",$A:$A,"&gt;2019-01-01",$A:$A,"&lt;2019-12-31")=0,FIND(" ",O21,1),COUNTIFS($E:$E,"=Delregion SIMBA",$D:$D,"=Socialtjänst",$A:$A,"&gt;2019-01-01",$A:$A,"&lt;2019-12-31"))</f>
        <v>#VALUE!</v>
      </c>
      <c r="L43" t="e">
        <f>IF(COUNTIFS($E:$E,"=Delregion Skaraborg",$D:$D,"=Socialtjänst",$A:$A,"&gt;2019-01-01",$A:$A,"&lt;2019-12-31")=0,FIND(" ",O21,1),COUNTIFS($E:$E,"=Delregion Skaraborg",$D:$D,"=Socialtjänst",$A:$A,"&gt;2019-01-01",$A:$A,"&lt;2019-12-31"))</f>
        <v>#VALUE!</v>
      </c>
      <c r="M43" t="e">
        <f>IF(COUNTIFS($E:$E,"=Delregion Södra Älvsborg",$D:$D,"=Socialtjänst",$A:$A,"&gt;2019-01-01",$A:$A,"&lt;2019-12-31")=0,FIND(" ",O21,1),COUNTIFS($E:$E,"=Delregion Södra Älvsborg",$D:$D,"=Socialtjänst",$A:$A,"&gt;2019-01-01",$A:$A,"&lt;2019-12-31"))</f>
        <v>#VALUE!</v>
      </c>
      <c r="N43" t="e">
        <f t="shared" si="2"/>
        <v>#VALUE!</v>
      </c>
      <c r="Q43" s="69" t="s">
        <v>169</v>
      </c>
      <c r="R43" s="71" t="s">
        <v>178</v>
      </c>
    </row>
    <row r="44" spans="1:25" ht="14.45" customHeight="1">
      <c r="A44" s="64">
        <v>41808</v>
      </c>
      <c r="B44" s="65" t="s">
        <v>78</v>
      </c>
      <c r="C44" s="65" t="s">
        <v>85</v>
      </c>
      <c r="D44" s="65" t="s">
        <v>75</v>
      </c>
      <c r="E44" t="str">
        <f t="shared" si="0"/>
        <v>Delregion SIMBA</v>
      </c>
      <c r="G44">
        <v>2019</v>
      </c>
      <c r="H44" s="68" t="s">
        <v>85</v>
      </c>
      <c r="I44" t="e">
        <f>IF(COUNTIFS($E:$E,"=Delregion Fyrbodal",$C:$C,"=Barn och familj",$A:$A,"&gt;2019-01-01",$A:$A,"&lt;2019-12-31")=0,FIND(" ",O22,1),COUNTIFS($E:$E,"=Delregion Fyrbodal",$C:$C,"=Barn och familj",$A:$A,"&gt;2019-01-01",$A:$A,"&lt;2019-12-31"))</f>
        <v>#VALUE!</v>
      </c>
      <c r="J44" t="e">
        <f>IF(COUNTIFS($E:$E,"=Delregion Göteborg",$C:$C,"=Barn och familj",$A:$A,"&gt;2019-01-01",$A:$A,"&lt;2019-12-31")=0,FIND(" ",O22,1),COUNTIFS($E:$E,"=Delregion Göteborg",$C:$C,"=Barn och familj",$A:$A,"&gt;2019-01-01",$A:$A,"&lt;2019-12-31"))</f>
        <v>#VALUE!</v>
      </c>
      <c r="K44" t="e">
        <f>IF(COUNTIFS($E:$E,"=Delregion SIMBA",$C:$C,"=Barn och familj",$A:$A,"&gt;2019-01-01",$A:$A,"&lt;2019-12-31")=0,FIND(" ",O22,1),COUNTIFS($E:$E,"=Delregion SIMBA",$C:$C,"=Barn och familj",$A:$A,"&gt;2019-01-01",$A:$A,"&lt;2019-12-31"))</f>
        <v>#VALUE!</v>
      </c>
      <c r="L44" t="e">
        <f>IF(COUNTIFS($E:$E,"=Delregion Skaraborg",$C:$C,"=Barn och familj",$A:$A,"&gt;2019-01-01",$A:$A,"&lt;2019-12-31")=0,FIND(" ",O22,1),COUNTIFS($E:$E,"=Delregion Skaraborg",$C:$C,"=Barn och familj",$A:$A,"&gt;2019-01-01",$A:$A,"&lt;2019-12-31"))</f>
        <v>#VALUE!</v>
      </c>
      <c r="M44" t="e">
        <f>IF(COUNTIFS($E:$E,"=Delregion Södra Älvsborg",$C:$C,"=Barn och familj",$A:$A,"&gt;2019-01-01",$A:$A,"&lt;2019-12-31")=0,FIND(" ",O22,1),COUNTIFS($E:$E,"=Delregion Södra Älvsborg",$C:$C,"=Barn och familj",$A:$A,"&gt;2019-01-01",$A:$A,"&lt;2019-12-31"))</f>
        <v>#VALUE!</v>
      </c>
      <c r="N44" t="e">
        <f t="shared" si="2"/>
        <v>#VALUE!</v>
      </c>
      <c r="Q44" s="69" t="s">
        <v>170</v>
      </c>
      <c r="R44" s="71" t="s">
        <v>178</v>
      </c>
    </row>
    <row r="45" spans="1:25" ht="14.45" customHeight="1">
      <c r="A45" s="64">
        <v>41814</v>
      </c>
      <c r="B45" s="65" t="s">
        <v>106</v>
      </c>
      <c r="C45" s="65" t="s">
        <v>85</v>
      </c>
      <c r="D45" s="65" t="s">
        <v>75</v>
      </c>
      <c r="E45" t="str">
        <f t="shared" si="0"/>
        <v>Delregion Fyrbodal</v>
      </c>
      <c r="G45">
        <v>2019</v>
      </c>
      <c r="H45" s="68" t="s">
        <v>88</v>
      </c>
      <c r="I45" t="e">
        <f>IF(COUNTIFS($E:$E,"=Delregion Fyrbodal",$C:$C,"=Familjerätt",$A:$A,"&gt;2019-01-01",$A:$A,"&lt;2019-12-31")=0,FIND(" ",O23,1),COUNTIFS($E:$E,"=Delregion Fyrbodal",$C:$C,"=Familjerätt",$A:$A,"&gt;2019-01-01",$A:$A,"&lt;2019-12-31"))</f>
        <v>#VALUE!</v>
      </c>
      <c r="J45" t="e">
        <f>IF(COUNTIFS($E:$E,"=Delregion Göteborg",$C:$C,"=Familjerätt",$A:$A,"&gt;2019-01-01",$A:$A,"&lt;2019-12-31")=0,FIND(" ",O23,1),COUNTIFS($E:$E,"=Delregion Göteborg",$C:$C,"=Familjerätt",$A:$A,"&gt;2019-01-01",$A:$A,"&lt;2019-12-31"))</f>
        <v>#VALUE!</v>
      </c>
      <c r="K45" t="e">
        <f>IF(COUNTIFS($E:$E,"=Delregion SIMBA",$C:$C,"=Familjerätt",$A:$A,"&gt;2019-01-01",$A:$A,"&lt;2019-12-31")=0,FIND(" ",O23,1),COUNTIFS($E:$E,"=Delregion SIMBA",$C:$C,"=Familjerätt",$A:$A,"&gt;2019-01-01",$A:$A,"&lt;2019-12-31"))</f>
        <v>#VALUE!</v>
      </c>
      <c r="L45" t="e">
        <f>IF(COUNTIFS($E:$E,"=Delregion Skaraborg",$C:$C,"=Familjerätt",$A:$A,"&gt;2019-01-01",$A:$A,"&lt;2019-12-31")=0,FIND(" ",O23,1),COUNTIFS($E:$E,"=Delregion Skaraborg",$C:$C,"=Familjerätt",$A:$A,"&gt;2019-01-01",$A:$A,"&lt;2019-12-31"))</f>
        <v>#VALUE!</v>
      </c>
      <c r="M45" t="e">
        <f>IF(COUNTIFS($E:$E,"=Delregion Södra Älvsborg",$C:$C,"=Familjerätt",$A:$A,"&gt;2019-01-01",$A:$A,"&lt;2019-12-31")=0,FIND(" ",O23,1),COUNTIFS($E:$E,"=Delregion Södra Älvsborg",$C:$C,"=Familjerätt",$A:$A,"&gt;2019-01-01",$A:$A,"&lt;2019-12-31"))</f>
        <v>#VALUE!</v>
      </c>
      <c r="N45" t="e">
        <f t="shared" si="2"/>
        <v>#VALUE!</v>
      </c>
      <c r="Q45" s="69" t="s">
        <v>171</v>
      </c>
      <c r="R45" s="71" t="s">
        <v>178</v>
      </c>
    </row>
    <row r="46" spans="1:25" ht="14.45" customHeight="1">
      <c r="A46" s="64">
        <v>41815</v>
      </c>
      <c r="B46" s="65" t="s">
        <v>87</v>
      </c>
      <c r="C46" s="65" t="s">
        <v>85</v>
      </c>
      <c r="D46" s="65" t="s">
        <v>75</v>
      </c>
      <c r="E46" t="str">
        <f t="shared" si="0"/>
        <v>Delregion Skaraborg</v>
      </c>
      <c r="G46">
        <v>2019</v>
      </c>
      <c r="H46" s="68" t="s">
        <v>126</v>
      </c>
      <c r="I46" t="e">
        <f>IF(COUNTIFS($E:$E,"=Delregion Fyrbodal",$D:$D,"=Hälso- och sjukvård",$A:$A,"&gt;2019-01-01",$A:$A,"&lt;2019-12-31")=0,FIND(" ",O21,1),COUNTIFS($E:$E,"=Delregion Fyrbodal",$D:$D,"=Hälso- och sjukvård",$A:$A,"&gt;2019-01-01",$A:$A,"&lt;2019-12-31"))</f>
        <v>#VALUE!</v>
      </c>
      <c r="J46" t="e">
        <f>IF(COUNTIFS($E:$E,"=Delregion Göteborg",$D:$D,"=Hälso- och sjukvård",$A:$A,"&gt;2019-01-01",$A:$A,"&lt;2019-12-31")=0,FIND(" ",O21,1),COUNTIFS($E:$E,"=Delregion Göteborg",$D:$D,"=Hälso- och sjukvård",$A:$A,"&gt;2019-01-01",$A:$A,"&lt;2019-12-31"))</f>
        <v>#VALUE!</v>
      </c>
      <c r="K46" t="e">
        <f>IF(COUNTIFS($E:$E,"=Delregion SIMBA",$D:$D,"=Hälso- och sjukvård",$A:$A,"&gt;2019-01-01",$A:$A,"&lt;2019-12-31")=0,FIND(" ",O21,1),COUNTIFS($E:$E,"=Delregion SIMBA",$D:$D,"=Hälso- och sjukvård",$A:$A,"&gt;2019-01-01",$A:$A,"&lt;2019-12-31"))</f>
        <v>#VALUE!</v>
      </c>
      <c r="L46" t="e">
        <f>IF(COUNTIFS($E:$E,"=Delregion Skaraborg",$D:$D,"=Hälso- och sjukvård",$A:$A,"&gt;2019-01-01",$A:$A,"&lt;2019-12-31")=0,FIND(" ",O21,1),COUNTIFS($E:$E,"=Delregion Skaraborg",$D:$D,"=Hälso- och sjukvård",$A:$A,"&gt;2019-01-01",$A:$A,"&lt;2019-12-31"))</f>
        <v>#VALUE!</v>
      </c>
      <c r="M46" t="e">
        <f>IF(COUNTIFS($E:$E,"=Delregion Södra Älvsborg",$D:$D,"=Hälso- och sjukvård",$A:$A,"&gt;2019-01-01",$A:$A,"&lt;2019-12-31")=0,FIND(" ",O21,1),COUNTIFS($E:$E,"=Delregion Södra Älvsborg",$D:$D,"=Hälso- och sjukvård",$A:$A,"&gt;2019-01-01",$A:$A,"&lt;2019-12-31"))</f>
        <v>#VALUE!</v>
      </c>
      <c r="N46" t="e">
        <f t="shared" si="2"/>
        <v>#VALUE!</v>
      </c>
      <c r="Q46" s="69" t="s">
        <v>172</v>
      </c>
      <c r="R46" s="71" t="s">
        <v>178</v>
      </c>
    </row>
    <row r="47" spans="1:25" ht="14.45" customHeight="1">
      <c r="A47" s="64">
        <v>41821</v>
      </c>
      <c r="B47" s="65" t="s">
        <v>86</v>
      </c>
      <c r="C47" s="65" t="s">
        <v>85</v>
      </c>
      <c r="D47" s="65" t="s">
        <v>75</v>
      </c>
      <c r="E47" t="str">
        <f t="shared" si="0"/>
        <v>Delregion Fyrbodal</v>
      </c>
      <c r="G47">
        <v>2019</v>
      </c>
      <c r="H47" s="68" t="s">
        <v>138</v>
      </c>
      <c r="I47" t="e">
        <f>IF(COUNTIFS($E:$E,"=Delregion Fyrbodal",$C:$C,"=Elevhälsa",$A:$A,"&gt;2019-01-01",$A:$A,"&lt;2019-12-31")=0,FIND(" ",O22,1),COUNTIFS($E:$E,"=Delregion Fyrbodal",$C:$C,"=Elevhälsa",$A:$A,"&gt;2019-01-01",$A:$A,"&lt;2019-12-31"))</f>
        <v>#VALUE!</v>
      </c>
      <c r="J47" t="e">
        <f>IF(COUNTIFS($E:$E,"=Delregion Göteborg",$C:$C,"=Elevhälsa",$A:$A,"&gt;2019-01-01",$A:$A,"&lt;2019-12-31")=0,FIND(" ",O22,1),COUNTIFS($E:$E,"=Delregion Göteborg",$C:$C,"=Elevhälsa",$A:$A,"&gt;2019-01-01",$A:$A,"&lt;2019-12-31"))</f>
        <v>#VALUE!</v>
      </c>
      <c r="K47" t="e">
        <f>IF(COUNTIFS($E:$E,"=Delregion SIMBA",$C:$C,"=Elevhälsa",$A:$A,"&gt;2019-01-01",$A:$A,"&lt;2019-12-31")=0,FIND(" ",O22,1),COUNTIFS($E:$E,"=Delregion SIMBA",$C:$C,"=Elevhälsa",$A:$A,"&gt;2019-01-01",$A:$A,"&lt;2019-12-31"))</f>
        <v>#VALUE!</v>
      </c>
      <c r="L47" t="e">
        <f>IF(COUNTIFS($E:$E,"=Delregion Skaraborg",$C:$C,"=Elevhälsa",$A:$A,"&gt;2019-01-01",$A:$A,"&lt;2019-12-31")=0,FIND(" ",O22,1),COUNTIFS($E:$E,"=Delregion Skaraborg",$C:$C,"=Elevhälsa",$A:$A,"&gt;2019-01-01",$A:$A,"&lt;2019-12-31"))</f>
        <v>#VALUE!</v>
      </c>
      <c r="M47" t="e">
        <f>IF(COUNTIFS($E:$E,"=Delregion Södra Älvsborg",$C:$C,"=Elevhälsa",$A:$A,"&gt;2019-01-01",$A:$A,"&lt;2019-12-31")=0,FIND(" ",O22,1),COUNTIFS($E:$E,"=Delregion Södra Älvsborg",$C:$C,"=Elevhälsa",$A:$A,"&gt;2019-01-01",$A:$A,"&lt;2019-12-31"))</f>
        <v>#VALUE!</v>
      </c>
      <c r="N47" t="e">
        <f t="shared" si="2"/>
        <v>#VALUE!</v>
      </c>
      <c r="Q47" s="69" t="s">
        <v>173</v>
      </c>
      <c r="R47" s="71" t="s">
        <v>178</v>
      </c>
    </row>
    <row r="48" spans="1:25" ht="14.45" customHeight="1">
      <c r="A48" s="64">
        <v>41877</v>
      </c>
      <c r="B48" s="65" t="s">
        <v>84</v>
      </c>
      <c r="C48" s="65" t="s">
        <v>85</v>
      </c>
      <c r="D48" s="65" t="s">
        <v>75</v>
      </c>
      <c r="E48" t="str">
        <f t="shared" si="0"/>
        <v>Delregion Skaraborg</v>
      </c>
      <c r="G48">
        <v>2019</v>
      </c>
      <c r="H48" s="68" t="s">
        <v>198</v>
      </c>
      <c r="I48" t="e">
        <f>IF(SUM(I43:I46)=0,FIND(" ",O21,1),SUM(I43:I46))</f>
        <v>#VALUE!</v>
      </c>
      <c r="J48" t="e">
        <f>IF(SUM(J43:J46)=0,FIND(" ",O21,1),SUM(J43:J46))</f>
        <v>#VALUE!</v>
      </c>
      <c r="K48" t="e">
        <f>IF(SUM(K43:K46)=0,FIND(" ",O21,1),SUM(K43:K46))</f>
        <v>#VALUE!</v>
      </c>
      <c r="L48" t="e">
        <f>IF(SUM(L43:L46)=0,FIND(" ",O21,1),SUM(L43:L46))</f>
        <v>#VALUE!</v>
      </c>
      <c r="M48" t="e">
        <f>IF(SUM(M43:M46)=0,FIND(" ",O21,1),SUM(M43:M46))</f>
        <v>#VALUE!</v>
      </c>
      <c r="N48" t="e">
        <f t="shared" si="2"/>
        <v>#VALUE!</v>
      </c>
      <c r="Q48" s="69" t="s">
        <v>174</v>
      </c>
      <c r="R48" s="71" t="s">
        <v>178</v>
      </c>
    </row>
    <row r="49" spans="1:18" ht="14.45" customHeight="1">
      <c r="A49" s="64">
        <v>41878</v>
      </c>
      <c r="B49" s="65" t="s">
        <v>116</v>
      </c>
      <c r="C49" s="65" t="s">
        <v>85</v>
      </c>
      <c r="D49" s="65" t="s">
        <v>75</v>
      </c>
      <c r="E49" t="str">
        <f t="shared" si="0"/>
        <v>Delregion Södra Älvsborg</v>
      </c>
      <c r="G49">
        <v>2020</v>
      </c>
      <c r="H49" s="68" t="s">
        <v>75</v>
      </c>
      <c r="I49" t="e">
        <f>IF(COUNTIFS($E:$E,"=Delregion Fyrbodal",$D:$D,"=Socialtjänst",$A:$A,"&gt;2020-01-01",$A:$A,"&lt;2020-12-31")=0,FIND(" ",O21,1),(COUNTIFS($E:$E,"=Delregion Fyrbodal",$D:$D,"=Socialtjänst",$A:$A,"&gt;2020-01-01",$A:$A,"&lt;2020-12-31")))</f>
        <v>#VALUE!</v>
      </c>
      <c r="J49" t="e">
        <f>IF(COUNTIFS($E:$E,"=Delregion Göteborg",$D:$D,"=Socialtjänst",$A:$A,"&gt;2020-01-01",$A:$A,"&lt;2020-12-31")=0,FIND(" ",O21,1),COUNTIFS($E:$E,"=Delregion Göteborg",$D:$D,"=Socialtjänst",$A:$A,"&gt;2020-01-01",$A:$A,"&lt;2020-12-31"))</f>
        <v>#VALUE!</v>
      </c>
      <c r="K49" t="e">
        <f>IF(COUNTIFS($E:$E,"=Delregion SIMBA",$D:$D,"=Socialtjänst",$A:$A,"&gt;2020-01-01",$A:$A,"&lt;2020-12-31")=0,FIND(" ",O21,1),COUNTIFS($E:$E,"=Delregion SIMBA",$D:$D,"=Socialtjänst",$A:$A,"&gt;2020-01-01",$A:$A,"&lt;2020-12-31"))</f>
        <v>#VALUE!</v>
      </c>
      <c r="L49" t="e">
        <f>IF(COUNTIFS($E:$E,"=Delregion Skaraborg",$D:$D,"=Socialtjänst",$A:$A,"&gt;2020-01-01",$A:$A,"&lt;2020-12-31")=0,FIND(" ",O21,1),COUNTIFS($E:$E,"=Delregion SIMBA",$D:$D,"=Socialtjänst",$A:$A,"&gt;2020-01-01",$A:$A,"&lt;2020-12-31"))</f>
        <v>#VALUE!</v>
      </c>
      <c r="M49" t="e">
        <f>IF(COUNTIFS($E:$E,"=Delregion Södra Älvsborg",$D:$D,"=Socialtjänst",$A:$A,"&gt;2020-01-01",$A:$A,"&lt;2020-12-31")=0,FIND(" ",O21,1),COUNTIFS($E:$E,"=Delregion Södra Älvsborg",$D:$D,"=Socialtjänst",$A:$A,"&gt;2020-01-01",$A:$A,"&lt;2020-12-31"))</f>
        <v>#VALUE!</v>
      </c>
      <c r="N49" t="e">
        <f t="shared" si="2"/>
        <v>#VALUE!</v>
      </c>
      <c r="Q49" s="69" t="s">
        <v>175</v>
      </c>
      <c r="R49" s="71" t="s">
        <v>178</v>
      </c>
    </row>
    <row r="50" spans="1:18" ht="14.45" customHeight="1">
      <c r="A50" s="64">
        <v>41883</v>
      </c>
      <c r="B50" s="65" t="s">
        <v>81</v>
      </c>
      <c r="C50" s="65" t="s">
        <v>85</v>
      </c>
      <c r="D50" s="65" t="s">
        <v>75</v>
      </c>
      <c r="E50" t="str">
        <f t="shared" si="0"/>
        <v>Delregion Fyrbodal</v>
      </c>
      <c r="G50">
        <v>2020</v>
      </c>
      <c r="H50" s="68" t="s">
        <v>85</v>
      </c>
      <c r="I50" t="e">
        <f>IF(COUNTIFS($E:$E,"=Delregion Fyrbodal",$C:$C,"=Barn och familj",$A:$A,"&gt;2020-01-01",$A:$A,"&lt;2020-12-31")=0,FIND(" ",O22,1),(COUNTIFS($E:$E,"=Delregion Fyrbodal",$C:$C,"=Barn och familj",$A:$A,"&gt;2020-01-01",$A:$A,"&lt;2020-12-31")))</f>
        <v>#VALUE!</v>
      </c>
      <c r="J50" t="e">
        <f>IF(COUNTIFS($E:$E,"=Delregion Göteborg",$C:$C,"=Barn och familj",$A:$A,"&gt;2020-01-01",$A:$A,"&lt;2020-12-31")=0,FIND(" ",O22,1),COUNTIFS($E:$E,"=Delregion Göteborg",$C:$C,"=Barn och familj",$A:$A,"&gt;2020-01-01",$A:$A,"&lt;2020-12-31"))</f>
        <v>#VALUE!</v>
      </c>
      <c r="K50" t="e">
        <f>IF(COUNTIFS($E:$E,"=Delregion SIMBA",$C:$C,"=Barn och familj",$A:$A,"&gt;2020-01-01",$A:$A,"&lt;2020-12-31")=0,FIND(" ",O22,1),COUNTIFS($E:$E,"=Delregion SIMBA",$C:$C,"=Barn och familj",$A:$A,"&gt;2020-01-01",$A:$A,"&lt;2020-12-31"))</f>
        <v>#VALUE!</v>
      </c>
      <c r="L50" t="e">
        <f>IF(COUNTIFS($E:$E,"=Delregion Skaraborg",$C:$C,"=Barn och familj",$A:$A,"&gt;2020-01-01",$A:$A,"&lt;2020-12-31")=0,FIND(" ",O22,1),COUNTIFS($E:$E,"=Delregion SIMBA",$C:$C,"=Barn och familj",$A:$A,"&gt;2020-01-01",$A:$A,"&lt;2020-12-31"))</f>
        <v>#VALUE!</v>
      </c>
      <c r="M50" t="e">
        <f>IF(COUNTIFS($E:$E,"=Delregion Södra Älvsborg",$C:$C,"=Barn och familj",$A:$A,"&gt;2020-01-01",$A:$A,"&lt;2020-12-31")=0,FIND(" ",O22,1),COUNTIFS($E:$E,"=Delregion Södra Älvsborg",$C:$C,"=Barn och familj",$A:$A,"&gt;2020-01-01",$A:$A,"&lt;2020-12-31"))</f>
        <v>#VALUE!</v>
      </c>
      <c r="N50" t="e">
        <f t="shared" si="2"/>
        <v>#VALUE!</v>
      </c>
      <c r="Q50" s="69" t="s">
        <v>176</v>
      </c>
      <c r="R50" s="71" t="s">
        <v>178</v>
      </c>
    </row>
    <row r="51" spans="1:18" ht="14.45" customHeight="1">
      <c r="A51" s="64">
        <v>41884</v>
      </c>
      <c r="B51" s="65" t="s">
        <v>76</v>
      </c>
      <c r="C51" s="65" t="s">
        <v>85</v>
      </c>
      <c r="D51" s="65" t="s">
        <v>75</v>
      </c>
      <c r="E51" t="str">
        <f t="shared" si="0"/>
        <v>Delregion Skaraborg</v>
      </c>
      <c r="G51">
        <v>2020</v>
      </c>
      <c r="H51" s="68" t="s">
        <v>88</v>
      </c>
      <c r="I51" t="e">
        <f>IF(COUNTIFS($E:$E,"=Delregion Fyrbodal",$C:$C,"=Familjerätt",$A:$A,"&gt;2020-01-01",$A:$A,"&lt;2020-12-31")=0,FIND(" ",O23,1),(COUNTIFS($E:$E,"=Delregion Fyrbodal",$C:$C,"=Familjerätt",$A:$A,"&gt;2020-01-01",$A:$A,"&lt;2020-12-31")))</f>
        <v>#VALUE!</v>
      </c>
      <c r="J51" t="e">
        <f>IF(COUNTIFS($E:$E,"=Delregion Göteborg",$C:$C,"=Familjerätt",$A:$A,"&gt;2020-01-01",$A:$A,"&lt;2020-12-31")=0,FIND(" ",O23,1),COUNTIFS($E:$E,"=Delregion Göteborg",$C:$C,"=Familjerätt",$A:$A,"&gt;2020-01-01",$A:$A,"&lt;2020-12-31"))</f>
        <v>#VALUE!</v>
      </c>
      <c r="K51" t="e">
        <f>IF(COUNTIFS($E:$E,"=Delregion SIMBA",$C:$C,"=Familjerätt",$A:$A,"&gt;2020-01-01",$A:$A,"&lt;2020-12-31")=0,FIND(" ",O23,1),COUNTIFS($E:$E,"=Delregion SIMBA",$C:$C,"=Familjerätt",$A:$A,"&gt;2020-01-01",$A:$A,"&lt;2020-12-31"))</f>
        <v>#VALUE!</v>
      </c>
      <c r="L51" t="e">
        <f>IF(COUNTIFS($E:$E,"=Delregion Skaraborg",$C:$C,"=Familjerätt",$A:$A,"&gt;2020-01-01",$A:$A,"&lt;2020-12-31")=0,FIND(" ",O23,1),COUNTIFS($E:$E,"=Delregion SIMBA",$C:$C,"=Familjerätt",$A:$A,"&gt;2020-01-01",$A:$A,"&lt;2020-12-31"))</f>
        <v>#VALUE!</v>
      </c>
      <c r="M51" t="e">
        <f>IF(COUNTIFS($E:$E,"=Delregion Södra Älvsborg",$C:$C,"=Familjerätt",$A:$A,"&gt;2020-01-01",$A:$A,"&lt;2020-12-31")=0,FIND(" ",O23,1),COUNTIFS($E:$E,"=Delregion Södra Älvsborg",$C:$C,"=Familjerätt",$A:$A,"&gt;2020-01-01",$A:$A,"&lt;2020-12-31"))</f>
        <v>#VALUE!</v>
      </c>
      <c r="N51" t="e">
        <f t="shared" si="2"/>
        <v>#VALUE!</v>
      </c>
      <c r="Q51" s="69" t="s">
        <v>177</v>
      </c>
      <c r="R51" s="71" t="s">
        <v>178</v>
      </c>
    </row>
    <row r="52" spans="1:18" ht="14.45" customHeight="1">
      <c r="A52" s="64">
        <v>41884</v>
      </c>
      <c r="B52" s="65" t="s">
        <v>116</v>
      </c>
      <c r="C52" s="65" t="s">
        <v>85</v>
      </c>
      <c r="D52" s="65" t="s">
        <v>75</v>
      </c>
      <c r="E52" t="str">
        <f t="shared" si="0"/>
        <v>Delregion Södra Älvsborg</v>
      </c>
      <c r="G52">
        <v>2020</v>
      </c>
      <c r="H52" s="68" t="s">
        <v>126</v>
      </c>
      <c r="I52" t="e">
        <f>IF(COUNTIFS($E:$E,"=Delregion Fyrbodal",$D:$D,"=Hälso- och sjukvård",$A:$A,"&gt;2020-01-01",$A:$A,"&lt;2014-20-31")=0,FIND(" ",O21,1),COUNTIFS($E:$E,"=Delregion Fyrbodal",$D:$D,"=Hälso- och sjukvård",$A:$A,"&gt;2020-01-01",$A:$A,"&lt;2014-20-31"))</f>
        <v>#VALUE!</v>
      </c>
      <c r="J52" t="e">
        <f>IF(COUNTIFS($E:$E,"=Delregion Göteborg",$D:$D,"=Hälso- och sjukvård",$A:$A,"&gt;2020-01-01",$A:$A,"&lt;2014-20-31")=0,FIND(" ",O21,1),COUNTIFS($E:$E,"=Delregion Göteborg",$D:$D,"=Hälso- och sjukvård",$A:$A,"&gt;2020-01-01",$A:$A,"&lt;2014-20-31"))</f>
        <v>#VALUE!</v>
      </c>
      <c r="K52" t="e">
        <f>IF(COUNTIFS($E:$E,"=Delregion SIMBA",$D:$D,"=Hälso- och sjukvård",$A:$A,"&gt;2020-01-01",$A:$A,"&lt;2014-20-31")=0,FIND(" ",O21,1),COUNTIFS($E:$E,"=Delregion SIMBA",$D:$D,"=Hälso- och sjukvård",$A:$A,"&gt;2020-01-01",$A:$A,"&lt;2014-20-31"))</f>
        <v>#VALUE!</v>
      </c>
      <c r="L52" t="e">
        <f>IF(COUNTIFS($E:$E,"=Delregion Skaraborg",$D:$D,"=Hälso- och sjukvård",$A:$A,"&gt;2020-01-01",$A:$A,"&lt;2014-20-31")=0,FIND(" ",O21,1),COUNTIFS($E:$E,"=Delregion Skaraborg",$D:$D,"=Hälso- och sjukvård",$A:$A,"&gt;2020-01-01",$A:$A,"&lt;2014-20-31"))</f>
        <v>#VALUE!</v>
      </c>
      <c r="M52" t="e">
        <f>IF(COUNTIFS($E:$E,"=Delregion Södra Älvsborg",$D:$D,"=Hälso- och sjukvård",$A:$A,"&gt;2020-01-01",$A:$A,"&lt;2014-20-31")=0,FIND(" ",O21,1),COUNTIFS($E:$E,"=Delregion Södra Älvsborg",$D:$D,"=Hälso- och sjukvård",$A:$A,"&gt;2020-01-01",$A:$A,"&lt;2014-20-31"))</f>
        <v>#VALUE!</v>
      </c>
      <c r="N52" t="e">
        <f t="shared" si="2"/>
        <v>#VALUE!</v>
      </c>
      <c r="Q52" s="68" t="s">
        <v>194</v>
      </c>
      <c r="R52" s="71" t="s">
        <v>188</v>
      </c>
    </row>
    <row r="53" spans="1:18" ht="14.45" customHeight="1">
      <c r="A53" s="64">
        <v>41887</v>
      </c>
      <c r="B53" s="65" t="s">
        <v>95</v>
      </c>
      <c r="C53" s="65" t="s">
        <v>85</v>
      </c>
      <c r="D53" s="65" t="s">
        <v>75</v>
      </c>
      <c r="E53" t="str">
        <f t="shared" si="0"/>
        <v>Delregion Södra Älvsborg</v>
      </c>
      <c r="G53">
        <v>2020</v>
      </c>
      <c r="H53" s="68" t="s">
        <v>138</v>
      </c>
      <c r="I53" t="e">
        <f>IF(COUNTIFS($E:$E,"=Delregion Fyrbodal",$C:$C,"=Elevhälsa",$A:$A,"&gt;2020-01-01",$A:$A,"&lt;2014-20-31")=0,FIND(" ",O22,1),COUNTIFS($E:$E,"=Delregion Fyrbodal",$C:$C,"=Elevhälsa",$A:$A,"&gt;2020-01-01",$A:$A,"&lt;2014-20-31"))</f>
        <v>#VALUE!</v>
      </c>
      <c r="J53" t="e">
        <f>IF(COUNTIFS($E:$E,"=Delregion Göteborg",$C:$C,"=Elevhälsa",$A:$A,"&gt;2020-01-01",$A:$A,"&lt;2014-20-31")=0,FIND(" ",O22,1),COUNTIFS($E:$E,"=Delregion Göteborg",$C:$C,"=Elevhälsa",$A:$A,"&gt;2020-01-01",$A:$A,"&lt;2014-20-31"))</f>
        <v>#VALUE!</v>
      </c>
      <c r="K53" t="e">
        <f>IF(COUNTIFS($E:$E,"=Delregion SIMBA",$C:$C,"=Elevhälsa",$A:$A,"&gt;2020-01-01",$A:$A,"&lt;2014-20-31")=0,FIND(" ",O22,1),COUNTIFS($E:$E,"=Delregion SIMBA",$C:$C,"=Elevhälsa",$A:$A,"&gt;2020-01-01",$A:$A,"&lt;2014-20-31"))</f>
        <v>#VALUE!</v>
      </c>
      <c r="L53" t="e">
        <f>IF(COUNTIFS($E:$E,"=Delregion Skaraborg",$C:$C,"=Elevhälsa",$A:$A,"&gt;2020-01-01",$A:$A,"&lt;2014-20-31")=0,FIND(" ",O22,1),COUNTIFS($E:$E,"=Delregion Skaraborg",$C:$C,"=Elevhälsa",$A:$A,"&gt;2020-01-01",$A:$A,"&lt;2014-20-31"))</f>
        <v>#VALUE!</v>
      </c>
      <c r="M53" t="e">
        <f>IF(COUNTIFS($E:$E,"=Delregion Södra Älvsborg",$C:$C,"=Elevhälsa",$A:$A,"&gt;2020-01-01",$A:$A,"&lt;2014-20-31")=0,FIND(" ",O22,1),COUNTIFS($E:$E,"=Delregion Södra Älvsborg",$C:$C,"=Elevhälsa",$A:$A,"&gt;2020-01-01",$A:$A,"&lt;2014-20-31"))</f>
        <v>#VALUE!</v>
      </c>
      <c r="N53" t="e">
        <f t="shared" si="2"/>
        <v>#VALUE!</v>
      </c>
      <c r="Q53" s="69" t="s">
        <v>179</v>
      </c>
      <c r="R53" s="71" t="s">
        <v>188</v>
      </c>
    </row>
    <row r="54" spans="1:18" ht="14.45" customHeight="1">
      <c r="A54" s="64">
        <v>41887</v>
      </c>
      <c r="B54" s="65" t="s">
        <v>73</v>
      </c>
      <c r="C54" s="65" t="s">
        <v>85</v>
      </c>
      <c r="D54" s="65" t="s">
        <v>75</v>
      </c>
      <c r="E54" t="str">
        <f t="shared" si="0"/>
        <v>Delregion Göteborg</v>
      </c>
      <c r="G54">
        <v>2020</v>
      </c>
      <c r="H54" s="68" t="s">
        <v>198</v>
      </c>
      <c r="I54" t="e">
        <f>IF(SUM(I49:I52)=0,FIND(" ",O21,1),SUM(I49:I52))</f>
        <v>#VALUE!</v>
      </c>
      <c r="J54" t="e">
        <f>IF(SUM(J49:J52)=0,FIND(" ",O21,1),SUM(J49:J52))</f>
        <v>#VALUE!</v>
      </c>
      <c r="K54" t="e">
        <f>IF(SUM(K49:K52)=0,FIND(" ",O21,1),SUM(K49:K52))</f>
        <v>#VALUE!</v>
      </c>
      <c r="L54" t="e">
        <f>IF(SUM(L49:L52)=0,FIND(" ",O21,1),SUM(L49:L52))</f>
        <v>#VALUE!</v>
      </c>
      <c r="M54" t="e">
        <f>IF(SUM(M49:M52)=0,FIND(" ",O21,1),SUM(M49:M52))</f>
        <v>#VALUE!</v>
      </c>
      <c r="N54" t="e">
        <f t="shared" si="2"/>
        <v>#VALUE!</v>
      </c>
      <c r="Q54" s="69" t="s">
        <v>180</v>
      </c>
      <c r="R54" s="71" t="s">
        <v>188</v>
      </c>
    </row>
    <row r="55" spans="1:18" ht="14.45" customHeight="1">
      <c r="A55" s="64">
        <v>41891</v>
      </c>
      <c r="B55" s="65" t="s">
        <v>81</v>
      </c>
      <c r="C55" s="65" t="s">
        <v>85</v>
      </c>
      <c r="D55" s="65" t="s">
        <v>75</v>
      </c>
      <c r="E55" t="str">
        <f t="shared" si="0"/>
        <v>Delregion Fyrbodal</v>
      </c>
      <c r="G55">
        <v>2021</v>
      </c>
      <c r="H55" s="68" t="s">
        <v>75</v>
      </c>
      <c r="I55" t="e">
        <f>IF(COUNTIFS($E:$E,"=Delregion Fyrbodal",$D:$D,"=Socialtjänst",$A:$A,"&gt;2021-01-01",$A:$A,"&lt;2021-12-31")=0,FIND(" ",O21,1),COUNTIFS($E:$E,"=Delregion Fyrbodal",$D:$D,"=Socialtjänst",$A:$A,"&gt;2021-01-01",$A:$A,"&lt;2021-12-31"))</f>
        <v>#VALUE!</v>
      </c>
      <c r="J55" t="e">
        <f>IF(COUNTIFS($E:$E,"=DelregionGöteborg",$D:$D,"=Socialtjänst",$A:$A,"&gt;2021-01-01",$A:$A,"&lt;2021-12-31")=0,FIND(" ",O21,1),COUNTIFS($E:$E,"=DelregionGöteborg",$D:$D,"=Socialtjänst",$A:$A,"&gt;2021-01-01",$A:$A,"&lt;2021-12-31"))</f>
        <v>#VALUE!</v>
      </c>
      <c r="K55" t="e">
        <f>IF(COUNTIFS($E:$E,"=Delregion SIMBA",$D:$D,"=Socialtjänst",$A:$A,"&gt;2021-01-01",$A:$A,"&lt;2021-12-31")=0,FIND(" ",O21,1),COUNTIFS($E:$E,"=Delregion SIMBA",$D:$D,"=Socialtjänst",$A:$A,"&gt;2021-01-01",$A:$A,"&lt;2021-12-31"))</f>
        <v>#VALUE!</v>
      </c>
      <c r="L55" t="e">
        <f>IF(COUNTIFS($E:$E,"=Delregion Skaraborg",$D:$D,"=Socialtjänst",$A:$A,"&gt;2021-01-01",$A:$A,"&lt;2021-12-31")=0,FIND(" ",O21,1),COUNTIFS($E:$E,"=Delregion Skaraborg",$D:$D,"=Socialtjänst",$A:$A,"&gt;2021-01-01",$A:$A,"&lt;2021-12-31"))</f>
        <v>#VALUE!</v>
      </c>
      <c r="M55" t="e">
        <f>IF(COUNTIFS($E:$E,"=Delregion Södra Älvsborg",$D:$D,"=Socialtjänst",$A:$A,"&gt;2021-01-01",$A:$A,"&lt;2021-12-31")=0,FIND(" ",O21,1),COUNTIFS($E:$E,"=Delregion Södra Älvsborg",$D:$D,"=Socialtjänst",$A:$A,"&gt;2021-01-01",$A:$A,"&lt;2021-12-31"))</f>
        <v>#VALUE!</v>
      </c>
      <c r="N55" t="e">
        <f t="shared" si="2"/>
        <v>#VALUE!</v>
      </c>
      <c r="Q55" s="69" t="s">
        <v>181</v>
      </c>
      <c r="R55" s="71" t="s">
        <v>188</v>
      </c>
    </row>
    <row r="56" spans="1:18" ht="14.45" customHeight="1">
      <c r="A56" s="64">
        <v>41893</v>
      </c>
      <c r="B56" s="65" t="s">
        <v>105</v>
      </c>
      <c r="C56" s="65" t="s">
        <v>85</v>
      </c>
      <c r="D56" s="65" t="s">
        <v>75</v>
      </c>
      <c r="E56" t="str">
        <f t="shared" si="0"/>
        <v>Delregion Skaraborg</v>
      </c>
      <c r="G56">
        <v>2021</v>
      </c>
      <c r="H56" s="68" t="s">
        <v>85</v>
      </c>
      <c r="I56" t="e">
        <f>IF(COUNTIFS($E:$E,"=Delregion Fyrbodal",$C:$C,"=Barn och familj",$A:$A,"&gt;2021-01-01",$A:$A,"&lt;2021-12-31")=0,FIND(" ",O22,1),COUNTIFS($E:$E,"=Delregion Fyrbodal",$C:$C,"=Barn och familj",$A:$A,"&gt;2021-01-01",$A:$A,"&lt;2021-12-31"))</f>
        <v>#VALUE!</v>
      </c>
      <c r="J56" t="e">
        <f>IF(COUNTIFS($E:$E,"=DelregionGöteborg",$C:$C,"=Barn och familj",$A:$A,"&gt;2021-01-01",$A:$A,"&lt;2021-12-31")=0,FIND(" ",O22,1),COUNTIFS($E:$E,"=DelregionGöteborg",$C:$C,"=Barn och familj",$A:$A,"&gt;2021-01-01",$A:$A,"&lt;2021-12-31"))</f>
        <v>#VALUE!</v>
      </c>
      <c r="K56" t="e">
        <f>IF(COUNTIFS($E:$E,"=Delregion SIMBA",$C:$C,"=Barn och familj",$A:$A,"&gt;2021-01-01",$A:$A,"&lt;2021-12-31")=0,FIND(" ",O22,1),COUNTIFS($E:$E,"=Delregion SIMBA",$C:$C,"=Barn och familj",$A:$A,"&gt;2021-01-01",$A:$A,"&lt;2021-12-31"))</f>
        <v>#VALUE!</v>
      </c>
      <c r="L56" t="e">
        <f>IF(COUNTIFS($E:$E,"=Delregion Skaraborg",$C:$C,"=Barn och familj",$A:$A,"&gt;2021-01-01",$A:$A,"&lt;2021-12-31")=0,FIND(" ",O22,1),COUNTIFS($E:$E,"=Delregion Skaraborg",$C:$C,"=Barn och familj",$A:$A,"&gt;2021-01-01",$A:$A,"&lt;2021-12-31"))</f>
        <v>#VALUE!</v>
      </c>
      <c r="M56" t="e">
        <f>IF(COUNTIFS($E:$E,"=Delregion Södra Älvsborg",$C:$C,"=Barn och familj",$A:$A,"&gt;2021-01-01",$A:$A,"&lt;2021-12-31")=0,FIND(" ",O22,1),COUNTIFS($E:$E,"=Delregion Södra Älvsborg",$C:$C,"=Barn och familj",$A:$A,"&gt;2021-01-01",$A:$A,"&lt;2021-12-31"))</f>
        <v>#VALUE!</v>
      </c>
      <c r="N56" t="e">
        <f t="shared" si="2"/>
        <v>#VALUE!</v>
      </c>
      <c r="Q56" s="69" t="s">
        <v>182</v>
      </c>
      <c r="R56" s="71" t="s">
        <v>188</v>
      </c>
    </row>
    <row r="57" spans="1:18" ht="14.45" customHeight="1">
      <c r="A57" s="64">
        <v>41894</v>
      </c>
      <c r="B57" s="65" t="s">
        <v>73</v>
      </c>
      <c r="C57" s="65" t="s">
        <v>85</v>
      </c>
      <c r="D57" s="65" t="s">
        <v>75</v>
      </c>
      <c r="E57" t="str">
        <f t="shared" si="0"/>
        <v>Delregion Göteborg</v>
      </c>
      <c r="G57">
        <v>2021</v>
      </c>
      <c r="H57" s="68" t="s">
        <v>88</v>
      </c>
      <c r="I57" t="e">
        <f>IF(COUNTIFS($E:$E,"=Delregion Fyrbodal",$C:$C,"=Familjerätt",$A:$A,"&gt;2021-01-01",$A:$A,"&lt;2021-12-31")=0,FIND(" ",O23,1),COUNTIFS($E:$E,"=Delregion Fyrbodal",$C:$C,"=Familjerätt",$A:$A,"&gt;2021-01-01",$A:$A,"&lt;2021-12-31"))</f>
        <v>#VALUE!</v>
      </c>
      <c r="J57" t="e">
        <f>IF(COUNTIFS($E:$E,"=DelregionGöteborg",$C:$C,"=Familjerätt",$A:$A,"&gt;2021-01-01",$A:$A,"&lt;2021-12-31")=0,FIND(" ",O23,1),COUNTIFS($E:$E,"=DelregionGöteborg",$C:$C,"=Familjerätt",$A:$A,"&gt;2021-01-01",$A:$A,"&lt;2021-12-31"))</f>
        <v>#VALUE!</v>
      </c>
      <c r="K57" t="e">
        <f>IF(COUNTIFS($E:$E,"=Delregion SIMBA",$C:$C,"=Familjerätt",$A:$A,"&gt;2021-01-01",$A:$A,"&lt;2021-12-31")=0,FIND(" ",O23,1),COUNTIFS($E:$E,"=Delregion SIMBA",$C:$C,"=Familjerätt",$A:$A,"&gt;2021-01-01",$A:$A,"&lt;2021-12-31"))</f>
        <v>#VALUE!</v>
      </c>
      <c r="L57" t="e">
        <f>IF(COUNTIFS($E:$E,"=Delregion Skaraborg",$C:$C,"=Familjerätt",$A:$A,"&gt;2021-01-01",$A:$A,"&lt;2021-12-31")=0,FIND(" ",O23,1),COUNTIFS($E:$E,"=Delregion Skaraborg",$C:$C,"=Familjerätt",$A:$A,"&gt;2021-01-01",$A:$A,"&lt;2021-12-31"))</f>
        <v>#VALUE!</v>
      </c>
      <c r="M57" t="e">
        <f>IF(COUNTIFS($E:$E,"=Delregion Södra Älvsborg",$C:$C,"=Familjerätt",$A:$A,"&gt;2021-01-01",$A:$A,"&lt;2021-12-31")=0,FIND(" ",O23,1),COUNTIFS($E:$E,"=Delregion Södra Älvsborg",$C:$C,"=Familjerätt",$A:$A,"&gt;2021-01-01",$A:$A,"&lt;2021-12-31"))</f>
        <v>#VALUE!</v>
      </c>
      <c r="N57" t="e">
        <f t="shared" si="2"/>
        <v>#VALUE!</v>
      </c>
      <c r="Q57" s="69" t="s">
        <v>183</v>
      </c>
      <c r="R57" s="71" t="s">
        <v>188</v>
      </c>
    </row>
    <row r="58" spans="1:18" ht="14.45" customHeight="1">
      <c r="A58" s="64">
        <v>41899</v>
      </c>
      <c r="B58" s="65" t="s">
        <v>76</v>
      </c>
      <c r="C58" s="65" t="s">
        <v>85</v>
      </c>
      <c r="D58" s="65" t="s">
        <v>75</v>
      </c>
      <c r="E58" t="str">
        <f t="shared" si="0"/>
        <v>Delregion Skaraborg</v>
      </c>
      <c r="G58">
        <v>2021</v>
      </c>
      <c r="H58" s="68" t="s">
        <v>126</v>
      </c>
      <c r="I58" t="e">
        <f>IF(COUNTIFS($E:$E,"=Delregion Fyrbodal",$D:$D,"=Hälso- och sjukvård",$A:$A,"&gt;2021-01-01",$A:$A,"&lt;2021-12-31")=0,FIND(" ",O21,1),COUNTIFS($E:$E,"=Delregion Fyrbodal",$D:$D,"=Hälso- och sjukvård",$A:$A,"&gt;2021-01-01",$A:$A,"&lt;2021-12-31"))</f>
        <v>#VALUE!</v>
      </c>
      <c r="J58" t="e">
        <f>IF(COUNTIFS($E:$E,"=Delregion Göteborg",$D:$D,"=Hälso- och sjukvård",$A:$A,"&gt;2021-01-01",$A:$A,"&lt;2021-12-31")=0,FIND(" ",O21,1),COUNTIFS($E:$E,"=Delregion Göteborg",$D:$D,"=Hälso- och sjukvård",$A:$A,"&gt;2021-01-01",$A:$A,"&lt;2021-12-31"))</f>
        <v>#VALUE!</v>
      </c>
      <c r="K58" t="e">
        <f>IF(COUNTIFS($E:$E,"=Delregion SIMBA",$D:$D,"=Hälso- och sjukvård",$A:$A,"&gt;2021-01-01",$A:$A,"&lt;2021-12-31")=0,FIND(" ",O21,1),COUNTIFS($E:$E,"=Delregion SIMBA",$D:$D,"=Hälso- och sjukvård",$A:$A,"&gt;2021-01-01",$A:$A,"&lt;2021-12-31"))</f>
        <v>#VALUE!</v>
      </c>
      <c r="L58" t="e">
        <f>IF(COUNTIFS($E:$E,"=Delregion Skaraborg",$D:$D,"=Hälso- och sjukvård",$A:$A,"&gt;2021-01-01",$A:$A,"&lt;2021-12-31")=0,FIND(" ",O21,1),COUNTIFS($E:$E,"=Delregion Skaraborg",$D:$D,"=Hälso- och sjukvård",$A:$A,"&gt;2021-01-01",$A:$A,"&lt;2021-12-31"))</f>
        <v>#VALUE!</v>
      </c>
      <c r="M58" t="e">
        <f>IF(COUNTIFS($E:$E,"=Delregion Södra Älvsborg",$D:$D,"=Hälso- och sjukvård",$A:$A,"&gt;2021-01-01",$A:$A,"&lt;2021-12-31")=0,FIND(" ",O21,1),COUNTIFS($E:$E,"=Delregion Södra Älvsborg",$D:$D,"=Hälso- och sjukvård",$A:$A,"&gt;2021-01-01",$A:$A,"&lt;2021-12-31"))</f>
        <v>#VALUE!</v>
      </c>
      <c r="N58" t="e">
        <f t="shared" si="2"/>
        <v>#VALUE!</v>
      </c>
      <c r="Q58" s="69" t="s">
        <v>184</v>
      </c>
      <c r="R58" s="71" t="s">
        <v>188</v>
      </c>
    </row>
    <row r="59" spans="1:18" ht="14.45" customHeight="1">
      <c r="A59" s="64">
        <v>41899</v>
      </c>
      <c r="B59" s="65" t="s">
        <v>73</v>
      </c>
      <c r="C59" s="65" t="s">
        <v>85</v>
      </c>
      <c r="D59" s="65" t="s">
        <v>75</v>
      </c>
      <c r="E59" t="str">
        <f t="shared" si="0"/>
        <v>Delregion Göteborg</v>
      </c>
      <c r="G59">
        <v>2021</v>
      </c>
      <c r="H59" s="68" t="s">
        <v>138</v>
      </c>
      <c r="I59" t="e">
        <f>IF(COUNTIFS($E:$E,"=Delregion Fyrbodal",$C:$C,"=Elevhälsa",$A:$A,"&gt;2021-01-01",$A:$A,"&lt;2021-12-31")=0,FIND(" ",O22,1),COUNTIFS($E:$E,"=Delregion Fyrbodal",$C:$C,"=Elevhälsa",$A:$A,"&gt;2021-01-01",$A:$A,"&lt;2021-12-31"))</f>
        <v>#VALUE!</v>
      </c>
      <c r="J59" t="e">
        <f>IF(COUNTIFS($E:$E,"=Delregion Göteborg",$C:$C,"=Elevhälsa",$A:$A,"&gt;2021-01-01",$A:$A,"&lt;2021-12-31")=0,FIND(" ",O22,1),COUNTIFS($E:$E,"=Delregion Göteborg",$C:$C,"=Elevhälsa",$A:$A,"&gt;2021-01-01",$A:$A,"&lt;2021-12-31"))</f>
        <v>#VALUE!</v>
      </c>
      <c r="K59" t="e">
        <f>IF(COUNTIFS($E:$E,"=Delregion SIMBA",$C:$C,"=Elevhälsa",$A:$A,"&gt;2021-01-01",$A:$A,"&lt;2021-12-31")=0,FIND(" ",O22,1),COUNTIFS($E:$E,"=Delregion SIMBA",$C:$C,"=Elevhälsa",$A:$A,"&gt;2021-01-01",$A:$A,"&lt;2021-12-31"))</f>
        <v>#VALUE!</v>
      </c>
      <c r="L59" t="e">
        <f>IF(COUNTIFS($E:$E,"=Delregion Skaraborg",$C:$C,"=Elevhälsa",$A:$A,"&gt;2021-01-01",$A:$A,"&lt;2021-12-31")=0,FIND(" ",O22,1),COUNTIFS($E:$E,"=Delregion Skaraborg",$C:$C,"=Elevhälsa",$A:$A,"&gt;2021-01-01",$A:$A,"&lt;2021-12-31"))</f>
        <v>#VALUE!</v>
      </c>
      <c r="M59" t="e">
        <f>IF(COUNTIFS($E:$E,"=Delregion Södra Älvsborg",$C:$C,"=Elevhälsa",$A:$A,"&gt;2021-01-01",$A:$A,"&lt;2021-12-31")=0,FIND(" ",O22,1),COUNTIFS($E:$E,"=Delregion Södra Älvsborg",$C:$C,"=Elevhälsa",$A:$A,"&gt;2021-01-01",$A:$A,"&lt;2021-12-31"))</f>
        <v>#VALUE!</v>
      </c>
      <c r="N59" t="e">
        <f t="shared" si="2"/>
        <v>#VALUE!</v>
      </c>
      <c r="Q59" s="69" t="s">
        <v>185</v>
      </c>
      <c r="R59" s="71" t="s">
        <v>188</v>
      </c>
    </row>
    <row r="60" spans="1:18" ht="14.45" customHeight="1">
      <c r="A60" s="64">
        <v>41904</v>
      </c>
      <c r="B60" s="65" t="s">
        <v>99</v>
      </c>
      <c r="C60" s="65" t="s">
        <v>85</v>
      </c>
      <c r="D60" s="65" t="s">
        <v>75</v>
      </c>
      <c r="E60" t="str">
        <f t="shared" si="0"/>
        <v>Delregion Skaraborg</v>
      </c>
      <c r="G60">
        <v>2021</v>
      </c>
      <c r="H60" s="68" t="s">
        <v>198</v>
      </c>
      <c r="I60" t="e">
        <f>IF(SUM(I55:I58)=0,FIND(" ",O21,1),SUM(I55:I58))</f>
        <v>#VALUE!</v>
      </c>
      <c r="J60" t="e">
        <f>IF(SUM(J55:J58)=0,FIND(" ",O21,1),SUM(J55:J58))</f>
        <v>#VALUE!</v>
      </c>
      <c r="K60" t="e">
        <f>IF(SUM(K55:K58)=0,FIND(" ",O21,1),SUM(K55:K58))</f>
        <v>#VALUE!</v>
      </c>
      <c r="L60" t="e">
        <f>IF(SUM(L55:L58)=0,FIND(" ",O21,1),SUM(L55:L58))</f>
        <v>#VALUE!</v>
      </c>
      <c r="M60" t="e">
        <f>IF(SUM(M55:M58)=0,FIND(" ",O21,1),SUM(M55:M58))</f>
        <v>#VALUE!</v>
      </c>
      <c r="N60" t="e">
        <f t="shared" si="2"/>
        <v>#VALUE!</v>
      </c>
      <c r="Q60" s="69" t="s">
        <v>186</v>
      </c>
      <c r="R60" s="71" t="s">
        <v>188</v>
      </c>
    </row>
    <row r="61" spans="1:18" ht="14.45" customHeight="1">
      <c r="A61" s="64">
        <v>41905</v>
      </c>
      <c r="B61" s="65" t="s">
        <v>101</v>
      </c>
      <c r="C61" s="65" t="s">
        <v>85</v>
      </c>
      <c r="D61" s="65" t="s">
        <v>75</v>
      </c>
      <c r="E61" t="str">
        <f t="shared" si="0"/>
        <v>Delregion SIMBA</v>
      </c>
      <c r="G61">
        <v>2022</v>
      </c>
      <c r="H61" s="68" t="s">
        <v>75</v>
      </c>
      <c r="I61" t="e">
        <f>IF(COUNTIFS($E:$E,"=Delregion Fyrbodal",$D:$D,"=Socialtjänst",$A:$A,"&gt;2022-01-01",$A:$A,"&lt;2022-12-31")=0,FIND(" ",O21,1),COUNTIFS($E:$E,"=Delregion Fyrbodal",$D:$D,"=Socialtjänst",$A:$A,"&gt;2022-01-01",$A:$A,"&lt;2022-12-31"))</f>
        <v>#VALUE!</v>
      </c>
      <c r="J61" t="e">
        <f>IF(COUNTIFS($E:$E,"=Delregion Göteborg",$D:$D,"=Socialtjänst",$A:$A,"&gt;2022-01-01",$A:$A,"&lt;2022-12-31")=0,FIND(" ",O21,1),COUNTIFS($E:$E,"=Delregion Göteborg",$D:$D,"=Socialtjänst",$A:$A,"&gt;2022-01-01",$A:$A,"&lt;2022-12-31"))</f>
        <v>#VALUE!</v>
      </c>
      <c r="K61" t="e">
        <f>IF(COUNTIFS($E:$E,"=Delregion SIMBA",$D:$D,"=Socialtjänst",$A:$A,"&gt;2022-01-01",$A:$A,"&lt;2022-12-31")=0,FIND(" ",O21,1),COUNTIFS($E:$E,"=Delregion SIMBA",$D:$D,"=Socialtjänst",$A:$A,"&gt;2022-01-01",$A:$A,"&lt;2022-12-31"))</f>
        <v>#VALUE!</v>
      </c>
      <c r="L61" t="e">
        <f>IF(COUNTIFS($E:$E,"=Delregion Skaraborg",$D:$D,"=Socialtjänst",$A:$A,"&gt;2022-01-01",$A:$A,"&lt;2022-12-31")=0,FIND(" ",O21,1),COUNTIFS($E:$E,"=Delregion Skaraborg",$D:$D,"=Socialtjänst",$A:$A,"&gt;2022-01-01",$A:$A,"&lt;2022-12-31"))</f>
        <v>#VALUE!</v>
      </c>
      <c r="M61" t="e">
        <f>IF(COUNTIFS($E:$E,"=Delregion Södra Älvsborg",$D:$D,"=Socialtjänst",$A:$A,"&gt;2022-01-01",$A:$A,"&lt;2022-12-31")=0,FIND(" ",O21,1),COUNTIFS($E:$E,"=Delregion Södra Älvsborg",$D:$D,"=Socialtjänst",$A:$A,"&gt;2022-01-01",$A:$A,"&lt;2022-12-31"))</f>
        <v>#VALUE!</v>
      </c>
      <c r="N61" t="e">
        <f t="shared" si="2"/>
        <v>#VALUE!</v>
      </c>
      <c r="Q61" s="70" t="s">
        <v>187</v>
      </c>
      <c r="R61" s="71" t="s">
        <v>188</v>
      </c>
    </row>
    <row r="62" spans="1:18" ht="14.45" customHeight="1">
      <c r="A62" s="64">
        <v>41906</v>
      </c>
      <c r="B62" s="65" t="s">
        <v>89</v>
      </c>
      <c r="C62" s="65" t="s">
        <v>85</v>
      </c>
      <c r="D62" s="65" t="s">
        <v>75</v>
      </c>
      <c r="E62" t="str">
        <f t="shared" si="0"/>
        <v>Delregion Skaraborg</v>
      </c>
      <c r="G62">
        <v>2022</v>
      </c>
      <c r="H62" s="68" t="s">
        <v>85</v>
      </c>
      <c r="I62" t="e">
        <f>IF(COUNTIFS($E:$E,"=Delregion Fyrbodal",$C:$C,"=Barn och familj",$A:$A,"&gt;2022-01-01",$A:$A,"&lt;2022-12-31")=0,FIND(" ",O22,1),COUNTIFS($E:$E,"=Delregion Fyrbodal",$C:$C,"=Barn och familj",$A:$A,"&gt;2022-01-01",$A:$A,"&lt;2022-12-31"))</f>
        <v>#VALUE!</v>
      </c>
      <c r="J62" t="e">
        <f>IF(COUNTIFS($E:$E,"=Delregion Göteborg",$C:$C,"=Barn och familj",$A:$A,"&gt;2022-01-01",$A:$A,"&lt;2022-12-31")=0,FIND(" ",O22,1),COUNTIFS($E:$E,"=Delregion Göteborg",$C:$C,"=Barn och familj",$A:$A,"&gt;2022-01-01",$A:$A,"&lt;2022-12-31"))</f>
        <v>#VALUE!</v>
      </c>
      <c r="K62" t="e">
        <f>IF(COUNTIFS($E:$E,"=Delregion SIMBA",$C:$C,"=Barn och familj",$A:$A,"&gt;2022-01-01",$A:$A,"&lt;2022-12-31")=0,FIND(" ",O22,1),COUNTIFS($E:$E,"=Delregion SIMBA",$C:$C,"=Barn och familj",$A:$A,"&gt;2022-01-01",$A:$A,"&lt;2022-12-31"))</f>
        <v>#VALUE!</v>
      </c>
      <c r="L62" t="e">
        <f>IF(COUNTIFS($E:$E,"=Delregion Skaraborg",$C:$C,"=Barn och familj",$A:$A,"&gt;2022-01-01",$A:$A,"&lt;2022-12-31")=0,FIND(" ",O22,1),COUNTIFS($E:$E,"=Delregion Skaraborg",$C:$C,"=Barn och familj",$A:$A,"&gt;2022-01-01",$A:$A,"&lt;2022-12-31"))</f>
        <v>#VALUE!</v>
      </c>
      <c r="M62" t="e">
        <f>IF(COUNTIFS($E:$E,"=Delregion Södra Älvsborg",$C:$C,"=Barn och familj",$A:$A,"&gt;2022-01-01",$A:$A,"&lt;2022-12-31")=0,FIND(" ",O22,1),COUNTIFS($E:$E,"=Delregion Södra Älvsborg",$C:$C,"=Barn och familj",$A:$A,"&gt;2022-01-01",$A:$A,"&lt;2022-12-31"))</f>
        <v>#VALUE!</v>
      </c>
      <c r="N62" t="e">
        <f t="shared" si="2"/>
        <v>#VALUE!</v>
      </c>
    </row>
    <row r="63" spans="1:18" ht="14.45" customHeight="1">
      <c r="A63" s="64">
        <v>41906</v>
      </c>
      <c r="B63" s="65" t="s">
        <v>92</v>
      </c>
      <c r="C63" s="65" t="s">
        <v>85</v>
      </c>
      <c r="D63" s="65" t="s">
        <v>75</v>
      </c>
      <c r="E63" t="str">
        <f t="shared" si="0"/>
        <v>Delregion Södra Älvsborg</v>
      </c>
      <c r="G63">
        <v>2022</v>
      </c>
      <c r="H63" s="68" t="s">
        <v>88</v>
      </c>
      <c r="I63" t="e">
        <f>IF(COUNTIFS($E:$E,"=Delregion Fyrbodal",$C:$C,"=Familjerätt",$A:$A,"&gt;2022-01-01",$A:$A,"&lt;2022-12-31")=0,FIND(" ",O23,1),COUNTIFS($E:$E,"=Delregion Fyrbodal",$C:$C,"=Familjerätt",$A:$A,"&gt;2022-01-01",$A:$A,"&lt;2022-12-31"))</f>
        <v>#VALUE!</v>
      </c>
      <c r="J63" t="e">
        <f>IF(COUNTIFS($E:$E,"=Delregion Göteborg",$C:$C,"=Familjerätt",$A:$A,"&gt;2022-01-01",$A:$A,"&lt;2022-12-31")=0,FIND(" ",O23,1),COUNTIFS($E:$E,"=Delregion Göteborg",$C:$C,"=Familjerätt",$A:$A,"&gt;2022-01-01",$A:$A,"&lt;2022-12-31"))</f>
        <v>#VALUE!</v>
      </c>
      <c r="K63" t="e">
        <f>IF(COUNTIFS($E:$E,"=Delregion SIMBA",$C:$C,"=Familjerätt",$A:$A,"&gt;2022-01-01",$A:$A,"&lt;2022-12-31")=0,FIND(" ",O23,1),COUNTIFS($E:$E,"=Delregion SIMBA",$C:$C,"=Familjerätt",$A:$A,"&gt;2022-01-01",$A:$A,"&lt;2022-12-31"))</f>
        <v>#VALUE!</v>
      </c>
      <c r="L63" t="e">
        <f>IF(COUNTIFS($E:$E,"=Delregion Skaraborg",$C:$C,"=Familjerätt",$A:$A,"&gt;2022-01-01",$A:$A,"&lt;2022-12-31")=0,FIND(" ",O23,1),COUNTIFS($E:$E,"=Delregion Skaraborg",$C:$C,"=Familjerätt",$A:$A,"&gt;2022-01-01",$A:$A,"&lt;2022-12-31"))</f>
        <v>#VALUE!</v>
      </c>
      <c r="M63" t="e">
        <f>IF(COUNTIFS($E:$E,"=Delregion Södra Älvsborg",$C:$C,"=Familjerätt",$A:$A,"&gt;2022-01-01",$A:$A,"&lt;2022-12-31")=0,FIND(" ",O23,1),COUNTIFS($E:$E,"=Delregion Södra Älvsborg",$C:$C,"=Familjerätt",$A:$A,"&gt;2022-01-01",$A:$A,"&lt;2022-12-31"))</f>
        <v>#VALUE!</v>
      </c>
      <c r="N63" t="e">
        <f t="shared" si="2"/>
        <v>#VALUE!</v>
      </c>
    </row>
    <row r="64" spans="1:18" ht="14.45" customHeight="1">
      <c r="A64" s="64">
        <v>41913</v>
      </c>
      <c r="B64" s="65" t="s">
        <v>97</v>
      </c>
      <c r="C64" s="65" t="s">
        <v>85</v>
      </c>
      <c r="D64" s="65" t="s">
        <v>75</v>
      </c>
      <c r="E64" t="str">
        <f t="shared" si="0"/>
        <v>Delregion Fyrbodal</v>
      </c>
      <c r="G64">
        <v>2022</v>
      </c>
      <c r="H64" s="68" t="s">
        <v>126</v>
      </c>
      <c r="I64" t="e">
        <f>IF(COUNTIFS($E:$E,"=Delregion Fyrbodal",$D:$D,"=Hälso- och sjukvård",$A:$A,"&gt;2022-01-01",$A:$A,"&lt;2022-12-31")=0,FIND(" ",O21,1),COUNTIFS($E:$E,"=Delregion Fyrbodal",$D:$D,"=Hälso- och sjukvård",$A:$A,"&gt;2022-01-01",$A:$A,"&lt;2022-12-31"))</f>
        <v>#VALUE!</v>
      </c>
      <c r="J64" t="e">
        <f>IF(COUNTIFS($E:$E,"=Delregion Göteborg",$D:$D,"=Hälso- och sjukvård",$A:$A,"&gt;2022-01-01",$A:$A,"&lt;2022-12-31")=0,FIND(" ",O21,1),COUNTIFS($E:$E,"=Delregion Göteborg",$D:$D,"=Hälso- och sjukvård",$A:$A,"&gt;2022-01-01",$A:$A,"&lt;2022-12-31"))</f>
        <v>#VALUE!</v>
      </c>
      <c r="K64" t="e">
        <f>IF(COUNTIFS($E:$E,"=Delregion SIMBA",$D:$D,"=Hälso- och sjukvård",$A:$A,"&gt;2022-01-01",$A:$A,"&lt;2022-12-31")=0,FIND(" ",O21,1),COUNTIFS($E:$E,"=Delregion SIMBA",$D:$D,"=Hälso- och sjukvård",$A:$A,"&gt;2022-01-01",$A:$A,"&lt;2022-12-31"))</f>
        <v>#VALUE!</v>
      </c>
      <c r="L64" t="e">
        <f>IF(COUNTIFS($E:$E,"=Delregion Skaraborg",$D:$D,"=Hälso- och sjukvård",$A:$A,"&gt;2022-01-01",$A:$A,"&lt;2022-12-31")=0,FIND(" ",O21,1),COUNTIFS($E:$E,"=Delregion Skaraborg",$D:$D,"=Hälso- och sjukvård",$A:$A,"&gt;2022-01-01",$A:$A,"&lt;2022-12-31"))</f>
        <v>#VALUE!</v>
      </c>
      <c r="M64" t="e">
        <f>IF(COUNTIFS($E:$E,"=Delregion Södra Älvsborg",$D:$D,"=Hälso- och sjukvård",$A:$A,"&gt;2022-01-01",$A:$A,"&lt;2022-12-31")=0,FIND(" ",O21,1),COUNTIFS($E:$E,"=Delregion Södra Älvsborg",$D:$D,"=Hälso- och sjukvård",$A:$A,"&gt;2022-01-01",$A:$A,"&lt;2022-12-31"))</f>
        <v>#VALUE!</v>
      </c>
      <c r="N64" t="e">
        <f t="shared" si="2"/>
        <v>#VALUE!</v>
      </c>
    </row>
    <row r="65" spans="1:14" ht="14.45" customHeight="1">
      <c r="A65" s="64">
        <v>41914</v>
      </c>
      <c r="B65" s="65" t="s">
        <v>86</v>
      </c>
      <c r="C65" s="65" t="s">
        <v>85</v>
      </c>
      <c r="D65" s="65" t="s">
        <v>75</v>
      </c>
      <c r="E65" t="str">
        <f t="shared" si="0"/>
        <v>Delregion Fyrbodal</v>
      </c>
      <c r="G65">
        <v>2022</v>
      </c>
      <c r="H65" s="68" t="s">
        <v>138</v>
      </c>
      <c r="I65" t="e">
        <f>IF(COUNTIFS($E:$E,"=Delregion Fyrbodal",$C:$C,"=Elevhälsa",$A:$A,"&gt;2022-01-01",$A:$A,"&lt;2022-12-31")=0,FIND(" ",O22,1),COUNTIFS($E:$E,"=Delregion Fyrbodal",$C:$C,"=Elevhälsa",$A:$A,"&gt;2022-01-01",$A:$A,"&lt;2022-12-31"))</f>
        <v>#VALUE!</v>
      </c>
      <c r="J65" t="e">
        <f>IF(COUNTIFS($E:$E,"=Delregion Göteborg",$C:$C,"=Elevhälsa",$A:$A,"&gt;2022-01-01",$A:$A,"&lt;2022-12-31")=0,FIND(" ",O22,1),COUNTIFS($E:$E,"=Delregion Göteborg",$C:$C,"=Elevhälsa",$A:$A,"&gt;2022-01-01",$A:$A,"&lt;2022-12-31"))</f>
        <v>#VALUE!</v>
      </c>
      <c r="K65" t="e">
        <f>IF(COUNTIFS($E:$E,"=Delregion SIMBA",$C:$C,"=Elevhälsa",$A:$A,"&gt;2022-01-01",$A:$A,"&lt;2022-12-31")=0,FIND(" ",O22,1),COUNTIFS($E:$E,"=Delregion SIMBA",$C:$C,"=Elevhälsa",$A:$A,"&gt;2022-01-01",$A:$A,"&lt;2022-12-31"))</f>
        <v>#VALUE!</v>
      </c>
      <c r="L65" t="e">
        <f>IF(COUNTIFS($E:$E,"=Delregion Skaraborg",$C:$C,"=Elevhälsa",$A:$A,"&gt;2022-01-01",$A:$A,"&lt;2022-12-31")=0,FIND(" ",O22,1),COUNTIFS($E:$E,"=Delregion Skaraborg",$C:$C,"=Elevhälsa",$A:$A,"&gt;2022-01-01",$A:$A,"&lt;2022-12-31"))</f>
        <v>#VALUE!</v>
      </c>
      <c r="M65" t="e">
        <f>IF(COUNTIFS($E:$E,"=Delregion Södra Älvsborg",$C:$C,"=Elevhälsa",$A:$A,"&gt;2022-01-01",$A:$A,"&lt;2022-12-31")=0,FIND(" ",O22,1),COUNTIFS($E:$E,"=Delregion Södra Älvsborg",$C:$C,"=Elevhälsa",$A:$A,"&gt;2022-01-01",$A:$A,"&lt;2022-12-31"))</f>
        <v>#VALUE!</v>
      </c>
      <c r="N65" t="e">
        <f t="shared" si="2"/>
        <v>#VALUE!</v>
      </c>
    </row>
    <row r="66" spans="1:14" ht="14.45" customHeight="1">
      <c r="A66" s="64">
        <v>41918</v>
      </c>
      <c r="B66" s="65" t="s">
        <v>73</v>
      </c>
      <c r="C66" s="65" t="s">
        <v>85</v>
      </c>
      <c r="D66" s="65" t="s">
        <v>75</v>
      </c>
      <c r="E66" t="str">
        <f t="shared" si="0"/>
        <v>Delregion Göteborg</v>
      </c>
      <c r="G66">
        <v>2022</v>
      </c>
      <c r="H66" s="68" t="s">
        <v>198</v>
      </c>
      <c r="I66" t="e">
        <f>IF(SUM(I61:I64)=0,FIND(" ",O21,1),SUM(I61:I64))</f>
        <v>#VALUE!</v>
      </c>
      <c r="J66" t="e">
        <f>IF(SUM(J61:J64)=0,FIND(" ",O21,1),SUM(J61:J64))</f>
        <v>#VALUE!</v>
      </c>
      <c r="K66" t="e">
        <f>IF(SUM(K61:K64)=0,FIND(" ",O21,1),SUM(K61:K64))</f>
        <v>#VALUE!</v>
      </c>
      <c r="L66" t="e">
        <f>IF(SUM(L61:L64)=0,FIND(" ",O21,1),SUM(L61:L64))</f>
        <v>#VALUE!</v>
      </c>
      <c r="M66" t="e">
        <f>IF(SUM(M61:M64)=0,FIND(" ",O21,1),SUM(M61:M64))</f>
        <v>#VALUE!</v>
      </c>
      <c r="N66" t="e">
        <f t="shared" si="2"/>
        <v>#VALUE!</v>
      </c>
    </row>
    <row r="67" spans="1:14" ht="14.45" customHeight="1">
      <c r="A67" s="64">
        <v>41922</v>
      </c>
      <c r="B67" s="65" t="s">
        <v>73</v>
      </c>
      <c r="C67" s="65" t="s">
        <v>85</v>
      </c>
      <c r="D67" s="65" t="s">
        <v>75</v>
      </c>
      <c r="E67" t="str">
        <f t="shared" si="0"/>
        <v>Delregion Göteborg</v>
      </c>
      <c r="G67">
        <v>2023</v>
      </c>
      <c r="H67" s="68" t="s">
        <v>75</v>
      </c>
      <c r="I67" t="e">
        <f>IF(COUNTIFS($E:$E,"=Delregion Fyrbodal",$D:$D,"=Socialtjänst",$A:$A,"&gt;2023-01-01",$A:$A,"&lt;2023-12-31")=0,FIND(" ",O21,1),COUNTIFS($E:$E,"=Delregion Fyrbodal",$D:$D,"=Socialtjänst",$A:$A,"&gt;2023-01-01",$A:$A,"&lt;2023-12-31"))</f>
        <v>#VALUE!</v>
      </c>
      <c r="J67" t="e">
        <f>IF(COUNTIFS($E:$E,"=Delregion Göteborg",$D:$D,"=Socialtjänst",$A:$A,"&gt;2023-01-01",$A:$A,"&lt;2023-12-31")=0,FIND(" ",O21,1),COUNTIFS($E:$E,"=Delregion Göteborg",$D:$D,"=Socialtjänst",$A:$A,"&gt;2023-01-01",$A:$A,"&lt;2023-12-31"))</f>
        <v>#VALUE!</v>
      </c>
      <c r="K67" t="e">
        <f>IF(COUNTIFS($E:$E,"=Delregion SIMBA",$D:$D,"=Socialtjänst",$A:$A,"&gt;2023-01-01",$A:$A,"&lt;2023-12-31")=0,FIND(" ",O21,1),COUNTIFS($E:$E,"=Delregion SIMBA",$D:$D,"=Socialtjänst",$A:$A,"&gt;2023-01-01",$A:$A,"&lt;2023-12-31"))</f>
        <v>#VALUE!</v>
      </c>
      <c r="L67" t="e">
        <f>IF(COUNTIFS($E:$E,"=Delregion Skaraborg",$D:$D,"=Socialtjänst",$A:$A,"&gt;2023-01-01",$A:$A,"&lt;2023-12-31")=0,FIND(" ",O21,1),COUNTIFS($E:$E,"=Delregion Skaraborg",$D:$D,"=Socialtjänst",$A:$A,"&gt;2023-01-01",$A:$A,"&lt;2023-12-31"))</f>
        <v>#VALUE!</v>
      </c>
      <c r="M67" t="e">
        <f>IF(COUNTIFS($E:$E,"=Delregion Södra Älvsborg",$D:$D,"=Socialtjänst",$A:$A,"&gt;2023-01-01",$A:$A,"&lt;2023-12-31")=0,FIND(" ",O21,1),COUNTIFS($E:$E,"=Delregion Södra Älvsborg",$D:$D,"=Socialtjänst",$A:$A,"&gt;2023-01-01",$A:$A,"&lt;2023-12-31"))</f>
        <v>#VALUE!</v>
      </c>
      <c r="N67" t="e">
        <f t="shared" si="2"/>
        <v>#VALUE!</v>
      </c>
    </row>
    <row r="68" spans="1:14" ht="14.45" customHeight="1">
      <c r="A68" s="64">
        <v>41922</v>
      </c>
      <c r="B68" s="65" t="s">
        <v>77</v>
      </c>
      <c r="C68" s="65" t="s">
        <v>85</v>
      </c>
      <c r="D68" s="65" t="s">
        <v>75</v>
      </c>
      <c r="E68" t="str">
        <f t="shared" si="0"/>
        <v>Delregion SIMBA</v>
      </c>
      <c r="G68">
        <v>2023</v>
      </c>
      <c r="H68" s="68" t="s">
        <v>85</v>
      </c>
      <c r="I68" t="e">
        <f>IF(COUNTIFS($E:$E,"=Delregion Fyrbodal",$C:$C,"=Barn och familj",$A:$A,"&gt;2023-01-01",$A:$A,"&lt;2023-12-31")=0,FIND(" ",O22,1),COUNTIFS($E:$E,"=Delregion Fyrbodal",$C:$C,"=Barn och familj",$A:$A,"&gt;2023-01-01",$A:$A,"&lt;2023-12-31"))</f>
        <v>#VALUE!</v>
      </c>
      <c r="J68" t="e">
        <f>IF(COUNTIFS($E:$E,"=Delregion Göteborg",$C:$C,"=Barn och familj",$A:$A,"&gt;2023-01-01",$A:$A,"&lt;2023-12-31")=0,FIND(" ",O22,1),COUNTIFS($E:$E,"=Delregion Göteborg",$C:$C,"=Barn och familj",$A:$A,"&gt;2023-01-01",$A:$A,"&lt;2023-12-31"))</f>
        <v>#VALUE!</v>
      </c>
      <c r="K68" t="e">
        <f>IF(COUNTIFS($E:$E,"=Delregion SIMBA",$C:$C,"=Barn och familj",$A:$A,"&gt;2023-01-01",$A:$A,"&lt;2023-12-31")=0,FIND(" ",O22,1),COUNTIFS($E:$E,"=Delregion SIMBA",$C:$C,"=Barn och familj",$A:$A,"&gt;2023-01-01",$A:$A,"&lt;2023-12-31"))</f>
        <v>#VALUE!</v>
      </c>
      <c r="L68" t="e">
        <f>IF(COUNTIFS($E:$E,"=Delregion Skaraborg",$C:$C,"=Barn och familj",$A:$A,"&gt;2023-01-01",$A:$A,"&lt;2023-12-31")=0,FIND(" ",O22,1),COUNTIFS($E:$E,"=Delregion Skaraborg",$C:$C,"=Barn och familj",$A:$A,"&gt;2023-01-01",$A:$A,"&lt;2023-12-31"))</f>
        <v>#VALUE!</v>
      </c>
      <c r="M68" t="e">
        <f>IF(COUNTIFS($E:$E,"=Delregion Södra Älvsborg",$C:$C,"=Barn och familj",$A:$A,"&gt;2023-01-01",$A:$A,"&lt;2023-12-31")=0,FIND(" ",O22,1),COUNTIFS($E:$E,"=Delregion Södra Älvsborg",$C:$C,"=Barn och familj",$A:$A,"&gt;2023-01-01",$A:$A,"&lt;2023-12-31"))</f>
        <v>#VALUE!</v>
      </c>
      <c r="N68" t="e">
        <f t="shared" si="2"/>
        <v>#VALUE!</v>
      </c>
    </row>
    <row r="69" spans="1:14" ht="14.45" customHeight="1">
      <c r="A69" s="64">
        <v>41927</v>
      </c>
      <c r="B69" s="65" t="s">
        <v>110</v>
      </c>
      <c r="C69" s="65" t="s">
        <v>85</v>
      </c>
      <c r="D69" s="65" t="s">
        <v>75</v>
      </c>
      <c r="E69" t="str">
        <f t="shared" si="0"/>
        <v>Delregion Fyrbodal</v>
      </c>
      <c r="G69">
        <v>2023</v>
      </c>
      <c r="H69" s="68" t="s">
        <v>88</v>
      </c>
      <c r="I69" t="e">
        <f>IF(COUNTIFS($E:$E,"=Delregion Fyrbodal",$C:$C,"=Familjerätt",$A:$A,"&gt;2023-01-01",$A:$A,"&lt;2023-12-31")=0,FIND(" ",O23,1),COUNTIFS($E:$E,"=Delregion Fyrbodal",$C:$C,"=Familjerätt",$A:$A,"&gt;2023-01-01",$A:$A,"&lt;2023-12-31"))</f>
        <v>#VALUE!</v>
      </c>
      <c r="J69" t="e">
        <f>IF(COUNTIFS($E:$E,"=Delregion Göteborg",$C:$C,"=Familjerätt",$A:$A,"&gt;2023-01-01",$A:$A,"&lt;2023-12-31")=0,FIND(" ",O23,1),COUNTIFS($E:$E,"=Delregion Göteborg",$C:$C,"=Familjerätt",$A:$A,"&gt;2023-01-01",$A:$A,"&lt;2023-12-31"))</f>
        <v>#VALUE!</v>
      </c>
      <c r="K69" t="e">
        <f>IF(COUNTIFS($E:$E,"=Delregion SIMBA",$C:$C,"=Familjerätt",$A:$A,"&gt;2023-01-01",$A:$A,"&lt;2023-12-31")=0,FIND(" ",O23,1),COUNTIFS($E:$E,"=Delregion SIMBA",$C:$C,"=Familjerätt",$A:$A,"&gt;2023-01-01",$A:$A,"&lt;2023-12-31"))</f>
        <v>#VALUE!</v>
      </c>
      <c r="L69" t="e">
        <f>IF(COUNTIFS($E:$E,"=Delregion Skaraborg",$C:$C,"=Familjerätt",$A:$A,"&gt;2023-01-01",$A:$A,"&lt;2023-12-31")=0,FIND(" ",O23,1),COUNTIFS($E:$E,"=Delregion Skaraborg",$C:$C,"=Familjerätt",$A:$A,"&gt;2023-01-01",$A:$A,"&lt;2023-12-31"))</f>
        <v>#VALUE!</v>
      </c>
      <c r="M69" t="e">
        <f>IF(COUNTIFS($E:$E,"=Delregion Södra Älvsborg",$C:$C,"=Familjerätt",$A:$A,"&gt;2023-01-01",$A:$A,"&lt;2023-12-31")=0,FIND(" ",O23,1),COUNTIFS($E:$E,"=Delregion Södra Älvsborg",$C:$C,"=Familjerätt",$A:$A,"&gt;2023-01-01",$A:$A,"&lt;2023-12-31"))</f>
        <v>#VALUE!</v>
      </c>
      <c r="N69" t="e">
        <f t="shared" si="2"/>
        <v>#VALUE!</v>
      </c>
    </row>
    <row r="70" spans="1:14" ht="14.45" customHeight="1">
      <c r="A70" s="64">
        <v>41927</v>
      </c>
      <c r="B70" s="65" t="s">
        <v>102</v>
      </c>
      <c r="C70" s="65" t="s">
        <v>85</v>
      </c>
      <c r="D70" s="65" t="s">
        <v>75</v>
      </c>
      <c r="E70" t="str">
        <f t="shared" si="0"/>
        <v>Delregion Södra Älvsborg</v>
      </c>
      <c r="G70">
        <v>2023</v>
      </c>
      <c r="H70" s="68" t="s">
        <v>126</v>
      </c>
      <c r="I70" t="e">
        <f>IF(COUNTIFS($E:$E,"=Delregion Fyrbodal",$D:$D,"=Hälso- och sjukvård",$A:$A,"&gt;2023-01-01",$A:$A,"&lt;2023-12-31")=0,FIND(" ",O21,1),COUNTIFS($E:$E,"=Delregion Fyrbodal",$D:$D,"=Hälso- och sjukvård",$A:$A,"&gt;2023-01-01",$A:$A,"&lt;2023-12-31"))</f>
        <v>#VALUE!</v>
      </c>
      <c r="J70" t="e">
        <f>IF(COUNTIFS($E:$E,"=Delregion Göteborg",$D:$D,"=Hälso- och sjukvård",$A:$A,"&gt;2023-01-01",$A:$A,"&lt;2023-12-31")=0,FIND(" ",O21,1),COUNTIFS($E:$E,"=Delregion Göteborg",$D:$D,"=Hälso- och sjukvård",$A:$A,"&gt;2023-01-01",$A:$A,"&lt;2023-12-31"))</f>
        <v>#VALUE!</v>
      </c>
      <c r="K70" t="e">
        <f>IF(COUNTIFS($E:$E,"=Delregion SIMBA",$D:$D,"=Hälso- och sjukvård",$A:$A,"&gt;2023-01-01",$A:$A,"&lt;2023-12-31")=0,FIND(" ",O21,1),COUNTIFS($E:$E,"=Delregion SIMBA",$D:$D,"=Hälso- och sjukvård",$A:$A,"&gt;2023-01-01",$A:$A,"&lt;2023-12-31"))</f>
        <v>#VALUE!</v>
      </c>
      <c r="L70" t="e">
        <f>IF(COUNTIFS($E:$E,"=Delregion Skaraborg",$D:$D,"=Hälso- och sjukvård",$A:$A,"&gt;2023-01-01",$A:$A,"&lt;2023-12-31")=0,FIND(" ",O21,1),COUNTIFS($E:$E,"=Delregion Skaraborg",$D:$D,"=Hälso- och sjukvård",$A:$A,"&gt;2023-01-01",$A:$A,"&lt;2023-12-31"))</f>
        <v>#VALUE!</v>
      </c>
      <c r="M70" t="e">
        <f>IF(COUNTIFS($E:$E,"=Delregion Södra Älvsborg",$D:$D,"=Hälso- och sjukvård",$A:$A,"&gt;2023-01-01",$A:$A,"&lt;2023-12-31")=0,FIND(" ",O21,1),COUNTIFS($E:$E,"=Delregion Södra Älvsborg",$D:$D,"=Hälso- och sjukvård",$A:$A,"&gt;2023-01-01",$A:$A,"&lt;2023-12-31"))</f>
        <v>#VALUE!</v>
      </c>
      <c r="N70" t="e">
        <f t="shared" si="2"/>
        <v>#VALUE!</v>
      </c>
    </row>
    <row r="71" spans="1:14" ht="14.45" customHeight="1">
      <c r="A71" s="64">
        <v>41936</v>
      </c>
      <c r="B71" s="65" t="s">
        <v>109</v>
      </c>
      <c r="C71" s="65" t="s">
        <v>85</v>
      </c>
      <c r="D71" s="65" t="s">
        <v>75</v>
      </c>
      <c r="E71" t="str">
        <f t="shared" si="0"/>
        <v>Delregion Fyrbodal</v>
      </c>
      <c r="G71">
        <v>2023</v>
      </c>
      <c r="H71" s="68" t="s">
        <v>138</v>
      </c>
      <c r="I71" t="e">
        <f>IF(COUNTIFS($E:$E,"=Delregion Fyrbodal",$C:$C,"=Elevhälsa",$A:$A,"&gt;2023-01-01",$A:$A,"&lt;2023-12-31")=0,FIND(" ",O22,1),COUNTIFS($E:$E,"=Delregion Fyrbodal",$C:$C,"=Elevhälsa",$A:$A,"&gt;2023-01-01",$A:$A,"&lt;2023-12-31"))</f>
        <v>#VALUE!</v>
      </c>
      <c r="J71" t="e">
        <f>IF(COUNTIFS($E:$E,"=Delregion Göteborg",$C:$C,"=Elevhälsa",$A:$A,"&gt;2023-01-01",$A:$A,"&lt;2023-12-31")=0,FIND(" ",O22,1),COUNTIFS($E:$E,"=Delregion Göteborg",$C:$C,"=Elevhälsa",$A:$A,"&gt;2023-01-01",$A:$A,"&lt;2023-12-31"))</f>
        <v>#VALUE!</v>
      </c>
      <c r="K71" t="e">
        <f>IF(COUNTIFS($E:$E,"=Delregion SIMBA",$C:$C,"=Elevhälsa",$A:$A,"&gt;2023-01-01",$A:$A,"&lt;2023-12-31")=0,FIND(" ",O22,1),COUNTIFS($E:$E,"=Delregion SIMBA",$C:$C,"=Elevhälsa",$A:$A,"&gt;2023-01-01",$A:$A,"&lt;2023-12-31"))</f>
        <v>#VALUE!</v>
      </c>
      <c r="L71" t="e">
        <f>IF(COUNTIFS($E:$E,"=Delregion Skaraborg",$C:$C,"=Elevhälsa",$A:$A,"&gt;2023-01-01",$A:$A,"&lt;2023-12-31")=0,FIND(" ",O22,1),COUNTIFS($E:$E,"=Delregion Skaraborg",$C:$C,"=Elevhälsa",$A:$A,"&gt;2023-01-01",$A:$A,"&lt;2023-12-31"))</f>
        <v>#VALUE!</v>
      </c>
      <c r="M71" t="e">
        <f>IF(COUNTIFS($E:$E,"=Delregion Södra Älvsborg",$C:$C,"=Elevhälsa",$A:$A,"&gt;2023-01-01",$A:$A,"&lt;2023-12-31")=0,FIND(" ",O22,1),COUNTIFS($E:$E,"=Delregion Södra Älvsborg",$C:$C,"=Elevhälsa",$A:$A,"&gt;2023-01-01",$A:$A,"&lt;2023-12-31"))</f>
        <v>#VALUE!</v>
      </c>
      <c r="N71" t="e">
        <f t="shared" si="2"/>
        <v>#VALUE!</v>
      </c>
    </row>
    <row r="72" spans="1:14" ht="14.45" customHeight="1">
      <c r="A72" s="64">
        <v>41949</v>
      </c>
      <c r="B72" s="65" t="s">
        <v>73</v>
      </c>
      <c r="C72" s="65" t="s">
        <v>85</v>
      </c>
      <c r="D72" s="65" t="s">
        <v>75</v>
      </c>
      <c r="E72" t="str">
        <f t="shared" si="0"/>
        <v>Delregion Göteborg</v>
      </c>
      <c r="G72">
        <v>2023</v>
      </c>
      <c r="H72" s="68" t="s">
        <v>198</v>
      </c>
      <c r="I72" t="e">
        <f>IF(SUM(I67:I70)=0,FIND(" ",O21,1),SUM(I67:I70))</f>
        <v>#VALUE!</v>
      </c>
      <c r="J72" t="e">
        <f>IF(SUM(J67:J70)=0,FIND(" ",O21,1),SUM(J67:J70))</f>
        <v>#VALUE!</v>
      </c>
      <c r="K72" t="e">
        <f>IF(SUM(K67:K70)=0,FIND(" ",O21,1),SUM(K67:K70))</f>
        <v>#VALUE!</v>
      </c>
      <c r="L72" t="e">
        <f>IF(SUM(L67:L70)=0,FIND(" ",O21,1),SUM(L67:L70))</f>
        <v>#VALUE!</v>
      </c>
      <c r="M72" t="e">
        <f>IF(SUM(M67:M70)=0,FIND(" ",O21,1),SUM(M67:M70))</f>
        <v>#VALUE!</v>
      </c>
      <c r="N72" t="e">
        <f t="shared" si="2"/>
        <v>#VALUE!</v>
      </c>
    </row>
    <row r="73" spans="1:14" ht="14.45" customHeight="1">
      <c r="A73" s="64">
        <v>41960</v>
      </c>
      <c r="B73" s="65" t="s">
        <v>113</v>
      </c>
      <c r="C73" s="65" t="s">
        <v>85</v>
      </c>
      <c r="D73" s="65" t="s">
        <v>75</v>
      </c>
      <c r="E73" t="str">
        <f t="shared" si="0"/>
        <v>Delregion Skaraborg</v>
      </c>
      <c r="G73">
        <v>2024</v>
      </c>
      <c r="H73" s="68" t="s">
        <v>75</v>
      </c>
      <c r="I73" t="e">
        <f>IF(COUNTIFS($E:$E,"=Delregion Fyrbodal",$D:$D,"=Socialtjänst",$A:$A,"&gt;2024-01-01",$A:$A,"&lt;2024-12-31")=0,FIND(" ",O21,1),COUNTIFS($E:$E,"=Delregion Fyrbodal",$D:$D,"=Socialtjänst",$A:$A,"&gt;2024-01-01",$A:$A,"&lt;2024-12-31"))</f>
        <v>#VALUE!</v>
      </c>
      <c r="J73" t="e">
        <f>IF(COUNTIFS($E:$E,"=Delregion Göteborg",$D:$D,"=Socialtjänst",$A:$A,"&gt;2024-01-01",$A:$A,"&lt;2024-12-31")=0,FIND(" ",O21,1),COUNTIFS($E:$E,"=Delregion Göteborg",$D:$D,"=Socialtjänst",$A:$A,"&gt;2024-01-01",$A:$A,"&lt;2024-12-31"))</f>
        <v>#VALUE!</v>
      </c>
      <c r="K73" t="e">
        <f>IF(COUNTIFS($E:$E,"=Delregion SIMBA",$D:$D,"=Socialtjänst",$A:$A,"&gt;2024-01-01",$A:$A,"&lt;2024-12-31")=0,FIND(" ",O21,1),COUNTIFS($E:$E,"=Delregion SIMBA",$D:$D,"=Socialtjänst",$A:$A,"&gt;2024-01-01",$A:$A,"&lt;2024-12-31"))</f>
        <v>#VALUE!</v>
      </c>
      <c r="L73" t="e">
        <f>IF(COUNTIFS($E:$E,"=Delregion Skaraborg",$D:$D,"=Socialtjänst",$A:$A,"&gt;2024-01-01",$A:$A,"&lt;2024-12-31")=0,FIND(" ",O21,1),COUNTIFS($E:$E,"=Delregion Skaraborg",$D:$D,"=Socialtjänst",$A:$A,"&gt;2024-01-01",$A:$A,"&lt;2024-12-31"))</f>
        <v>#VALUE!</v>
      </c>
      <c r="M73" t="e">
        <f>IF(COUNTIFS($E:$E,"=Delregion Södra Älvsborg",$D:$D,"=Socialtjänst",$A:$A,"&gt;2024-01-01",$A:$A,"&lt;2024-12-31")=0,FIND(" ",O21,1),COUNTIFS($E:$E,"=Delregion Södra Älvsborg",$D:$D,"=Socialtjänst",$A:$A,"&gt;2024-01-01",$A:$A,"&lt;2024-12-31"))</f>
        <v>#VALUE!</v>
      </c>
      <c r="N73" t="e">
        <f t="shared" si="2"/>
        <v>#VALUE!</v>
      </c>
    </row>
    <row r="74" spans="1:14" ht="14.45" customHeight="1">
      <c r="A74" s="64">
        <v>41967</v>
      </c>
      <c r="B74" s="65" t="s">
        <v>115</v>
      </c>
      <c r="C74" s="65" t="s">
        <v>85</v>
      </c>
      <c r="D74" s="65" t="s">
        <v>75</v>
      </c>
      <c r="E74" t="str">
        <f t="shared" si="0"/>
        <v>Delregion Göteborg</v>
      </c>
      <c r="G74">
        <v>2024</v>
      </c>
      <c r="H74" s="68" t="s">
        <v>85</v>
      </c>
      <c r="I74" t="e">
        <f>IF(COUNTIFS($E:$E,"=Delregion Fyrbodal",$C:$C,"=Barn och familj",$A:$A,"&gt;2024-01-01",$A:$A,"&lt;2024-12-31")=0,FIND(" ",O22,1),COUNTIFS($E:$E,"=Delregion Fyrbodal",$C:$C,"=Barn och familj",$A:$A,"&gt;2024-01-01",$A:$A,"&lt;2024-12-31"))</f>
        <v>#VALUE!</v>
      </c>
      <c r="J74" t="e">
        <f>IF(COUNTIFS($E:$E,"=Delregion Göteborg",$C:$C,"=Barn och familj",$A:$A,"&gt;2024-01-01",$A:$A,"&lt;2024-12-31")=0,FIND(" ",O22,1),COUNTIFS($E:$E,"=Delregion Göteborg",$C:$C,"=Barn och familj",$A:$A,"&gt;2024-01-01",$A:$A,"&lt;2024-12-31"))</f>
        <v>#VALUE!</v>
      </c>
      <c r="K74" t="e">
        <f>IF(COUNTIFS($E:$E,"=Delregion SIMBA",$C:$C,"=Barn och familj",$A:$A,"&gt;2024-01-01",$A:$A,"&lt;2024-12-31")=0,FIND(" ",O22,1),COUNTIFS($E:$E,"=Delregion SIMBA",$C:$C,"=Barn och familj",$A:$A,"&gt;2024-01-01",$A:$A,"&lt;2024-12-31"))</f>
        <v>#VALUE!</v>
      </c>
      <c r="L74" t="e">
        <f>IF(COUNTIFS($E:$E,"=Delregion Skaraborg",$C:$C,"=Barn och familj",$A:$A,"&gt;2024-01-01",$A:$A,"&lt;2024-12-31")=0,FIND(" ",O22,1),COUNTIFS($E:$E,"=Delregion Skaraborg",$C:$C,"=Barn och familj",$A:$A,"&gt;2024-01-01",$A:$A,"&lt;2024-12-31"))</f>
        <v>#VALUE!</v>
      </c>
      <c r="M74" t="e">
        <f>IF(COUNTIFS($E:$E,"=Delregion Södra Älvsborg",$C:$C,"=Barn och familj",$A:$A,"&gt;2024-01-01",$A:$A,"&lt;2024-12-31")=0,FIND(" ",O22,1),COUNTIFS($E:$E,"=Delregion Södra Älvsborg",$C:$C,"=Barn och familj",$A:$A,"&gt;2024-01-01",$A:$A,"&lt;2024-12-31"))</f>
        <v>#VALUE!</v>
      </c>
      <c r="N74" t="e">
        <f t="shared" si="2"/>
        <v>#VALUE!</v>
      </c>
    </row>
    <row r="75" spans="1:14" ht="14.45" customHeight="1">
      <c r="A75" s="64">
        <v>41969</v>
      </c>
      <c r="B75" s="65" t="s">
        <v>115</v>
      </c>
      <c r="C75" s="65" t="s">
        <v>85</v>
      </c>
      <c r="D75" s="65" t="s">
        <v>75</v>
      </c>
      <c r="E75" t="str">
        <f t="shared" si="0"/>
        <v>Delregion Göteborg</v>
      </c>
      <c r="G75">
        <v>2024</v>
      </c>
      <c r="H75" s="68" t="s">
        <v>88</v>
      </c>
      <c r="I75" t="e">
        <f>IF(COUNTIFS($E:$E,"=Delregion Fyrbodal",$C:$C,"=Familjerätt",$A:$A,"&gt;2024-01-01",$A:$A,"&lt;2024-12-31")=0,FIND(" ",O23,1),COUNTIFS($E:$E,"=Delregion Fyrbodal",$C:$C,"=Familjerätt",$A:$A,"&gt;2024-01-01",$A:$A,"&lt;2024-12-31"))</f>
        <v>#VALUE!</v>
      </c>
      <c r="J75" t="e">
        <f>IF(COUNTIFS($E:$E,"=Delregion Göteborg",$C:$C,"=Familjerätt",$A:$A,"&gt;2024-01-01",$A:$A,"&lt;2024-12-31")=0,FIND(" ",O23,1),COUNTIFS($E:$E,"=Delregion Göteborg",$C:$C,"=Familjerätt",$A:$A,"&gt;2024-01-01",$A:$A,"&lt;2024-12-31"))</f>
        <v>#VALUE!</v>
      </c>
      <c r="K75" t="e">
        <f>IF(COUNTIFS($E:$E,"=Delregion SIMBA",$C:$C,"=Familjerätt",$A:$A,"&gt;2024-01-01",$A:$A,"&lt;2024-12-31")=0,FIND(" ",O23,1),COUNTIFS($E:$E,"=Delregion SIMBA",$C:$C,"=Familjerätt",$A:$A,"&gt;2024-01-01",$A:$A,"&lt;2024-12-31"))</f>
        <v>#VALUE!</v>
      </c>
      <c r="L75" t="e">
        <f>IF(COUNTIFS($E:$E,"=Delregion Skaraborg",$C:$C,"=Familjerätt",$A:$A,"&gt;2024-01-01",$A:$A,"&lt;2024-12-31")=0,FIND(" ",O23,1),COUNTIFS($E:$E,"=Delregion Skaraborg",$C:$C,"=Familjerätt",$A:$A,"&gt;2024-01-01",$A:$A,"&lt;2024-12-31"))</f>
        <v>#VALUE!</v>
      </c>
      <c r="M75" t="e">
        <f>IF(COUNTIFS($E:$E,"=Delregion Södra Älvsborg",$C:$C,"=Familjerätt",$A:$A,"&gt;2024-01-01",$A:$A,"&lt;2024-12-31")=0,FIND(" ",O23,1),COUNTIFS($E:$E,"=Delregion Södra Älvsborg",$C:$C,"=Familjerätt",$A:$A,"&gt;2024-01-01",$A:$A,"&lt;2024-12-31"))</f>
        <v>#VALUE!</v>
      </c>
      <c r="N75" t="e">
        <f t="shared" si="2"/>
        <v>#VALUE!</v>
      </c>
    </row>
    <row r="76" spans="1:14" ht="14.45" customHeight="1">
      <c r="A76" s="64">
        <v>41975</v>
      </c>
      <c r="B76" s="65" t="s">
        <v>73</v>
      </c>
      <c r="C76" s="65" t="s">
        <v>85</v>
      </c>
      <c r="D76" s="65" t="s">
        <v>75</v>
      </c>
      <c r="E76" t="str">
        <f t="shared" si="0"/>
        <v>Delregion Göteborg</v>
      </c>
      <c r="G76">
        <v>2024</v>
      </c>
      <c r="H76" s="68" t="s">
        <v>126</v>
      </c>
      <c r="I76" t="e">
        <f>IF(COUNTIFS($E:$E,"=Delregion Fyrbodal",$D:$D,"=Hälso- och sjukvård",$A:$A,"&gt;2024-01-01",$A:$A,"&lt;2024-12-31")=0,FIND(" ",O21,1),COUNTIFS($E:$E,"=Delregion Fyrbodal",$D:$D,"=Hälso- och sjukvård",$A:$A,"&gt;2024-01-01",$A:$A,"&lt;2024-12-31"))</f>
        <v>#VALUE!</v>
      </c>
      <c r="J76" t="e">
        <f>IF(COUNTIFS($E:$E,"=Delregion Göteborg",$D:$D,"=Hälso- och sjukvård",$A:$A,"&gt;2024-01-01",$A:$A,"&lt;2024-12-31")=0,FIND(" ",O21,1),COUNTIFS($E:$E,"=Delregion Göteborg",$D:$D,"=Hälso- och sjukvård",$A:$A,"&gt;2024-01-01",$A:$A,"&lt;2024-12-31"))</f>
        <v>#VALUE!</v>
      </c>
      <c r="K76" t="e">
        <f>IF(COUNTIFS($E:$E,"=Delregion SIMBA",$D:$D,"=Hälso- och sjukvård",$A:$A,"&gt;2024-01-01",$A:$A,"&lt;2024-12-31")=0,FIND(" ",O21,1),COUNTIFS($E:$E,"=Delregion SIMBA",$D:$D,"=Hälso- och sjukvård",$A:$A,"&gt;2024-01-01",$A:$A,"&lt;2024-12-31"))</f>
        <v>#VALUE!</v>
      </c>
      <c r="L76" t="e">
        <f>IF(COUNTIFS($E:$E,"=Delregion Skaraborg",$D:$D,"=Hälso- och sjukvård",$A:$A,"&gt;2024-01-01",$A:$A,"&lt;2024-12-31")=0,FIND(" ",O21,1),COUNTIFS($E:$E,"=Delregion Skaraborg",$D:$D,"=Hälso- och sjukvård",$A:$A,"&gt;2024-01-01",$A:$A,"&lt;2024-12-31"))</f>
        <v>#VALUE!</v>
      </c>
      <c r="M76" t="e">
        <f>IF(COUNTIFS($E:$E,"=Delregion Södra Älvsborg",$D:$D,"=Hälso- och sjukvård",$A:$A,"&gt;2024-01-01",$A:$A,"&lt;2024-12-31")=0,FIND(" ",O21,1),COUNTIFS($E:$E,"=Delregion Södra Älvsborg",$D:$D,"=Hälso- och sjukvård",$A:$A,"&gt;2024-01-01",$A:$A,"&lt;2024-12-31"))</f>
        <v>#VALUE!</v>
      </c>
      <c r="N76" t="e">
        <f t="shared" si="2"/>
        <v>#VALUE!</v>
      </c>
    </row>
    <row r="77" spans="1:14" ht="14.45" customHeight="1">
      <c r="A77" s="64">
        <v>41976</v>
      </c>
      <c r="B77" s="65" t="s">
        <v>73</v>
      </c>
      <c r="C77" s="65" t="s">
        <v>85</v>
      </c>
      <c r="D77" s="65" t="s">
        <v>75</v>
      </c>
      <c r="E77" t="str">
        <f t="shared" ref="E77:E140" si="3">VLOOKUP(B77,$Q$13:$R$61,2,FALSE)</f>
        <v>Delregion Göteborg</v>
      </c>
      <c r="G77">
        <v>2024</v>
      </c>
      <c r="H77" s="68" t="s">
        <v>138</v>
      </c>
      <c r="I77" t="e">
        <f>IF(COUNTIFS($E:$E,"=Delregion Fyrbodal",$C:$C,"=Elevhälsa",$A:$A,"&gt;2024-01-01",$A:$A,"&lt;2024-12-31")=0,FIND(" ",O22,1),COUNTIFS($E:$E,"=Delregion Fyrbodal",$C:$C,"=Elevhälsa",$A:$A,"&gt;2024-01-01",$A:$A,"&lt;2024-12-31"))</f>
        <v>#VALUE!</v>
      </c>
      <c r="J77" t="e">
        <f>IF(COUNTIFS($E:$E,"=Delregion Göteborg",$C:$C,"=Elevhälsa",$A:$A,"&gt;2024-01-01",$A:$A,"&lt;2024-12-31")=0,FIND(" ",O22,1),COUNTIFS($E:$E,"=Delregion Göteborg",$C:$C,"=Elevhälsa",$A:$A,"&gt;2024-01-01",$A:$A,"&lt;2024-12-31"))</f>
        <v>#VALUE!</v>
      </c>
      <c r="K77" t="e">
        <f>IF(COUNTIFS($E:$E,"=Delregion SIMBA",$C:$C,"=Elevhälsa",$A:$A,"&gt;2024-01-01",$A:$A,"&lt;2024-12-31")=0,FIND(" ",O22,1),COUNTIFS($E:$E,"=Delregion SIMBA",$C:$C,"=Elevhälsa",$A:$A,"&gt;2024-01-01",$A:$A,"&lt;2024-12-31"))</f>
        <v>#VALUE!</v>
      </c>
      <c r="L77" t="e">
        <f>IF(COUNTIFS($E:$E,"=Delregion Skaraborg",$C:$C,"=Elevhälsa",$A:$A,"&gt;2024-01-01",$A:$A,"&lt;2024-12-31")=0,FIND(" ",O22,1),COUNTIFS($E:$E,"=Delregion Skaraborg",$C:$C,"=Elevhälsa",$A:$A,"&gt;2024-01-01",$A:$A,"&lt;2024-12-31"))</f>
        <v>#VALUE!</v>
      </c>
      <c r="M77" t="e">
        <f>IF(COUNTIFS($E:$E,"=Delregion Södra Älvsborg",$C:$C,"=Elevhälsa",$A:$A,"&gt;2024-01-01",$A:$A,"&lt;2024-12-31")=0,FIND(" ",O22,1),COUNTIFS($E:$E,"=Delregion Södra Älvsborg",$C:$C,"=Elevhälsa",$A:$A,"&gt;2024-01-01",$A:$A,"&lt;2024-12-31"))</f>
        <v>#VALUE!</v>
      </c>
      <c r="N77" t="e">
        <f t="shared" si="2"/>
        <v>#VALUE!</v>
      </c>
    </row>
    <row r="78" spans="1:14" ht="14.45" customHeight="1">
      <c r="A78" s="64">
        <v>41978</v>
      </c>
      <c r="B78" s="65" t="s">
        <v>78</v>
      </c>
      <c r="C78" s="65" t="s">
        <v>85</v>
      </c>
      <c r="D78" s="65" t="s">
        <v>75</v>
      </c>
      <c r="E78" t="str">
        <f t="shared" si="3"/>
        <v>Delregion SIMBA</v>
      </c>
      <c r="G78">
        <v>2024</v>
      </c>
      <c r="H78" s="68" t="s">
        <v>198</v>
      </c>
      <c r="I78" t="e">
        <f>IF(SUM(I73:I76)=0,FIND(" ",O21,1),SUM(I73:I76))</f>
        <v>#VALUE!</v>
      </c>
      <c r="J78" t="e">
        <f>IF(SUM(J73:J76)=0,FIND(" ",O21,1),SUM(J73:J76))</f>
        <v>#VALUE!</v>
      </c>
      <c r="K78" t="e">
        <f>IF(SUM(K73:K76)=0,FIND(" ",O21,1),SUM(K73:K76))</f>
        <v>#VALUE!</v>
      </c>
      <c r="L78" t="e">
        <f>IF(SUM(L73:L76)=0,FIND(" ",O21,1),SUM(L73:L76))</f>
        <v>#VALUE!</v>
      </c>
      <c r="M78" t="e">
        <f>IF(SUM(M73:M76)=0,FIND(" ",O21,1),SUM(M73:M76))</f>
        <v>#VALUE!</v>
      </c>
      <c r="N78" t="e">
        <f t="shared" si="2"/>
        <v>#VALUE!</v>
      </c>
    </row>
    <row r="79" spans="1:14" ht="14.45" customHeight="1">
      <c r="A79" s="64">
        <v>41989</v>
      </c>
      <c r="B79" s="65" t="s">
        <v>121</v>
      </c>
      <c r="C79" s="65" t="s">
        <v>85</v>
      </c>
      <c r="D79" s="65" t="s">
        <v>75</v>
      </c>
      <c r="E79" t="str">
        <f t="shared" si="3"/>
        <v>Delregion Södra Älvsborg</v>
      </c>
      <c r="G79">
        <v>2025</v>
      </c>
      <c r="H79" s="68" t="s">
        <v>75</v>
      </c>
      <c r="I79" t="e">
        <f>IF(COUNTIFS($E:$E,"=Delregion Fyrbodal",$D:$D,"=Socialtjänst",$A:$A,"&gt;2025-01-01",$A:$A,"&lt;2025-12-31")=0,FIND(" ",O21,1),COUNTIFS($E:$E,"=Delregion Fyrbodal",$D:$D,"=Socialtjänst",$A:$A,"&gt;2025-01-01",$A:$A,"&lt;2025-12-31"))</f>
        <v>#VALUE!</v>
      </c>
      <c r="J79" t="e">
        <f>IF(COUNTIFS($E:$E,"=Delregion Göteborg",$D:$D,"=Socialtjänst",$A:$A,"&gt;2025-01-01",$A:$A,"&lt;2025-12-31")=0,FIND(" ",O21,1),COUNTIFS($E:$E,"=Delregion Göteborg",$D:$D,"=Socialtjänst",$A:$A,"&gt;2025-01-01",$A:$A,"&lt;2025-12-31"))</f>
        <v>#VALUE!</v>
      </c>
      <c r="K79" t="e">
        <f>IF(COUNTIFS($E:$E,"=Delregion SIMBA",$D:$D,"=Socialtjänst",$A:$A,"&gt;2025-01-01",$A:$A,"&lt;2025-12-31")=0,FIND(" ",O21,1),COUNTIFS($E:$E,"=Delregion SIMBA",$D:$D,"=Socialtjänst",$A:$A,"&gt;2025-01-01",$A:$A,"&lt;2025-12-31"))</f>
        <v>#VALUE!</v>
      </c>
      <c r="L79" t="e">
        <f>IF(COUNTIFS($E:$E,"=Delregion Skaraborg",$D:$D,"=Socialtjänst",$A:$A,"&gt;2025-01-01",$A:$A,"&lt;2025-12-31")=0,FIND(" ",O21,1),COUNTIFS($E:$E,"=Delregion Skaraborg",$D:$D,"=Socialtjänst",$A:$A,"&gt;2025-01-01",$A:$A,"&lt;2025-12-31"))</f>
        <v>#VALUE!</v>
      </c>
      <c r="M79" t="e">
        <f>IF(COUNTIFS($E:$E,"=Delregion Södra Älvsborg",$D:$D,"=Socialtjänst",$A:$A,"&gt;2025-01-01",$A:$A,"&lt;2025-12-31")=0,FIND(" ",O21,1),COUNTIFS($E:$E,"=Delregion Södra Älvsborg",$D:$D,"=Socialtjänst",$A:$A,"&gt;2025-01-01",$A:$A,"&lt;2025-12-31"))</f>
        <v>#VALUE!</v>
      </c>
      <c r="N79" t="e">
        <f t="shared" si="2"/>
        <v>#VALUE!</v>
      </c>
    </row>
    <row r="80" spans="1:14" ht="14.45" customHeight="1">
      <c r="A80" s="64">
        <v>41989</v>
      </c>
      <c r="B80" s="65" t="s">
        <v>105</v>
      </c>
      <c r="C80" s="65" t="s">
        <v>85</v>
      </c>
      <c r="D80" s="65" t="s">
        <v>75</v>
      </c>
      <c r="E80" t="str">
        <f t="shared" si="3"/>
        <v>Delregion Skaraborg</v>
      </c>
      <c r="G80">
        <v>2025</v>
      </c>
      <c r="H80" s="68" t="s">
        <v>85</v>
      </c>
      <c r="I80" t="e">
        <f>IF(COUNTIFS($E:$E,"=Delregion Fyrbodal",$C:$C,"=Barn och familj",$A:$A,"&gt;2025-01-01",$A:$A,"&lt;2025-12-31")=0,FIND(" ",O22,1),COUNTIFS($E:$E,"=Delregion Fyrbodal",$C:$C,"=Barn och familj",$A:$A,"&gt;2025-01-01",$A:$A,"&lt;2025-12-31"))</f>
        <v>#VALUE!</v>
      </c>
      <c r="J80" t="e">
        <f>IF(COUNTIFS($E:$E,"=Delregion Göteborg",$C:$C,"=Barn och familj",$A:$A,"&gt;2025-01-01",$A:$A,"&lt;2025-12-31")=0,FIND(" ",O22,1),COUNTIFS($E:$E,"=Delregion Göteborg",$C:$C,"=Barn och familj",$A:$A,"&gt;2025-01-01",$A:$A,"&lt;2025-12-31"))</f>
        <v>#VALUE!</v>
      </c>
      <c r="K80" t="e">
        <f>IF(COUNTIFS($E:$E,"=Delregion SIMBA",$C:$C,"=Barn och familj",$A:$A,"&gt;2025-01-01",$A:$A,"&lt;2025-12-31")=0,FIND(" ",O22,1),COUNTIFS($E:$E,"=Delregion SIMBA",$C:$C,"=Barn och familj",$A:$A,"&gt;2025-01-01",$A:$A,"&lt;2025-12-31"))</f>
        <v>#VALUE!</v>
      </c>
      <c r="L80" t="e">
        <f>IF(COUNTIFS($E:$E,"=Delregion Skaraborg",$C:$C,"=Barn och familj",$A:$A,"&gt;2025-01-01",$A:$A,"&lt;2025-12-31")=0,FIND(" ",O22,1),COUNTIFS($E:$E,"=Delregion Skaraborg",$C:$C,"=Barn och familj",$A:$A,"&gt;2025-01-01",$A:$A,"&lt;2025-12-31"))</f>
        <v>#VALUE!</v>
      </c>
      <c r="M80" t="e">
        <f>IF(COUNTIFS($E:$E,"=Delregion Södra Älvsborg",$C:$C,"=Barn och familj",$A:$A,"&gt;2025-01-01",$A:$A,"&lt;2025-12-31")=0,FIND(" ",O22,1),COUNTIFS($E:$E,"=Delregion Södra Älvsborg",$C:$C,"=Barn och familj",$A:$A,"&gt;2025-01-01",$A:$A,"&lt;2025-12-31"))</f>
        <v>#VALUE!</v>
      </c>
      <c r="N80" t="e">
        <f t="shared" si="2"/>
        <v>#VALUE!</v>
      </c>
    </row>
    <row r="81" spans="1:14" ht="14.45" customHeight="1">
      <c r="A81" s="64">
        <v>41990</v>
      </c>
      <c r="B81" s="65" t="s">
        <v>104</v>
      </c>
      <c r="C81" s="65" t="s">
        <v>85</v>
      </c>
      <c r="D81" s="65" t="s">
        <v>75</v>
      </c>
      <c r="E81" t="str">
        <f t="shared" si="3"/>
        <v>Delregion SIMBA</v>
      </c>
      <c r="G81">
        <v>2025</v>
      </c>
      <c r="H81" s="68" t="s">
        <v>88</v>
      </c>
      <c r="I81" t="e">
        <f>IF(COUNTIFS($E:$E,"=Delregion Fyrbodal",$C:$C,"=Familjerätt",$A:$A,"&gt;2025-01-01",$A:$A,"&lt;2025-12-31")=0,FIND(" ",O23,1),COUNTIFS($E:$E,"=Delregion Fyrbodal",$C:$C,"=Familjerätt",$A:$A,"&gt;2025-01-01",$A:$A,"&lt;2025-12-31"))</f>
        <v>#VALUE!</v>
      </c>
      <c r="J81" t="e">
        <f>IF(COUNTIFS($E:$E,"=Delregion Göteborg",$C:$C,"=Familjerätt",$A:$A,"&gt;2025-01-01",$A:$A,"&lt;2025-12-31")=0,FIND(" ",O23,1),COUNTIFS($E:$E,"=Delregion Göteborg",$C:$C,"=Familjerätt",$A:$A,"&gt;2025-01-01",$A:$A,"&lt;2025-12-31"))</f>
        <v>#VALUE!</v>
      </c>
      <c r="K81" t="e">
        <f>IF(COUNTIFS($E:$E,"=Delregion SIMBA",$C:$C,"=Familjerätt",$A:$A,"&gt;2025-01-01",$A:$A,"&lt;2025-12-31")=0,FIND(" ",O23,1),COUNTIFS($E:$E,"=Delregion SIMBA",$C:$C,"=Familjerätt",$A:$A,"&gt;2025-01-01",$A:$A,"&lt;2025-12-31"))</f>
        <v>#VALUE!</v>
      </c>
      <c r="L81" t="e">
        <f>IF(COUNTIFS($E:$E,"=Delregion Skaraborg",$C:$C,"=Familjerätt",$A:$A,"&gt;2025-01-01",$A:$A,"&lt;2025-12-31")=0,FIND(" ",O23,1),COUNTIFS($E:$E,"=Delregion Skaraborg",$C:$C,"=Familjerätt",$A:$A,"&gt;2025-01-01",$A:$A,"&lt;2025-12-31"))</f>
        <v>#VALUE!</v>
      </c>
      <c r="M81" t="e">
        <f>IF(COUNTIFS($E:$E,"=Delregion Södra Älvsborg",$C:$C,"=Familjerätt",$A:$A,"&gt;2025-01-01",$A:$A,"&lt;2025-12-31")=0,FIND(" ",O23,1),COUNTIFS($E:$E,"=Delregion Södra Älvsborg",$C:$C,"=Familjerätt",$A:$A,"&gt;2025-01-01",$A:$A,"&lt;2025-12-31"))</f>
        <v>#VALUE!</v>
      </c>
      <c r="N81" t="e">
        <f t="shared" si="2"/>
        <v>#VALUE!</v>
      </c>
    </row>
    <row r="82" spans="1:14" ht="14.45" customHeight="1">
      <c r="A82" s="64">
        <v>42013</v>
      </c>
      <c r="B82" s="65" t="s">
        <v>102</v>
      </c>
      <c r="C82" s="65" t="s">
        <v>85</v>
      </c>
      <c r="D82" s="65" t="s">
        <v>75</v>
      </c>
      <c r="E82" t="str">
        <f t="shared" si="3"/>
        <v>Delregion Södra Älvsborg</v>
      </c>
      <c r="G82">
        <v>2025</v>
      </c>
      <c r="H82" s="68" t="s">
        <v>126</v>
      </c>
      <c r="I82" t="e">
        <f>IF(COUNTIFS($E:$E,"=Delregion Fyrbodal",$D:$D,"=Hälso- och sjukvård",$A:$A,"&gt;2025-01-01",$A:$A,"&lt;2025-12-31")=0,FIND(" ",O21,1),COUNTIFS($E:$E,"=Delregion Fyrbodal",$D:$D,"=Hälso- och sjukvård",$A:$A,"&gt;2025-01-01",$A:$A,"&lt;2025-12-31"))</f>
        <v>#VALUE!</v>
      </c>
      <c r="J82" t="e">
        <f>IF(COUNTIFS($E:$E,"=Delregion Göteborg",$D:$D,"=Hälso- och sjukvård",$A:$A,"&gt;2025-01-01",$A:$A,"&lt;2025-12-31")=0,FIND(" ",O21,1),COUNTIFS($E:$E,"=Delregion Göteborg",$D:$D,"=Hälso- och sjukvård",$A:$A,"&gt;2025-01-01",$A:$A,"&lt;2025-12-31"))</f>
        <v>#VALUE!</v>
      </c>
      <c r="K82" t="e">
        <f>IF(COUNTIFS($E:$E,"=Delregion SIMBA",$D:$D,"=Hälso- och sjukvård",$A:$A,"&gt;2025-01-01",$A:$A,"&lt;2025-12-31")=0,FIND(" ",O21,1),COUNTIFS($E:$E,"=Delregion SIMBA",$D:$D,"=Hälso- och sjukvård",$A:$A,"&gt;2025-01-01",$A:$A,"&lt;2025-12-31"))</f>
        <v>#VALUE!</v>
      </c>
      <c r="L82" t="e">
        <f>IF(COUNTIFS($E:$E,"=Delregion Skaraborg",$D:$D,"=Hälso- och sjukvård",$A:$A,"&gt;2025-01-01",$A:$A,"&lt;2025-12-31")=0,FIND(" ",O21,1),COUNTIFS($E:$E,"=Delregion Skaraborg",$D:$D,"=Hälso- och sjukvård",$A:$A,"&gt;2025-01-01",$A:$A,"&lt;2025-12-31"))</f>
        <v>#VALUE!</v>
      </c>
      <c r="M82" t="e">
        <f>IF(COUNTIFS($E:$E,"=Delregion Södra Älvsborg",$D:$D,"=Hälso- och sjukvård",$A:$A,"&gt;2025-01-01",$A:$A,"&lt;2025-12-31")=0,FIND(" ",O21,1),COUNTIFS($E:$E,"=Delregion Södra Älvsborg",$D:$D,"=Hälso- och sjukvård",$A:$A,"&gt;2025-01-01",$A:$A,"&lt;2025-12-31"))</f>
        <v>#VALUE!</v>
      </c>
      <c r="N82" t="e">
        <f t="shared" si="2"/>
        <v>#VALUE!</v>
      </c>
    </row>
    <row r="83" spans="1:14" ht="14.45" customHeight="1">
      <c r="A83" s="64">
        <v>42031</v>
      </c>
      <c r="B83" s="65" t="s">
        <v>197</v>
      </c>
      <c r="C83" s="65" t="s">
        <v>85</v>
      </c>
      <c r="D83" s="65" t="s">
        <v>75</v>
      </c>
      <c r="E83" t="str">
        <f t="shared" si="3"/>
        <v>Delregion Fyrbodal</v>
      </c>
      <c r="G83">
        <v>2025</v>
      </c>
      <c r="H83" s="68" t="s">
        <v>138</v>
      </c>
      <c r="I83" t="e">
        <f>IF(COUNTIFS($E:$E,"=Delregion Fyrbodal",$C:$C,"=Elevhälsa",$A:$A,"&gt;2025-01-01",$A:$A,"&lt;2025-12-31")=0,FIND(" ",O22,1),COUNTIFS($E:$E,"=Delregion Fyrbodal",$C:$C,"=Elevhälsa",$A:$A,"&gt;2025-01-01",$A:$A,"&lt;2025-12-31"))</f>
        <v>#VALUE!</v>
      </c>
      <c r="J83" t="e">
        <f>IF(COUNTIFS($E:$E,"=Delregion Göteborg",$C:$C,"=Elevhälsa",$A:$A,"&gt;2025-01-01",$A:$A,"&lt;2025-12-31")=0,FIND(" ",O22,1),COUNTIFS($E:$E,"=Delregion Göteborg",$C:$C,"=Elevhälsa",$A:$A,"&gt;2025-01-01",$A:$A,"&lt;2025-12-31"))</f>
        <v>#VALUE!</v>
      </c>
      <c r="K83" t="e">
        <f>IF(COUNTIFS($E:$E,"=Delregion SIMBA",$C:$C,"=Elevhälsa",$A:$A,"&gt;2025-01-01",$A:$A,"&lt;2025-12-31")=0,FIND(" ",O22,1),COUNTIFS($E:$E,"=Delregion SIMBA",$C:$C,"=Elevhälsa",$A:$A,"&gt;2025-01-01",$A:$A,"&lt;2025-12-31"))</f>
        <v>#VALUE!</v>
      </c>
      <c r="L83" t="e">
        <f>IF(COUNTIFS($E:$E,"=Delregion Skaraborg",$C:$C,"=Elevhälsa",$A:$A,"&gt;2025-01-01",$A:$A,"&lt;2025-12-31")=0,FIND(" ",O22,1),COUNTIFS($E:$E,"=Delregion Skaraborg",$C:$C,"=Elevhälsa",$A:$A,"&gt;2025-01-01",$A:$A,"&lt;2025-12-31"))</f>
        <v>#VALUE!</v>
      </c>
      <c r="M83" t="e">
        <f>IF(COUNTIFS($E:$E,"=Delregion Södra Älvsborg",$C:$C,"=Elevhälsa",$A:$A,"&gt;2025-01-01",$A:$A,"&lt;2025-12-31")=0,FIND(" ",O22,1),COUNTIFS($E:$E,"=Delregion Södra Älvsborg",$C:$C,"=Elevhälsa",$A:$A,"&gt;2025-01-01",$A:$A,"&lt;2025-12-31"))</f>
        <v>#VALUE!</v>
      </c>
      <c r="N83" t="e">
        <f t="shared" si="2"/>
        <v>#VALUE!</v>
      </c>
    </row>
    <row r="84" spans="1:14" ht="14.45" customHeight="1">
      <c r="A84" s="64">
        <v>42031</v>
      </c>
      <c r="B84" s="65" t="s">
        <v>115</v>
      </c>
      <c r="C84" s="65" t="s">
        <v>85</v>
      </c>
      <c r="D84" s="65" t="s">
        <v>75</v>
      </c>
      <c r="E84" t="str">
        <f t="shared" si="3"/>
        <v>Delregion Göteborg</v>
      </c>
      <c r="G84">
        <v>2025</v>
      </c>
      <c r="H84" s="68" t="s">
        <v>198</v>
      </c>
      <c r="I84" t="e">
        <f>IF(SUM(I79:I82)=0,FIND(" ",O21,1),SUM(I79:I82))</f>
        <v>#VALUE!</v>
      </c>
      <c r="J84" t="e">
        <f>IF(SUM(J79:J82)=0,FIND(" ",O21,1),SUM(J79:J82))</f>
        <v>#VALUE!</v>
      </c>
      <c r="K84" t="e">
        <f>IF(SUM(K79:K82)=0,FIND(" ",O21,1),SUM(K79:K82))</f>
        <v>#VALUE!</v>
      </c>
      <c r="L84" t="e">
        <f>IF(SUM(L79:L82)=0,FIND(" ",O21,1),SUM(L79:L82))</f>
        <v>#VALUE!</v>
      </c>
      <c r="M84" t="e">
        <f>IF(SUM(M79:M82)=0,FIND(" ",O21,1),SUM(M79:M82))</f>
        <v>#VALUE!</v>
      </c>
      <c r="N84" t="e">
        <f t="shared" si="2"/>
        <v>#VALUE!</v>
      </c>
    </row>
    <row r="85" spans="1:14" ht="14.45" customHeight="1">
      <c r="A85" s="64">
        <v>42033</v>
      </c>
      <c r="B85" s="65" t="s">
        <v>73</v>
      </c>
      <c r="C85" s="65" t="s">
        <v>85</v>
      </c>
      <c r="D85" s="65" t="s">
        <v>75</v>
      </c>
      <c r="E85" t="str">
        <f t="shared" si="3"/>
        <v>Delregion Göteborg</v>
      </c>
      <c r="J85" s="66"/>
    </row>
    <row r="86" spans="1:14" ht="14.45" customHeight="1">
      <c r="A86" s="64">
        <v>42038</v>
      </c>
      <c r="B86" s="65" t="s">
        <v>197</v>
      </c>
      <c r="C86" s="65" t="s">
        <v>85</v>
      </c>
      <c r="D86" s="65" t="s">
        <v>75</v>
      </c>
      <c r="E86" t="str">
        <f t="shared" si="3"/>
        <v>Delregion Fyrbodal</v>
      </c>
    </row>
    <row r="87" spans="1:14" ht="14.45" customHeight="1">
      <c r="A87" s="64">
        <v>42038</v>
      </c>
      <c r="B87" s="65" t="s">
        <v>104</v>
      </c>
      <c r="C87" s="65" t="s">
        <v>85</v>
      </c>
      <c r="D87" s="65" t="s">
        <v>75</v>
      </c>
      <c r="E87" t="str">
        <f t="shared" si="3"/>
        <v>Delregion SIMBA</v>
      </c>
    </row>
    <row r="88" spans="1:14" ht="14.45" customHeight="1">
      <c r="A88" s="64">
        <v>42039</v>
      </c>
      <c r="B88" s="65" t="s">
        <v>98</v>
      </c>
      <c r="C88" s="65" t="s">
        <v>85</v>
      </c>
      <c r="D88" s="65" t="s">
        <v>75</v>
      </c>
      <c r="E88" t="str">
        <f t="shared" si="3"/>
        <v>Delregion Göteborg</v>
      </c>
    </row>
    <row r="89" spans="1:14" ht="14.45" customHeight="1">
      <c r="A89" s="64">
        <v>42040</v>
      </c>
      <c r="B89" s="65" t="s">
        <v>110</v>
      </c>
      <c r="C89" s="65" t="s">
        <v>85</v>
      </c>
      <c r="D89" s="65" t="s">
        <v>75</v>
      </c>
      <c r="E89" t="str">
        <f t="shared" si="3"/>
        <v>Delregion Fyrbodal</v>
      </c>
    </row>
    <row r="90" spans="1:14" ht="14.45" customHeight="1">
      <c r="A90" s="64">
        <v>42046</v>
      </c>
      <c r="B90" s="65" t="s">
        <v>124</v>
      </c>
      <c r="C90" s="65" t="s">
        <v>85</v>
      </c>
      <c r="D90" s="65" t="s">
        <v>75</v>
      </c>
      <c r="E90" t="str">
        <f t="shared" si="3"/>
        <v>Delregion Fyrbodal</v>
      </c>
    </row>
    <row r="91" spans="1:14" ht="14.45" customHeight="1">
      <c r="A91" s="64">
        <v>42046</v>
      </c>
      <c r="B91" s="65" t="s">
        <v>112</v>
      </c>
      <c r="C91" s="65" t="s">
        <v>85</v>
      </c>
      <c r="D91" s="65" t="s">
        <v>75</v>
      </c>
      <c r="E91" t="str">
        <f t="shared" si="3"/>
        <v>Delregion Göteborg</v>
      </c>
    </row>
    <row r="92" spans="1:14" ht="14.45" customHeight="1">
      <c r="A92" s="64">
        <v>42068</v>
      </c>
      <c r="B92" s="65" t="s">
        <v>73</v>
      </c>
      <c r="C92" s="65" t="s">
        <v>85</v>
      </c>
      <c r="D92" s="65" t="s">
        <v>75</v>
      </c>
      <c r="E92" t="str">
        <f t="shared" si="3"/>
        <v>Delregion Göteborg</v>
      </c>
    </row>
    <row r="93" spans="1:14" ht="14.45" customHeight="1">
      <c r="A93" s="64">
        <v>42073</v>
      </c>
      <c r="B93" s="65" t="s">
        <v>73</v>
      </c>
      <c r="C93" s="65" t="s">
        <v>85</v>
      </c>
      <c r="D93" s="65" t="s">
        <v>75</v>
      </c>
      <c r="E93" t="str">
        <f t="shared" si="3"/>
        <v>Delregion Göteborg</v>
      </c>
    </row>
    <row r="94" spans="1:14" ht="14.45" customHeight="1">
      <c r="A94" s="64">
        <v>42079</v>
      </c>
      <c r="B94" s="65" t="s">
        <v>107</v>
      </c>
      <c r="C94" s="65" t="s">
        <v>85</v>
      </c>
      <c r="D94" s="65" t="s">
        <v>75</v>
      </c>
      <c r="E94" t="str">
        <f t="shared" si="3"/>
        <v>Delregion Skaraborg</v>
      </c>
    </row>
    <row r="95" spans="1:14" ht="14.45" customHeight="1">
      <c r="A95" s="64">
        <v>42080</v>
      </c>
      <c r="B95" s="65" t="s">
        <v>73</v>
      </c>
      <c r="C95" s="65" t="s">
        <v>85</v>
      </c>
      <c r="D95" s="65" t="s">
        <v>75</v>
      </c>
      <c r="E95" t="str">
        <f t="shared" si="3"/>
        <v>Delregion Göteborg</v>
      </c>
    </row>
    <row r="96" spans="1:14" ht="14.45" customHeight="1">
      <c r="A96" s="64">
        <v>42081</v>
      </c>
      <c r="B96" s="65" t="s">
        <v>73</v>
      </c>
      <c r="C96" s="65" t="s">
        <v>85</v>
      </c>
      <c r="D96" s="65" t="s">
        <v>75</v>
      </c>
      <c r="E96" t="str">
        <f t="shared" si="3"/>
        <v>Delregion Göteborg</v>
      </c>
    </row>
    <row r="97" spans="1:5" ht="14.45" customHeight="1">
      <c r="A97" s="64">
        <v>42082</v>
      </c>
      <c r="B97" s="65" t="s">
        <v>73</v>
      </c>
      <c r="C97" s="65" t="s">
        <v>85</v>
      </c>
      <c r="D97" s="65" t="s">
        <v>75</v>
      </c>
      <c r="E97" t="str">
        <f t="shared" si="3"/>
        <v>Delregion Göteborg</v>
      </c>
    </row>
    <row r="98" spans="1:5" ht="14.45" customHeight="1">
      <c r="A98" s="64">
        <v>42086</v>
      </c>
      <c r="B98" s="65" t="s">
        <v>107</v>
      </c>
      <c r="C98" s="65" t="s">
        <v>85</v>
      </c>
      <c r="D98" s="65" t="s">
        <v>75</v>
      </c>
      <c r="E98" t="str">
        <f t="shared" si="3"/>
        <v>Delregion Skaraborg</v>
      </c>
    </row>
    <row r="99" spans="1:5" ht="14.45" customHeight="1">
      <c r="A99" s="64">
        <v>42088</v>
      </c>
      <c r="B99" s="65" t="s">
        <v>87</v>
      </c>
      <c r="C99" s="65" t="s">
        <v>85</v>
      </c>
      <c r="D99" s="65" t="s">
        <v>75</v>
      </c>
      <c r="E99" t="str">
        <f t="shared" si="3"/>
        <v>Delregion Skaraborg</v>
      </c>
    </row>
    <row r="100" spans="1:5" ht="14.45" customHeight="1">
      <c r="A100" s="64">
        <v>42093</v>
      </c>
      <c r="B100" s="65" t="s">
        <v>73</v>
      </c>
      <c r="C100" s="65" t="s">
        <v>85</v>
      </c>
      <c r="D100" s="65" t="s">
        <v>75</v>
      </c>
      <c r="E100" t="str">
        <f t="shared" si="3"/>
        <v>Delregion Göteborg</v>
      </c>
    </row>
    <row r="101" spans="1:5" ht="14.45" customHeight="1">
      <c r="A101" s="64">
        <v>42095</v>
      </c>
      <c r="B101" s="65" t="s">
        <v>78</v>
      </c>
      <c r="C101" s="65" t="s">
        <v>85</v>
      </c>
      <c r="D101" s="65" t="s">
        <v>75</v>
      </c>
      <c r="E101" t="str">
        <f t="shared" si="3"/>
        <v>Delregion SIMBA</v>
      </c>
    </row>
    <row r="102" spans="1:5" ht="14.45" customHeight="1">
      <c r="A102" s="64">
        <v>42110</v>
      </c>
      <c r="B102" s="65" t="s">
        <v>107</v>
      </c>
      <c r="C102" s="65" t="s">
        <v>85</v>
      </c>
      <c r="D102" s="65" t="s">
        <v>75</v>
      </c>
      <c r="E102" t="str">
        <f t="shared" si="3"/>
        <v>Delregion Skaraborg</v>
      </c>
    </row>
    <row r="103" spans="1:5" ht="14.45" customHeight="1">
      <c r="A103" s="64">
        <v>42115</v>
      </c>
      <c r="B103" s="65" t="s">
        <v>73</v>
      </c>
      <c r="C103" s="65" t="s">
        <v>85</v>
      </c>
      <c r="D103" s="65" t="s">
        <v>75</v>
      </c>
      <c r="E103" t="str">
        <f t="shared" si="3"/>
        <v>Delregion Göteborg</v>
      </c>
    </row>
    <row r="104" spans="1:5" ht="14.45" customHeight="1">
      <c r="A104" s="64">
        <v>42117</v>
      </c>
      <c r="B104" s="65" t="s">
        <v>73</v>
      </c>
      <c r="C104" s="65" t="s">
        <v>85</v>
      </c>
      <c r="D104" s="65" t="s">
        <v>75</v>
      </c>
      <c r="E104" t="str">
        <f t="shared" si="3"/>
        <v>Delregion Göteborg</v>
      </c>
    </row>
    <row r="105" spans="1:5" ht="14.45" customHeight="1">
      <c r="A105" s="64">
        <v>42118</v>
      </c>
      <c r="B105" s="65" t="s">
        <v>73</v>
      </c>
      <c r="C105" s="65" t="s">
        <v>85</v>
      </c>
      <c r="D105" s="65" t="s">
        <v>75</v>
      </c>
      <c r="E105" t="str">
        <f t="shared" si="3"/>
        <v>Delregion Göteborg</v>
      </c>
    </row>
    <row r="106" spans="1:5" ht="14.45" customHeight="1">
      <c r="A106" s="64">
        <v>42121</v>
      </c>
      <c r="B106" s="65" t="s">
        <v>115</v>
      </c>
      <c r="C106" s="65" t="s">
        <v>85</v>
      </c>
      <c r="D106" s="65" t="s">
        <v>75</v>
      </c>
      <c r="E106" t="str">
        <f t="shared" si="3"/>
        <v>Delregion Göteborg</v>
      </c>
    </row>
    <row r="107" spans="1:5" ht="14.45" customHeight="1">
      <c r="A107" s="64">
        <v>42121</v>
      </c>
      <c r="B107" s="65" t="s">
        <v>115</v>
      </c>
      <c r="C107" s="65" t="s">
        <v>85</v>
      </c>
      <c r="D107" s="65" t="s">
        <v>75</v>
      </c>
      <c r="E107" t="str">
        <f t="shared" si="3"/>
        <v>Delregion Göteborg</v>
      </c>
    </row>
    <row r="108" spans="1:5" ht="14.45" customHeight="1">
      <c r="A108" s="64">
        <v>42122</v>
      </c>
      <c r="B108" s="65" t="s">
        <v>73</v>
      </c>
      <c r="C108" s="65" t="s">
        <v>85</v>
      </c>
      <c r="D108" s="65" t="s">
        <v>75</v>
      </c>
      <c r="E108" t="str">
        <f t="shared" si="3"/>
        <v>Delregion Göteborg</v>
      </c>
    </row>
    <row r="109" spans="1:5" ht="14.45" customHeight="1">
      <c r="A109" s="64">
        <v>42129</v>
      </c>
      <c r="B109" s="65" t="s">
        <v>106</v>
      </c>
      <c r="C109" s="65" t="s">
        <v>85</v>
      </c>
      <c r="D109" s="65" t="s">
        <v>75</v>
      </c>
      <c r="E109" t="str">
        <f t="shared" si="3"/>
        <v>Delregion Fyrbodal</v>
      </c>
    </row>
    <row r="110" spans="1:5" ht="14.45" customHeight="1">
      <c r="A110" s="64">
        <v>42136</v>
      </c>
      <c r="B110" s="65" t="s">
        <v>86</v>
      </c>
      <c r="C110" s="65" t="s">
        <v>85</v>
      </c>
      <c r="D110" s="65" t="s">
        <v>75</v>
      </c>
      <c r="E110" t="str">
        <f t="shared" si="3"/>
        <v>Delregion Fyrbodal</v>
      </c>
    </row>
    <row r="111" spans="1:5" ht="14.45" customHeight="1">
      <c r="A111" s="64">
        <v>42137</v>
      </c>
      <c r="B111" s="65" t="s">
        <v>94</v>
      </c>
      <c r="C111" s="65" t="s">
        <v>85</v>
      </c>
      <c r="D111" s="65" t="s">
        <v>75</v>
      </c>
      <c r="E111" t="str">
        <f t="shared" si="3"/>
        <v>Delregion Fyrbodal</v>
      </c>
    </row>
    <row r="112" spans="1:5" ht="14.45" customHeight="1">
      <c r="A112" s="64">
        <v>42145</v>
      </c>
      <c r="B112" s="65" t="s">
        <v>73</v>
      </c>
      <c r="C112" s="65" t="s">
        <v>85</v>
      </c>
      <c r="D112" s="65" t="s">
        <v>75</v>
      </c>
      <c r="E112" t="str">
        <f t="shared" si="3"/>
        <v>Delregion Göteborg</v>
      </c>
    </row>
    <row r="113" spans="1:5" ht="14.45" customHeight="1">
      <c r="A113" s="64">
        <v>42145</v>
      </c>
      <c r="B113" s="65" t="s">
        <v>73</v>
      </c>
      <c r="C113" s="65" t="s">
        <v>85</v>
      </c>
      <c r="D113" s="65" t="s">
        <v>75</v>
      </c>
      <c r="E113" t="str">
        <f t="shared" si="3"/>
        <v>Delregion Göteborg</v>
      </c>
    </row>
    <row r="114" spans="1:5" ht="14.45" customHeight="1">
      <c r="A114" s="64">
        <v>42149</v>
      </c>
      <c r="B114" s="65" t="s">
        <v>117</v>
      </c>
      <c r="C114" s="65" t="s">
        <v>85</v>
      </c>
      <c r="D114" s="65" t="s">
        <v>75</v>
      </c>
      <c r="E114" t="str">
        <f t="shared" si="3"/>
        <v>Delregion Skaraborg</v>
      </c>
    </row>
    <row r="115" spans="1:5" ht="14.45" customHeight="1">
      <c r="A115" s="64">
        <v>42149</v>
      </c>
      <c r="B115" s="65" t="s">
        <v>116</v>
      </c>
      <c r="C115" s="65" t="s">
        <v>85</v>
      </c>
      <c r="D115" s="65" t="s">
        <v>75</v>
      </c>
      <c r="E115" t="str">
        <f t="shared" si="3"/>
        <v>Delregion Södra Älvsborg</v>
      </c>
    </row>
    <row r="116" spans="1:5" ht="14.45" customHeight="1">
      <c r="A116" s="64">
        <v>42156</v>
      </c>
      <c r="B116" s="65" t="s">
        <v>73</v>
      </c>
      <c r="C116" s="65" t="s">
        <v>85</v>
      </c>
      <c r="D116" s="65" t="s">
        <v>75</v>
      </c>
      <c r="E116" t="str">
        <f t="shared" si="3"/>
        <v>Delregion Göteborg</v>
      </c>
    </row>
    <row r="117" spans="1:5" ht="14.45" customHeight="1">
      <c r="A117" s="64">
        <v>42157</v>
      </c>
      <c r="B117" s="65" t="s">
        <v>73</v>
      </c>
      <c r="C117" s="65" t="s">
        <v>85</v>
      </c>
      <c r="D117" s="65" t="s">
        <v>75</v>
      </c>
      <c r="E117" t="str">
        <f t="shared" si="3"/>
        <v>Delregion Göteborg</v>
      </c>
    </row>
    <row r="118" spans="1:5" ht="14.45" customHeight="1">
      <c r="A118" s="64">
        <v>42158</v>
      </c>
      <c r="B118" s="65" t="s">
        <v>73</v>
      </c>
      <c r="C118" s="65" t="s">
        <v>85</v>
      </c>
      <c r="D118" s="65" t="s">
        <v>75</v>
      </c>
      <c r="E118" t="str">
        <f t="shared" si="3"/>
        <v>Delregion Göteborg</v>
      </c>
    </row>
    <row r="119" spans="1:5" ht="14.45" customHeight="1">
      <c r="A119" s="64">
        <v>42158</v>
      </c>
      <c r="B119" s="65" t="s">
        <v>115</v>
      </c>
      <c r="C119" s="65" t="s">
        <v>85</v>
      </c>
      <c r="D119" s="65" t="s">
        <v>75</v>
      </c>
      <c r="E119" t="str">
        <f t="shared" si="3"/>
        <v>Delregion Göteborg</v>
      </c>
    </row>
    <row r="120" spans="1:5" ht="14.45" customHeight="1">
      <c r="A120" s="64">
        <v>42159</v>
      </c>
      <c r="B120" s="65" t="s">
        <v>84</v>
      </c>
      <c r="C120" s="65" t="s">
        <v>85</v>
      </c>
      <c r="D120" s="65" t="s">
        <v>75</v>
      </c>
      <c r="E120" t="str">
        <f t="shared" si="3"/>
        <v>Delregion Skaraborg</v>
      </c>
    </row>
    <row r="121" spans="1:5" ht="14.45" customHeight="1">
      <c r="A121" s="64">
        <v>42159</v>
      </c>
      <c r="B121" s="65" t="s">
        <v>73</v>
      </c>
      <c r="C121" s="65" t="s">
        <v>85</v>
      </c>
      <c r="D121" s="65" t="s">
        <v>75</v>
      </c>
      <c r="E121" t="str">
        <f t="shared" si="3"/>
        <v>Delregion Göteborg</v>
      </c>
    </row>
    <row r="122" spans="1:5" ht="14.45" customHeight="1">
      <c r="A122" s="64">
        <v>42163</v>
      </c>
      <c r="B122" s="65" t="s">
        <v>78</v>
      </c>
      <c r="C122" s="65" t="s">
        <v>85</v>
      </c>
      <c r="D122" s="65" t="s">
        <v>75</v>
      </c>
      <c r="E122" t="str">
        <f t="shared" si="3"/>
        <v>Delregion SIMBA</v>
      </c>
    </row>
    <row r="123" spans="1:5" ht="14.45" customHeight="1">
      <c r="A123" s="64">
        <v>42177</v>
      </c>
      <c r="B123" s="65" t="s">
        <v>115</v>
      </c>
      <c r="C123" s="65" t="s">
        <v>85</v>
      </c>
      <c r="D123" s="65" t="s">
        <v>75</v>
      </c>
      <c r="E123" t="str">
        <f t="shared" si="3"/>
        <v>Delregion Göteborg</v>
      </c>
    </row>
    <row r="124" spans="1:5" ht="14.45" customHeight="1">
      <c r="A124" s="64">
        <v>42181</v>
      </c>
      <c r="B124" s="65" t="s">
        <v>81</v>
      </c>
      <c r="C124" s="65" t="s">
        <v>85</v>
      </c>
      <c r="D124" s="65" t="s">
        <v>75</v>
      </c>
      <c r="E124" t="str">
        <f t="shared" si="3"/>
        <v>Delregion Fyrbodal</v>
      </c>
    </row>
    <row r="125" spans="1:5" ht="14.45" customHeight="1">
      <c r="A125" s="64">
        <v>42185</v>
      </c>
      <c r="B125" s="65" t="s">
        <v>73</v>
      </c>
      <c r="C125" s="65" t="s">
        <v>85</v>
      </c>
      <c r="D125" s="65" t="s">
        <v>75</v>
      </c>
      <c r="E125" t="str">
        <f t="shared" si="3"/>
        <v>Delregion Göteborg</v>
      </c>
    </row>
    <row r="126" spans="1:5" ht="14.45" customHeight="1">
      <c r="A126" s="64">
        <v>42202</v>
      </c>
      <c r="B126" s="65" t="s">
        <v>89</v>
      </c>
      <c r="C126" s="65" t="s">
        <v>85</v>
      </c>
      <c r="D126" s="65" t="s">
        <v>75</v>
      </c>
      <c r="E126" t="str">
        <f t="shared" si="3"/>
        <v>Delregion Skaraborg</v>
      </c>
    </row>
    <row r="127" spans="1:5" ht="14.45" customHeight="1">
      <c r="A127" s="64">
        <v>42219</v>
      </c>
      <c r="B127" s="65" t="s">
        <v>105</v>
      </c>
      <c r="C127" s="65" t="s">
        <v>85</v>
      </c>
      <c r="D127" s="65" t="s">
        <v>75</v>
      </c>
      <c r="E127" t="str">
        <f t="shared" si="3"/>
        <v>Delregion Skaraborg</v>
      </c>
    </row>
    <row r="128" spans="1:5" ht="14.45" customHeight="1">
      <c r="A128" s="64">
        <v>42221</v>
      </c>
      <c r="B128" s="65" t="s">
        <v>73</v>
      </c>
      <c r="C128" s="65" t="s">
        <v>85</v>
      </c>
      <c r="D128" s="65" t="s">
        <v>75</v>
      </c>
      <c r="E128" t="str">
        <f t="shared" si="3"/>
        <v>Delregion Göteborg</v>
      </c>
    </row>
    <row r="129" spans="1:5" ht="14.45" customHeight="1">
      <c r="A129" s="64">
        <v>42221</v>
      </c>
      <c r="B129" s="65" t="s">
        <v>73</v>
      </c>
      <c r="C129" s="65" t="s">
        <v>85</v>
      </c>
      <c r="D129" s="65" t="s">
        <v>75</v>
      </c>
      <c r="E129" t="str">
        <f t="shared" si="3"/>
        <v>Delregion Göteborg</v>
      </c>
    </row>
    <row r="130" spans="1:5" ht="14.45" customHeight="1">
      <c r="A130" s="64">
        <v>42222</v>
      </c>
      <c r="B130" s="65" t="s">
        <v>97</v>
      </c>
      <c r="C130" s="65" t="s">
        <v>85</v>
      </c>
      <c r="D130" s="65" t="s">
        <v>75</v>
      </c>
      <c r="E130" t="str">
        <f t="shared" si="3"/>
        <v>Delregion Fyrbodal</v>
      </c>
    </row>
    <row r="131" spans="1:5" ht="14.45" customHeight="1">
      <c r="A131" s="64">
        <v>42222</v>
      </c>
      <c r="B131" s="65" t="s">
        <v>86</v>
      </c>
      <c r="C131" s="65" t="s">
        <v>85</v>
      </c>
      <c r="D131" s="65" t="s">
        <v>75</v>
      </c>
      <c r="E131" t="str">
        <f t="shared" si="3"/>
        <v>Delregion Fyrbodal</v>
      </c>
    </row>
    <row r="132" spans="1:5" ht="14.45" customHeight="1">
      <c r="A132" s="64">
        <v>42234</v>
      </c>
      <c r="B132" s="65" t="s">
        <v>90</v>
      </c>
      <c r="C132" s="65" t="s">
        <v>85</v>
      </c>
      <c r="D132" s="65" t="s">
        <v>75</v>
      </c>
      <c r="E132" t="str">
        <f t="shared" si="3"/>
        <v>Delregion Skaraborg</v>
      </c>
    </row>
    <row r="133" spans="1:5" ht="14.45" customHeight="1">
      <c r="A133" s="64">
        <v>42234</v>
      </c>
      <c r="B133" s="65" t="s">
        <v>86</v>
      </c>
      <c r="C133" s="65" t="s">
        <v>85</v>
      </c>
      <c r="D133" s="65" t="s">
        <v>75</v>
      </c>
      <c r="E133" t="str">
        <f t="shared" si="3"/>
        <v>Delregion Fyrbodal</v>
      </c>
    </row>
    <row r="134" spans="1:5" ht="14.45" customHeight="1">
      <c r="A134" s="64">
        <v>42234</v>
      </c>
      <c r="B134" s="65" t="s">
        <v>87</v>
      </c>
      <c r="C134" s="65" t="s">
        <v>85</v>
      </c>
      <c r="D134" s="65" t="s">
        <v>75</v>
      </c>
      <c r="E134" t="str">
        <f t="shared" si="3"/>
        <v>Delregion Skaraborg</v>
      </c>
    </row>
    <row r="135" spans="1:5" ht="14.45" customHeight="1">
      <c r="A135" s="64">
        <v>42240</v>
      </c>
      <c r="B135" s="65" t="s">
        <v>73</v>
      </c>
      <c r="C135" s="65" t="s">
        <v>85</v>
      </c>
      <c r="D135" s="65" t="s">
        <v>75</v>
      </c>
      <c r="E135" t="str">
        <f t="shared" si="3"/>
        <v>Delregion Göteborg</v>
      </c>
    </row>
    <row r="136" spans="1:5" ht="14.45" customHeight="1">
      <c r="A136" s="64">
        <v>42240</v>
      </c>
      <c r="B136" s="65" t="s">
        <v>73</v>
      </c>
      <c r="C136" s="65" t="s">
        <v>85</v>
      </c>
      <c r="D136" s="65" t="s">
        <v>75</v>
      </c>
      <c r="E136" t="str">
        <f t="shared" si="3"/>
        <v>Delregion Göteborg</v>
      </c>
    </row>
    <row r="137" spans="1:5" ht="14.45" customHeight="1">
      <c r="A137" s="64">
        <v>42243</v>
      </c>
      <c r="B137" s="65" t="s">
        <v>104</v>
      </c>
      <c r="C137" s="65" t="s">
        <v>85</v>
      </c>
      <c r="D137" s="65" t="s">
        <v>75</v>
      </c>
      <c r="E137" t="str">
        <f t="shared" si="3"/>
        <v>Delregion SIMBA</v>
      </c>
    </row>
    <row r="138" spans="1:5" ht="14.45" customHeight="1">
      <c r="A138" s="64">
        <v>42248</v>
      </c>
      <c r="B138" s="65" t="s">
        <v>73</v>
      </c>
      <c r="C138" s="65" t="s">
        <v>85</v>
      </c>
      <c r="D138" s="65" t="s">
        <v>75</v>
      </c>
      <c r="E138" t="str">
        <f t="shared" si="3"/>
        <v>Delregion Göteborg</v>
      </c>
    </row>
    <row r="139" spans="1:5" ht="14.45" customHeight="1">
      <c r="A139" s="64">
        <v>42251</v>
      </c>
      <c r="B139" s="65" t="s">
        <v>73</v>
      </c>
      <c r="C139" s="65" t="s">
        <v>85</v>
      </c>
      <c r="D139" s="65" t="s">
        <v>75</v>
      </c>
      <c r="E139" t="str">
        <f t="shared" si="3"/>
        <v>Delregion Göteborg</v>
      </c>
    </row>
    <row r="140" spans="1:5" ht="14.45" customHeight="1">
      <c r="A140" s="64">
        <v>42256</v>
      </c>
      <c r="B140" s="65" t="s">
        <v>73</v>
      </c>
      <c r="C140" s="65" t="s">
        <v>85</v>
      </c>
      <c r="D140" s="65" t="s">
        <v>75</v>
      </c>
      <c r="E140" t="str">
        <f t="shared" si="3"/>
        <v>Delregion Göteborg</v>
      </c>
    </row>
    <row r="141" spans="1:5" ht="14.45" customHeight="1">
      <c r="A141" s="64">
        <v>42258</v>
      </c>
      <c r="B141" s="65" t="s">
        <v>73</v>
      </c>
      <c r="C141" s="65" t="s">
        <v>85</v>
      </c>
      <c r="D141" s="65" t="s">
        <v>75</v>
      </c>
      <c r="E141" t="str">
        <f t="shared" ref="E141:E204" si="4">VLOOKUP(B141,$Q$13:$R$61,2,FALSE)</f>
        <v>Delregion Göteborg</v>
      </c>
    </row>
    <row r="142" spans="1:5" ht="14.45" customHeight="1">
      <c r="A142" s="64">
        <v>42258</v>
      </c>
      <c r="B142" s="65" t="s">
        <v>115</v>
      </c>
      <c r="C142" s="65" t="s">
        <v>85</v>
      </c>
      <c r="D142" s="65" t="s">
        <v>75</v>
      </c>
      <c r="E142" t="str">
        <f t="shared" si="4"/>
        <v>Delregion Göteborg</v>
      </c>
    </row>
    <row r="143" spans="1:5" ht="14.45" customHeight="1">
      <c r="A143" s="64">
        <v>42263</v>
      </c>
      <c r="B143" s="65" t="s">
        <v>98</v>
      </c>
      <c r="C143" s="65" t="s">
        <v>85</v>
      </c>
      <c r="D143" s="65" t="s">
        <v>75</v>
      </c>
      <c r="E143" t="str">
        <f t="shared" si="4"/>
        <v>Delregion Göteborg</v>
      </c>
    </row>
    <row r="144" spans="1:5" ht="14.45" customHeight="1">
      <c r="A144" s="64">
        <v>42264</v>
      </c>
      <c r="B144" s="65" t="s">
        <v>76</v>
      </c>
      <c r="C144" s="65" t="s">
        <v>85</v>
      </c>
      <c r="D144" s="65" t="s">
        <v>75</v>
      </c>
      <c r="E144" t="str">
        <f t="shared" si="4"/>
        <v>Delregion Skaraborg</v>
      </c>
    </row>
    <row r="145" spans="1:5" ht="14.45" customHeight="1">
      <c r="A145" s="64">
        <v>42270</v>
      </c>
      <c r="B145" s="65" t="s">
        <v>73</v>
      </c>
      <c r="C145" s="65" t="s">
        <v>85</v>
      </c>
      <c r="D145" s="65" t="s">
        <v>75</v>
      </c>
      <c r="E145" t="str">
        <f t="shared" si="4"/>
        <v>Delregion Göteborg</v>
      </c>
    </row>
    <row r="146" spans="1:5" ht="14.45" customHeight="1">
      <c r="A146" s="64">
        <v>42271</v>
      </c>
      <c r="B146" s="65" t="s">
        <v>73</v>
      </c>
      <c r="C146" s="65" t="s">
        <v>85</v>
      </c>
      <c r="D146" s="65" t="s">
        <v>75</v>
      </c>
      <c r="E146" t="str">
        <f t="shared" si="4"/>
        <v>Delregion Göteborg</v>
      </c>
    </row>
    <row r="147" spans="1:5" ht="14.45" customHeight="1">
      <c r="A147" s="64">
        <v>42275</v>
      </c>
      <c r="B147" s="65" t="s">
        <v>73</v>
      </c>
      <c r="C147" s="65" t="s">
        <v>85</v>
      </c>
      <c r="D147" s="65" t="s">
        <v>75</v>
      </c>
      <c r="E147" t="str">
        <f t="shared" si="4"/>
        <v>Delregion Göteborg</v>
      </c>
    </row>
    <row r="148" spans="1:5" ht="14.45" customHeight="1">
      <c r="A148" s="64">
        <v>42283</v>
      </c>
      <c r="B148" s="65" t="s">
        <v>77</v>
      </c>
      <c r="C148" s="65" t="s">
        <v>85</v>
      </c>
      <c r="D148" s="65" t="s">
        <v>75</v>
      </c>
      <c r="E148" t="str">
        <f t="shared" si="4"/>
        <v>Delregion SIMBA</v>
      </c>
    </row>
    <row r="149" spans="1:5" ht="14.45" customHeight="1">
      <c r="A149" s="64">
        <v>42290</v>
      </c>
      <c r="B149" s="65" t="s">
        <v>97</v>
      </c>
      <c r="C149" s="65" t="s">
        <v>85</v>
      </c>
      <c r="D149" s="65" t="s">
        <v>75</v>
      </c>
      <c r="E149" t="str">
        <f t="shared" si="4"/>
        <v>Delregion Fyrbodal</v>
      </c>
    </row>
    <row r="150" spans="1:5" ht="14.45" customHeight="1">
      <c r="A150" s="64">
        <v>42291</v>
      </c>
      <c r="B150" s="65" t="s">
        <v>109</v>
      </c>
      <c r="C150" s="65" t="s">
        <v>85</v>
      </c>
      <c r="D150" s="65" t="s">
        <v>75</v>
      </c>
      <c r="E150" t="str">
        <f t="shared" si="4"/>
        <v>Delregion Fyrbodal</v>
      </c>
    </row>
    <row r="151" spans="1:5" ht="14.45" customHeight="1">
      <c r="A151" s="64">
        <v>42304</v>
      </c>
      <c r="B151" s="65" t="s">
        <v>104</v>
      </c>
      <c r="C151" s="65" t="s">
        <v>85</v>
      </c>
      <c r="D151" s="65" t="s">
        <v>75</v>
      </c>
      <c r="E151" t="str">
        <f t="shared" si="4"/>
        <v>Delregion SIMBA</v>
      </c>
    </row>
    <row r="152" spans="1:5" ht="14.45" customHeight="1">
      <c r="A152" s="64">
        <v>42310</v>
      </c>
      <c r="B152" s="65" t="s">
        <v>73</v>
      </c>
      <c r="C152" s="65" t="s">
        <v>85</v>
      </c>
      <c r="D152" s="65" t="s">
        <v>75</v>
      </c>
      <c r="E152" t="str">
        <f t="shared" si="4"/>
        <v>Delregion Göteborg</v>
      </c>
    </row>
    <row r="153" spans="1:5" ht="14.45" customHeight="1">
      <c r="A153" s="64">
        <v>42312</v>
      </c>
      <c r="B153" s="65" t="s">
        <v>92</v>
      </c>
      <c r="C153" s="65" t="s">
        <v>85</v>
      </c>
      <c r="D153" s="65" t="s">
        <v>75</v>
      </c>
      <c r="E153" t="str">
        <f t="shared" si="4"/>
        <v>Delregion Södra Älvsborg</v>
      </c>
    </row>
    <row r="154" spans="1:5" ht="14.45" customHeight="1">
      <c r="A154" s="64">
        <v>42320</v>
      </c>
      <c r="B154" s="65" t="s">
        <v>101</v>
      </c>
      <c r="C154" s="65" t="s">
        <v>85</v>
      </c>
      <c r="D154" s="65" t="s">
        <v>75</v>
      </c>
      <c r="E154" t="str">
        <f t="shared" si="4"/>
        <v>Delregion SIMBA</v>
      </c>
    </row>
    <row r="155" spans="1:5" ht="14.45" customHeight="1">
      <c r="A155" s="64">
        <v>42325</v>
      </c>
      <c r="B155" s="65" t="s">
        <v>89</v>
      </c>
      <c r="C155" s="65" t="s">
        <v>85</v>
      </c>
      <c r="D155" s="65" t="s">
        <v>75</v>
      </c>
      <c r="E155" t="str">
        <f t="shared" si="4"/>
        <v>Delregion Skaraborg</v>
      </c>
    </row>
    <row r="156" spans="1:5" ht="14.45" customHeight="1">
      <c r="A156" s="64">
        <v>42332</v>
      </c>
      <c r="B156" s="65" t="s">
        <v>107</v>
      </c>
      <c r="C156" s="65" t="s">
        <v>85</v>
      </c>
      <c r="D156" s="65" t="s">
        <v>75</v>
      </c>
      <c r="E156" t="str">
        <f t="shared" si="4"/>
        <v>Delregion Skaraborg</v>
      </c>
    </row>
    <row r="157" spans="1:5" ht="14.45" customHeight="1">
      <c r="A157" s="64">
        <v>42332</v>
      </c>
      <c r="B157" s="65" t="s">
        <v>105</v>
      </c>
      <c r="C157" s="65" t="s">
        <v>85</v>
      </c>
      <c r="D157" s="65" t="s">
        <v>75</v>
      </c>
      <c r="E157" t="str">
        <f t="shared" si="4"/>
        <v>Delregion Skaraborg</v>
      </c>
    </row>
    <row r="158" spans="1:5" ht="14.45" customHeight="1">
      <c r="A158" s="64">
        <v>42340</v>
      </c>
      <c r="B158" s="65" t="s">
        <v>81</v>
      </c>
      <c r="C158" s="65" t="s">
        <v>85</v>
      </c>
      <c r="D158" s="65" t="s">
        <v>75</v>
      </c>
      <c r="E158" t="str">
        <f t="shared" si="4"/>
        <v>Delregion Fyrbodal</v>
      </c>
    </row>
    <row r="159" spans="1:5" ht="14.45" customHeight="1">
      <c r="A159" s="64">
        <v>42346</v>
      </c>
      <c r="B159" s="65" t="s">
        <v>77</v>
      </c>
      <c r="C159" s="65" t="s">
        <v>85</v>
      </c>
      <c r="D159" s="65" t="s">
        <v>75</v>
      </c>
      <c r="E159" t="str">
        <f t="shared" si="4"/>
        <v>Delregion SIMBA</v>
      </c>
    </row>
    <row r="160" spans="1:5" ht="14.45" customHeight="1">
      <c r="A160" s="64">
        <v>42346</v>
      </c>
      <c r="B160" s="65" t="s">
        <v>99</v>
      </c>
      <c r="C160" s="65" t="s">
        <v>85</v>
      </c>
      <c r="D160" s="65" t="s">
        <v>75</v>
      </c>
      <c r="E160" t="str">
        <f t="shared" si="4"/>
        <v>Delregion Skaraborg</v>
      </c>
    </row>
    <row r="161" spans="1:5" ht="14.45" customHeight="1">
      <c r="A161" s="64">
        <v>42346</v>
      </c>
      <c r="B161" s="65" t="s">
        <v>73</v>
      </c>
      <c r="C161" s="65" t="s">
        <v>85</v>
      </c>
      <c r="D161" s="65" t="s">
        <v>75</v>
      </c>
      <c r="E161" t="str">
        <f t="shared" si="4"/>
        <v>Delregion Göteborg</v>
      </c>
    </row>
    <row r="162" spans="1:5" ht="14.45" customHeight="1">
      <c r="A162" s="64">
        <v>42348</v>
      </c>
      <c r="B162" s="65" t="s">
        <v>73</v>
      </c>
      <c r="C162" s="65" t="s">
        <v>85</v>
      </c>
      <c r="D162" s="65" t="s">
        <v>75</v>
      </c>
      <c r="E162" t="str">
        <f t="shared" si="4"/>
        <v>Delregion Göteborg</v>
      </c>
    </row>
    <row r="163" spans="1:5" ht="14.45" customHeight="1">
      <c r="A163" s="64">
        <v>42354</v>
      </c>
      <c r="B163" s="65" t="s">
        <v>87</v>
      </c>
      <c r="C163" s="65" t="s">
        <v>85</v>
      </c>
      <c r="D163" s="65" t="s">
        <v>75</v>
      </c>
      <c r="E163" t="str">
        <f t="shared" si="4"/>
        <v>Delregion Skaraborg</v>
      </c>
    </row>
    <row r="164" spans="1:5" ht="14.45" customHeight="1">
      <c r="A164" s="64">
        <v>42354</v>
      </c>
      <c r="B164" s="65" t="s">
        <v>106</v>
      </c>
      <c r="C164" s="65" t="s">
        <v>85</v>
      </c>
      <c r="D164" s="65" t="s">
        <v>75</v>
      </c>
      <c r="E164" t="str">
        <f t="shared" si="4"/>
        <v>Delregion Fyrbodal</v>
      </c>
    </row>
    <row r="165" spans="1:5" ht="14.45" customHeight="1">
      <c r="A165" s="64">
        <v>42356</v>
      </c>
      <c r="B165" s="65" t="s">
        <v>73</v>
      </c>
      <c r="C165" s="65" t="s">
        <v>85</v>
      </c>
      <c r="D165" s="65" t="s">
        <v>75</v>
      </c>
      <c r="E165" t="str">
        <f t="shared" si="4"/>
        <v>Delregion Göteborg</v>
      </c>
    </row>
    <row r="166" spans="1:5" ht="14.45" customHeight="1">
      <c r="A166" s="64">
        <v>42359</v>
      </c>
      <c r="B166" s="65" t="s">
        <v>116</v>
      </c>
      <c r="C166" s="65" t="s">
        <v>85</v>
      </c>
      <c r="D166" s="65" t="s">
        <v>75</v>
      </c>
      <c r="E166" t="str">
        <f t="shared" si="4"/>
        <v>Delregion Södra Älvsborg</v>
      </c>
    </row>
    <row r="167" spans="1:5" ht="14.45" customHeight="1">
      <c r="A167" s="67">
        <v>42376</v>
      </c>
      <c r="B167" s="68" t="s">
        <v>115</v>
      </c>
      <c r="C167" s="68" t="s">
        <v>85</v>
      </c>
      <c r="D167" s="68" t="s">
        <v>75</v>
      </c>
      <c r="E167" t="str">
        <f t="shared" si="4"/>
        <v>Delregion Göteborg</v>
      </c>
    </row>
    <row r="168" spans="1:5" ht="14.45" customHeight="1">
      <c r="A168" s="67">
        <v>42376</v>
      </c>
      <c r="B168" s="68" t="s">
        <v>87</v>
      </c>
      <c r="C168" s="68" t="s">
        <v>85</v>
      </c>
      <c r="D168" s="68" t="s">
        <v>75</v>
      </c>
      <c r="E168" t="str">
        <f t="shared" si="4"/>
        <v>Delregion Skaraborg</v>
      </c>
    </row>
    <row r="169" spans="1:5" ht="14.45" customHeight="1">
      <c r="A169" s="67">
        <v>42382</v>
      </c>
      <c r="B169" s="68" t="s">
        <v>82</v>
      </c>
      <c r="C169" s="68" t="s">
        <v>85</v>
      </c>
      <c r="D169" s="68" t="s">
        <v>75</v>
      </c>
      <c r="E169" t="str">
        <f t="shared" si="4"/>
        <v>Delregion Fyrbodal</v>
      </c>
    </row>
    <row r="170" spans="1:5" ht="14.45" customHeight="1">
      <c r="A170" s="67">
        <v>42384</v>
      </c>
      <c r="B170" s="68" t="s">
        <v>104</v>
      </c>
      <c r="C170" s="68" t="s">
        <v>85</v>
      </c>
      <c r="D170" s="68" t="s">
        <v>75</v>
      </c>
      <c r="E170" t="str">
        <f t="shared" si="4"/>
        <v>Delregion SIMBA</v>
      </c>
    </row>
    <row r="171" spans="1:5" ht="14.45" customHeight="1">
      <c r="A171" s="67">
        <v>42387</v>
      </c>
      <c r="B171" s="68" t="s">
        <v>97</v>
      </c>
      <c r="C171" s="68" t="s">
        <v>85</v>
      </c>
      <c r="D171" s="68" t="s">
        <v>75</v>
      </c>
      <c r="E171" t="str">
        <f t="shared" si="4"/>
        <v>Delregion Fyrbodal</v>
      </c>
    </row>
    <row r="172" spans="1:5" ht="14.45" customHeight="1">
      <c r="A172" s="67">
        <v>42390</v>
      </c>
      <c r="B172" s="68" t="s">
        <v>73</v>
      </c>
      <c r="C172" s="68" t="s">
        <v>85</v>
      </c>
      <c r="D172" s="68" t="s">
        <v>75</v>
      </c>
      <c r="E172" t="str">
        <f t="shared" si="4"/>
        <v>Delregion Göteborg</v>
      </c>
    </row>
    <row r="173" spans="1:5" ht="14.45" customHeight="1">
      <c r="A173" s="67">
        <v>42394</v>
      </c>
      <c r="B173" s="68" t="s">
        <v>77</v>
      </c>
      <c r="C173" s="68" t="s">
        <v>85</v>
      </c>
      <c r="D173" s="68" t="s">
        <v>75</v>
      </c>
      <c r="E173" t="str">
        <f t="shared" si="4"/>
        <v>Delregion SIMBA</v>
      </c>
    </row>
    <row r="174" spans="1:5" ht="14.45" customHeight="1">
      <c r="A174" s="67">
        <v>42397</v>
      </c>
      <c r="B174" s="68" t="s">
        <v>73</v>
      </c>
      <c r="C174" s="68" t="s">
        <v>85</v>
      </c>
      <c r="D174" s="68" t="s">
        <v>75</v>
      </c>
      <c r="E174" t="str">
        <f t="shared" si="4"/>
        <v>Delregion Göteborg</v>
      </c>
    </row>
    <row r="175" spans="1:5" ht="14.45" customHeight="1">
      <c r="A175" s="67">
        <v>42398</v>
      </c>
      <c r="B175" s="68" t="s">
        <v>78</v>
      </c>
      <c r="C175" s="68" t="s">
        <v>85</v>
      </c>
      <c r="D175" s="68" t="s">
        <v>75</v>
      </c>
      <c r="E175" t="str">
        <f t="shared" si="4"/>
        <v>Delregion SIMBA</v>
      </c>
    </row>
    <row r="176" spans="1:5" ht="14.45" customHeight="1">
      <c r="A176" s="67">
        <v>42403</v>
      </c>
      <c r="B176" s="68" t="s">
        <v>73</v>
      </c>
      <c r="C176" s="68" t="s">
        <v>85</v>
      </c>
      <c r="D176" s="68" t="s">
        <v>75</v>
      </c>
      <c r="E176" t="str">
        <f t="shared" si="4"/>
        <v>Delregion Göteborg</v>
      </c>
    </row>
    <row r="177" spans="1:5" ht="14.45" customHeight="1">
      <c r="A177" s="67">
        <v>42404</v>
      </c>
      <c r="B177" s="68" t="s">
        <v>115</v>
      </c>
      <c r="C177" s="68" t="s">
        <v>85</v>
      </c>
      <c r="D177" s="68" t="s">
        <v>75</v>
      </c>
      <c r="E177" t="str">
        <f t="shared" si="4"/>
        <v>Delregion Göteborg</v>
      </c>
    </row>
    <row r="178" spans="1:5" ht="14.45" customHeight="1">
      <c r="A178" s="67">
        <v>42404</v>
      </c>
      <c r="B178" s="68" t="s">
        <v>92</v>
      </c>
      <c r="C178" s="68" t="s">
        <v>85</v>
      </c>
      <c r="D178" s="68" t="s">
        <v>75</v>
      </c>
      <c r="E178" t="str">
        <f t="shared" si="4"/>
        <v>Delregion Södra Älvsborg</v>
      </c>
    </row>
    <row r="179" spans="1:5" ht="14.45" customHeight="1">
      <c r="A179" s="67">
        <v>42404</v>
      </c>
      <c r="B179" s="68" t="s">
        <v>104</v>
      </c>
      <c r="C179" s="68" t="s">
        <v>85</v>
      </c>
      <c r="D179" s="68" t="s">
        <v>75</v>
      </c>
      <c r="E179" t="str">
        <f t="shared" si="4"/>
        <v>Delregion SIMBA</v>
      </c>
    </row>
    <row r="180" spans="1:5" ht="14.45" customHeight="1">
      <c r="A180" s="67">
        <v>42405</v>
      </c>
      <c r="B180" s="68" t="s">
        <v>73</v>
      </c>
      <c r="C180" s="68" t="s">
        <v>85</v>
      </c>
      <c r="D180" s="68" t="s">
        <v>75</v>
      </c>
      <c r="E180" t="str">
        <f t="shared" si="4"/>
        <v>Delregion Göteborg</v>
      </c>
    </row>
    <row r="181" spans="1:5" ht="14.45" customHeight="1">
      <c r="A181" s="67">
        <v>42405</v>
      </c>
      <c r="B181" s="68" t="s">
        <v>108</v>
      </c>
      <c r="C181" s="68" t="s">
        <v>85</v>
      </c>
      <c r="D181" s="68" t="s">
        <v>75</v>
      </c>
      <c r="E181" t="str">
        <f t="shared" si="4"/>
        <v>Delregion Fyrbodal</v>
      </c>
    </row>
    <row r="182" spans="1:5" ht="14.45" customHeight="1">
      <c r="A182" s="67">
        <v>42409</v>
      </c>
      <c r="B182" s="68" t="s">
        <v>106</v>
      </c>
      <c r="C182" s="68" t="s">
        <v>85</v>
      </c>
      <c r="D182" s="68" t="s">
        <v>75</v>
      </c>
      <c r="E182" t="str">
        <f t="shared" si="4"/>
        <v>Delregion Fyrbodal</v>
      </c>
    </row>
    <row r="183" spans="1:5" ht="14.45" customHeight="1">
      <c r="A183" s="67">
        <v>42416</v>
      </c>
      <c r="B183" s="68" t="s">
        <v>73</v>
      </c>
      <c r="C183" s="68" t="s">
        <v>85</v>
      </c>
      <c r="D183" s="68" t="s">
        <v>75</v>
      </c>
      <c r="E183" t="str">
        <f t="shared" si="4"/>
        <v>Delregion Göteborg</v>
      </c>
    </row>
    <row r="184" spans="1:5" ht="14.45" customHeight="1">
      <c r="A184" s="67">
        <v>42416</v>
      </c>
      <c r="B184" s="68" t="s">
        <v>80</v>
      </c>
      <c r="C184" s="68" t="s">
        <v>85</v>
      </c>
      <c r="D184" s="68" t="s">
        <v>75</v>
      </c>
      <c r="E184" t="str">
        <f t="shared" si="4"/>
        <v>Delregion Södra Älvsborg</v>
      </c>
    </row>
    <row r="185" spans="1:5" ht="14.45" customHeight="1">
      <c r="A185" s="67">
        <v>42416</v>
      </c>
      <c r="B185" s="68" t="s">
        <v>104</v>
      </c>
      <c r="C185" s="68" t="s">
        <v>85</v>
      </c>
      <c r="D185" s="68" t="s">
        <v>75</v>
      </c>
      <c r="E185" t="str">
        <f t="shared" si="4"/>
        <v>Delregion SIMBA</v>
      </c>
    </row>
    <row r="186" spans="1:5" ht="14.45" customHeight="1">
      <c r="A186" s="67">
        <v>42416</v>
      </c>
      <c r="B186" s="68" t="s">
        <v>73</v>
      </c>
      <c r="C186" s="68" t="s">
        <v>85</v>
      </c>
      <c r="D186" s="68" t="s">
        <v>75</v>
      </c>
      <c r="E186" t="str">
        <f t="shared" si="4"/>
        <v>Delregion Göteborg</v>
      </c>
    </row>
    <row r="187" spans="1:5" ht="14.45" customHeight="1">
      <c r="A187" s="67">
        <v>42416</v>
      </c>
      <c r="B187" s="68" t="s">
        <v>98</v>
      </c>
      <c r="C187" s="68" t="s">
        <v>85</v>
      </c>
      <c r="D187" s="68" t="s">
        <v>75</v>
      </c>
      <c r="E187" t="str">
        <f t="shared" si="4"/>
        <v>Delregion Göteborg</v>
      </c>
    </row>
    <row r="188" spans="1:5" ht="14.45" customHeight="1">
      <c r="A188" s="67">
        <v>42424</v>
      </c>
      <c r="B188" s="68" t="s">
        <v>77</v>
      </c>
      <c r="C188" s="68" t="s">
        <v>85</v>
      </c>
      <c r="D188" s="68" t="s">
        <v>75</v>
      </c>
      <c r="E188" t="str">
        <f t="shared" si="4"/>
        <v>Delregion SIMBA</v>
      </c>
    </row>
    <row r="189" spans="1:5" ht="14.45" customHeight="1">
      <c r="A189" s="67">
        <v>42430</v>
      </c>
      <c r="B189" s="68" t="s">
        <v>78</v>
      </c>
      <c r="C189" s="68" t="s">
        <v>85</v>
      </c>
      <c r="D189" s="68" t="s">
        <v>75</v>
      </c>
      <c r="E189" t="str">
        <f t="shared" si="4"/>
        <v>Delregion SIMBA</v>
      </c>
    </row>
    <row r="190" spans="1:5" ht="14.45" customHeight="1">
      <c r="A190" s="67">
        <v>42431</v>
      </c>
      <c r="B190" s="68" t="s">
        <v>73</v>
      </c>
      <c r="C190" s="68" t="s">
        <v>85</v>
      </c>
      <c r="D190" s="68" t="s">
        <v>75</v>
      </c>
      <c r="E190" t="str">
        <f t="shared" si="4"/>
        <v>Delregion Göteborg</v>
      </c>
    </row>
    <row r="191" spans="1:5" ht="14.45" customHeight="1">
      <c r="A191" s="67">
        <v>42443</v>
      </c>
      <c r="B191" s="68" t="s">
        <v>94</v>
      </c>
      <c r="C191" s="68" t="s">
        <v>85</v>
      </c>
      <c r="D191" s="68" t="s">
        <v>75</v>
      </c>
      <c r="E191" t="str">
        <f t="shared" si="4"/>
        <v>Delregion Fyrbodal</v>
      </c>
    </row>
    <row r="192" spans="1:5" ht="14.45" customHeight="1">
      <c r="A192" s="67">
        <v>42445</v>
      </c>
      <c r="B192" s="68" t="s">
        <v>73</v>
      </c>
      <c r="C192" s="68" t="s">
        <v>85</v>
      </c>
      <c r="D192" s="68" t="s">
        <v>75</v>
      </c>
      <c r="E192" t="str">
        <f t="shared" si="4"/>
        <v>Delregion Göteborg</v>
      </c>
    </row>
    <row r="193" spans="1:5" ht="14.45" customHeight="1">
      <c r="A193" s="67">
        <v>42453</v>
      </c>
      <c r="B193" s="68" t="s">
        <v>73</v>
      </c>
      <c r="C193" s="68" t="s">
        <v>85</v>
      </c>
      <c r="D193" s="68" t="s">
        <v>75</v>
      </c>
      <c r="E193" t="str">
        <f t="shared" si="4"/>
        <v>Delregion Göteborg</v>
      </c>
    </row>
    <row r="194" spans="1:5" ht="14.45" customHeight="1">
      <c r="A194" s="67">
        <v>42459</v>
      </c>
      <c r="B194" s="68" t="s">
        <v>98</v>
      </c>
      <c r="C194" s="68" t="s">
        <v>85</v>
      </c>
      <c r="D194" s="68" t="s">
        <v>75</v>
      </c>
      <c r="E194" t="str">
        <f t="shared" si="4"/>
        <v>Delregion Göteborg</v>
      </c>
    </row>
    <row r="195" spans="1:5" ht="14.45" customHeight="1">
      <c r="A195" s="67">
        <v>42464</v>
      </c>
      <c r="B195" s="68" t="s">
        <v>104</v>
      </c>
      <c r="C195" s="68" t="s">
        <v>85</v>
      </c>
      <c r="D195" s="68" t="s">
        <v>75</v>
      </c>
      <c r="E195" t="str">
        <f t="shared" si="4"/>
        <v>Delregion SIMBA</v>
      </c>
    </row>
    <row r="196" spans="1:5" ht="14.45" customHeight="1">
      <c r="A196" s="67">
        <v>42465</v>
      </c>
      <c r="B196" s="68" t="s">
        <v>114</v>
      </c>
      <c r="C196" s="68" t="s">
        <v>85</v>
      </c>
      <c r="D196" s="68" t="s">
        <v>75</v>
      </c>
      <c r="E196" t="str">
        <f t="shared" si="4"/>
        <v>Delregion Fyrbodal</v>
      </c>
    </row>
    <row r="197" spans="1:5" ht="14.45" customHeight="1">
      <c r="A197" s="67">
        <v>42468</v>
      </c>
      <c r="B197" s="68" t="s">
        <v>104</v>
      </c>
      <c r="C197" s="68" t="s">
        <v>85</v>
      </c>
      <c r="D197" s="68" t="s">
        <v>75</v>
      </c>
      <c r="E197" t="str">
        <f t="shared" si="4"/>
        <v>Delregion SIMBA</v>
      </c>
    </row>
    <row r="198" spans="1:5" ht="14.45" customHeight="1">
      <c r="A198" s="67">
        <v>42471</v>
      </c>
      <c r="B198" s="68" t="s">
        <v>108</v>
      </c>
      <c r="C198" s="68" t="s">
        <v>85</v>
      </c>
      <c r="D198" s="68" t="s">
        <v>75</v>
      </c>
      <c r="E198" t="str">
        <f t="shared" si="4"/>
        <v>Delregion Fyrbodal</v>
      </c>
    </row>
    <row r="199" spans="1:5" ht="14.45" customHeight="1">
      <c r="A199" s="67">
        <v>42471</v>
      </c>
      <c r="B199" s="68" t="s">
        <v>108</v>
      </c>
      <c r="C199" s="68" t="s">
        <v>85</v>
      </c>
      <c r="D199" s="68" t="s">
        <v>75</v>
      </c>
      <c r="E199" t="str">
        <f t="shared" si="4"/>
        <v>Delregion Fyrbodal</v>
      </c>
    </row>
    <row r="200" spans="1:5" ht="14.45" customHeight="1">
      <c r="A200" s="67">
        <v>42472</v>
      </c>
      <c r="B200" s="68" t="s">
        <v>73</v>
      </c>
      <c r="C200" s="68" t="s">
        <v>85</v>
      </c>
      <c r="D200" s="68" t="s">
        <v>75</v>
      </c>
      <c r="E200" t="str">
        <f t="shared" si="4"/>
        <v>Delregion Göteborg</v>
      </c>
    </row>
    <row r="201" spans="1:5" ht="14.45" customHeight="1">
      <c r="A201" s="67">
        <v>42473</v>
      </c>
      <c r="B201" s="68" t="s">
        <v>105</v>
      </c>
      <c r="C201" s="68" t="s">
        <v>85</v>
      </c>
      <c r="D201" s="68" t="s">
        <v>75</v>
      </c>
      <c r="E201" t="str">
        <f t="shared" si="4"/>
        <v>Delregion Skaraborg</v>
      </c>
    </row>
    <row r="202" spans="1:5" ht="14.45" customHeight="1">
      <c r="A202" s="67">
        <v>42474</v>
      </c>
      <c r="B202" s="68" t="s">
        <v>120</v>
      </c>
      <c r="C202" s="68" t="s">
        <v>85</v>
      </c>
      <c r="D202" s="68" t="s">
        <v>75</v>
      </c>
      <c r="E202" t="str">
        <f t="shared" si="4"/>
        <v>Delregion Södra Älvsborg</v>
      </c>
    </row>
    <row r="203" spans="1:5" ht="14.45" customHeight="1">
      <c r="A203" s="67">
        <v>42475</v>
      </c>
      <c r="B203" s="68" t="s">
        <v>92</v>
      </c>
      <c r="C203" s="68" t="s">
        <v>85</v>
      </c>
      <c r="D203" s="68" t="s">
        <v>75</v>
      </c>
      <c r="E203" t="str">
        <f t="shared" si="4"/>
        <v>Delregion Södra Älvsborg</v>
      </c>
    </row>
    <row r="204" spans="1:5" ht="14.45" customHeight="1">
      <c r="A204" s="67">
        <v>42475</v>
      </c>
      <c r="B204" s="68" t="s">
        <v>73</v>
      </c>
      <c r="C204" s="68" t="s">
        <v>85</v>
      </c>
      <c r="D204" s="68" t="s">
        <v>75</v>
      </c>
      <c r="E204" t="str">
        <f t="shared" si="4"/>
        <v>Delregion Göteborg</v>
      </c>
    </row>
    <row r="205" spans="1:5" ht="14.45" customHeight="1">
      <c r="A205" s="67">
        <v>42478</v>
      </c>
      <c r="B205" s="68" t="s">
        <v>73</v>
      </c>
      <c r="C205" s="68" t="s">
        <v>85</v>
      </c>
      <c r="D205" s="68" t="s">
        <v>75</v>
      </c>
      <c r="E205" t="str">
        <f t="shared" ref="E205:E268" si="5">VLOOKUP(B205,$Q$13:$R$61,2,FALSE)</f>
        <v>Delregion Göteborg</v>
      </c>
    </row>
    <row r="206" spans="1:5" ht="14.45" customHeight="1">
      <c r="A206" s="67">
        <v>42479</v>
      </c>
      <c r="B206" s="68" t="s">
        <v>104</v>
      </c>
      <c r="C206" s="68" t="s">
        <v>85</v>
      </c>
      <c r="D206" s="68" t="s">
        <v>75</v>
      </c>
      <c r="E206" t="str">
        <f t="shared" si="5"/>
        <v>Delregion SIMBA</v>
      </c>
    </row>
    <row r="207" spans="1:5" ht="14.45" customHeight="1">
      <c r="A207" s="67">
        <v>42480</v>
      </c>
      <c r="B207" s="68" t="s">
        <v>86</v>
      </c>
      <c r="C207" s="68" t="s">
        <v>85</v>
      </c>
      <c r="D207" s="68" t="s">
        <v>75</v>
      </c>
      <c r="E207" t="str">
        <f t="shared" si="5"/>
        <v>Delregion Fyrbodal</v>
      </c>
    </row>
    <row r="208" spans="1:5" ht="14.45" customHeight="1">
      <c r="A208" s="67">
        <v>42482</v>
      </c>
      <c r="B208" s="68" t="s">
        <v>73</v>
      </c>
      <c r="C208" s="68" t="s">
        <v>85</v>
      </c>
      <c r="D208" s="68" t="s">
        <v>75</v>
      </c>
      <c r="E208" t="str">
        <f t="shared" si="5"/>
        <v>Delregion Göteborg</v>
      </c>
    </row>
    <row r="209" spans="1:5" ht="14.45" customHeight="1">
      <c r="A209" s="67">
        <v>42486</v>
      </c>
      <c r="B209" s="68" t="s">
        <v>73</v>
      </c>
      <c r="C209" s="68" t="s">
        <v>85</v>
      </c>
      <c r="D209" s="68" t="s">
        <v>75</v>
      </c>
      <c r="E209" t="str">
        <f t="shared" si="5"/>
        <v>Delregion Göteborg</v>
      </c>
    </row>
    <row r="210" spans="1:5" ht="14.45" customHeight="1">
      <c r="A210" s="67">
        <v>42487</v>
      </c>
      <c r="B210" s="68" t="s">
        <v>116</v>
      </c>
      <c r="C210" s="68" t="s">
        <v>85</v>
      </c>
      <c r="D210" s="68" t="s">
        <v>75</v>
      </c>
      <c r="E210" t="str">
        <f t="shared" si="5"/>
        <v>Delregion Södra Älvsborg</v>
      </c>
    </row>
    <row r="211" spans="1:5" ht="14.45" customHeight="1">
      <c r="A211" s="67">
        <v>42489</v>
      </c>
      <c r="B211" s="68" t="s">
        <v>81</v>
      </c>
      <c r="C211" s="68" t="s">
        <v>85</v>
      </c>
      <c r="D211" s="68" t="s">
        <v>75</v>
      </c>
      <c r="E211" t="str">
        <f t="shared" si="5"/>
        <v>Delregion Fyrbodal</v>
      </c>
    </row>
    <row r="212" spans="1:5" ht="14.45" customHeight="1">
      <c r="A212" s="67">
        <v>42492</v>
      </c>
      <c r="B212" s="68" t="s">
        <v>73</v>
      </c>
      <c r="C212" s="68" t="s">
        <v>85</v>
      </c>
      <c r="D212" s="68" t="s">
        <v>75</v>
      </c>
      <c r="E212" t="str">
        <f t="shared" si="5"/>
        <v>Delregion Göteborg</v>
      </c>
    </row>
    <row r="213" spans="1:5" ht="14.45" customHeight="1">
      <c r="A213" s="67">
        <v>42499</v>
      </c>
      <c r="B213" s="68" t="s">
        <v>73</v>
      </c>
      <c r="C213" s="68" t="s">
        <v>85</v>
      </c>
      <c r="D213" s="68" t="s">
        <v>75</v>
      </c>
      <c r="E213" t="str">
        <f t="shared" si="5"/>
        <v>Delregion Göteborg</v>
      </c>
    </row>
    <row r="214" spans="1:5" ht="14.45" customHeight="1">
      <c r="A214" s="67">
        <v>42500</v>
      </c>
      <c r="B214" s="68" t="s">
        <v>106</v>
      </c>
      <c r="C214" s="68" t="s">
        <v>85</v>
      </c>
      <c r="D214" s="68" t="s">
        <v>75</v>
      </c>
      <c r="E214" t="str">
        <f t="shared" si="5"/>
        <v>Delregion Fyrbodal</v>
      </c>
    </row>
    <row r="215" spans="1:5" ht="14.45" customHeight="1">
      <c r="A215" s="67">
        <v>42500</v>
      </c>
      <c r="B215" s="68" t="s">
        <v>123</v>
      </c>
      <c r="C215" s="68" t="s">
        <v>85</v>
      </c>
      <c r="D215" s="68" t="s">
        <v>75</v>
      </c>
      <c r="E215" t="str">
        <f t="shared" si="5"/>
        <v>Delregion Södra Älvsborg</v>
      </c>
    </row>
    <row r="216" spans="1:5" ht="14.45" customHeight="1">
      <c r="A216" s="67">
        <v>42503</v>
      </c>
      <c r="B216" s="68" t="s">
        <v>73</v>
      </c>
      <c r="C216" s="68" t="s">
        <v>85</v>
      </c>
      <c r="D216" s="68" t="s">
        <v>75</v>
      </c>
      <c r="E216" t="str">
        <f t="shared" si="5"/>
        <v>Delregion Göteborg</v>
      </c>
    </row>
    <row r="217" spans="1:5" ht="14.45" customHeight="1">
      <c r="A217" s="67">
        <v>42509</v>
      </c>
      <c r="B217" s="68" t="s">
        <v>73</v>
      </c>
      <c r="C217" s="68" t="s">
        <v>85</v>
      </c>
      <c r="D217" s="68" t="s">
        <v>75</v>
      </c>
      <c r="E217" t="str">
        <f t="shared" si="5"/>
        <v>Delregion Göteborg</v>
      </c>
    </row>
    <row r="218" spans="1:5" ht="14.45" customHeight="1">
      <c r="A218" s="67">
        <v>42510</v>
      </c>
      <c r="B218" s="68" t="s">
        <v>73</v>
      </c>
      <c r="C218" s="68" t="s">
        <v>85</v>
      </c>
      <c r="D218" s="68" t="s">
        <v>75</v>
      </c>
      <c r="E218" t="str">
        <f t="shared" si="5"/>
        <v>Delregion Göteborg</v>
      </c>
    </row>
    <row r="219" spans="1:5" ht="14.45" customHeight="1">
      <c r="A219" s="67">
        <v>42516</v>
      </c>
      <c r="B219" s="68" t="s">
        <v>73</v>
      </c>
      <c r="C219" s="68" t="s">
        <v>85</v>
      </c>
      <c r="D219" s="68" t="s">
        <v>75</v>
      </c>
      <c r="E219" t="str">
        <f t="shared" si="5"/>
        <v>Delregion Göteborg</v>
      </c>
    </row>
    <row r="220" spans="1:5" ht="14.45" customHeight="1">
      <c r="A220" s="67">
        <v>42517</v>
      </c>
      <c r="B220" s="68" t="s">
        <v>86</v>
      </c>
      <c r="C220" s="68" t="s">
        <v>85</v>
      </c>
      <c r="D220" s="68" t="s">
        <v>75</v>
      </c>
      <c r="E220" t="str">
        <f t="shared" si="5"/>
        <v>Delregion Fyrbodal</v>
      </c>
    </row>
    <row r="221" spans="1:5" ht="14.45" customHeight="1">
      <c r="A221" s="67">
        <v>42521</v>
      </c>
      <c r="B221" s="68" t="s">
        <v>86</v>
      </c>
      <c r="C221" s="68" t="s">
        <v>85</v>
      </c>
      <c r="D221" s="68" t="s">
        <v>75</v>
      </c>
      <c r="E221" t="str">
        <f t="shared" si="5"/>
        <v>Delregion Fyrbodal</v>
      </c>
    </row>
    <row r="222" spans="1:5" ht="14.45" customHeight="1">
      <c r="A222" s="67">
        <v>42521</v>
      </c>
      <c r="B222" s="68" t="s">
        <v>89</v>
      </c>
      <c r="C222" s="68" t="s">
        <v>85</v>
      </c>
      <c r="D222" s="68" t="s">
        <v>75</v>
      </c>
      <c r="E222" t="str">
        <f t="shared" si="5"/>
        <v>Delregion Skaraborg</v>
      </c>
    </row>
    <row r="223" spans="1:5" ht="14.45" customHeight="1">
      <c r="A223" s="67">
        <v>42528</v>
      </c>
      <c r="B223" s="68" t="s">
        <v>94</v>
      </c>
      <c r="C223" s="68" t="s">
        <v>85</v>
      </c>
      <c r="D223" s="68" t="s">
        <v>75</v>
      </c>
      <c r="E223" t="str">
        <f t="shared" si="5"/>
        <v>Delregion Fyrbodal</v>
      </c>
    </row>
    <row r="224" spans="1:5" ht="14.45" customHeight="1">
      <c r="A224" s="67">
        <v>42528</v>
      </c>
      <c r="B224" s="68" t="s">
        <v>121</v>
      </c>
      <c r="C224" s="68" t="s">
        <v>85</v>
      </c>
      <c r="D224" s="68" t="s">
        <v>75</v>
      </c>
      <c r="E224" t="str">
        <f t="shared" si="5"/>
        <v>Delregion Södra Älvsborg</v>
      </c>
    </row>
    <row r="225" spans="1:5" ht="14.45" customHeight="1">
      <c r="A225" s="67">
        <v>42529</v>
      </c>
      <c r="B225" s="68" t="s">
        <v>86</v>
      </c>
      <c r="C225" s="68" t="s">
        <v>85</v>
      </c>
      <c r="D225" s="68" t="s">
        <v>75</v>
      </c>
      <c r="E225" t="str">
        <f t="shared" si="5"/>
        <v>Delregion Fyrbodal</v>
      </c>
    </row>
    <row r="226" spans="1:5" ht="14.45" customHeight="1">
      <c r="A226" s="67">
        <v>42531</v>
      </c>
      <c r="B226" s="68" t="s">
        <v>73</v>
      </c>
      <c r="C226" s="68" t="s">
        <v>85</v>
      </c>
      <c r="D226" s="68" t="s">
        <v>75</v>
      </c>
      <c r="E226" t="str">
        <f t="shared" si="5"/>
        <v>Delregion Göteborg</v>
      </c>
    </row>
    <row r="227" spans="1:5" ht="14.45" customHeight="1">
      <c r="A227" s="67">
        <v>42531</v>
      </c>
      <c r="B227" s="68" t="s">
        <v>78</v>
      </c>
      <c r="C227" s="68" t="s">
        <v>85</v>
      </c>
      <c r="D227" s="68" t="s">
        <v>75</v>
      </c>
      <c r="E227" t="str">
        <f t="shared" si="5"/>
        <v>Delregion SIMBA</v>
      </c>
    </row>
    <row r="228" spans="1:5" ht="14.45" customHeight="1">
      <c r="A228" s="67">
        <v>42531</v>
      </c>
      <c r="B228" s="68" t="s">
        <v>123</v>
      </c>
      <c r="C228" s="68" t="s">
        <v>85</v>
      </c>
      <c r="D228" s="68" t="s">
        <v>75</v>
      </c>
      <c r="E228" t="str">
        <f t="shared" si="5"/>
        <v>Delregion Södra Älvsborg</v>
      </c>
    </row>
    <row r="229" spans="1:5" ht="14.45" customHeight="1">
      <c r="A229" s="67">
        <v>42534</v>
      </c>
      <c r="B229" s="68" t="s">
        <v>107</v>
      </c>
      <c r="C229" s="68" t="s">
        <v>85</v>
      </c>
      <c r="D229" s="68" t="s">
        <v>75</v>
      </c>
      <c r="E229" t="str">
        <f t="shared" si="5"/>
        <v>Delregion Skaraborg</v>
      </c>
    </row>
    <row r="230" spans="1:5" ht="14.45" customHeight="1">
      <c r="A230" s="67">
        <v>42534</v>
      </c>
      <c r="B230" s="68" t="s">
        <v>105</v>
      </c>
      <c r="C230" s="68" t="s">
        <v>85</v>
      </c>
      <c r="D230" s="68" t="s">
        <v>75</v>
      </c>
      <c r="E230" t="str">
        <f t="shared" si="5"/>
        <v>Delregion Skaraborg</v>
      </c>
    </row>
    <row r="231" spans="1:5" ht="14.45" customHeight="1">
      <c r="A231" s="67">
        <v>42535</v>
      </c>
      <c r="B231" s="68" t="s">
        <v>84</v>
      </c>
      <c r="C231" s="68" t="s">
        <v>85</v>
      </c>
      <c r="D231" s="68" t="s">
        <v>75</v>
      </c>
      <c r="E231" t="str">
        <f t="shared" si="5"/>
        <v>Delregion Skaraborg</v>
      </c>
    </row>
    <row r="232" spans="1:5" ht="14.45" customHeight="1">
      <c r="A232" s="67">
        <v>42536</v>
      </c>
      <c r="B232" s="68" t="s">
        <v>104</v>
      </c>
      <c r="C232" s="68" t="s">
        <v>85</v>
      </c>
      <c r="D232" s="68" t="s">
        <v>75</v>
      </c>
      <c r="E232" t="str">
        <f t="shared" si="5"/>
        <v>Delregion SIMBA</v>
      </c>
    </row>
    <row r="233" spans="1:5" ht="14.45" customHeight="1">
      <c r="A233" s="67">
        <v>42536</v>
      </c>
      <c r="B233" s="68" t="s">
        <v>92</v>
      </c>
      <c r="C233" s="68" t="s">
        <v>85</v>
      </c>
      <c r="D233" s="68" t="s">
        <v>75</v>
      </c>
      <c r="E233" t="str">
        <f t="shared" si="5"/>
        <v>Delregion Södra Älvsborg</v>
      </c>
    </row>
    <row r="234" spans="1:5" ht="14.45" customHeight="1">
      <c r="A234" s="67">
        <v>42536</v>
      </c>
      <c r="B234" s="68" t="s">
        <v>78</v>
      </c>
      <c r="C234" s="68" t="s">
        <v>85</v>
      </c>
      <c r="D234" s="68" t="s">
        <v>75</v>
      </c>
      <c r="E234" t="str">
        <f t="shared" si="5"/>
        <v>Delregion SIMBA</v>
      </c>
    </row>
    <row r="235" spans="1:5" ht="14.45" customHeight="1">
      <c r="A235" s="67">
        <v>42541</v>
      </c>
      <c r="B235" s="68" t="s">
        <v>120</v>
      </c>
      <c r="C235" s="68" t="s">
        <v>85</v>
      </c>
      <c r="D235" s="68" t="s">
        <v>75</v>
      </c>
      <c r="E235" t="str">
        <f t="shared" si="5"/>
        <v>Delregion Södra Älvsborg</v>
      </c>
    </row>
    <row r="236" spans="1:5" ht="14.45" customHeight="1">
      <c r="A236" s="67">
        <v>42542</v>
      </c>
      <c r="B236" s="68" t="s">
        <v>109</v>
      </c>
      <c r="C236" s="68" t="s">
        <v>85</v>
      </c>
      <c r="D236" s="68" t="s">
        <v>75</v>
      </c>
      <c r="E236" t="str">
        <f t="shared" si="5"/>
        <v>Delregion Fyrbodal</v>
      </c>
    </row>
    <row r="237" spans="1:5" ht="14.45" customHeight="1">
      <c r="A237" s="67">
        <v>42543</v>
      </c>
      <c r="B237" s="68" t="s">
        <v>108</v>
      </c>
      <c r="C237" s="68" t="s">
        <v>85</v>
      </c>
      <c r="D237" s="68" t="s">
        <v>75</v>
      </c>
      <c r="E237" t="str">
        <f t="shared" si="5"/>
        <v>Delregion Fyrbodal</v>
      </c>
    </row>
    <row r="238" spans="1:5" ht="14.45" customHeight="1">
      <c r="A238" s="67">
        <v>42543</v>
      </c>
      <c r="B238" s="68" t="s">
        <v>97</v>
      </c>
      <c r="C238" s="68" t="s">
        <v>85</v>
      </c>
      <c r="D238" s="68" t="s">
        <v>75</v>
      </c>
      <c r="E238" t="str">
        <f t="shared" si="5"/>
        <v>Delregion Fyrbodal</v>
      </c>
    </row>
    <row r="239" spans="1:5" ht="14.45" customHeight="1">
      <c r="A239" s="67">
        <v>42543</v>
      </c>
      <c r="B239" s="68" t="s">
        <v>89</v>
      </c>
      <c r="C239" s="68" t="s">
        <v>85</v>
      </c>
      <c r="D239" s="68" t="s">
        <v>75</v>
      </c>
      <c r="E239" t="str">
        <f t="shared" si="5"/>
        <v>Delregion Skaraborg</v>
      </c>
    </row>
    <row r="240" spans="1:5" ht="14.45" customHeight="1">
      <c r="A240" s="67">
        <v>42548</v>
      </c>
      <c r="B240" s="68" t="s">
        <v>107</v>
      </c>
      <c r="C240" s="68" t="s">
        <v>85</v>
      </c>
      <c r="D240" s="68" t="s">
        <v>75</v>
      </c>
      <c r="E240" t="str">
        <f t="shared" si="5"/>
        <v>Delregion Skaraborg</v>
      </c>
    </row>
    <row r="241" spans="1:5" ht="14.45" customHeight="1">
      <c r="A241" s="67">
        <v>42550</v>
      </c>
      <c r="B241" s="68" t="s">
        <v>110</v>
      </c>
      <c r="C241" s="68" t="s">
        <v>85</v>
      </c>
      <c r="D241" s="68" t="s">
        <v>75</v>
      </c>
      <c r="E241" t="str">
        <f t="shared" si="5"/>
        <v>Delregion Fyrbodal</v>
      </c>
    </row>
    <row r="242" spans="1:5" ht="14.45" customHeight="1">
      <c r="A242" s="67">
        <v>42559</v>
      </c>
      <c r="B242" s="68" t="s">
        <v>73</v>
      </c>
      <c r="C242" s="68" t="s">
        <v>85</v>
      </c>
      <c r="D242" s="68" t="s">
        <v>75</v>
      </c>
      <c r="E242" t="str">
        <f t="shared" si="5"/>
        <v>Delregion Göteborg</v>
      </c>
    </row>
    <row r="243" spans="1:5" ht="14.45" customHeight="1">
      <c r="A243" s="67">
        <v>42566</v>
      </c>
      <c r="B243" s="68" t="s">
        <v>78</v>
      </c>
      <c r="C243" s="68" t="s">
        <v>85</v>
      </c>
      <c r="D243" s="68" t="s">
        <v>75</v>
      </c>
      <c r="E243" t="str">
        <f t="shared" si="5"/>
        <v>Delregion SIMBA</v>
      </c>
    </row>
    <row r="244" spans="1:5" ht="14.45" customHeight="1">
      <c r="A244" s="67">
        <v>42566</v>
      </c>
      <c r="B244" s="68" t="s">
        <v>116</v>
      </c>
      <c r="C244" s="68" t="s">
        <v>85</v>
      </c>
      <c r="D244" s="68" t="s">
        <v>75</v>
      </c>
      <c r="E244" t="str">
        <f t="shared" si="5"/>
        <v>Delregion Södra Älvsborg</v>
      </c>
    </row>
    <row r="245" spans="1:5" ht="14.45" customHeight="1">
      <c r="A245" s="67">
        <v>42566</v>
      </c>
      <c r="B245" s="68" t="s">
        <v>78</v>
      </c>
      <c r="C245" s="68" t="s">
        <v>85</v>
      </c>
      <c r="D245" s="68" t="s">
        <v>75</v>
      </c>
      <c r="E245" t="str">
        <f t="shared" si="5"/>
        <v>Delregion SIMBA</v>
      </c>
    </row>
    <row r="246" spans="1:5" ht="14.45" customHeight="1">
      <c r="A246" s="67">
        <v>42569</v>
      </c>
      <c r="B246" s="68" t="s">
        <v>92</v>
      </c>
      <c r="C246" s="68" t="s">
        <v>85</v>
      </c>
      <c r="D246" s="68" t="s">
        <v>75</v>
      </c>
      <c r="E246" t="str">
        <f t="shared" si="5"/>
        <v>Delregion Södra Älvsborg</v>
      </c>
    </row>
    <row r="247" spans="1:5" ht="14.45" customHeight="1">
      <c r="A247" s="67">
        <v>42579</v>
      </c>
      <c r="B247" s="68" t="s">
        <v>111</v>
      </c>
      <c r="C247" s="68" t="s">
        <v>85</v>
      </c>
      <c r="D247" s="68" t="s">
        <v>75</v>
      </c>
      <c r="E247" t="str">
        <f t="shared" si="5"/>
        <v>Delregion Skaraborg</v>
      </c>
    </row>
    <row r="248" spans="1:5" ht="14.45" customHeight="1">
      <c r="A248" s="67">
        <v>42598</v>
      </c>
      <c r="B248" s="68" t="s">
        <v>80</v>
      </c>
      <c r="C248" s="68" t="s">
        <v>85</v>
      </c>
      <c r="D248" s="68" t="s">
        <v>75</v>
      </c>
      <c r="E248" t="str">
        <f t="shared" si="5"/>
        <v>Delregion Södra Älvsborg</v>
      </c>
    </row>
    <row r="249" spans="1:5" ht="14.45" customHeight="1">
      <c r="A249" s="67">
        <v>42599</v>
      </c>
      <c r="B249" s="68" t="s">
        <v>73</v>
      </c>
      <c r="C249" s="68" t="s">
        <v>85</v>
      </c>
      <c r="D249" s="68" t="s">
        <v>75</v>
      </c>
      <c r="E249" t="str">
        <f t="shared" si="5"/>
        <v>Delregion Göteborg</v>
      </c>
    </row>
    <row r="250" spans="1:5" ht="14.45" customHeight="1">
      <c r="A250" s="67">
        <v>42605</v>
      </c>
      <c r="B250" s="68" t="s">
        <v>112</v>
      </c>
      <c r="C250" s="68" t="s">
        <v>85</v>
      </c>
      <c r="D250" s="68" t="s">
        <v>75</v>
      </c>
      <c r="E250" t="str">
        <f t="shared" si="5"/>
        <v>Delregion Göteborg</v>
      </c>
    </row>
    <row r="251" spans="1:5" ht="14.45" customHeight="1">
      <c r="A251" s="67">
        <v>42606</v>
      </c>
      <c r="B251" s="68" t="s">
        <v>73</v>
      </c>
      <c r="C251" s="68" t="s">
        <v>85</v>
      </c>
      <c r="D251" s="68" t="s">
        <v>75</v>
      </c>
      <c r="E251" t="str">
        <f t="shared" si="5"/>
        <v>Delregion Göteborg</v>
      </c>
    </row>
    <row r="252" spans="1:5" ht="14.45" customHeight="1">
      <c r="A252" s="67">
        <v>42606</v>
      </c>
      <c r="B252" s="68" t="s">
        <v>112</v>
      </c>
      <c r="C252" s="68" t="s">
        <v>85</v>
      </c>
      <c r="D252" s="68" t="s">
        <v>75</v>
      </c>
      <c r="E252" t="str">
        <f t="shared" si="5"/>
        <v>Delregion Göteborg</v>
      </c>
    </row>
    <row r="253" spans="1:5" ht="14.45" customHeight="1">
      <c r="A253" s="67">
        <v>42608</v>
      </c>
      <c r="B253" s="68" t="s">
        <v>94</v>
      </c>
      <c r="C253" s="68" t="s">
        <v>85</v>
      </c>
      <c r="D253" s="68" t="s">
        <v>75</v>
      </c>
      <c r="E253" t="str">
        <f t="shared" si="5"/>
        <v>Delregion Fyrbodal</v>
      </c>
    </row>
    <row r="254" spans="1:5" ht="14.45" customHeight="1">
      <c r="A254" s="67">
        <v>42614</v>
      </c>
      <c r="B254" s="68" t="s">
        <v>73</v>
      </c>
      <c r="C254" s="68" t="s">
        <v>85</v>
      </c>
      <c r="D254" s="68" t="s">
        <v>75</v>
      </c>
      <c r="E254" t="str">
        <f t="shared" si="5"/>
        <v>Delregion Göteborg</v>
      </c>
    </row>
    <row r="255" spans="1:5" ht="14.45" customHeight="1">
      <c r="A255" s="67">
        <v>42615</v>
      </c>
      <c r="B255" s="68" t="s">
        <v>102</v>
      </c>
      <c r="C255" s="68" t="s">
        <v>85</v>
      </c>
      <c r="D255" s="68" t="s">
        <v>75</v>
      </c>
      <c r="E255" t="str">
        <f t="shared" si="5"/>
        <v>Delregion Södra Älvsborg</v>
      </c>
    </row>
    <row r="256" spans="1:5" ht="14.45" customHeight="1">
      <c r="A256" s="67">
        <v>42618</v>
      </c>
      <c r="B256" s="68" t="s">
        <v>73</v>
      </c>
      <c r="C256" s="68" t="s">
        <v>85</v>
      </c>
      <c r="D256" s="68" t="s">
        <v>75</v>
      </c>
      <c r="E256" t="str">
        <f t="shared" si="5"/>
        <v>Delregion Göteborg</v>
      </c>
    </row>
    <row r="257" spans="1:5" ht="14.45" customHeight="1">
      <c r="A257" s="67">
        <v>42618</v>
      </c>
      <c r="B257" s="68" t="s">
        <v>73</v>
      </c>
      <c r="C257" s="68" t="s">
        <v>85</v>
      </c>
      <c r="D257" s="68" t="s">
        <v>75</v>
      </c>
      <c r="E257" t="str">
        <f t="shared" si="5"/>
        <v>Delregion Göteborg</v>
      </c>
    </row>
    <row r="258" spans="1:5" ht="14.45" customHeight="1">
      <c r="A258" s="67">
        <v>42618</v>
      </c>
      <c r="B258" s="68" t="s">
        <v>73</v>
      </c>
      <c r="C258" s="68" t="s">
        <v>85</v>
      </c>
      <c r="D258" s="68" t="s">
        <v>75</v>
      </c>
      <c r="E258" t="str">
        <f t="shared" si="5"/>
        <v>Delregion Göteborg</v>
      </c>
    </row>
    <row r="259" spans="1:5" ht="14.45" customHeight="1">
      <c r="A259" s="67">
        <v>42618</v>
      </c>
      <c r="B259" s="68" t="s">
        <v>73</v>
      </c>
      <c r="C259" s="68" t="s">
        <v>85</v>
      </c>
      <c r="D259" s="68" t="s">
        <v>75</v>
      </c>
      <c r="E259" t="str">
        <f t="shared" si="5"/>
        <v>Delregion Göteborg</v>
      </c>
    </row>
    <row r="260" spans="1:5" ht="14.45" customHeight="1">
      <c r="A260" s="67">
        <v>42619</v>
      </c>
      <c r="B260" s="68" t="s">
        <v>73</v>
      </c>
      <c r="C260" s="68" t="s">
        <v>85</v>
      </c>
      <c r="D260" s="68" t="s">
        <v>75</v>
      </c>
      <c r="E260" t="str">
        <f t="shared" si="5"/>
        <v>Delregion Göteborg</v>
      </c>
    </row>
    <row r="261" spans="1:5" ht="14.45" customHeight="1">
      <c r="A261" s="67">
        <v>42621</v>
      </c>
      <c r="B261" s="68" t="s">
        <v>92</v>
      </c>
      <c r="C261" s="68" t="s">
        <v>85</v>
      </c>
      <c r="D261" s="68" t="s">
        <v>75</v>
      </c>
      <c r="E261" t="str">
        <f t="shared" si="5"/>
        <v>Delregion Södra Älvsborg</v>
      </c>
    </row>
    <row r="262" spans="1:5" ht="14.45" customHeight="1">
      <c r="A262" s="67">
        <v>42625</v>
      </c>
      <c r="B262" s="68" t="s">
        <v>94</v>
      </c>
      <c r="C262" s="68" t="s">
        <v>85</v>
      </c>
      <c r="D262" s="68" t="s">
        <v>75</v>
      </c>
      <c r="E262" t="str">
        <f t="shared" si="5"/>
        <v>Delregion Fyrbodal</v>
      </c>
    </row>
    <row r="263" spans="1:5" ht="14.45" customHeight="1">
      <c r="A263" s="67">
        <v>42625</v>
      </c>
      <c r="B263" s="68" t="s">
        <v>92</v>
      </c>
      <c r="C263" s="68" t="s">
        <v>85</v>
      </c>
      <c r="D263" s="68" t="s">
        <v>75</v>
      </c>
      <c r="E263" t="str">
        <f t="shared" si="5"/>
        <v>Delregion Södra Älvsborg</v>
      </c>
    </row>
    <row r="264" spans="1:5" ht="14.45" customHeight="1">
      <c r="A264" s="67">
        <v>42626</v>
      </c>
      <c r="B264" s="68" t="s">
        <v>115</v>
      </c>
      <c r="C264" s="68" t="s">
        <v>85</v>
      </c>
      <c r="D264" s="68" t="s">
        <v>75</v>
      </c>
      <c r="E264" t="str">
        <f t="shared" si="5"/>
        <v>Delregion Göteborg</v>
      </c>
    </row>
    <row r="265" spans="1:5" ht="14.45" customHeight="1">
      <c r="A265" s="67">
        <v>42626</v>
      </c>
      <c r="B265" s="68" t="s">
        <v>73</v>
      </c>
      <c r="C265" s="68" t="s">
        <v>85</v>
      </c>
      <c r="D265" s="68" t="s">
        <v>75</v>
      </c>
      <c r="E265" t="str">
        <f t="shared" si="5"/>
        <v>Delregion Göteborg</v>
      </c>
    </row>
    <row r="266" spans="1:5" ht="14.45" customHeight="1">
      <c r="A266" s="67">
        <v>42626</v>
      </c>
      <c r="B266" s="68" t="s">
        <v>97</v>
      </c>
      <c r="C266" s="68" t="s">
        <v>85</v>
      </c>
      <c r="D266" s="68" t="s">
        <v>75</v>
      </c>
      <c r="E266" t="str">
        <f t="shared" si="5"/>
        <v>Delregion Fyrbodal</v>
      </c>
    </row>
    <row r="267" spans="1:5" ht="14.45" customHeight="1">
      <c r="A267" s="67">
        <v>42629</v>
      </c>
      <c r="B267" s="68" t="s">
        <v>78</v>
      </c>
      <c r="C267" s="68" t="s">
        <v>85</v>
      </c>
      <c r="D267" s="68" t="s">
        <v>75</v>
      </c>
      <c r="E267" t="str">
        <f t="shared" si="5"/>
        <v>Delregion SIMBA</v>
      </c>
    </row>
    <row r="268" spans="1:5" ht="14.45" customHeight="1">
      <c r="A268" s="67">
        <v>42633</v>
      </c>
      <c r="B268" s="68" t="s">
        <v>113</v>
      </c>
      <c r="C268" s="68" t="s">
        <v>85</v>
      </c>
      <c r="D268" s="68" t="s">
        <v>75</v>
      </c>
      <c r="E268" t="str">
        <f t="shared" si="5"/>
        <v>Delregion Skaraborg</v>
      </c>
    </row>
    <row r="269" spans="1:5" ht="14.45" customHeight="1">
      <c r="A269" s="67">
        <v>42639</v>
      </c>
      <c r="B269" s="68" t="s">
        <v>97</v>
      </c>
      <c r="C269" s="68" t="s">
        <v>85</v>
      </c>
      <c r="D269" s="68" t="s">
        <v>75</v>
      </c>
      <c r="E269" t="str">
        <f t="shared" ref="E269:E332" si="6">VLOOKUP(B269,$Q$13:$R$61,2,FALSE)</f>
        <v>Delregion Fyrbodal</v>
      </c>
    </row>
    <row r="270" spans="1:5" ht="14.45" customHeight="1">
      <c r="A270" s="67">
        <v>42640</v>
      </c>
      <c r="B270" s="68" t="s">
        <v>89</v>
      </c>
      <c r="C270" s="68" t="s">
        <v>85</v>
      </c>
      <c r="D270" s="68" t="s">
        <v>75</v>
      </c>
      <c r="E270" t="str">
        <f t="shared" si="6"/>
        <v>Delregion Skaraborg</v>
      </c>
    </row>
    <row r="271" spans="1:5" ht="14.45" customHeight="1">
      <c r="A271" s="67">
        <v>42641</v>
      </c>
      <c r="B271" s="68" t="s">
        <v>73</v>
      </c>
      <c r="C271" s="68" t="s">
        <v>85</v>
      </c>
      <c r="D271" s="68" t="s">
        <v>75</v>
      </c>
      <c r="E271" t="str">
        <f t="shared" si="6"/>
        <v>Delregion Göteborg</v>
      </c>
    </row>
    <row r="272" spans="1:5" ht="14.45" customHeight="1">
      <c r="A272" s="67">
        <v>42641</v>
      </c>
      <c r="B272" s="68" t="s">
        <v>120</v>
      </c>
      <c r="C272" s="68" t="s">
        <v>85</v>
      </c>
      <c r="D272" s="68" t="s">
        <v>75</v>
      </c>
      <c r="E272" t="str">
        <f t="shared" si="6"/>
        <v>Delregion Södra Älvsborg</v>
      </c>
    </row>
    <row r="273" spans="1:5" ht="14.45" customHeight="1">
      <c r="A273" s="67">
        <v>42642</v>
      </c>
      <c r="B273" s="68" t="s">
        <v>114</v>
      </c>
      <c r="C273" s="68" t="s">
        <v>85</v>
      </c>
      <c r="D273" s="68" t="s">
        <v>75</v>
      </c>
      <c r="E273" t="str">
        <f t="shared" si="6"/>
        <v>Delregion Fyrbodal</v>
      </c>
    </row>
    <row r="274" spans="1:5" ht="14.45" customHeight="1">
      <c r="A274" s="67">
        <v>42649</v>
      </c>
      <c r="B274" s="68" t="s">
        <v>116</v>
      </c>
      <c r="C274" s="68" t="s">
        <v>85</v>
      </c>
      <c r="D274" s="68" t="s">
        <v>75</v>
      </c>
      <c r="E274" t="str">
        <f t="shared" si="6"/>
        <v>Delregion Södra Älvsborg</v>
      </c>
    </row>
    <row r="275" spans="1:5" ht="14.45" customHeight="1">
      <c r="A275" s="67">
        <v>42649</v>
      </c>
      <c r="B275" s="68" t="s">
        <v>73</v>
      </c>
      <c r="C275" s="68" t="s">
        <v>85</v>
      </c>
      <c r="D275" s="68" t="s">
        <v>75</v>
      </c>
      <c r="E275" t="str">
        <f t="shared" si="6"/>
        <v>Delregion Göteborg</v>
      </c>
    </row>
    <row r="276" spans="1:5" ht="14.45" customHeight="1">
      <c r="A276" s="67">
        <v>42650</v>
      </c>
      <c r="B276" s="68" t="s">
        <v>87</v>
      </c>
      <c r="C276" s="68" t="s">
        <v>85</v>
      </c>
      <c r="D276" s="68" t="s">
        <v>75</v>
      </c>
      <c r="E276" t="str">
        <f t="shared" si="6"/>
        <v>Delregion Skaraborg</v>
      </c>
    </row>
    <row r="277" spans="1:5" ht="14.45" customHeight="1">
      <c r="A277" s="67">
        <v>42650</v>
      </c>
      <c r="B277" s="68" t="s">
        <v>82</v>
      </c>
      <c r="C277" s="68" t="s">
        <v>85</v>
      </c>
      <c r="D277" s="68" t="s">
        <v>75</v>
      </c>
      <c r="E277" t="str">
        <f t="shared" si="6"/>
        <v>Delregion Fyrbodal</v>
      </c>
    </row>
    <row r="278" spans="1:5" ht="14.45" customHeight="1">
      <c r="A278" s="67">
        <v>42650</v>
      </c>
      <c r="B278" s="68" t="s">
        <v>77</v>
      </c>
      <c r="C278" s="68" t="s">
        <v>85</v>
      </c>
      <c r="D278" s="68" t="s">
        <v>75</v>
      </c>
      <c r="E278" t="str">
        <f t="shared" si="6"/>
        <v>Delregion SIMBA</v>
      </c>
    </row>
    <row r="279" spans="1:5" ht="14.45" customHeight="1">
      <c r="A279" s="67">
        <v>42650</v>
      </c>
      <c r="B279" s="68" t="s">
        <v>86</v>
      </c>
      <c r="C279" s="68" t="s">
        <v>85</v>
      </c>
      <c r="D279" s="68" t="s">
        <v>75</v>
      </c>
      <c r="E279" t="str">
        <f t="shared" si="6"/>
        <v>Delregion Fyrbodal</v>
      </c>
    </row>
    <row r="280" spans="1:5" ht="14.45" customHeight="1">
      <c r="A280" s="67">
        <v>42654</v>
      </c>
      <c r="B280" s="68" t="s">
        <v>112</v>
      </c>
      <c r="C280" s="68" t="s">
        <v>85</v>
      </c>
      <c r="D280" s="68" t="s">
        <v>75</v>
      </c>
      <c r="E280" t="str">
        <f t="shared" si="6"/>
        <v>Delregion Göteborg</v>
      </c>
    </row>
    <row r="281" spans="1:5" ht="14.45" customHeight="1">
      <c r="A281" s="67">
        <v>42657</v>
      </c>
      <c r="B281" s="68" t="s">
        <v>92</v>
      </c>
      <c r="C281" s="68" t="s">
        <v>85</v>
      </c>
      <c r="D281" s="68" t="s">
        <v>75</v>
      </c>
      <c r="E281" t="str">
        <f t="shared" si="6"/>
        <v>Delregion Södra Älvsborg</v>
      </c>
    </row>
    <row r="282" spans="1:5" ht="14.45" customHeight="1">
      <c r="A282" s="67">
        <v>42663</v>
      </c>
      <c r="B282" s="68" t="s">
        <v>95</v>
      </c>
      <c r="C282" s="68" t="s">
        <v>85</v>
      </c>
      <c r="D282" s="68" t="s">
        <v>75</v>
      </c>
      <c r="E282" t="str">
        <f t="shared" si="6"/>
        <v>Delregion Södra Älvsborg</v>
      </c>
    </row>
    <row r="283" spans="1:5" ht="14.45" customHeight="1">
      <c r="A283" s="67">
        <v>42664</v>
      </c>
      <c r="B283" s="68" t="s">
        <v>86</v>
      </c>
      <c r="C283" s="68" t="s">
        <v>85</v>
      </c>
      <c r="D283" s="68" t="s">
        <v>75</v>
      </c>
      <c r="E283" t="str">
        <f t="shared" si="6"/>
        <v>Delregion Fyrbodal</v>
      </c>
    </row>
    <row r="284" spans="1:5" ht="14.45" customHeight="1">
      <c r="A284" s="67">
        <v>42664</v>
      </c>
      <c r="B284" s="68" t="s">
        <v>107</v>
      </c>
      <c r="C284" s="68" t="s">
        <v>85</v>
      </c>
      <c r="D284" s="68" t="s">
        <v>75</v>
      </c>
      <c r="E284" t="str">
        <f t="shared" si="6"/>
        <v>Delregion Skaraborg</v>
      </c>
    </row>
    <row r="285" spans="1:5" ht="14.45" customHeight="1">
      <c r="A285" s="67">
        <v>42667</v>
      </c>
      <c r="B285" s="68" t="s">
        <v>95</v>
      </c>
      <c r="C285" s="68" t="s">
        <v>85</v>
      </c>
      <c r="D285" s="68" t="s">
        <v>75</v>
      </c>
      <c r="E285" t="str">
        <f t="shared" si="6"/>
        <v>Delregion Södra Älvsborg</v>
      </c>
    </row>
    <row r="286" spans="1:5" ht="14.45" customHeight="1">
      <c r="A286" s="67">
        <v>42675</v>
      </c>
      <c r="B286" s="68" t="s">
        <v>117</v>
      </c>
      <c r="C286" s="68" t="s">
        <v>85</v>
      </c>
      <c r="D286" s="68" t="s">
        <v>75</v>
      </c>
      <c r="E286" t="str">
        <f t="shared" si="6"/>
        <v>Delregion Skaraborg</v>
      </c>
    </row>
    <row r="287" spans="1:5" ht="14.45" customHeight="1">
      <c r="A287" s="67">
        <v>42677</v>
      </c>
      <c r="B287" s="68" t="s">
        <v>87</v>
      </c>
      <c r="C287" s="68" t="s">
        <v>85</v>
      </c>
      <c r="D287" s="68" t="s">
        <v>75</v>
      </c>
      <c r="E287" t="str">
        <f t="shared" si="6"/>
        <v>Delregion Skaraborg</v>
      </c>
    </row>
    <row r="288" spans="1:5" ht="14.45" customHeight="1">
      <c r="A288" s="67">
        <v>42677</v>
      </c>
      <c r="B288" s="68" t="s">
        <v>86</v>
      </c>
      <c r="C288" s="68" t="s">
        <v>85</v>
      </c>
      <c r="D288" s="68" t="s">
        <v>75</v>
      </c>
      <c r="E288" t="str">
        <f t="shared" si="6"/>
        <v>Delregion Fyrbodal</v>
      </c>
    </row>
    <row r="289" spans="1:5" ht="14.45" customHeight="1">
      <c r="A289" s="67">
        <v>42677</v>
      </c>
      <c r="B289" s="68" t="s">
        <v>94</v>
      </c>
      <c r="C289" s="68" t="s">
        <v>85</v>
      </c>
      <c r="D289" s="68" t="s">
        <v>75</v>
      </c>
      <c r="E289" t="str">
        <f t="shared" si="6"/>
        <v>Delregion Fyrbodal</v>
      </c>
    </row>
    <row r="290" spans="1:5" ht="14.45" customHeight="1">
      <c r="A290" s="67">
        <v>42681</v>
      </c>
      <c r="B290" s="68" t="s">
        <v>122</v>
      </c>
      <c r="C290" s="68" t="s">
        <v>85</v>
      </c>
      <c r="D290" s="68" t="s">
        <v>75</v>
      </c>
      <c r="E290" t="str">
        <f t="shared" si="6"/>
        <v>Delregion Fyrbodal</v>
      </c>
    </row>
    <row r="291" spans="1:5" ht="14.45" customHeight="1">
      <c r="A291" s="67">
        <v>42685</v>
      </c>
      <c r="B291" s="68" t="s">
        <v>94</v>
      </c>
      <c r="C291" s="68" t="s">
        <v>85</v>
      </c>
      <c r="D291" s="68" t="s">
        <v>75</v>
      </c>
      <c r="E291" t="str">
        <f t="shared" si="6"/>
        <v>Delregion Fyrbodal</v>
      </c>
    </row>
    <row r="292" spans="1:5" ht="14.45" customHeight="1">
      <c r="A292" s="67">
        <v>42685</v>
      </c>
      <c r="B292" s="68" t="s">
        <v>73</v>
      </c>
      <c r="C292" s="68" t="s">
        <v>85</v>
      </c>
      <c r="D292" s="68" t="s">
        <v>75</v>
      </c>
      <c r="E292" t="str">
        <f t="shared" si="6"/>
        <v>Delregion Göteborg</v>
      </c>
    </row>
    <row r="293" spans="1:5" ht="14.45" customHeight="1">
      <c r="A293" s="67">
        <v>42690</v>
      </c>
      <c r="B293" s="68" t="s">
        <v>95</v>
      </c>
      <c r="C293" s="68" t="s">
        <v>85</v>
      </c>
      <c r="D293" s="68" t="s">
        <v>75</v>
      </c>
      <c r="E293" t="str">
        <f t="shared" si="6"/>
        <v>Delregion Södra Älvsborg</v>
      </c>
    </row>
    <row r="294" spans="1:5" ht="14.45" customHeight="1">
      <c r="A294" s="67">
        <v>42695</v>
      </c>
      <c r="B294" s="68" t="s">
        <v>77</v>
      </c>
      <c r="C294" s="68" t="s">
        <v>85</v>
      </c>
      <c r="D294" s="68" t="s">
        <v>75</v>
      </c>
      <c r="E294" t="str">
        <f t="shared" si="6"/>
        <v>Delregion SIMBA</v>
      </c>
    </row>
    <row r="295" spans="1:5" ht="14.45" customHeight="1">
      <c r="A295" s="67">
        <v>42695</v>
      </c>
      <c r="B295" s="68" t="s">
        <v>86</v>
      </c>
      <c r="C295" s="68" t="s">
        <v>85</v>
      </c>
      <c r="D295" s="68" t="s">
        <v>75</v>
      </c>
      <c r="E295" t="str">
        <f t="shared" si="6"/>
        <v>Delregion Fyrbodal</v>
      </c>
    </row>
    <row r="296" spans="1:5" ht="14.45" customHeight="1">
      <c r="A296" s="67">
        <v>42696</v>
      </c>
      <c r="B296" s="68" t="s">
        <v>80</v>
      </c>
      <c r="C296" s="68" t="s">
        <v>85</v>
      </c>
      <c r="D296" s="68" t="s">
        <v>75</v>
      </c>
      <c r="E296" t="str">
        <f t="shared" si="6"/>
        <v>Delregion Södra Älvsborg</v>
      </c>
    </row>
    <row r="297" spans="1:5" ht="14.45" customHeight="1">
      <c r="A297" s="67">
        <v>42698</v>
      </c>
      <c r="B297" s="68" t="s">
        <v>106</v>
      </c>
      <c r="C297" s="68" t="s">
        <v>85</v>
      </c>
      <c r="D297" s="68" t="s">
        <v>75</v>
      </c>
      <c r="E297" t="str">
        <f t="shared" si="6"/>
        <v>Delregion Fyrbodal</v>
      </c>
    </row>
    <row r="298" spans="1:5" ht="14.45" customHeight="1">
      <c r="A298" s="67">
        <v>42702</v>
      </c>
      <c r="B298" s="68" t="s">
        <v>104</v>
      </c>
      <c r="C298" s="68" t="s">
        <v>85</v>
      </c>
      <c r="D298" s="68" t="s">
        <v>75</v>
      </c>
      <c r="E298" t="str">
        <f t="shared" si="6"/>
        <v>Delregion SIMBA</v>
      </c>
    </row>
    <row r="299" spans="1:5" ht="14.45" customHeight="1">
      <c r="A299" s="67">
        <v>42706</v>
      </c>
      <c r="B299" s="68" t="s">
        <v>99</v>
      </c>
      <c r="C299" s="68" t="s">
        <v>85</v>
      </c>
      <c r="D299" s="68" t="s">
        <v>75</v>
      </c>
      <c r="E299" t="str">
        <f t="shared" si="6"/>
        <v>Delregion Skaraborg</v>
      </c>
    </row>
    <row r="300" spans="1:5" ht="14.45" customHeight="1">
      <c r="A300" s="67">
        <v>42706</v>
      </c>
      <c r="B300" s="68" t="s">
        <v>82</v>
      </c>
      <c r="C300" s="68" t="s">
        <v>85</v>
      </c>
      <c r="D300" s="68" t="s">
        <v>75</v>
      </c>
      <c r="E300" t="str">
        <f t="shared" si="6"/>
        <v>Delregion Fyrbodal</v>
      </c>
    </row>
    <row r="301" spans="1:5" ht="14.45" customHeight="1">
      <c r="A301" s="67">
        <v>42711</v>
      </c>
      <c r="B301" s="68" t="s">
        <v>97</v>
      </c>
      <c r="C301" s="68" t="s">
        <v>85</v>
      </c>
      <c r="D301" s="68" t="s">
        <v>75</v>
      </c>
      <c r="E301" t="str">
        <f t="shared" si="6"/>
        <v>Delregion Fyrbodal</v>
      </c>
    </row>
    <row r="302" spans="1:5" ht="14.45" customHeight="1">
      <c r="A302" s="67">
        <v>42713</v>
      </c>
      <c r="B302" s="68" t="s">
        <v>73</v>
      </c>
      <c r="C302" s="68" t="s">
        <v>85</v>
      </c>
      <c r="D302" s="68" t="s">
        <v>75</v>
      </c>
      <c r="E302" t="str">
        <f t="shared" si="6"/>
        <v>Delregion Göteborg</v>
      </c>
    </row>
    <row r="303" spans="1:5" ht="14.45" customHeight="1">
      <c r="A303" s="67">
        <v>42718</v>
      </c>
      <c r="B303" s="68" t="s">
        <v>73</v>
      </c>
      <c r="C303" s="68" t="s">
        <v>85</v>
      </c>
      <c r="D303" s="68" t="s">
        <v>75</v>
      </c>
      <c r="E303" t="str">
        <f t="shared" si="6"/>
        <v>Delregion Göteborg</v>
      </c>
    </row>
    <row r="304" spans="1:5" ht="14.45" customHeight="1">
      <c r="A304" s="67">
        <v>42723</v>
      </c>
      <c r="B304" s="68" t="s">
        <v>73</v>
      </c>
      <c r="C304" s="68" t="s">
        <v>85</v>
      </c>
      <c r="D304" s="68" t="s">
        <v>75</v>
      </c>
      <c r="E304" t="str">
        <f t="shared" si="6"/>
        <v>Delregion Göteborg</v>
      </c>
    </row>
    <row r="305" spans="1:5" ht="14.45" customHeight="1">
      <c r="A305" s="67">
        <v>42726</v>
      </c>
      <c r="B305" s="68" t="s">
        <v>76</v>
      </c>
      <c r="C305" s="68" t="s">
        <v>85</v>
      </c>
      <c r="D305" s="68" t="s">
        <v>75</v>
      </c>
      <c r="E305" t="str">
        <f t="shared" si="6"/>
        <v>Delregion Skaraborg</v>
      </c>
    </row>
    <row r="306" spans="1:5" ht="14.45" customHeight="1">
      <c r="A306" s="67">
        <v>42726</v>
      </c>
      <c r="B306" s="68" t="s">
        <v>76</v>
      </c>
      <c r="C306" s="68" t="s">
        <v>85</v>
      </c>
      <c r="D306" s="68" t="s">
        <v>75</v>
      </c>
      <c r="E306" t="str">
        <f t="shared" si="6"/>
        <v>Delregion Skaraborg</v>
      </c>
    </row>
    <row r="307" spans="1:5" ht="14.45" customHeight="1">
      <c r="A307" s="67">
        <v>42731</v>
      </c>
      <c r="B307" s="68" t="s">
        <v>73</v>
      </c>
      <c r="C307" s="68" t="s">
        <v>85</v>
      </c>
      <c r="D307" s="68" t="s">
        <v>75</v>
      </c>
      <c r="E307" t="str">
        <f t="shared" si="6"/>
        <v>Delregion Göteborg</v>
      </c>
    </row>
    <row r="308" spans="1:5" ht="14.45" customHeight="1">
      <c r="A308" s="67">
        <v>42731</v>
      </c>
      <c r="B308" s="68" t="s">
        <v>73</v>
      </c>
      <c r="C308" s="68" t="s">
        <v>85</v>
      </c>
      <c r="D308" s="68" t="s">
        <v>75</v>
      </c>
      <c r="E308" t="str">
        <f t="shared" si="6"/>
        <v>Delregion Göteborg</v>
      </c>
    </row>
    <row r="309" spans="1:5" ht="14.45" customHeight="1">
      <c r="A309" s="67">
        <v>42733</v>
      </c>
      <c r="B309" s="68" t="s">
        <v>95</v>
      </c>
      <c r="C309" s="68" t="s">
        <v>85</v>
      </c>
      <c r="D309" s="68" t="s">
        <v>75</v>
      </c>
      <c r="E309" t="str">
        <f t="shared" si="6"/>
        <v>Delregion Södra Älvsborg</v>
      </c>
    </row>
    <row r="310" spans="1:5" ht="14.45" customHeight="1">
      <c r="A310" s="64">
        <v>41681</v>
      </c>
      <c r="B310" s="65" t="s">
        <v>73</v>
      </c>
      <c r="C310" s="65" t="s">
        <v>83</v>
      </c>
      <c r="D310" s="65" t="s">
        <v>75</v>
      </c>
      <c r="E310" t="str">
        <f t="shared" si="6"/>
        <v>Delregion Göteborg</v>
      </c>
    </row>
    <row r="311" spans="1:5" ht="14.45" customHeight="1">
      <c r="A311" s="64">
        <v>41691</v>
      </c>
      <c r="B311" s="65" t="s">
        <v>73</v>
      </c>
      <c r="C311" s="65" t="s">
        <v>83</v>
      </c>
      <c r="D311" s="65" t="s">
        <v>75</v>
      </c>
      <c r="E311" t="str">
        <f t="shared" si="6"/>
        <v>Delregion Göteborg</v>
      </c>
    </row>
    <row r="312" spans="1:5" ht="14.45" customHeight="1">
      <c r="A312" s="64">
        <v>41710</v>
      </c>
      <c r="B312" s="65" t="s">
        <v>78</v>
      </c>
      <c r="C312" s="65" t="s">
        <v>83</v>
      </c>
      <c r="D312" s="65" t="s">
        <v>75</v>
      </c>
      <c r="E312" t="str">
        <f t="shared" si="6"/>
        <v>Delregion SIMBA</v>
      </c>
    </row>
    <row r="313" spans="1:5" ht="14.45" customHeight="1">
      <c r="A313" s="64">
        <v>41711</v>
      </c>
      <c r="B313" s="65" t="s">
        <v>103</v>
      </c>
      <c r="C313" s="65" t="s">
        <v>83</v>
      </c>
      <c r="D313" s="65" t="s">
        <v>75</v>
      </c>
      <c r="E313" t="str">
        <f t="shared" si="6"/>
        <v>Delregion Göteborg</v>
      </c>
    </row>
    <row r="314" spans="1:5" ht="14.45" customHeight="1">
      <c r="A314" s="64">
        <v>41725</v>
      </c>
      <c r="B314" s="65" t="s">
        <v>81</v>
      </c>
      <c r="C314" s="65" t="s">
        <v>83</v>
      </c>
      <c r="D314" s="65" t="s">
        <v>75</v>
      </c>
      <c r="E314" t="str">
        <f t="shared" si="6"/>
        <v>Delregion Fyrbodal</v>
      </c>
    </row>
    <row r="315" spans="1:5" ht="14.45" customHeight="1">
      <c r="A315" s="64">
        <v>41765</v>
      </c>
      <c r="B315" s="65" t="s">
        <v>110</v>
      </c>
      <c r="C315" s="65" t="s">
        <v>83</v>
      </c>
      <c r="D315" s="65" t="s">
        <v>75</v>
      </c>
      <c r="E315" t="str">
        <f t="shared" si="6"/>
        <v>Delregion Fyrbodal</v>
      </c>
    </row>
    <row r="316" spans="1:5" ht="14.45" customHeight="1">
      <c r="A316" s="64">
        <v>41794</v>
      </c>
      <c r="B316" s="65" t="s">
        <v>84</v>
      </c>
      <c r="C316" s="65" t="s">
        <v>83</v>
      </c>
      <c r="D316" s="65" t="s">
        <v>75</v>
      </c>
      <c r="E316" t="str">
        <f t="shared" si="6"/>
        <v>Delregion Skaraborg</v>
      </c>
    </row>
    <row r="317" spans="1:5" ht="14.45" customHeight="1">
      <c r="A317" s="64">
        <v>41801</v>
      </c>
      <c r="B317" s="65" t="s">
        <v>73</v>
      </c>
      <c r="C317" s="65" t="s">
        <v>83</v>
      </c>
      <c r="D317" s="65" t="s">
        <v>75</v>
      </c>
      <c r="E317" t="str">
        <f t="shared" si="6"/>
        <v>Delregion Göteborg</v>
      </c>
    </row>
    <row r="318" spans="1:5" ht="14.45" customHeight="1">
      <c r="A318" s="64">
        <v>41815</v>
      </c>
      <c r="B318" s="65" t="s">
        <v>73</v>
      </c>
      <c r="C318" s="65" t="s">
        <v>83</v>
      </c>
      <c r="D318" s="65" t="s">
        <v>75</v>
      </c>
      <c r="E318" t="str">
        <f t="shared" si="6"/>
        <v>Delregion Göteborg</v>
      </c>
    </row>
    <row r="319" spans="1:5" ht="14.45" customHeight="1">
      <c r="A319" s="64">
        <v>41880</v>
      </c>
      <c r="B319" s="65" t="s">
        <v>115</v>
      </c>
      <c r="C319" s="65" t="s">
        <v>83</v>
      </c>
      <c r="D319" s="65" t="s">
        <v>75</v>
      </c>
      <c r="E319" t="str">
        <f t="shared" si="6"/>
        <v>Delregion Göteborg</v>
      </c>
    </row>
    <row r="320" spans="1:5" ht="14.45" customHeight="1">
      <c r="A320" s="64">
        <v>41887</v>
      </c>
      <c r="B320" s="65" t="s">
        <v>73</v>
      </c>
      <c r="C320" s="65" t="s">
        <v>83</v>
      </c>
      <c r="D320" s="65" t="s">
        <v>75</v>
      </c>
      <c r="E320" t="str">
        <f t="shared" si="6"/>
        <v>Delregion Göteborg</v>
      </c>
    </row>
    <row r="321" spans="1:5" ht="14.45" customHeight="1">
      <c r="A321" s="64">
        <v>41899</v>
      </c>
      <c r="B321" s="65" t="s">
        <v>94</v>
      </c>
      <c r="C321" s="65" t="s">
        <v>83</v>
      </c>
      <c r="D321" s="65" t="s">
        <v>75</v>
      </c>
      <c r="E321" t="str">
        <f t="shared" si="6"/>
        <v>Delregion Fyrbodal</v>
      </c>
    </row>
    <row r="322" spans="1:5" ht="14.45" customHeight="1">
      <c r="A322" s="64">
        <v>41906</v>
      </c>
      <c r="B322" s="65" t="s">
        <v>73</v>
      </c>
      <c r="C322" s="65" t="s">
        <v>83</v>
      </c>
      <c r="D322" s="65" t="s">
        <v>75</v>
      </c>
      <c r="E322" t="str">
        <f t="shared" si="6"/>
        <v>Delregion Göteborg</v>
      </c>
    </row>
    <row r="323" spans="1:5" ht="14.45" customHeight="1">
      <c r="A323" s="64">
        <v>41907</v>
      </c>
      <c r="B323" s="65" t="s">
        <v>101</v>
      </c>
      <c r="C323" s="65" t="s">
        <v>83</v>
      </c>
      <c r="D323" s="65" t="s">
        <v>75</v>
      </c>
      <c r="E323" t="str">
        <f t="shared" si="6"/>
        <v>Delregion SIMBA</v>
      </c>
    </row>
    <row r="324" spans="1:5" ht="14.45" customHeight="1">
      <c r="A324" s="64">
        <v>41919</v>
      </c>
      <c r="B324" s="65" t="s">
        <v>73</v>
      </c>
      <c r="C324" s="65" t="s">
        <v>83</v>
      </c>
      <c r="D324" s="65" t="s">
        <v>75</v>
      </c>
      <c r="E324" t="str">
        <f t="shared" si="6"/>
        <v>Delregion Göteborg</v>
      </c>
    </row>
    <row r="325" spans="1:5" ht="14.45" customHeight="1">
      <c r="A325" s="64">
        <v>41936</v>
      </c>
      <c r="B325" s="65" t="s">
        <v>73</v>
      </c>
      <c r="C325" s="65" t="s">
        <v>83</v>
      </c>
      <c r="D325" s="65" t="s">
        <v>75</v>
      </c>
      <c r="E325" t="str">
        <f t="shared" si="6"/>
        <v>Delregion Göteborg</v>
      </c>
    </row>
    <row r="326" spans="1:5" ht="14.45" customHeight="1">
      <c r="A326" s="64">
        <v>41939</v>
      </c>
      <c r="B326" s="65" t="s">
        <v>73</v>
      </c>
      <c r="C326" s="65" t="s">
        <v>83</v>
      </c>
      <c r="D326" s="65" t="s">
        <v>75</v>
      </c>
      <c r="E326" t="str">
        <f t="shared" si="6"/>
        <v>Delregion Göteborg</v>
      </c>
    </row>
    <row r="327" spans="1:5" ht="14.45" customHeight="1">
      <c r="A327" s="64">
        <v>41946</v>
      </c>
      <c r="B327" s="65" t="s">
        <v>92</v>
      </c>
      <c r="C327" s="65" t="s">
        <v>83</v>
      </c>
      <c r="D327" s="65" t="s">
        <v>75</v>
      </c>
      <c r="E327" t="str">
        <f t="shared" si="6"/>
        <v>Delregion Södra Älvsborg</v>
      </c>
    </row>
    <row r="328" spans="1:5" ht="14.45" customHeight="1">
      <c r="A328" s="64">
        <v>41953</v>
      </c>
      <c r="B328" s="65" t="s">
        <v>95</v>
      </c>
      <c r="C328" s="65" t="s">
        <v>83</v>
      </c>
      <c r="D328" s="65" t="s">
        <v>75</v>
      </c>
      <c r="E328" t="str">
        <f t="shared" si="6"/>
        <v>Delregion Södra Älvsborg</v>
      </c>
    </row>
    <row r="329" spans="1:5" ht="14.45" customHeight="1">
      <c r="A329" s="64">
        <v>41971</v>
      </c>
      <c r="B329" s="65" t="s">
        <v>73</v>
      </c>
      <c r="C329" s="65" t="s">
        <v>83</v>
      </c>
      <c r="D329" s="65" t="s">
        <v>75</v>
      </c>
      <c r="E329" t="str">
        <f t="shared" si="6"/>
        <v>Delregion Göteborg</v>
      </c>
    </row>
    <row r="330" spans="1:5" ht="14.45" customHeight="1">
      <c r="A330" s="64">
        <v>41983</v>
      </c>
      <c r="B330" s="65" t="s">
        <v>98</v>
      </c>
      <c r="C330" s="65" t="s">
        <v>83</v>
      </c>
      <c r="D330" s="65" t="s">
        <v>75</v>
      </c>
      <c r="E330" t="str">
        <f t="shared" si="6"/>
        <v>Delregion Göteborg</v>
      </c>
    </row>
    <row r="331" spans="1:5" ht="14.45" customHeight="1">
      <c r="A331" s="64">
        <v>42025</v>
      </c>
      <c r="B331" s="65" t="s">
        <v>81</v>
      </c>
      <c r="C331" s="65" t="s">
        <v>83</v>
      </c>
      <c r="D331" s="65" t="s">
        <v>75</v>
      </c>
      <c r="E331" t="str">
        <f t="shared" si="6"/>
        <v>Delregion Fyrbodal</v>
      </c>
    </row>
    <row r="332" spans="1:5" ht="14.45" customHeight="1">
      <c r="A332" s="64">
        <v>42026</v>
      </c>
      <c r="B332" s="65" t="s">
        <v>73</v>
      </c>
      <c r="C332" s="65" t="s">
        <v>83</v>
      </c>
      <c r="D332" s="65" t="s">
        <v>75</v>
      </c>
      <c r="E332" t="str">
        <f t="shared" si="6"/>
        <v>Delregion Göteborg</v>
      </c>
    </row>
    <row r="333" spans="1:5" ht="14.45" customHeight="1">
      <c r="A333" s="64">
        <v>42048</v>
      </c>
      <c r="B333" s="65" t="s">
        <v>82</v>
      </c>
      <c r="C333" s="65" t="s">
        <v>83</v>
      </c>
      <c r="D333" s="65" t="s">
        <v>75</v>
      </c>
      <c r="E333" t="str">
        <f t="shared" ref="E333:E396" si="7">VLOOKUP(B333,$Q$13:$R$61,2,FALSE)</f>
        <v>Delregion Fyrbodal</v>
      </c>
    </row>
    <row r="334" spans="1:5" ht="14.45" customHeight="1">
      <c r="A334" s="64">
        <v>42051</v>
      </c>
      <c r="B334" s="65" t="s">
        <v>73</v>
      </c>
      <c r="C334" s="65" t="s">
        <v>83</v>
      </c>
      <c r="D334" s="65" t="s">
        <v>75</v>
      </c>
      <c r="E334" t="str">
        <f t="shared" si="7"/>
        <v>Delregion Göteborg</v>
      </c>
    </row>
    <row r="335" spans="1:5" ht="14.45" customHeight="1">
      <c r="A335" s="64">
        <v>42073</v>
      </c>
      <c r="B335" s="65" t="s">
        <v>104</v>
      </c>
      <c r="C335" s="65" t="s">
        <v>83</v>
      </c>
      <c r="D335" s="65" t="s">
        <v>75</v>
      </c>
      <c r="E335" t="str">
        <f t="shared" si="7"/>
        <v>Delregion SIMBA</v>
      </c>
    </row>
    <row r="336" spans="1:5" ht="14.45" customHeight="1">
      <c r="A336" s="64">
        <v>42090</v>
      </c>
      <c r="B336" s="65" t="s">
        <v>73</v>
      </c>
      <c r="C336" s="65" t="s">
        <v>83</v>
      </c>
      <c r="D336" s="65" t="s">
        <v>75</v>
      </c>
      <c r="E336" t="str">
        <f t="shared" si="7"/>
        <v>Delregion Göteborg</v>
      </c>
    </row>
    <row r="337" spans="1:5" ht="14.45" customHeight="1">
      <c r="A337" s="64">
        <v>42145</v>
      </c>
      <c r="B337" s="65" t="s">
        <v>73</v>
      </c>
      <c r="C337" s="65" t="s">
        <v>83</v>
      </c>
      <c r="D337" s="65" t="s">
        <v>75</v>
      </c>
      <c r="E337" t="str">
        <f t="shared" si="7"/>
        <v>Delregion Göteborg</v>
      </c>
    </row>
    <row r="338" spans="1:5" ht="14.45" customHeight="1">
      <c r="A338" s="64">
        <v>42149</v>
      </c>
      <c r="B338" s="65" t="s">
        <v>89</v>
      </c>
      <c r="C338" s="65" t="s">
        <v>83</v>
      </c>
      <c r="D338" s="65" t="s">
        <v>75</v>
      </c>
      <c r="E338" t="str">
        <f t="shared" si="7"/>
        <v>Delregion Skaraborg</v>
      </c>
    </row>
    <row r="339" spans="1:5" ht="14.45" customHeight="1">
      <c r="A339" s="64">
        <v>42156</v>
      </c>
      <c r="B339" s="65" t="s">
        <v>73</v>
      </c>
      <c r="C339" s="65" t="s">
        <v>83</v>
      </c>
      <c r="D339" s="65" t="s">
        <v>75</v>
      </c>
      <c r="E339" t="str">
        <f t="shared" si="7"/>
        <v>Delregion Göteborg</v>
      </c>
    </row>
    <row r="340" spans="1:5" ht="14.45" customHeight="1">
      <c r="A340" s="64">
        <v>42156</v>
      </c>
      <c r="B340" s="65" t="s">
        <v>73</v>
      </c>
      <c r="C340" s="65" t="s">
        <v>83</v>
      </c>
      <c r="D340" s="65" t="s">
        <v>75</v>
      </c>
      <c r="E340" t="str">
        <f t="shared" si="7"/>
        <v>Delregion Göteborg</v>
      </c>
    </row>
    <row r="341" spans="1:5" ht="14.45" customHeight="1">
      <c r="A341" s="64">
        <v>42235</v>
      </c>
      <c r="B341" s="65" t="s">
        <v>95</v>
      </c>
      <c r="C341" s="65" t="s">
        <v>83</v>
      </c>
      <c r="D341" s="65" t="s">
        <v>75</v>
      </c>
      <c r="E341" t="str">
        <f t="shared" si="7"/>
        <v>Delregion Södra Älvsborg</v>
      </c>
    </row>
    <row r="342" spans="1:5" ht="14.45" customHeight="1">
      <c r="A342" s="64">
        <v>42256</v>
      </c>
      <c r="B342" s="65" t="s">
        <v>117</v>
      </c>
      <c r="C342" s="65" t="s">
        <v>83</v>
      </c>
      <c r="D342" s="65" t="s">
        <v>75</v>
      </c>
      <c r="E342" t="str">
        <f t="shared" si="7"/>
        <v>Delregion Skaraborg</v>
      </c>
    </row>
    <row r="343" spans="1:5" ht="14.45" customHeight="1">
      <c r="A343" s="64">
        <v>42275</v>
      </c>
      <c r="B343" s="65" t="s">
        <v>102</v>
      </c>
      <c r="C343" s="65" t="s">
        <v>83</v>
      </c>
      <c r="D343" s="65" t="s">
        <v>75</v>
      </c>
      <c r="E343" t="str">
        <f t="shared" si="7"/>
        <v>Delregion Södra Älvsborg</v>
      </c>
    </row>
    <row r="344" spans="1:5" ht="14.45" customHeight="1">
      <c r="A344" s="64">
        <v>42275</v>
      </c>
      <c r="B344" s="65" t="s">
        <v>102</v>
      </c>
      <c r="C344" s="65" t="s">
        <v>83</v>
      </c>
      <c r="D344" s="65" t="s">
        <v>75</v>
      </c>
      <c r="E344" t="str">
        <f t="shared" si="7"/>
        <v>Delregion Södra Älvsborg</v>
      </c>
    </row>
    <row r="345" spans="1:5" ht="14.45" customHeight="1">
      <c r="A345" s="64">
        <v>42277</v>
      </c>
      <c r="B345" s="65" t="s">
        <v>99</v>
      </c>
      <c r="C345" s="65" t="s">
        <v>83</v>
      </c>
      <c r="D345" s="65" t="s">
        <v>75</v>
      </c>
      <c r="E345" t="str">
        <f t="shared" si="7"/>
        <v>Delregion Skaraborg</v>
      </c>
    </row>
    <row r="346" spans="1:5" ht="14.45" customHeight="1">
      <c r="A346" s="64">
        <v>42278</v>
      </c>
      <c r="B346" s="65" t="s">
        <v>92</v>
      </c>
      <c r="C346" s="65" t="s">
        <v>83</v>
      </c>
      <c r="D346" s="65" t="s">
        <v>75</v>
      </c>
      <c r="E346" t="str">
        <f t="shared" si="7"/>
        <v>Delregion Södra Älvsborg</v>
      </c>
    </row>
    <row r="347" spans="1:5" ht="14.45" customHeight="1">
      <c r="A347" s="64">
        <v>42279</v>
      </c>
      <c r="B347" s="65" t="s">
        <v>80</v>
      </c>
      <c r="C347" s="65" t="s">
        <v>83</v>
      </c>
      <c r="D347" s="65" t="s">
        <v>75</v>
      </c>
      <c r="E347" t="str">
        <f t="shared" si="7"/>
        <v>Delregion Södra Älvsborg</v>
      </c>
    </row>
    <row r="348" spans="1:5" ht="14.45" customHeight="1">
      <c r="A348" s="64">
        <v>42282</v>
      </c>
      <c r="B348" s="65" t="s">
        <v>80</v>
      </c>
      <c r="C348" s="65" t="s">
        <v>83</v>
      </c>
      <c r="D348" s="65" t="s">
        <v>75</v>
      </c>
      <c r="E348" t="str">
        <f t="shared" si="7"/>
        <v>Delregion Södra Älvsborg</v>
      </c>
    </row>
    <row r="349" spans="1:5" ht="14.45" customHeight="1">
      <c r="A349" s="64">
        <v>42291</v>
      </c>
      <c r="B349" s="65" t="s">
        <v>73</v>
      </c>
      <c r="C349" s="65" t="s">
        <v>83</v>
      </c>
      <c r="D349" s="65" t="s">
        <v>75</v>
      </c>
      <c r="E349" t="str">
        <f t="shared" si="7"/>
        <v>Delregion Göteborg</v>
      </c>
    </row>
    <row r="350" spans="1:5" ht="14.45" customHeight="1">
      <c r="A350" s="64">
        <v>42299</v>
      </c>
      <c r="B350" s="65" t="s">
        <v>73</v>
      </c>
      <c r="C350" s="65" t="s">
        <v>83</v>
      </c>
      <c r="D350" s="65" t="s">
        <v>75</v>
      </c>
      <c r="E350" t="str">
        <f t="shared" si="7"/>
        <v>Delregion Göteborg</v>
      </c>
    </row>
    <row r="351" spans="1:5" ht="14.45" customHeight="1">
      <c r="A351" s="64">
        <v>42317</v>
      </c>
      <c r="B351" s="65" t="s">
        <v>114</v>
      </c>
      <c r="C351" s="65" t="s">
        <v>83</v>
      </c>
      <c r="D351" s="65" t="s">
        <v>75</v>
      </c>
      <c r="E351" t="str">
        <f t="shared" si="7"/>
        <v>Delregion Fyrbodal</v>
      </c>
    </row>
    <row r="352" spans="1:5" ht="14.45" customHeight="1">
      <c r="A352" s="64">
        <v>42359</v>
      </c>
      <c r="B352" s="65" t="s">
        <v>99</v>
      </c>
      <c r="C352" s="65" t="s">
        <v>83</v>
      </c>
      <c r="D352" s="65" t="s">
        <v>75</v>
      </c>
      <c r="E352" t="str">
        <f t="shared" si="7"/>
        <v>Delregion Skaraborg</v>
      </c>
    </row>
    <row r="353" spans="1:5" ht="14.45" customHeight="1">
      <c r="A353" s="67">
        <v>42395</v>
      </c>
      <c r="B353" s="68" t="s">
        <v>73</v>
      </c>
      <c r="C353" s="68" t="s">
        <v>83</v>
      </c>
      <c r="D353" s="68" t="s">
        <v>75</v>
      </c>
      <c r="E353" t="str">
        <f t="shared" si="7"/>
        <v>Delregion Göteborg</v>
      </c>
    </row>
    <row r="354" spans="1:5" ht="14.45" customHeight="1">
      <c r="A354" s="67">
        <v>42397</v>
      </c>
      <c r="B354" s="68" t="s">
        <v>107</v>
      </c>
      <c r="C354" s="68" t="s">
        <v>83</v>
      </c>
      <c r="D354" s="68" t="s">
        <v>75</v>
      </c>
      <c r="E354" t="str">
        <f t="shared" si="7"/>
        <v>Delregion Skaraborg</v>
      </c>
    </row>
    <row r="355" spans="1:5" ht="14.45" customHeight="1">
      <c r="A355" s="67">
        <v>42410</v>
      </c>
      <c r="B355" s="68" t="s">
        <v>73</v>
      </c>
      <c r="C355" s="68" t="s">
        <v>83</v>
      </c>
      <c r="D355" s="68" t="s">
        <v>75</v>
      </c>
      <c r="E355" t="str">
        <f t="shared" si="7"/>
        <v>Delregion Göteborg</v>
      </c>
    </row>
    <row r="356" spans="1:5" ht="14.45" customHeight="1">
      <c r="A356" s="67">
        <v>42443</v>
      </c>
      <c r="B356" s="68" t="s">
        <v>122</v>
      </c>
      <c r="C356" s="68" t="s">
        <v>83</v>
      </c>
      <c r="D356" s="68" t="s">
        <v>75</v>
      </c>
      <c r="E356" t="str">
        <f t="shared" si="7"/>
        <v>Delregion Fyrbodal</v>
      </c>
    </row>
    <row r="357" spans="1:5" ht="14.45" customHeight="1">
      <c r="A357" s="67">
        <v>42443</v>
      </c>
      <c r="B357" s="68" t="s">
        <v>73</v>
      </c>
      <c r="C357" s="68" t="s">
        <v>83</v>
      </c>
      <c r="D357" s="68" t="s">
        <v>75</v>
      </c>
      <c r="E357" t="str">
        <f t="shared" si="7"/>
        <v>Delregion Göteborg</v>
      </c>
    </row>
    <row r="358" spans="1:5" ht="14.45" customHeight="1">
      <c r="A358" s="67">
        <v>42444</v>
      </c>
      <c r="B358" s="68" t="s">
        <v>120</v>
      </c>
      <c r="C358" s="68" t="s">
        <v>83</v>
      </c>
      <c r="D358" s="68" t="s">
        <v>75</v>
      </c>
      <c r="E358" t="str">
        <f t="shared" si="7"/>
        <v>Delregion Södra Älvsborg</v>
      </c>
    </row>
    <row r="359" spans="1:5" ht="14.45" customHeight="1">
      <c r="A359" s="67">
        <v>42447</v>
      </c>
      <c r="B359" s="68" t="s">
        <v>108</v>
      </c>
      <c r="C359" s="68" t="s">
        <v>83</v>
      </c>
      <c r="D359" s="68" t="s">
        <v>75</v>
      </c>
      <c r="E359" t="str">
        <f t="shared" si="7"/>
        <v>Delregion Fyrbodal</v>
      </c>
    </row>
    <row r="360" spans="1:5" ht="14.45" customHeight="1">
      <c r="A360" s="67">
        <v>42464</v>
      </c>
      <c r="B360" s="68" t="s">
        <v>73</v>
      </c>
      <c r="C360" s="68" t="s">
        <v>83</v>
      </c>
      <c r="D360" s="68" t="s">
        <v>75</v>
      </c>
      <c r="E360" t="str">
        <f t="shared" si="7"/>
        <v>Delregion Göteborg</v>
      </c>
    </row>
    <row r="361" spans="1:5" ht="14.45" customHeight="1">
      <c r="A361" s="67">
        <v>42475</v>
      </c>
      <c r="B361" s="68" t="s">
        <v>73</v>
      </c>
      <c r="C361" s="68" t="s">
        <v>83</v>
      </c>
      <c r="D361" s="68" t="s">
        <v>75</v>
      </c>
      <c r="E361" t="str">
        <f t="shared" si="7"/>
        <v>Delregion Göteborg</v>
      </c>
    </row>
    <row r="362" spans="1:5" ht="14.45" customHeight="1">
      <c r="A362" s="67">
        <v>42485</v>
      </c>
      <c r="B362" s="68" t="s">
        <v>99</v>
      </c>
      <c r="C362" s="68" t="s">
        <v>83</v>
      </c>
      <c r="D362" s="68" t="s">
        <v>75</v>
      </c>
      <c r="E362" t="str">
        <f t="shared" si="7"/>
        <v>Delregion Skaraborg</v>
      </c>
    </row>
    <row r="363" spans="1:5" ht="14.45" customHeight="1">
      <c r="A363" s="67">
        <v>42529</v>
      </c>
      <c r="B363" s="68" t="s">
        <v>103</v>
      </c>
      <c r="C363" s="68" t="s">
        <v>83</v>
      </c>
      <c r="D363" s="68" t="s">
        <v>75</v>
      </c>
      <c r="E363" t="str">
        <f t="shared" si="7"/>
        <v>Delregion Göteborg</v>
      </c>
    </row>
    <row r="364" spans="1:5" ht="14.45" customHeight="1">
      <c r="A364" s="67">
        <v>42530</v>
      </c>
      <c r="B364" s="68" t="s">
        <v>115</v>
      </c>
      <c r="C364" s="68" t="s">
        <v>83</v>
      </c>
      <c r="D364" s="68" t="s">
        <v>75</v>
      </c>
      <c r="E364" t="str">
        <f t="shared" si="7"/>
        <v>Delregion Göteborg</v>
      </c>
    </row>
    <row r="365" spans="1:5" ht="14.45" customHeight="1">
      <c r="A365" s="67">
        <v>42534</v>
      </c>
      <c r="B365" s="68" t="s">
        <v>73</v>
      </c>
      <c r="C365" s="68" t="s">
        <v>83</v>
      </c>
      <c r="D365" s="68" t="s">
        <v>75</v>
      </c>
      <c r="E365" t="str">
        <f t="shared" si="7"/>
        <v>Delregion Göteborg</v>
      </c>
    </row>
    <row r="366" spans="1:5" ht="14.45" customHeight="1">
      <c r="A366" s="67">
        <v>42542</v>
      </c>
      <c r="B366" s="68" t="s">
        <v>78</v>
      </c>
      <c r="C366" s="68" t="s">
        <v>83</v>
      </c>
      <c r="D366" s="68" t="s">
        <v>75</v>
      </c>
      <c r="E366" t="str">
        <f t="shared" si="7"/>
        <v>Delregion SIMBA</v>
      </c>
    </row>
    <row r="367" spans="1:5" ht="14.45" customHeight="1">
      <c r="A367" s="67">
        <v>42552</v>
      </c>
      <c r="B367" s="68" t="s">
        <v>115</v>
      </c>
      <c r="C367" s="68" t="s">
        <v>83</v>
      </c>
      <c r="D367" s="68" t="s">
        <v>75</v>
      </c>
      <c r="E367" t="str">
        <f t="shared" si="7"/>
        <v>Delregion Göteborg</v>
      </c>
    </row>
    <row r="368" spans="1:5" ht="14.45" customHeight="1">
      <c r="A368" s="67">
        <v>42576</v>
      </c>
      <c r="B368" s="68" t="s">
        <v>82</v>
      </c>
      <c r="C368" s="68" t="s">
        <v>83</v>
      </c>
      <c r="D368" s="68" t="s">
        <v>75</v>
      </c>
      <c r="E368" t="str">
        <f t="shared" si="7"/>
        <v>Delregion Fyrbodal</v>
      </c>
    </row>
    <row r="369" spans="1:5" ht="14.45" customHeight="1">
      <c r="A369" s="67">
        <v>42593</v>
      </c>
      <c r="B369" s="68" t="s">
        <v>123</v>
      </c>
      <c r="C369" s="68" t="s">
        <v>83</v>
      </c>
      <c r="D369" s="68" t="s">
        <v>75</v>
      </c>
      <c r="E369" t="str">
        <f t="shared" si="7"/>
        <v>Delregion Södra Älvsborg</v>
      </c>
    </row>
    <row r="370" spans="1:5" ht="14.45" customHeight="1">
      <c r="A370" s="67">
        <v>42597</v>
      </c>
      <c r="B370" s="68" t="s">
        <v>73</v>
      </c>
      <c r="C370" s="68" t="s">
        <v>83</v>
      </c>
      <c r="D370" s="68" t="s">
        <v>75</v>
      </c>
      <c r="E370" t="str">
        <f t="shared" si="7"/>
        <v>Delregion Göteborg</v>
      </c>
    </row>
    <row r="371" spans="1:5" ht="14.45" customHeight="1">
      <c r="A371" s="67">
        <v>42604</v>
      </c>
      <c r="B371" s="68" t="s">
        <v>120</v>
      </c>
      <c r="C371" s="68" t="s">
        <v>83</v>
      </c>
      <c r="D371" s="68" t="s">
        <v>75</v>
      </c>
      <c r="E371" t="str">
        <f t="shared" si="7"/>
        <v>Delregion Södra Älvsborg</v>
      </c>
    </row>
    <row r="372" spans="1:5" ht="14.45" customHeight="1">
      <c r="A372" s="67">
        <v>42605</v>
      </c>
      <c r="B372" s="68" t="s">
        <v>73</v>
      </c>
      <c r="C372" s="68" t="s">
        <v>83</v>
      </c>
      <c r="D372" s="68" t="s">
        <v>75</v>
      </c>
      <c r="E372" t="str">
        <f t="shared" si="7"/>
        <v>Delregion Göteborg</v>
      </c>
    </row>
    <row r="373" spans="1:5" ht="14.45" customHeight="1">
      <c r="A373" s="67">
        <v>42605</v>
      </c>
      <c r="B373" s="68" t="s">
        <v>107</v>
      </c>
      <c r="C373" s="68" t="s">
        <v>83</v>
      </c>
      <c r="D373" s="68" t="s">
        <v>75</v>
      </c>
      <c r="E373" t="str">
        <f t="shared" si="7"/>
        <v>Delregion Skaraborg</v>
      </c>
    </row>
    <row r="374" spans="1:5" ht="14.45" customHeight="1">
      <c r="A374" s="67">
        <v>42611</v>
      </c>
      <c r="B374" s="68" t="s">
        <v>116</v>
      </c>
      <c r="C374" s="68" t="s">
        <v>83</v>
      </c>
      <c r="D374" s="68" t="s">
        <v>75</v>
      </c>
      <c r="E374" t="str">
        <f t="shared" si="7"/>
        <v>Delregion Södra Älvsborg</v>
      </c>
    </row>
    <row r="375" spans="1:5" ht="14.45" customHeight="1">
      <c r="A375" s="67">
        <v>42626</v>
      </c>
      <c r="B375" s="68" t="s">
        <v>119</v>
      </c>
      <c r="C375" s="68" t="s">
        <v>83</v>
      </c>
      <c r="D375" s="68" t="s">
        <v>75</v>
      </c>
      <c r="E375" t="str">
        <f t="shared" si="7"/>
        <v>Delregion Skaraborg</v>
      </c>
    </row>
    <row r="376" spans="1:5" ht="14.45" customHeight="1">
      <c r="A376" s="67">
        <v>42635</v>
      </c>
      <c r="B376" s="68" t="s">
        <v>73</v>
      </c>
      <c r="C376" s="68" t="s">
        <v>83</v>
      </c>
      <c r="D376" s="68" t="s">
        <v>75</v>
      </c>
      <c r="E376" t="str">
        <f t="shared" si="7"/>
        <v>Delregion Göteborg</v>
      </c>
    </row>
    <row r="377" spans="1:5" ht="14.45" customHeight="1">
      <c r="A377" s="67">
        <v>42650</v>
      </c>
      <c r="B377" s="68" t="s">
        <v>73</v>
      </c>
      <c r="C377" s="68" t="s">
        <v>83</v>
      </c>
      <c r="D377" s="68" t="s">
        <v>75</v>
      </c>
      <c r="E377" t="str">
        <f t="shared" si="7"/>
        <v>Delregion Göteborg</v>
      </c>
    </row>
    <row r="378" spans="1:5" ht="14.45" customHeight="1">
      <c r="A378" s="67">
        <v>42657</v>
      </c>
      <c r="B378" s="68" t="s">
        <v>82</v>
      </c>
      <c r="C378" s="68" t="s">
        <v>83</v>
      </c>
      <c r="D378" s="68" t="s">
        <v>75</v>
      </c>
      <c r="E378" t="str">
        <f t="shared" si="7"/>
        <v>Delregion Fyrbodal</v>
      </c>
    </row>
    <row r="379" spans="1:5" ht="14.45" customHeight="1">
      <c r="A379" s="67">
        <v>42664</v>
      </c>
      <c r="B379" s="68" t="s">
        <v>73</v>
      </c>
      <c r="C379" s="68" t="s">
        <v>83</v>
      </c>
      <c r="D379" s="68" t="s">
        <v>75</v>
      </c>
      <c r="E379" t="str">
        <f t="shared" si="7"/>
        <v>Delregion Göteborg</v>
      </c>
    </row>
    <row r="380" spans="1:5" ht="14.45" customHeight="1">
      <c r="A380" s="67">
        <v>42675</v>
      </c>
      <c r="B380" s="68" t="s">
        <v>73</v>
      </c>
      <c r="C380" s="68" t="s">
        <v>83</v>
      </c>
      <c r="D380" s="68" t="s">
        <v>75</v>
      </c>
      <c r="E380" t="str">
        <f t="shared" si="7"/>
        <v>Delregion Göteborg</v>
      </c>
    </row>
    <row r="381" spans="1:5" ht="14.45" customHeight="1">
      <c r="A381" s="67">
        <v>42702</v>
      </c>
      <c r="B381" s="68" t="s">
        <v>73</v>
      </c>
      <c r="C381" s="68" t="s">
        <v>83</v>
      </c>
      <c r="D381" s="68" t="s">
        <v>75</v>
      </c>
      <c r="E381" t="str">
        <f t="shared" si="7"/>
        <v>Delregion Göteborg</v>
      </c>
    </row>
    <row r="382" spans="1:5" ht="14.45" customHeight="1">
      <c r="A382" s="67">
        <v>42706</v>
      </c>
      <c r="B382" s="68" t="s">
        <v>81</v>
      </c>
      <c r="C382" s="68" t="s">
        <v>83</v>
      </c>
      <c r="D382" s="68" t="s">
        <v>75</v>
      </c>
      <c r="E382" t="str">
        <f t="shared" si="7"/>
        <v>Delregion Fyrbodal</v>
      </c>
    </row>
    <row r="383" spans="1:5" ht="14.45" customHeight="1">
      <c r="A383" s="67">
        <v>42709</v>
      </c>
      <c r="B383" s="68" t="s">
        <v>97</v>
      </c>
      <c r="C383" s="68" t="s">
        <v>83</v>
      </c>
      <c r="D383" s="68" t="s">
        <v>75</v>
      </c>
      <c r="E383" t="str">
        <f t="shared" si="7"/>
        <v>Delregion Fyrbodal</v>
      </c>
    </row>
    <row r="384" spans="1:5" ht="14.45" customHeight="1">
      <c r="A384" s="67">
        <v>42710</v>
      </c>
      <c r="B384" s="68" t="s">
        <v>103</v>
      </c>
      <c r="C384" s="68" t="s">
        <v>83</v>
      </c>
      <c r="D384" s="68" t="s">
        <v>75</v>
      </c>
      <c r="E384" t="str">
        <f t="shared" si="7"/>
        <v>Delregion Göteborg</v>
      </c>
    </row>
    <row r="385" spans="1:5" ht="14.45" customHeight="1">
      <c r="A385" s="67">
        <v>42716</v>
      </c>
      <c r="B385" s="68" t="s">
        <v>73</v>
      </c>
      <c r="C385" s="68" t="s">
        <v>83</v>
      </c>
      <c r="D385" s="68" t="s">
        <v>75</v>
      </c>
      <c r="E385" t="str">
        <f t="shared" si="7"/>
        <v>Delregion Göteborg</v>
      </c>
    </row>
    <row r="386" spans="1:5" ht="14.45" customHeight="1">
      <c r="A386" s="67">
        <v>42716</v>
      </c>
      <c r="B386" s="68" t="s">
        <v>73</v>
      </c>
      <c r="C386" s="68" t="s">
        <v>83</v>
      </c>
      <c r="D386" s="68" t="s">
        <v>75</v>
      </c>
      <c r="E386" t="str">
        <f t="shared" si="7"/>
        <v>Delregion Göteborg</v>
      </c>
    </row>
    <row r="387" spans="1:5" ht="14.45" customHeight="1">
      <c r="A387" s="67">
        <v>42723</v>
      </c>
      <c r="B387" s="68" t="s">
        <v>73</v>
      </c>
      <c r="C387" s="68" t="s">
        <v>83</v>
      </c>
      <c r="D387" s="68" t="s">
        <v>75</v>
      </c>
      <c r="E387" t="str">
        <f t="shared" si="7"/>
        <v>Delregion Göteborg</v>
      </c>
    </row>
    <row r="388" spans="1:5" ht="14.45" customHeight="1">
      <c r="A388" s="67">
        <v>42726</v>
      </c>
      <c r="B388" s="68" t="s">
        <v>99</v>
      </c>
      <c r="C388" s="68" t="s">
        <v>83</v>
      </c>
      <c r="D388" s="68" t="s">
        <v>75</v>
      </c>
      <c r="E388" t="str">
        <f t="shared" si="7"/>
        <v>Delregion Skaraborg</v>
      </c>
    </row>
    <row r="389" spans="1:5" ht="14.45" customHeight="1">
      <c r="A389" s="64">
        <v>41680</v>
      </c>
      <c r="B389" s="65" t="s">
        <v>120</v>
      </c>
      <c r="C389" s="65" t="s">
        <v>88</v>
      </c>
      <c r="D389" s="65" t="s">
        <v>75</v>
      </c>
      <c r="E389" t="str">
        <f t="shared" si="7"/>
        <v>Delregion Södra Älvsborg</v>
      </c>
    </row>
    <row r="390" spans="1:5" ht="14.45" customHeight="1">
      <c r="A390" s="64">
        <v>41708</v>
      </c>
      <c r="B390" s="65" t="s">
        <v>120</v>
      </c>
      <c r="C390" s="65" t="s">
        <v>88</v>
      </c>
      <c r="D390" s="65" t="s">
        <v>75</v>
      </c>
      <c r="E390" t="str">
        <f t="shared" si="7"/>
        <v>Delregion Södra Älvsborg</v>
      </c>
    </row>
    <row r="391" spans="1:5" ht="14.45" customHeight="1">
      <c r="A391" s="64">
        <v>41815</v>
      </c>
      <c r="B391" s="65" t="s">
        <v>84</v>
      </c>
      <c r="C391" s="65" t="s">
        <v>88</v>
      </c>
      <c r="D391" s="65" t="s">
        <v>75</v>
      </c>
      <c r="E391" t="str">
        <f t="shared" si="7"/>
        <v>Delregion Skaraborg</v>
      </c>
    </row>
    <row r="392" spans="1:5" ht="14.45" customHeight="1">
      <c r="A392" s="64">
        <v>41927</v>
      </c>
      <c r="B392" s="65" t="s">
        <v>99</v>
      </c>
      <c r="C392" s="65" t="s">
        <v>88</v>
      </c>
      <c r="D392" s="65" t="s">
        <v>75</v>
      </c>
      <c r="E392" t="str">
        <f t="shared" si="7"/>
        <v>Delregion Skaraborg</v>
      </c>
    </row>
    <row r="393" spans="1:5" ht="14.45" customHeight="1">
      <c r="A393" s="64">
        <v>41963</v>
      </c>
      <c r="B393" s="65" t="s">
        <v>73</v>
      </c>
      <c r="C393" s="65" t="s">
        <v>88</v>
      </c>
      <c r="D393" s="65" t="s">
        <v>75</v>
      </c>
      <c r="E393" t="str">
        <f t="shared" si="7"/>
        <v>Delregion Göteborg</v>
      </c>
    </row>
    <row r="394" spans="1:5" ht="14.45" customHeight="1">
      <c r="A394" s="64">
        <v>41967</v>
      </c>
      <c r="B394" s="65" t="s">
        <v>73</v>
      </c>
      <c r="C394" s="65" t="s">
        <v>88</v>
      </c>
      <c r="D394" s="65" t="s">
        <v>75</v>
      </c>
      <c r="E394" t="str">
        <f t="shared" si="7"/>
        <v>Delregion Göteborg</v>
      </c>
    </row>
    <row r="395" spans="1:5" ht="14.45" customHeight="1">
      <c r="A395" s="64">
        <v>41988</v>
      </c>
      <c r="B395" s="65" t="s">
        <v>82</v>
      </c>
      <c r="C395" s="65" t="s">
        <v>88</v>
      </c>
      <c r="D395" s="65" t="s">
        <v>75</v>
      </c>
      <c r="E395" t="str">
        <f t="shared" si="7"/>
        <v>Delregion Fyrbodal</v>
      </c>
    </row>
    <row r="396" spans="1:5" ht="14.45" customHeight="1">
      <c r="A396" s="64">
        <v>42024</v>
      </c>
      <c r="B396" s="65" t="s">
        <v>103</v>
      </c>
      <c r="C396" s="65" t="s">
        <v>88</v>
      </c>
      <c r="D396" s="65" t="s">
        <v>75</v>
      </c>
      <c r="E396" t="str">
        <f t="shared" si="7"/>
        <v>Delregion Göteborg</v>
      </c>
    </row>
    <row r="397" spans="1:5" ht="14.45" customHeight="1">
      <c r="A397" s="64">
        <v>42024</v>
      </c>
      <c r="B397" s="65" t="s">
        <v>99</v>
      </c>
      <c r="C397" s="65" t="s">
        <v>88</v>
      </c>
      <c r="D397" s="65" t="s">
        <v>75</v>
      </c>
      <c r="E397" t="str">
        <f t="shared" ref="E397:E460" si="8">VLOOKUP(B397,$Q$13:$R$61,2,FALSE)</f>
        <v>Delregion Skaraborg</v>
      </c>
    </row>
    <row r="398" spans="1:5" ht="14.45" customHeight="1">
      <c r="A398" s="64">
        <v>42075</v>
      </c>
      <c r="B398" s="65" t="s">
        <v>98</v>
      </c>
      <c r="C398" s="65" t="s">
        <v>88</v>
      </c>
      <c r="D398" s="65" t="s">
        <v>75</v>
      </c>
      <c r="E398" t="str">
        <f t="shared" si="8"/>
        <v>Delregion Göteborg</v>
      </c>
    </row>
    <row r="399" spans="1:5" ht="14.45" customHeight="1">
      <c r="A399" s="64">
        <v>42159</v>
      </c>
      <c r="B399" s="65" t="s">
        <v>81</v>
      </c>
      <c r="C399" s="65" t="s">
        <v>88</v>
      </c>
      <c r="D399" s="65" t="s">
        <v>75</v>
      </c>
      <c r="E399" t="str">
        <f t="shared" si="8"/>
        <v>Delregion Fyrbodal</v>
      </c>
    </row>
    <row r="400" spans="1:5" ht="14.45" customHeight="1">
      <c r="A400" s="64">
        <v>42268</v>
      </c>
      <c r="B400" s="65" t="s">
        <v>107</v>
      </c>
      <c r="C400" s="65" t="s">
        <v>88</v>
      </c>
      <c r="D400" s="65" t="s">
        <v>75</v>
      </c>
      <c r="E400" t="str">
        <f t="shared" si="8"/>
        <v>Delregion Skaraborg</v>
      </c>
    </row>
    <row r="401" spans="1:5" ht="14.45" customHeight="1">
      <c r="A401" s="64">
        <v>42278</v>
      </c>
      <c r="B401" s="65" t="s">
        <v>73</v>
      </c>
      <c r="C401" s="65" t="s">
        <v>88</v>
      </c>
      <c r="D401" s="65" t="s">
        <v>75</v>
      </c>
      <c r="E401" t="str">
        <f t="shared" si="8"/>
        <v>Delregion Göteborg</v>
      </c>
    </row>
    <row r="402" spans="1:5" ht="14.45" customHeight="1">
      <c r="A402" s="64">
        <v>42311</v>
      </c>
      <c r="B402" s="65" t="s">
        <v>95</v>
      </c>
      <c r="C402" s="65" t="s">
        <v>88</v>
      </c>
      <c r="D402" s="65" t="s">
        <v>75</v>
      </c>
      <c r="E402" t="str">
        <f t="shared" si="8"/>
        <v>Delregion Södra Älvsborg</v>
      </c>
    </row>
    <row r="403" spans="1:5" ht="14.45" customHeight="1">
      <c r="A403" s="67">
        <v>42404</v>
      </c>
      <c r="B403" s="68" t="s">
        <v>76</v>
      </c>
      <c r="C403" s="68" t="s">
        <v>88</v>
      </c>
      <c r="D403" s="68" t="s">
        <v>75</v>
      </c>
      <c r="E403" t="str">
        <f t="shared" si="8"/>
        <v>Delregion Skaraborg</v>
      </c>
    </row>
    <row r="404" spans="1:5" ht="14.45" customHeight="1">
      <c r="A404" s="67">
        <v>42431</v>
      </c>
      <c r="B404" s="68" t="s">
        <v>89</v>
      </c>
      <c r="C404" s="68" t="s">
        <v>88</v>
      </c>
      <c r="D404" s="68" t="s">
        <v>75</v>
      </c>
      <c r="E404" t="str">
        <f t="shared" si="8"/>
        <v>Delregion Skaraborg</v>
      </c>
    </row>
    <row r="405" spans="1:5" ht="14.45" customHeight="1">
      <c r="A405" s="67">
        <v>42444</v>
      </c>
      <c r="B405" s="68" t="s">
        <v>90</v>
      </c>
      <c r="C405" s="68" t="s">
        <v>88</v>
      </c>
      <c r="D405" s="68" t="s">
        <v>75</v>
      </c>
      <c r="E405" t="str">
        <f t="shared" si="8"/>
        <v>Delregion Skaraborg</v>
      </c>
    </row>
    <row r="406" spans="1:5" ht="14.45" customHeight="1">
      <c r="A406" s="67">
        <v>42500</v>
      </c>
      <c r="B406" s="68" t="s">
        <v>86</v>
      </c>
      <c r="C406" s="68" t="s">
        <v>88</v>
      </c>
      <c r="D406" s="68" t="s">
        <v>75</v>
      </c>
      <c r="E406" t="str">
        <f t="shared" si="8"/>
        <v>Delregion Fyrbodal</v>
      </c>
    </row>
    <row r="407" spans="1:5" ht="14.45" customHeight="1">
      <c r="A407" s="67">
        <v>42542</v>
      </c>
      <c r="B407" s="68" t="s">
        <v>97</v>
      </c>
      <c r="C407" s="68" t="s">
        <v>88</v>
      </c>
      <c r="D407" s="68" t="s">
        <v>75</v>
      </c>
      <c r="E407" t="str">
        <f t="shared" si="8"/>
        <v>Delregion Fyrbodal</v>
      </c>
    </row>
    <row r="408" spans="1:5" ht="14.45" customHeight="1">
      <c r="A408" s="67">
        <v>42552</v>
      </c>
      <c r="B408" s="68" t="s">
        <v>86</v>
      </c>
      <c r="C408" s="68" t="s">
        <v>88</v>
      </c>
      <c r="D408" s="68" t="s">
        <v>75</v>
      </c>
      <c r="E408" t="str">
        <f t="shared" si="8"/>
        <v>Delregion Fyrbodal</v>
      </c>
    </row>
    <row r="409" spans="1:5" ht="14.45" customHeight="1">
      <c r="A409" s="67">
        <v>42552</v>
      </c>
      <c r="B409" s="68" t="s">
        <v>73</v>
      </c>
      <c r="C409" s="68" t="s">
        <v>88</v>
      </c>
      <c r="D409" s="68" t="s">
        <v>75</v>
      </c>
      <c r="E409" t="str">
        <f t="shared" si="8"/>
        <v>Delregion Göteborg</v>
      </c>
    </row>
    <row r="410" spans="1:5" ht="14.45" customHeight="1">
      <c r="A410" s="67">
        <v>42618</v>
      </c>
      <c r="B410" s="68" t="s">
        <v>92</v>
      </c>
      <c r="C410" s="68" t="s">
        <v>88</v>
      </c>
      <c r="D410" s="68" t="s">
        <v>75</v>
      </c>
      <c r="E410" t="str">
        <f t="shared" si="8"/>
        <v>Delregion Södra Älvsborg</v>
      </c>
    </row>
    <row r="411" spans="1:5" ht="14.45" customHeight="1">
      <c r="A411" s="67">
        <v>42625</v>
      </c>
      <c r="B411" s="68" t="s">
        <v>87</v>
      </c>
      <c r="C411" s="68" t="s">
        <v>88</v>
      </c>
      <c r="D411" s="68" t="s">
        <v>75</v>
      </c>
      <c r="E411" t="str">
        <f t="shared" si="8"/>
        <v>Delregion Skaraborg</v>
      </c>
    </row>
    <row r="412" spans="1:5" ht="14.45" customHeight="1">
      <c r="A412" s="67">
        <v>42625</v>
      </c>
      <c r="B412" s="68" t="s">
        <v>87</v>
      </c>
      <c r="C412" s="68" t="s">
        <v>88</v>
      </c>
      <c r="D412" s="68" t="s">
        <v>75</v>
      </c>
      <c r="E412" t="str">
        <f t="shared" si="8"/>
        <v>Delregion Skaraborg</v>
      </c>
    </row>
    <row r="413" spans="1:5" ht="14.45" customHeight="1">
      <c r="A413" s="64">
        <v>41710</v>
      </c>
      <c r="B413" s="65" t="s">
        <v>73</v>
      </c>
      <c r="C413" s="65" t="s">
        <v>96</v>
      </c>
      <c r="D413" s="65" t="s">
        <v>75</v>
      </c>
      <c r="E413" t="str">
        <f t="shared" si="8"/>
        <v>Delregion Göteborg</v>
      </c>
    </row>
    <row r="414" spans="1:5" ht="14.45" customHeight="1">
      <c r="A414" s="64">
        <v>41795</v>
      </c>
      <c r="B414" s="65" t="s">
        <v>89</v>
      </c>
      <c r="C414" s="65" t="s">
        <v>96</v>
      </c>
      <c r="D414" s="65" t="s">
        <v>75</v>
      </c>
      <c r="E414" t="str">
        <f t="shared" si="8"/>
        <v>Delregion Skaraborg</v>
      </c>
    </row>
    <row r="415" spans="1:5" ht="14.45" customHeight="1">
      <c r="A415" s="64">
        <v>41815</v>
      </c>
      <c r="B415" s="65" t="s">
        <v>86</v>
      </c>
      <c r="C415" s="65" t="s">
        <v>96</v>
      </c>
      <c r="D415" s="65" t="s">
        <v>75</v>
      </c>
      <c r="E415" t="str">
        <f t="shared" si="8"/>
        <v>Delregion Fyrbodal</v>
      </c>
    </row>
    <row r="416" spans="1:5" ht="14.45" customHeight="1">
      <c r="A416" s="64">
        <v>41815</v>
      </c>
      <c r="B416" s="65" t="s">
        <v>73</v>
      </c>
      <c r="C416" s="65" t="s">
        <v>96</v>
      </c>
      <c r="D416" s="65" t="s">
        <v>75</v>
      </c>
      <c r="E416" t="str">
        <f t="shared" si="8"/>
        <v>Delregion Göteborg</v>
      </c>
    </row>
    <row r="417" spans="1:5" ht="14.45" customHeight="1">
      <c r="A417" s="64">
        <v>41815</v>
      </c>
      <c r="B417" s="65" t="s">
        <v>97</v>
      </c>
      <c r="C417" s="65" t="s">
        <v>96</v>
      </c>
      <c r="D417" s="65" t="s">
        <v>75</v>
      </c>
      <c r="E417" t="str">
        <f t="shared" si="8"/>
        <v>Delregion Fyrbodal</v>
      </c>
    </row>
    <row r="418" spans="1:5" ht="14.45" customHeight="1">
      <c r="A418" s="64">
        <v>41817</v>
      </c>
      <c r="B418" s="65" t="s">
        <v>73</v>
      </c>
      <c r="C418" s="65" t="s">
        <v>96</v>
      </c>
      <c r="D418" s="65" t="s">
        <v>75</v>
      </c>
      <c r="E418" t="str">
        <f t="shared" si="8"/>
        <v>Delregion Göteborg</v>
      </c>
    </row>
    <row r="419" spans="1:5" ht="14.45" customHeight="1">
      <c r="A419" s="64">
        <v>41885</v>
      </c>
      <c r="B419" s="65" t="s">
        <v>102</v>
      </c>
      <c r="C419" s="65" t="s">
        <v>96</v>
      </c>
      <c r="D419" s="65" t="s">
        <v>75</v>
      </c>
      <c r="E419" t="str">
        <f t="shared" si="8"/>
        <v>Delregion Södra Älvsborg</v>
      </c>
    </row>
    <row r="420" spans="1:5" ht="14.45" customHeight="1">
      <c r="A420" s="64">
        <v>41914</v>
      </c>
      <c r="B420" s="65" t="s">
        <v>104</v>
      </c>
      <c r="C420" s="65" t="s">
        <v>96</v>
      </c>
      <c r="D420" s="65" t="s">
        <v>75</v>
      </c>
      <c r="E420" t="str">
        <f t="shared" si="8"/>
        <v>Delregion SIMBA</v>
      </c>
    </row>
    <row r="421" spans="1:5" ht="14.45" customHeight="1">
      <c r="A421" s="64">
        <v>41939</v>
      </c>
      <c r="B421" s="65" t="s">
        <v>73</v>
      </c>
      <c r="C421" s="65" t="s">
        <v>96</v>
      </c>
      <c r="D421" s="65" t="s">
        <v>75</v>
      </c>
      <c r="E421" t="str">
        <f t="shared" si="8"/>
        <v>Delregion Göteborg</v>
      </c>
    </row>
    <row r="422" spans="1:5" ht="14.45" customHeight="1">
      <c r="A422" s="64">
        <v>41954</v>
      </c>
      <c r="B422" s="65" t="s">
        <v>73</v>
      </c>
      <c r="C422" s="65" t="s">
        <v>96</v>
      </c>
      <c r="D422" s="65" t="s">
        <v>75</v>
      </c>
      <c r="E422" t="str">
        <f t="shared" si="8"/>
        <v>Delregion Göteborg</v>
      </c>
    </row>
    <row r="423" spans="1:5" ht="14.45" customHeight="1">
      <c r="A423" s="64">
        <v>41978</v>
      </c>
      <c r="B423" s="65" t="s">
        <v>73</v>
      </c>
      <c r="C423" s="65" t="s">
        <v>96</v>
      </c>
      <c r="D423" s="65" t="s">
        <v>75</v>
      </c>
      <c r="E423" t="str">
        <f t="shared" si="8"/>
        <v>Delregion Göteborg</v>
      </c>
    </row>
    <row r="424" spans="1:5" ht="14.45" customHeight="1">
      <c r="A424" s="64">
        <v>42011</v>
      </c>
      <c r="B424" s="65" t="s">
        <v>73</v>
      </c>
      <c r="C424" s="65" t="s">
        <v>96</v>
      </c>
      <c r="D424" s="65" t="s">
        <v>75</v>
      </c>
      <c r="E424" t="str">
        <f t="shared" si="8"/>
        <v>Delregion Göteborg</v>
      </c>
    </row>
    <row r="425" spans="1:5" ht="14.45" customHeight="1">
      <c r="A425" s="64">
        <v>42025</v>
      </c>
      <c r="B425" s="65" t="s">
        <v>73</v>
      </c>
      <c r="C425" s="65" t="s">
        <v>96</v>
      </c>
      <c r="D425" s="65" t="s">
        <v>75</v>
      </c>
      <c r="E425" t="str">
        <f t="shared" si="8"/>
        <v>Delregion Göteborg</v>
      </c>
    </row>
    <row r="426" spans="1:5" ht="14.45" customHeight="1">
      <c r="A426" s="64">
        <v>42030</v>
      </c>
      <c r="B426" s="65" t="s">
        <v>80</v>
      </c>
      <c r="C426" s="65" t="s">
        <v>96</v>
      </c>
      <c r="D426" s="65" t="s">
        <v>75</v>
      </c>
      <c r="E426" t="str">
        <f t="shared" si="8"/>
        <v>Delregion Södra Älvsborg</v>
      </c>
    </row>
    <row r="427" spans="1:5" ht="14.45" customHeight="1">
      <c r="A427" s="64">
        <v>42118</v>
      </c>
      <c r="B427" s="65" t="s">
        <v>89</v>
      </c>
      <c r="C427" s="65" t="s">
        <v>96</v>
      </c>
      <c r="D427" s="65" t="s">
        <v>75</v>
      </c>
      <c r="E427" t="str">
        <f t="shared" si="8"/>
        <v>Delregion Skaraborg</v>
      </c>
    </row>
    <row r="428" spans="1:5" ht="14.45" customHeight="1">
      <c r="A428" s="64">
        <v>42156</v>
      </c>
      <c r="B428" s="65" t="s">
        <v>116</v>
      </c>
      <c r="C428" s="65" t="s">
        <v>96</v>
      </c>
      <c r="D428" s="65" t="s">
        <v>75</v>
      </c>
      <c r="E428" t="str">
        <f t="shared" si="8"/>
        <v>Delregion Södra Älvsborg</v>
      </c>
    </row>
    <row r="429" spans="1:5" ht="14.45" customHeight="1">
      <c r="A429" s="64">
        <v>42214</v>
      </c>
      <c r="B429" s="65" t="s">
        <v>73</v>
      </c>
      <c r="C429" s="65" t="s">
        <v>96</v>
      </c>
      <c r="D429" s="65" t="s">
        <v>75</v>
      </c>
      <c r="E429" t="str">
        <f t="shared" si="8"/>
        <v>Delregion Göteborg</v>
      </c>
    </row>
    <row r="430" spans="1:5" ht="14.45" customHeight="1">
      <c r="A430" s="64">
        <v>42262</v>
      </c>
      <c r="B430" s="65" t="s">
        <v>95</v>
      </c>
      <c r="C430" s="65" t="s">
        <v>96</v>
      </c>
      <c r="D430" s="65" t="s">
        <v>75</v>
      </c>
      <c r="E430" t="str">
        <f t="shared" si="8"/>
        <v>Delregion Södra Älvsborg</v>
      </c>
    </row>
    <row r="431" spans="1:5" ht="14.45" customHeight="1">
      <c r="A431" s="64">
        <v>42367</v>
      </c>
      <c r="B431" s="65" t="s">
        <v>95</v>
      </c>
      <c r="C431" s="65" t="s">
        <v>96</v>
      </c>
      <c r="D431" s="65" t="s">
        <v>75</v>
      </c>
      <c r="E431" t="str">
        <f t="shared" si="8"/>
        <v>Delregion Södra Älvsborg</v>
      </c>
    </row>
    <row r="432" spans="1:5" ht="14.45" customHeight="1">
      <c r="A432" s="67">
        <v>42384</v>
      </c>
      <c r="B432" s="68" t="s">
        <v>115</v>
      </c>
      <c r="C432" s="68" t="s">
        <v>96</v>
      </c>
      <c r="D432" s="68" t="s">
        <v>75</v>
      </c>
      <c r="E432" t="str">
        <f t="shared" si="8"/>
        <v>Delregion Göteborg</v>
      </c>
    </row>
    <row r="433" spans="1:5" ht="14.45" customHeight="1">
      <c r="A433" s="67">
        <v>42419</v>
      </c>
      <c r="B433" s="68" t="s">
        <v>80</v>
      </c>
      <c r="C433" s="68" t="s">
        <v>96</v>
      </c>
      <c r="D433" s="68" t="s">
        <v>75</v>
      </c>
      <c r="E433" t="str">
        <f t="shared" si="8"/>
        <v>Delregion Södra Älvsborg</v>
      </c>
    </row>
    <row r="434" spans="1:5" ht="14.45" customHeight="1">
      <c r="A434" s="67">
        <v>42423</v>
      </c>
      <c r="B434" s="68" t="s">
        <v>73</v>
      </c>
      <c r="C434" s="68" t="s">
        <v>96</v>
      </c>
      <c r="D434" s="68" t="s">
        <v>75</v>
      </c>
      <c r="E434" t="str">
        <f t="shared" si="8"/>
        <v>Delregion Göteborg</v>
      </c>
    </row>
    <row r="435" spans="1:5" ht="14.45" customHeight="1">
      <c r="A435" s="67">
        <v>42445</v>
      </c>
      <c r="B435" s="68" t="s">
        <v>73</v>
      </c>
      <c r="C435" s="68" t="s">
        <v>96</v>
      </c>
      <c r="D435" s="68" t="s">
        <v>75</v>
      </c>
      <c r="E435" t="str">
        <f t="shared" si="8"/>
        <v>Delregion Göteborg</v>
      </c>
    </row>
    <row r="436" spans="1:5" ht="14.45" customHeight="1">
      <c r="A436" s="67">
        <v>42513</v>
      </c>
      <c r="B436" s="68" t="s">
        <v>95</v>
      </c>
      <c r="C436" s="68" t="s">
        <v>96</v>
      </c>
      <c r="D436" s="68" t="s">
        <v>75</v>
      </c>
      <c r="E436" t="str">
        <f t="shared" si="8"/>
        <v>Delregion Södra Älvsborg</v>
      </c>
    </row>
    <row r="437" spans="1:5" ht="14.45" customHeight="1">
      <c r="A437" s="67">
        <v>42514</v>
      </c>
      <c r="B437" s="68" t="s">
        <v>113</v>
      </c>
      <c r="C437" s="68" t="s">
        <v>96</v>
      </c>
      <c r="D437" s="68" t="s">
        <v>75</v>
      </c>
      <c r="E437" t="str">
        <f t="shared" si="8"/>
        <v>Delregion Skaraborg</v>
      </c>
    </row>
    <row r="438" spans="1:5" ht="14.45" customHeight="1">
      <c r="A438" s="67">
        <v>42517</v>
      </c>
      <c r="B438" s="68" t="s">
        <v>84</v>
      </c>
      <c r="C438" s="68" t="s">
        <v>96</v>
      </c>
      <c r="D438" s="68" t="s">
        <v>75</v>
      </c>
      <c r="E438" t="str">
        <f t="shared" si="8"/>
        <v>Delregion Skaraborg</v>
      </c>
    </row>
    <row r="439" spans="1:5" ht="14.45" customHeight="1">
      <c r="A439" s="67">
        <v>42601</v>
      </c>
      <c r="B439" s="68" t="s">
        <v>97</v>
      </c>
      <c r="C439" s="68" t="s">
        <v>96</v>
      </c>
      <c r="D439" s="68" t="s">
        <v>75</v>
      </c>
      <c r="E439" t="str">
        <f t="shared" si="8"/>
        <v>Delregion Fyrbodal</v>
      </c>
    </row>
    <row r="440" spans="1:5" ht="14.45" customHeight="1">
      <c r="A440" s="67">
        <v>42626</v>
      </c>
      <c r="B440" s="68" t="s">
        <v>73</v>
      </c>
      <c r="C440" s="68" t="s">
        <v>96</v>
      </c>
      <c r="D440" s="68" t="s">
        <v>75</v>
      </c>
      <c r="E440" t="str">
        <f t="shared" si="8"/>
        <v>Delregion Göteborg</v>
      </c>
    </row>
    <row r="441" spans="1:5" ht="14.45" customHeight="1">
      <c r="A441" s="67">
        <v>42712</v>
      </c>
      <c r="B441" s="68" t="s">
        <v>98</v>
      </c>
      <c r="C441" s="68" t="s">
        <v>96</v>
      </c>
      <c r="D441" s="68" t="s">
        <v>75</v>
      </c>
      <c r="E441" t="str">
        <f t="shared" si="8"/>
        <v>Delregion Göteborg</v>
      </c>
    </row>
    <row r="442" spans="1:5" ht="14.45" customHeight="1">
      <c r="A442" s="67">
        <v>42718</v>
      </c>
      <c r="B442" s="68" t="s">
        <v>93</v>
      </c>
      <c r="C442" s="68" t="s">
        <v>96</v>
      </c>
      <c r="D442" s="68" t="s">
        <v>75</v>
      </c>
      <c r="E442" t="str">
        <f t="shared" si="8"/>
        <v>Delregion Södra Älvsborg</v>
      </c>
    </row>
    <row r="443" spans="1:5" ht="14.45" customHeight="1">
      <c r="A443" s="64">
        <v>41736</v>
      </c>
      <c r="B443" s="65" t="s">
        <v>73</v>
      </c>
      <c r="C443" s="65" t="s">
        <v>118</v>
      </c>
      <c r="D443" s="65" t="s">
        <v>75</v>
      </c>
      <c r="E443" t="str">
        <f t="shared" si="8"/>
        <v>Delregion Göteborg</v>
      </c>
    </row>
    <row r="444" spans="1:5" ht="14.45" customHeight="1">
      <c r="A444" s="64">
        <v>41870</v>
      </c>
      <c r="B444" s="65" t="s">
        <v>116</v>
      </c>
      <c r="C444" s="65" t="s">
        <v>118</v>
      </c>
      <c r="D444" s="65" t="s">
        <v>75</v>
      </c>
      <c r="E444" t="str">
        <f t="shared" si="8"/>
        <v>Delregion Södra Älvsborg</v>
      </c>
    </row>
    <row r="445" spans="1:5" ht="14.45" customHeight="1">
      <c r="A445" s="64">
        <v>41893</v>
      </c>
      <c r="B445" s="65" t="s">
        <v>73</v>
      </c>
      <c r="C445" s="65" t="s">
        <v>118</v>
      </c>
      <c r="D445" s="65" t="s">
        <v>75</v>
      </c>
      <c r="E445" t="str">
        <f t="shared" si="8"/>
        <v>Delregion Göteborg</v>
      </c>
    </row>
    <row r="446" spans="1:5" ht="14.45" customHeight="1">
      <c r="A446" s="64">
        <v>41953</v>
      </c>
      <c r="B446" s="65" t="s">
        <v>73</v>
      </c>
      <c r="C446" s="65" t="s">
        <v>118</v>
      </c>
      <c r="D446" s="65" t="s">
        <v>75</v>
      </c>
      <c r="E446" t="str">
        <f t="shared" si="8"/>
        <v>Delregion Göteborg</v>
      </c>
    </row>
    <row r="447" spans="1:5" ht="14.45" customHeight="1">
      <c r="A447" s="64">
        <v>41964</v>
      </c>
      <c r="B447" s="65" t="s">
        <v>197</v>
      </c>
      <c r="C447" s="65" t="s">
        <v>118</v>
      </c>
      <c r="D447" s="65" t="s">
        <v>75</v>
      </c>
      <c r="E447" t="str">
        <f t="shared" si="8"/>
        <v>Delregion Fyrbodal</v>
      </c>
    </row>
    <row r="448" spans="1:5" ht="14.45" customHeight="1">
      <c r="A448" s="64">
        <v>42053</v>
      </c>
      <c r="B448" s="65" t="s">
        <v>73</v>
      </c>
      <c r="C448" s="65" t="s">
        <v>118</v>
      </c>
      <c r="D448" s="65" t="s">
        <v>75</v>
      </c>
      <c r="E448" t="str">
        <f t="shared" si="8"/>
        <v>Delregion Göteborg</v>
      </c>
    </row>
    <row r="449" spans="1:5" ht="14.45" customHeight="1">
      <c r="A449" s="64">
        <v>42089</v>
      </c>
      <c r="B449" s="65" t="s">
        <v>120</v>
      </c>
      <c r="C449" s="65" t="s">
        <v>118</v>
      </c>
      <c r="D449" s="65" t="s">
        <v>75</v>
      </c>
      <c r="E449" t="str">
        <f t="shared" si="8"/>
        <v>Delregion Södra Älvsborg</v>
      </c>
    </row>
    <row r="450" spans="1:5" ht="14.45" customHeight="1">
      <c r="A450" s="64">
        <v>42089</v>
      </c>
      <c r="B450" s="65" t="s">
        <v>120</v>
      </c>
      <c r="C450" s="65" t="s">
        <v>118</v>
      </c>
      <c r="D450" s="65" t="s">
        <v>75</v>
      </c>
      <c r="E450" t="str">
        <f t="shared" si="8"/>
        <v>Delregion Södra Älvsborg</v>
      </c>
    </row>
    <row r="451" spans="1:5" ht="14.45" customHeight="1">
      <c r="A451" s="64">
        <v>42198</v>
      </c>
      <c r="B451" s="65" t="s">
        <v>109</v>
      </c>
      <c r="C451" s="65" t="s">
        <v>118</v>
      </c>
      <c r="D451" s="65" t="s">
        <v>75</v>
      </c>
      <c r="E451" t="str">
        <f t="shared" si="8"/>
        <v>Delregion Fyrbodal</v>
      </c>
    </row>
    <row r="452" spans="1:5" ht="14.45" customHeight="1">
      <c r="A452" s="64">
        <v>42272</v>
      </c>
      <c r="B452" s="65" t="s">
        <v>109</v>
      </c>
      <c r="C452" s="65" t="s">
        <v>118</v>
      </c>
      <c r="D452" s="65" t="s">
        <v>75</v>
      </c>
      <c r="E452" t="str">
        <f t="shared" si="8"/>
        <v>Delregion Fyrbodal</v>
      </c>
    </row>
    <row r="453" spans="1:5" ht="14.45" customHeight="1">
      <c r="A453" s="67">
        <v>42391</v>
      </c>
      <c r="B453" s="68" t="s">
        <v>73</v>
      </c>
      <c r="C453" s="68" t="s">
        <v>118</v>
      </c>
      <c r="D453" s="68" t="s">
        <v>75</v>
      </c>
      <c r="E453" t="str">
        <f t="shared" si="8"/>
        <v>Delregion Göteborg</v>
      </c>
    </row>
    <row r="454" spans="1:5" ht="14.45" customHeight="1">
      <c r="A454" s="67">
        <v>42492</v>
      </c>
      <c r="B454" s="68" t="s">
        <v>109</v>
      </c>
      <c r="C454" s="68" t="s">
        <v>118</v>
      </c>
      <c r="D454" s="68" t="s">
        <v>75</v>
      </c>
      <c r="E454" t="str">
        <f t="shared" si="8"/>
        <v>Delregion Fyrbodal</v>
      </c>
    </row>
    <row r="455" spans="1:5" ht="14.45" customHeight="1">
      <c r="A455" s="67">
        <v>42538</v>
      </c>
      <c r="B455" s="68" t="s">
        <v>73</v>
      </c>
      <c r="C455" s="68" t="s">
        <v>118</v>
      </c>
      <c r="D455" s="68" t="s">
        <v>75</v>
      </c>
      <c r="E455" t="str">
        <f t="shared" si="8"/>
        <v>Delregion Göteborg</v>
      </c>
    </row>
    <row r="456" spans="1:5" ht="14.45" customHeight="1">
      <c r="A456" s="67">
        <v>42718</v>
      </c>
      <c r="B456" s="68" t="s">
        <v>77</v>
      </c>
      <c r="C456" s="68" t="s">
        <v>118</v>
      </c>
      <c r="D456" s="68" t="s">
        <v>75</v>
      </c>
      <c r="E456" t="str">
        <f t="shared" si="8"/>
        <v>Delregion SIMBA</v>
      </c>
    </row>
    <row r="457" spans="1:5" ht="14.45" customHeight="1">
      <c r="A457" s="67">
        <v>42719</v>
      </c>
      <c r="B457" s="68" t="s">
        <v>73</v>
      </c>
      <c r="C457" s="68" t="s">
        <v>118</v>
      </c>
      <c r="D457" s="68" t="s">
        <v>75</v>
      </c>
      <c r="E457" t="str">
        <f t="shared" si="8"/>
        <v>Delregion Göteborg</v>
      </c>
    </row>
    <row r="458" spans="1:5" ht="14.45" customHeight="1">
      <c r="A458" s="67">
        <v>42724</v>
      </c>
      <c r="B458" s="68" t="s">
        <v>73</v>
      </c>
      <c r="C458" s="68" t="s">
        <v>118</v>
      </c>
      <c r="D458" s="68" t="s">
        <v>75</v>
      </c>
      <c r="E458" t="str">
        <f t="shared" si="8"/>
        <v>Delregion Göteborg</v>
      </c>
    </row>
    <row r="459" spans="1:5" ht="14.45" customHeight="1">
      <c r="A459" s="67">
        <v>42732</v>
      </c>
      <c r="B459" s="68" t="s">
        <v>111</v>
      </c>
      <c r="C459" s="68" t="s">
        <v>118</v>
      </c>
      <c r="D459" s="68" t="s">
        <v>75</v>
      </c>
      <c r="E459" t="str">
        <f t="shared" si="8"/>
        <v>Delregion Skaraborg</v>
      </c>
    </row>
    <row r="460" spans="1:5" ht="14.45" customHeight="1">
      <c r="A460" s="64">
        <v>41642</v>
      </c>
      <c r="B460" s="65" t="s">
        <v>73</v>
      </c>
      <c r="C460" s="65" t="s">
        <v>100</v>
      </c>
      <c r="D460" s="65" t="s">
        <v>75</v>
      </c>
      <c r="E460" t="str">
        <f t="shared" si="8"/>
        <v>Delregion Göteborg</v>
      </c>
    </row>
    <row r="461" spans="1:5" ht="14.45" customHeight="1">
      <c r="A461" s="64">
        <v>41668</v>
      </c>
      <c r="B461" s="65" t="s">
        <v>102</v>
      </c>
      <c r="C461" s="65" t="s">
        <v>100</v>
      </c>
      <c r="D461" s="65" t="s">
        <v>75</v>
      </c>
      <c r="E461" t="str">
        <f t="shared" ref="E461:E524" si="9">VLOOKUP(B461,$Q$13:$R$61,2,FALSE)</f>
        <v>Delregion Södra Älvsborg</v>
      </c>
    </row>
    <row r="462" spans="1:5" ht="14.45" customHeight="1">
      <c r="A462" s="64">
        <v>41816</v>
      </c>
      <c r="B462" s="65" t="s">
        <v>123</v>
      </c>
      <c r="C462" s="65" t="s">
        <v>100</v>
      </c>
      <c r="D462" s="65" t="s">
        <v>75</v>
      </c>
      <c r="E462" t="str">
        <f t="shared" si="9"/>
        <v>Delregion Södra Älvsborg</v>
      </c>
    </row>
    <row r="463" spans="1:5" ht="14.45" customHeight="1">
      <c r="A463" s="64">
        <v>41961</v>
      </c>
      <c r="B463" s="65" t="s">
        <v>76</v>
      </c>
      <c r="C463" s="65" t="s">
        <v>100</v>
      </c>
      <c r="D463" s="65" t="s">
        <v>75</v>
      </c>
      <c r="E463" t="str">
        <f t="shared" si="9"/>
        <v>Delregion Skaraborg</v>
      </c>
    </row>
    <row r="464" spans="1:5" ht="14.45" customHeight="1">
      <c r="A464" s="64">
        <v>41996</v>
      </c>
      <c r="B464" s="65" t="s">
        <v>78</v>
      </c>
      <c r="C464" s="65" t="s">
        <v>100</v>
      </c>
      <c r="D464" s="65" t="s">
        <v>75</v>
      </c>
      <c r="E464" t="str">
        <f t="shared" si="9"/>
        <v>Delregion SIMBA</v>
      </c>
    </row>
    <row r="465" spans="1:5" ht="14.45" customHeight="1">
      <c r="A465" s="64">
        <v>42080</v>
      </c>
      <c r="B465" s="65" t="s">
        <v>73</v>
      </c>
      <c r="C465" s="65" t="s">
        <v>100</v>
      </c>
      <c r="D465" s="65" t="s">
        <v>75</v>
      </c>
      <c r="E465" t="str">
        <f t="shared" si="9"/>
        <v>Delregion Göteborg</v>
      </c>
    </row>
    <row r="466" spans="1:5" ht="14.45" customHeight="1">
      <c r="A466" s="64">
        <v>42130</v>
      </c>
      <c r="B466" s="65" t="s">
        <v>73</v>
      </c>
      <c r="C466" s="65" t="s">
        <v>100</v>
      </c>
      <c r="D466" s="65" t="s">
        <v>75</v>
      </c>
      <c r="E466" t="str">
        <f t="shared" si="9"/>
        <v>Delregion Göteborg</v>
      </c>
    </row>
    <row r="467" spans="1:5" ht="14.45" customHeight="1">
      <c r="A467" s="64">
        <v>42223</v>
      </c>
      <c r="B467" s="65" t="s">
        <v>86</v>
      </c>
      <c r="C467" s="65" t="s">
        <v>100</v>
      </c>
      <c r="D467" s="65" t="s">
        <v>75</v>
      </c>
      <c r="E467" t="str">
        <f t="shared" si="9"/>
        <v>Delregion Fyrbodal</v>
      </c>
    </row>
    <row r="468" spans="1:5" ht="14.45" customHeight="1">
      <c r="A468" s="67">
        <v>42409</v>
      </c>
      <c r="B468" s="68" t="s">
        <v>73</v>
      </c>
      <c r="C468" s="68" t="s">
        <v>100</v>
      </c>
      <c r="D468" s="68" t="s">
        <v>75</v>
      </c>
      <c r="E468" t="str">
        <f t="shared" si="9"/>
        <v>Delregion Göteborg</v>
      </c>
    </row>
    <row r="469" spans="1:5" ht="14.45" customHeight="1">
      <c r="A469" s="67">
        <v>42417</v>
      </c>
      <c r="B469" s="68" t="s">
        <v>89</v>
      </c>
      <c r="C469" s="68" t="s">
        <v>100</v>
      </c>
      <c r="D469" s="68" t="s">
        <v>75</v>
      </c>
      <c r="E469" t="str">
        <f t="shared" si="9"/>
        <v>Delregion Skaraborg</v>
      </c>
    </row>
    <row r="470" spans="1:5" ht="14.65" thickBot="1">
      <c r="A470" s="72">
        <v>42425</v>
      </c>
      <c r="B470" s="73" t="s">
        <v>73</v>
      </c>
      <c r="C470" s="73" t="s">
        <v>100</v>
      </c>
      <c r="D470" s="74" t="s">
        <v>75</v>
      </c>
      <c r="E470" t="str">
        <f t="shared" si="9"/>
        <v>Delregion Göteborg</v>
      </c>
    </row>
    <row r="471" spans="1:5" ht="14.65" thickBot="1">
      <c r="A471" s="72">
        <v>42486</v>
      </c>
      <c r="B471" s="73" t="s">
        <v>99</v>
      </c>
      <c r="C471" s="73" t="s">
        <v>100</v>
      </c>
      <c r="D471" s="74" t="s">
        <v>75</v>
      </c>
      <c r="E471" t="str">
        <f t="shared" si="9"/>
        <v>Delregion Skaraborg</v>
      </c>
    </row>
    <row r="472" spans="1:5" ht="14.65" thickBot="1">
      <c r="A472" s="72">
        <v>42544</v>
      </c>
      <c r="B472" s="73" t="s">
        <v>101</v>
      </c>
      <c r="C472" s="73" t="s">
        <v>100</v>
      </c>
      <c r="D472" s="74" t="s">
        <v>75</v>
      </c>
      <c r="E472" t="str">
        <f t="shared" si="9"/>
        <v>Delregion SIMBA</v>
      </c>
    </row>
    <row r="473" spans="1:5" ht="14.65" thickBot="1">
      <c r="A473" s="72">
        <v>42544</v>
      </c>
      <c r="B473" s="73" t="s">
        <v>102</v>
      </c>
      <c r="C473" s="73" t="s">
        <v>100</v>
      </c>
      <c r="D473" s="74" t="s">
        <v>75</v>
      </c>
      <c r="E473" t="str">
        <f t="shared" si="9"/>
        <v>Delregion Södra Älvsborg</v>
      </c>
    </row>
    <row r="474" spans="1:5" ht="14.65" thickBot="1">
      <c r="A474" s="72">
        <v>42725</v>
      </c>
      <c r="B474" s="73" t="s">
        <v>77</v>
      </c>
      <c r="C474" s="73" t="s">
        <v>100</v>
      </c>
      <c r="D474" s="74" t="s">
        <v>75</v>
      </c>
      <c r="E474" t="str">
        <f t="shared" si="9"/>
        <v>Delregion SIMBA</v>
      </c>
    </row>
    <row r="475" spans="1:5" ht="14.65" thickBot="1">
      <c r="A475" s="60">
        <v>41680</v>
      </c>
      <c r="B475" s="61" t="s">
        <v>73</v>
      </c>
      <c r="C475" s="61" t="s">
        <v>91</v>
      </c>
      <c r="D475" s="63" t="s">
        <v>75</v>
      </c>
      <c r="E475" t="str">
        <f t="shared" si="9"/>
        <v>Delregion Göteborg</v>
      </c>
    </row>
    <row r="476" spans="1:5" ht="14.65" thickBot="1">
      <c r="A476" s="60">
        <v>41696</v>
      </c>
      <c r="B476" s="61" t="s">
        <v>73</v>
      </c>
      <c r="C476" s="61" t="s">
        <v>91</v>
      </c>
      <c r="D476" s="63" t="s">
        <v>75</v>
      </c>
      <c r="E476" t="str">
        <f t="shared" si="9"/>
        <v>Delregion Göteborg</v>
      </c>
    </row>
    <row r="477" spans="1:5" ht="14.65" thickBot="1">
      <c r="A477" s="60">
        <v>41703</v>
      </c>
      <c r="B477" s="61" t="s">
        <v>80</v>
      </c>
      <c r="C477" s="61" t="s">
        <v>91</v>
      </c>
      <c r="D477" s="63" t="s">
        <v>75</v>
      </c>
      <c r="E477" t="str">
        <f t="shared" si="9"/>
        <v>Delregion Södra Älvsborg</v>
      </c>
    </row>
    <row r="478" spans="1:5" ht="14.65" thickBot="1">
      <c r="A478" s="60">
        <v>41724</v>
      </c>
      <c r="B478" s="61" t="s">
        <v>101</v>
      </c>
      <c r="C478" s="61" t="s">
        <v>91</v>
      </c>
      <c r="D478" s="63" t="s">
        <v>75</v>
      </c>
      <c r="E478" t="str">
        <f t="shared" si="9"/>
        <v>Delregion SIMBA</v>
      </c>
    </row>
    <row r="479" spans="1:5" ht="14.65" thickBot="1">
      <c r="A479" s="60">
        <v>41758</v>
      </c>
      <c r="B479" s="61" t="s">
        <v>73</v>
      </c>
      <c r="C479" s="61" t="s">
        <v>91</v>
      </c>
      <c r="D479" s="63" t="s">
        <v>75</v>
      </c>
      <c r="E479" t="str">
        <f t="shared" si="9"/>
        <v>Delregion Göteborg</v>
      </c>
    </row>
    <row r="480" spans="1:5" ht="14.65" thickBot="1">
      <c r="A480" s="60">
        <v>41772</v>
      </c>
      <c r="B480" s="61" t="s">
        <v>73</v>
      </c>
      <c r="C480" s="61" t="s">
        <v>91</v>
      </c>
      <c r="D480" s="63" t="s">
        <v>75</v>
      </c>
      <c r="E480" t="str">
        <f t="shared" si="9"/>
        <v>Delregion Göteborg</v>
      </c>
    </row>
    <row r="481" spans="1:5" ht="14.65" thickBot="1">
      <c r="A481" s="60">
        <v>41772</v>
      </c>
      <c r="B481" s="61" t="s">
        <v>73</v>
      </c>
      <c r="C481" s="61" t="s">
        <v>91</v>
      </c>
      <c r="D481" s="63" t="s">
        <v>75</v>
      </c>
      <c r="E481" t="str">
        <f t="shared" si="9"/>
        <v>Delregion Göteborg</v>
      </c>
    </row>
    <row r="482" spans="1:5" ht="14.65" thickBot="1">
      <c r="A482" s="60">
        <v>41775</v>
      </c>
      <c r="B482" s="61" t="s">
        <v>95</v>
      </c>
      <c r="C482" s="61" t="s">
        <v>91</v>
      </c>
      <c r="D482" s="63" t="s">
        <v>75</v>
      </c>
      <c r="E482" t="str">
        <f t="shared" si="9"/>
        <v>Delregion Södra Älvsborg</v>
      </c>
    </row>
    <row r="483" spans="1:5" ht="14.65" thickBot="1">
      <c r="A483" s="60">
        <v>41820</v>
      </c>
      <c r="B483" s="61" t="s">
        <v>73</v>
      </c>
      <c r="C483" s="61" t="s">
        <v>91</v>
      </c>
      <c r="D483" s="63" t="s">
        <v>75</v>
      </c>
      <c r="E483" t="str">
        <f t="shared" si="9"/>
        <v>Delregion Göteborg</v>
      </c>
    </row>
    <row r="484" spans="1:5" ht="14.65" thickBot="1">
      <c r="A484" s="60">
        <v>41823</v>
      </c>
      <c r="B484" s="61" t="s">
        <v>86</v>
      </c>
      <c r="C484" s="61" t="s">
        <v>91</v>
      </c>
      <c r="D484" s="63" t="s">
        <v>75</v>
      </c>
      <c r="E484" t="str">
        <f t="shared" si="9"/>
        <v>Delregion Fyrbodal</v>
      </c>
    </row>
    <row r="485" spans="1:5" ht="14.65" thickBot="1">
      <c r="A485" s="60">
        <v>41823</v>
      </c>
      <c r="B485" s="61" t="s">
        <v>73</v>
      </c>
      <c r="C485" s="61" t="s">
        <v>91</v>
      </c>
      <c r="D485" s="63" t="s">
        <v>75</v>
      </c>
      <c r="E485" t="str">
        <f t="shared" si="9"/>
        <v>Delregion Göteborg</v>
      </c>
    </row>
    <row r="486" spans="1:5" ht="14.65" thickBot="1">
      <c r="A486" s="60">
        <v>41878</v>
      </c>
      <c r="B486" s="61" t="s">
        <v>73</v>
      </c>
      <c r="C486" s="61" t="s">
        <v>91</v>
      </c>
      <c r="D486" s="63" t="s">
        <v>75</v>
      </c>
      <c r="E486" t="str">
        <f t="shared" si="9"/>
        <v>Delregion Göteborg</v>
      </c>
    </row>
    <row r="487" spans="1:5" ht="14.65" thickBot="1">
      <c r="A487" s="60">
        <v>41887</v>
      </c>
      <c r="B487" s="61" t="s">
        <v>115</v>
      </c>
      <c r="C487" s="61" t="s">
        <v>91</v>
      </c>
      <c r="D487" s="63" t="s">
        <v>75</v>
      </c>
      <c r="E487" t="str">
        <f t="shared" si="9"/>
        <v>Delregion Göteborg</v>
      </c>
    </row>
    <row r="488" spans="1:5" ht="14.65" thickBot="1">
      <c r="A488" s="60">
        <v>41890</v>
      </c>
      <c r="B488" s="61" t="s">
        <v>73</v>
      </c>
      <c r="C488" s="61" t="s">
        <v>91</v>
      </c>
      <c r="D488" s="63" t="s">
        <v>75</v>
      </c>
      <c r="E488" t="str">
        <f t="shared" si="9"/>
        <v>Delregion Göteborg</v>
      </c>
    </row>
    <row r="489" spans="1:5" ht="14.65" thickBot="1">
      <c r="A489" s="60">
        <v>41906</v>
      </c>
      <c r="B489" s="61" t="s">
        <v>73</v>
      </c>
      <c r="C489" s="61" t="s">
        <v>91</v>
      </c>
      <c r="D489" s="63" t="s">
        <v>75</v>
      </c>
      <c r="E489" t="str">
        <f t="shared" si="9"/>
        <v>Delregion Göteborg</v>
      </c>
    </row>
    <row r="490" spans="1:5" ht="14.65" thickBot="1">
      <c r="A490" s="60">
        <v>41928</v>
      </c>
      <c r="B490" s="61" t="s">
        <v>108</v>
      </c>
      <c r="C490" s="61" t="s">
        <v>91</v>
      </c>
      <c r="D490" s="63" t="s">
        <v>75</v>
      </c>
      <c r="E490" t="str">
        <f t="shared" si="9"/>
        <v>Delregion Fyrbodal</v>
      </c>
    </row>
    <row r="491" spans="1:5" ht="14.65" thickBot="1">
      <c r="A491" s="60">
        <v>41928</v>
      </c>
      <c r="B491" s="61" t="s">
        <v>108</v>
      </c>
      <c r="C491" s="61" t="s">
        <v>91</v>
      </c>
      <c r="D491" s="63" t="s">
        <v>75</v>
      </c>
      <c r="E491" t="str">
        <f t="shared" si="9"/>
        <v>Delregion Fyrbodal</v>
      </c>
    </row>
    <row r="492" spans="1:5" ht="14.65" thickBot="1">
      <c r="A492" s="60">
        <v>41928</v>
      </c>
      <c r="B492" s="61" t="s">
        <v>108</v>
      </c>
      <c r="C492" s="61" t="s">
        <v>91</v>
      </c>
      <c r="D492" s="63" t="s">
        <v>75</v>
      </c>
      <c r="E492" t="str">
        <f t="shared" si="9"/>
        <v>Delregion Fyrbodal</v>
      </c>
    </row>
    <row r="493" spans="1:5" ht="14.65" thickBot="1">
      <c r="A493" s="60">
        <v>41936</v>
      </c>
      <c r="B493" s="61" t="s">
        <v>73</v>
      </c>
      <c r="C493" s="61" t="s">
        <v>91</v>
      </c>
      <c r="D493" s="63" t="s">
        <v>75</v>
      </c>
      <c r="E493" t="str">
        <f t="shared" si="9"/>
        <v>Delregion Göteborg</v>
      </c>
    </row>
    <row r="494" spans="1:5" ht="14.65" thickBot="1">
      <c r="A494" s="60">
        <v>41939</v>
      </c>
      <c r="B494" s="61" t="s">
        <v>76</v>
      </c>
      <c r="C494" s="61" t="s">
        <v>91</v>
      </c>
      <c r="D494" s="63" t="s">
        <v>75</v>
      </c>
      <c r="E494" t="str">
        <f t="shared" si="9"/>
        <v>Delregion Skaraborg</v>
      </c>
    </row>
    <row r="495" spans="1:5" ht="14.65" thickBot="1">
      <c r="A495" s="60">
        <v>41978</v>
      </c>
      <c r="B495" s="61" t="s">
        <v>84</v>
      </c>
      <c r="C495" s="61" t="s">
        <v>91</v>
      </c>
      <c r="D495" s="63" t="s">
        <v>75</v>
      </c>
      <c r="E495" t="str">
        <f t="shared" si="9"/>
        <v>Delregion Skaraborg</v>
      </c>
    </row>
    <row r="496" spans="1:5" ht="14.65" thickBot="1">
      <c r="A496" s="60">
        <v>41989</v>
      </c>
      <c r="B496" s="61" t="s">
        <v>108</v>
      </c>
      <c r="C496" s="61" t="s">
        <v>91</v>
      </c>
      <c r="D496" s="63" t="s">
        <v>75</v>
      </c>
      <c r="E496" t="str">
        <f t="shared" si="9"/>
        <v>Delregion Fyrbodal</v>
      </c>
    </row>
    <row r="497" spans="1:5" ht="14.65" thickBot="1">
      <c r="A497" s="60">
        <v>41991</v>
      </c>
      <c r="B497" s="61" t="s">
        <v>108</v>
      </c>
      <c r="C497" s="61" t="s">
        <v>91</v>
      </c>
      <c r="D497" s="63" t="s">
        <v>75</v>
      </c>
      <c r="E497" t="str">
        <f t="shared" si="9"/>
        <v>Delregion Fyrbodal</v>
      </c>
    </row>
    <row r="498" spans="1:5" ht="14.65" thickBot="1">
      <c r="A498" s="60">
        <v>42265</v>
      </c>
      <c r="B498" s="61" t="s">
        <v>93</v>
      </c>
      <c r="C498" s="61" t="s">
        <v>91</v>
      </c>
      <c r="D498" s="63" t="s">
        <v>75</v>
      </c>
      <c r="E498" t="str">
        <f t="shared" si="9"/>
        <v>Delregion Södra Älvsborg</v>
      </c>
    </row>
    <row r="499" spans="1:5" ht="14.65" thickBot="1">
      <c r="A499" s="60">
        <v>42300</v>
      </c>
      <c r="B499" s="61" t="s">
        <v>80</v>
      </c>
      <c r="C499" s="61" t="s">
        <v>91</v>
      </c>
      <c r="D499" s="63" t="s">
        <v>75</v>
      </c>
      <c r="E499" t="str">
        <f t="shared" si="9"/>
        <v>Delregion Södra Älvsborg</v>
      </c>
    </row>
    <row r="500" spans="1:5" ht="14.65" thickBot="1">
      <c r="A500" s="72">
        <v>42403</v>
      </c>
      <c r="B500" s="73" t="s">
        <v>86</v>
      </c>
      <c r="C500" s="73" t="s">
        <v>91</v>
      </c>
      <c r="D500" s="74" t="s">
        <v>75</v>
      </c>
      <c r="E500" t="str">
        <f t="shared" si="9"/>
        <v>Delregion Fyrbodal</v>
      </c>
    </row>
    <row r="501" spans="1:5" ht="14.65" thickBot="1">
      <c r="A501" s="72">
        <v>42405</v>
      </c>
      <c r="B501" s="73" t="s">
        <v>73</v>
      </c>
      <c r="C501" s="73" t="s">
        <v>91</v>
      </c>
      <c r="D501" s="74" t="s">
        <v>75</v>
      </c>
      <c r="E501" t="str">
        <f t="shared" si="9"/>
        <v>Delregion Göteborg</v>
      </c>
    </row>
    <row r="502" spans="1:5" ht="14.65" thickBot="1">
      <c r="A502" s="72">
        <v>42409</v>
      </c>
      <c r="B502" s="73" t="s">
        <v>86</v>
      </c>
      <c r="C502" s="73" t="s">
        <v>91</v>
      </c>
      <c r="D502" s="74" t="s">
        <v>75</v>
      </c>
      <c r="E502" t="str">
        <f t="shared" si="9"/>
        <v>Delregion Fyrbodal</v>
      </c>
    </row>
    <row r="503" spans="1:5" ht="14.65" thickBot="1">
      <c r="A503" s="72">
        <v>42436</v>
      </c>
      <c r="B503" s="73" t="s">
        <v>94</v>
      </c>
      <c r="C503" s="73" t="s">
        <v>91</v>
      </c>
      <c r="D503" s="74" t="s">
        <v>75</v>
      </c>
      <c r="E503" t="str">
        <f t="shared" si="9"/>
        <v>Delregion Fyrbodal</v>
      </c>
    </row>
    <row r="504" spans="1:5" ht="14.65" thickBot="1">
      <c r="A504" s="72">
        <v>42489</v>
      </c>
      <c r="B504" s="73" t="s">
        <v>119</v>
      </c>
      <c r="C504" s="73" t="s">
        <v>91</v>
      </c>
      <c r="D504" s="74" t="s">
        <v>75</v>
      </c>
      <c r="E504" t="str">
        <f t="shared" si="9"/>
        <v>Delregion Skaraborg</v>
      </c>
    </row>
    <row r="505" spans="1:5" ht="14.65" thickBot="1">
      <c r="A505" s="72">
        <v>42501</v>
      </c>
      <c r="B505" s="73" t="s">
        <v>95</v>
      </c>
      <c r="C505" s="73" t="s">
        <v>91</v>
      </c>
      <c r="D505" s="74" t="s">
        <v>75</v>
      </c>
      <c r="E505" t="str">
        <f t="shared" si="9"/>
        <v>Delregion Södra Älvsborg</v>
      </c>
    </row>
    <row r="506" spans="1:5" ht="14.65" thickBot="1">
      <c r="A506" s="72">
        <v>42521</v>
      </c>
      <c r="B506" s="73" t="s">
        <v>92</v>
      </c>
      <c r="C506" s="73" t="s">
        <v>91</v>
      </c>
      <c r="D506" s="74" t="s">
        <v>75</v>
      </c>
      <c r="E506" t="str">
        <f t="shared" si="9"/>
        <v>Delregion Södra Älvsborg</v>
      </c>
    </row>
    <row r="507" spans="1:5" ht="14.65" thickBot="1">
      <c r="A507" s="72">
        <v>42529</v>
      </c>
      <c r="B507" s="73" t="s">
        <v>80</v>
      </c>
      <c r="C507" s="73" t="s">
        <v>91</v>
      </c>
      <c r="D507" s="74" t="s">
        <v>75</v>
      </c>
      <c r="E507" t="str">
        <f t="shared" si="9"/>
        <v>Delregion Södra Älvsborg</v>
      </c>
    </row>
    <row r="508" spans="1:5" ht="14.65" thickBot="1">
      <c r="A508" s="72">
        <v>42571</v>
      </c>
      <c r="B508" s="73" t="s">
        <v>124</v>
      </c>
      <c r="C508" s="73" t="s">
        <v>91</v>
      </c>
      <c r="D508" s="74" t="s">
        <v>75</v>
      </c>
      <c r="E508" t="str">
        <f t="shared" si="9"/>
        <v>Delregion Fyrbodal</v>
      </c>
    </row>
    <row r="509" spans="1:5" ht="14.65" thickBot="1">
      <c r="A509" s="72">
        <v>42577</v>
      </c>
      <c r="B509" s="73" t="s">
        <v>73</v>
      </c>
      <c r="C509" s="73" t="s">
        <v>91</v>
      </c>
      <c r="D509" s="74" t="s">
        <v>75</v>
      </c>
      <c r="E509" t="str">
        <f t="shared" si="9"/>
        <v>Delregion Göteborg</v>
      </c>
    </row>
    <row r="510" spans="1:5" ht="14.65" thickBot="1">
      <c r="A510" s="72">
        <v>42579</v>
      </c>
      <c r="B510" s="73" t="s">
        <v>78</v>
      </c>
      <c r="C510" s="73" t="s">
        <v>91</v>
      </c>
      <c r="D510" s="74" t="s">
        <v>75</v>
      </c>
      <c r="E510" t="str">
        <f t="shared" si="9"/>
        <v>Delregion SIMBA</v>
      </c>
    </row>
    <row r="511" spans="1:5" ht="14.65" thickBot="1">
      <c r="A511" s="72">
        <v>42607</v>
      </c>
      <c r="B511" s="73" t="s">
        <v>73</v>
      </c>
      <c r="C511" s="73" t="s">
        <v>91</v>
      </c>
      <c r="D511" s="74" t="s">
        <v>75</v>
      </c>
      <c r="E511" t="str">
        <f t="shared" si="9"/>
        <v>Delregion Göteborg</v>
      </c>
    </row>
    <row r="512" spans="1:5" ht="14.65" thickBot="1">
      <c r="A512" s="72">
        <v>42627</v>
      </c>
      <c r="B512" s="73" t="s">
        <v>98</v>
      </c>
      <c r="C512" s="73" t="s">
        <v>91</v>
      </c>
      <c r="D512" s="74" t="s">
        <v>75</v>
      </c>
      <c r="E512" t="str">
        <f t="shared" si="9"/>
        <v>Delregion Göteborg</v>
      </c>
    </row>
    <row r="513" spans="1:5" ht="14.65" thickBot="1">
      <c r="A513" s="72">
        <v>42654</v>
      </c>
      <c r="B513" s="73" t="s">
        <v>93</v>
      </c>
      <c r="C513" s="73" t="s">
        <v>91</v>
      </c>
      <c r="D513" s="74" t="s">
        <v>75</v>
      </c>
      <c r="E513" t="str">
        <f t="shared" si="9"/>
        <v>Delregion Södra Älvsborg</v>
      </c>
    </row>
    <row r="514" spans="1:5" ht="14.65" thickBot="1">
      <c r="A514" s="72">
        <v>42654</v>
      </c>
      <c r="B514" s="73" t="s">
        <v>73</v>
      </c>
      <c r="C514" s="73" t="s">
        <v>91</v>
      </c>
      <c r="D514" s="74" t="s">
        <v>75</v>
      </c>
      <c r="E514" t="str">
        <f t="shared" si="9"/>
        <v>Delregion Göteborg</v>
      </c>
    </row>
    <row r="515" spans="1:5" ht="14.65" thickBot="1">
      <c r="A515" s="72">
        <v>42661</v>
      </c>
      <c r="B515" s="73" t="s">
        <v>73</v>
      </c>
      <c r="C515" s="73" t="s">
        <v>91</v>
      </c>
      <c r="D515" s="74" t="s">
        <v>75</v>
      </c>
      <c r="E515" t="str">
        <f t="shared" si="9"/>
        <v>Delregion Göteborg</v>
      </c>
    </row>
    <row r="516" spans="1:5" ht="14.65" thickBot="1">
      <c r="A516" s="72">
        <v>42685</v>
      </c>
      <c r="B516" s="73" t="s">
        <v>76</v>
      </c>
      <c r="C516" s="73" t="s">
        <v>91</v>
      </c>
      <c r="D516" s="74" t="s">
        <v>75</v>
      </c>
      <c r="E516" t="str">
        <f t="shared" si="9"/>
        <v>Delregion Skaraborg</v>
      </c>
    </row>
    <row r="517" spans="1:5" ht="14.65" thickBot="1">
      <c r="A517" s="72">
        <v>42732</v>
      </c>
      <c r="B517" s="73" t="s">
        <v>73</v>
      </c>
      <c r="C517" s="73" t="s">
        <v>91</v>
      </c>
      <c r="D517" s="74" t="s">
        <v>75</v>
      </c>
      <c r="E517" t="str">
        <f t="shared" si="9"/>
        <v>Delregion Göteborg</v>
      </c>
    </row>
    <row r="518" spans="1:5" ht="14.65" thickBot="1">
      <c r="A518" s="60">
        <v>41661</v>
      </c>
      <c r="B518" s="61" t="s">
        <v>86</v>
      </c>
      <c r="C518" s="61" t="s">
        <v>79</v>
      </c>
      <c r="D518" s="63" t="s">
        <v>75</v>
      </c>
      <c r="E518" t="str">
        <f t="shared" si="9"/>
        <v>Delregion Fyrbodal</v>
      </c>
    </row>
    <row r="519" spans="1:5" ht="14.65" thickBot="1">
      <c r="A519" s="60">
        <v>41829</v>
      </c>
      <c r="B519" s="61" t="s">
        <v>73</v>
      </c>
      <c r="C519" s="61" t="s">
        <v>79</v>
      </c>
      <c r="D519" s="63" t="s">
        <v>75</v>
      </c>
      <c r="E519" t="str">
        <f t="shared" si="9"/>
        <v>Delregion Göteborg</v>
      </c>
    </row>
    <row r="520" spans="1:5" ht="14.65" thickBot="1">
      <c r="A520" s="60">
        <v>42283</v>
      </c>
      <c r="B520" s="61" t="s">
        <v>73</v>
      </c>
      <c r="C520" s="61" t="s">
        <v>79</v>
      </c>
      <c r="D520" s="63" t="s">
        <v>75</v>
      </c>
      <c r="E520" t="str">
        <f t="shared" si="9"/>
        <v>Delregion Göteborg</v>
      </c>
    </row>
    <row r="521" spans="1:5" ht="14.65" thickBot="1">
      <c r="A521" s="60">
        <v>42339</v>
      </c>
      <c r="B521" s="61" t="s">
        <v>73</v>
      </c>
      <c r="C521" s="61" t="s">
        <v>79</v>
      </c>
      <c r="D521" s="63" t="s">
        <v>75</v>
      </c>
      <c r="E521" t="str">
        <f t="shared" si="9"/>
        <v>Delregion Göteborg</v>
      </c>
    </row>
    <row r="522" spans="1:5" ht="14.65" thickBot="1">
      <c r="A522" s="72">
        <v>42389</v>
      </c>
      <c r="B522" s="73" t="s">
        <v>78</v>
      </c>
      <c r="C522" s="73" t="s">
        <v>79</v>
      </c>
      <c r="D522" s="74" t="s">
        <v>75</v>
      </c>
      <c r="E522" t="str">
        <f t="shared" si="9"/>
        <v>Delregion SIMBA</v>
      </c>
    </row>
    <row r="523" spans="1:5" ht="14.65" thickBot="1">
      <c r="A523" s="72">
        <v>42430</v>
      </c>
      <c r="B523" s="73" t="s">
        <v>77</v>
      </c>
      <c r="C523" s="73" t="s">
        <v>79</v>
      </c>
      <c r="D523" s="74" t="s">
        <v>75</v>
      </c>
      <c r="E523" t="str">
        <f t="shared" si="9"/>
        <v>Delregion SIMBA</v>
      </c>
    </row>
    <row r="524" spans="1:5" ht="14.65" thickBot="1">
      <c r="A524" s="72">
        <v>42461</v>
      </c>
      <c r="B524" s="73" t="s">
        <v>73</v>
      </c>
      <c r="C524" s="73" t="s">
        <v>79</v>
      </c>
      <c r="D524" s="74" t="s">
        <v>75</v>
      </c>
      <c r="E524" t="str">
        <f t="shared" si="9"/>
        <v>Delregion Göteborg</v>
      </c>
    </row>
    <row r="525" spans="1:5" ht="14.65" thickBot="1">
      <c r="A525" s="72">
        <v>42594</v>
      </c>
      <c r="B525" s="73" t="s">
        <v>80</v>
      </c>
      <c r="C525" s="73" t="s">
        <v>79</v>
      </c>
      <c r="D525" s="74" t="s">
        <v>75</v>
      </c>
      <c r="E525" t="str">
        <f t="shared" ref="E525:E588" si="10">VLOOKUP(B525,$Q$13:$R$61,2,FALSE)</f>
        <v>Delregion Södra Älvsborg</v>
      </c>
    </row>
    <row r="526" spans="1:5" ht="14.65" thickBot="1">
      <c r="A526" s="72">
        <v>42613</v>
      </c>
      <c r="B526" s="73" t="s">
        <v>81</v>
      </c>
      <c r="C526" s="73" t="s">
        <v>79</v>
      </c>
      <c r="D526" s="74" t="s">
        <v>75</v>
      </c>
      <c r="E526" t="str">
        <f t="shared" si="10"/>
        <v>Delregion Fyrbodal</v>
      </c>
    </row>
    <row r="527" spans="1:5" ht="14.65" thickBot="1">
      <c r="A527" s="72">
        <v>42646</v>
      </c>
      <c r="B527" s="73" t="s">
        <v>73</v>
      </c>
      <c r="C527" s="73" t="s">
        <v>79</v>
      </c>
      <c r="D527" s="74" t="s">
        <v>75</v>
      </c>
      <c r="E527" t="str">
        <f t="shared" si="10"/>
        <v>Delregion Göteborg</v>
      </c>
    </row>
    <row r="528" spans="1:5" ht="14.65" thickBot="1">
      <c r="A528" s="72">
        <v>42650</v>
      </c>
      <c r="B528" s="73" t="s">
        <v>73</v>
      </c>
      <c r="C528" s="73" t="s">
        <v>79</v>
      </c>
      <c r="D528" s="74" t="s">
        <v>75</v>
      </c>
      <c r="E528" t="str">
        <f t="shared" si="10"/>
        <v>Delregion Göteborg</v>
      </c>
    </row>
    <row r="529" spans="1:5" ht="14.65" thickBot="1">
      <c r="A529" s="72">
        <v>42663</v>
      </c>
      <c r="B529" s="73" t="s">
        <v>81</v>
      </c>
      <c r="C529" s="73" t="s">
        <v>79</v>
      </c>
      <c r="D529" s="74" t="s">
        <v>75</v>
      </c>
      <c r="E529" t="str">
        <f t="shared" si="10"/>
        <v>Delregion Fyrbodal</v>
      </c>
    </row>
    <row r="530" spans="1:5" ht="14.65" thickBot="1">
      <c r="A530" s="72">
        <v>42429</v>
      </c>
      <c r="B530" s="73" t="s">
        <v>73</v>
      </c>
      <c r="C530" s="73" t="s">
        <v>74</v>
      </c>
      <c r="D530" s="74" t="s">
        <v>75</v>
      </c>
      <c r="E530" t="str">
        <f t="shared" si="10"/>
        <v>Delregion Göteborg</v>
      </c>
    </row>
    <row r="531" spans="1:5" ht="14.65" thickBot="1">
      <c r="A531" s="72">
        <v>42429</v>
      </c>
      <c r="B531" s="73" t="s">
        <v>73</v>
      </c>
      <c r="C531" s="73" t="s">
        <v>74</v>
      </c>
      <c r="D531" s="74" t="s">
        <v>75</v>
      </c>
      <c r="E531" t="str">
        <f t="shared" si="10"/>
        <v>Delregion Göteborg</v>
      </c>
    </row>
    <row r="532" spans="1:5" ht="14.65" thickBot="1">
      <c r="A532" s="72">
        <v>42430</v>
      </c>
      <c r="B532" s="73" t="s">
        <v>77</v>
      </c>
      <c r="C532" s="73" t="s">
        <v>74</v>
      </c>
      <c r="D532" s="74" t="s">
        <v>75</v>
      </c>
      <c r="E532" t="str">
        <f t="shared" si="10"/>
        <v>Delregion SIMBA</v>
      </c>
    </row>
    <row r="533" spans="1:5" ht="14.65" thickBot="1">
      <c r="A533" s="72">
        <v>42517</v>
      </c>
      <c r="B533" s="73" t="s">
        <v>73</v>
      </c>
      <c r="C533" s="73" t="s">
        <v>74</v>
      </c>
      <c r="D533" s="74" t="s">
        <v>75</v>
      </c>
      <c r="E533" t="str">
        <f t="shared" si="10"/>
        <v>Delregion Göteborg</v>
      </c>
    </row>
    <row r="534" spans="1:5" ht="14.65" thickBot="1">
      <c r="A534" s="72">
        <v>42657</v>
      </c>
      <c r="B534" s="73" t="s">
        <v>76</v>
      </c>
      <c r="C534" s="73" t="s">
        <v>74</v>
      </c>
      <c r="D534" s="74" t="s">
        <v>75</v>
      </c>
      <c r="E534" t="str">
        <f t="shared" si="10"/>
        <v>Delregion Skaraborg</v>
      </c>
    </row>
    <row r="535" spans="1:5" ht="14.65" thickBot="1">
      <c r="A535" s="60">
        <v>41668</v>
      </c>
      <c r="B535" s="61" t="s">
        <v>73</v>
      </c>
      <c r="C535" s="61" t="s">
        <v>134</v>
      </c>
      <c r="D535" s="63" t="s">
        <v>126</v>
      </c>
      <c r="E535" t="str">
        <f t="shared" si="10"/>
        <v>Delregion Göteborg</v>
      </c>
    </row>
    <row r="536" spans="1:5" ht="14.65" thickBot="1">
      <c r="A536" s="60">
        <v>41675</v>
      </c>
      <c r="B536" s="61" t="s">
        <v>73</v>
      </c>
      <c r="C536" s="61" t="s">
        <v>134</v>
      </c>
      <c r="D536" s="63" t="s">
        <v>126</v>
      </c>
      <c r="E536" t="str">
        <f t="shared" si="10"/>
        <v>Delregion Göteborg</v>
      </c>
    </row>
    <row r="537" spans="1:5" ht="14.65" thickBot="1">
      <c r="A537" s="60">
        <v>41681</v>
      </c>
      <c r="B537" s="61" t="s">
        <v>95</v>
      </c>
      <c r="C537" s="61" t="s">
        <v>134</v>
      </c>
      <c r="D537" s="63" t="s">
        <v>126</v>
      </c>
      <c r="E537" t="str">
        <f t="shared" si="10"/>
        <v>Delregion Södra Älvsborg</v>
      </c>
    </row>
    <row r="538" spans="1:5" ht="14.65" thickBot="1">
      <c r="A538" s="60">
        <v>41767</v>
      </c>
      <c r="B538" s="61" t="s">
        <v>109</v>
      </c>
      <c r="C538" s="61" t="s">
        <v>134</v>
      </c>
      <c r="D538" s="63" t="s">
        <v>126</v>
      </c>
      <c r="E538" t="str">
        <f t="shared" si="10"/>
        <v>Delregion Fyrbodal</v>
      </c>
    </row>
    <row r="539" spans="1:5" ht="14.65" thickBot="1">
      <c r="A539" s="60">
        <v>41787</v>
      </c>
      <c r="B539" s="61" t="s">
        <v>78</v>
      </c>
      <c r="C539" s="61" t="s">
        <v>134</v>
      </c>
      <c r="D539" s="63" t="s">
        <v>126</v>
      </c>
      <c r="E539" t="str">
        <f t="shared" si="10"/>
        <v>Delregion SIMBA</v>
      </c>
    </row>
    <row r="540" spans="1:5" ht="14.65" thickBot="1">
      <c r="A540" s="60">
        <v>41907</v>
      </c>
      <c r="B540" s="61" t="s">
        <v>86</v>
      </c>
      <c r="C540" s="61" t="s">
        <v>134</v>
      </c>
      <c r="D540" s="63" t="s">
        <v>126</v>
      </c>
      <c r="E540" t="str">
        <f t="shared" si="10"/>
        <v>Delregion Fyrbodal</v>
      </c>
    </row>
    <row r="541" spans="1:5" ht="14.65" thickBot="1">
      <c r="A541" s="60">
        <v>41913</v>
      </c>
      <c r="B541" s="61" t="s">
        <v>73</v>
      </c>
      <c r="C541" s="61" t="s">
        <v>134</v>
      </c>
      <c r="D541" s="63" t="s">
        <v>126</v>
      </c>
      <c r="E541" t="str">
        <f t="shared" si="10"/>
        <v>Delregion Göteborg</v>
      </c>
    </row>
    <row r="542" spans="1:5" ht="14.65" thickBot="1">
      <c r="A542" s="60">
        <v>41913</v>
      </c>
      <c r="B542" s="61" t="s">
        <v>73</v>
      </c>
      <c r="C542" s="61" t="s">
        <v>134</v>
      </c>
      <c r="D542" s="63" t="s">
        <v>126</v>
      </c>
      <c r="E542" t="str">
        <f t="shared" si="10"/>
        <v>Delregion Göteborg</v>
      </c>
    </row>
    <row r="543" spans="1:5" ht="14.65" thickBot="1">
      <c r="A543" s="60">
        <v>41927</v>
      </c>
      <c r="B543" s="61" t="s">
        <v>95</v>
      </c>
      <c r="C543" s="61" t="s">
        <v>134</v>
      </c>
      <c r="D543" s="63" t="s">
        <v>126</v>
      </c>
      <c r="E543" t="str">
        <f t="shared" si="10"/>
        <v>Delregion Södra Älvsborg</v>
      </c>
    </row>
    <row r="544" spans="1:5" ht="14.65" thickBot="1">
      <c r="A544" s="60">
        <v>41954</v>
      </c>
      <c r="B544" s="61" t="s">
        <v>73</v>
      </c>
      <c r="C544" s="61" t="s">
        <v>134</v>
      </c>
      <c r="D544" s="63" t="s">
        <v>126</v>
      </c>
      <c r="E544" t="str">
        <f t="shared" si="10"/>
        <v>Delregion Göteborg</v>
      </c>
    </row>
    <row r="545" spans="1:5" ht="14.65" thickBot="1">
      <c r="A545" s="60">
        <v>41962</v>
      </c>
      <c r="B545" s="61" t="s">
        <v>95</v>
      </c>
      <c r="C545" s="61" t="s">
        <v>134</v>
      </c>
      <c r="D545" s="63" t="s">
        <v>126</v>
      </c>
      <c r="E545" t="str">
        <f t="shared" si="10"/>
        <v>Delregion Södra Älvsborg</v>
      </c>
    </row>
    <row r="546" spans="1:5" ht="14.65" thickBot="1">
      <c r="A546" s="60">
        <v>41964</v>
      </c>
      <c r="B546" s="61" t="s">
        <v>78</v>
      </c>
      <c r="C546" s="61" t="s">
        <v>134</v>
      </c>
      <c r="D546" s="63" t="s">
        <v>126</v>
      </c>
      <c r="E546" t="str">
        <f t="shared" si="10"/>
        <v>Delregion SIMBA</v>
      </c>
    </row>
    <row r="547" spans="1:5" ht="14.65" thickBot="1">
      <c r="A547" s="60">
        <v>41969</v>
      </c>
      <c r="B547" s="61" t="s">
        <v>73</v>
      </c>
      <c r="C547" s="61" t="s">
        <v>134</v>
      </c>
      <c r="D547" s="63" t="s">
        <v>126</v>
      </c>
      <c r="E547" t="str">
        <f t="shared" si="10"/>
        <v>Delregion Göteborg</v>
      </c>
    </row>
    <row r="548" spans="1:5" ht="14.65" thickBot="1">
      <c r="A548" s="60">
        <v>42023</v>
      </c>
      <c r="B548" s="61" t="s">
        <v>76</v>
      </c>
      <c r="C548" s="61" t="s">
        <v>134</v>
      </c>
      <c r="D548" s="63" t="s">
        <v>126</v>
      </c>
      <c r="E548" t="str">
        <f t="shared" si="10"/>
        <v>Delregion Skaraborg</v>
      </c>
    </row>
    <row r="549" spans="1:5" ht="14.65" thickBot="1">
      <c r="A549" s="60">
        <v>42059</v>
      </c>
      <c r="B549" s="61" t="s">
        <v>86</v>
      </c>
      <c r="C549" s="61" t="s">
        <v>134</v>
      </c>
      <c r="D549" s="63" t="s">
        <v>126</v>
      </c>
      <c r="E549" t="str">
        <f t="shared" si="10"/>
        <v>Delregion Fyrbodal</v>
      </c>
    </row>
    <row r="550" spans="1:5" ht="14.65" thickBot="1">
      <c r="A550" s="60">
        <v>42108</v>
      </c>
      <c r="B550" s="61" t="s">
        <v>115</v>
      </c>
      <c r="C550" s="61" t="s">
        <v>134</v>
      </c>
      <c r="D550" s="63" t="s">
        <v>126</v>
      </c>
      <c r="E550" t="str">
        <f t="shared" si="10"/>
        <v>Delregion Göteborg</v>
      </c>
    </row>
    <row r="551" spans="1:5" ht="14.65" thickBot="1">
      <c r="A551" s="60">
        <v>42118</v>
      </c>
      <c r="B551" s="61" t="s">
        <v>95</v>
      </c>
      <c r="C551" s="61" t="s">
        <v>134</v>
      </c>
      <c r="D551" s="63" t="s">
        <v>126</v>
      </c>
      <c r="E551" t="str">
        <f t="shared" si="10"/>
        <v>Delregion Södra Älvsborg</v>
      </c>
    </row>
    <row r="552" spans="1:5" ht="14.65" thickBot="1">
      <c r="A552" s="60">
        <v>42227</v>
      </c>
      <c r="B552" s="61" t="s">
        <v>80</v>
      </c>
      <c r="C552" s="61" t="s">
        <v>134</v>
      </c>
      <c r="D552" s="63" t="s">
        <v>126</v>
      </c>
      <c r="E552" t="str">
        <f t="shared" si="10"/>
        <v>Delregion Södra Älvsborg</v>
      </c>
    </row>
    <row r="553" spans="1:5" ht="14.65" thickBot="1">
      <c r="A553" s="60">
        <v>42243</v>
      </c>
      <c r="B553" s="61" t="s">
        <v>73</v>
      </c>
      <c r="C553" s="61" t="s">
        <v>134</v>
      </c>
      <c r="D553" s="63" t="s">
        <v>126</v>
      </c>
      <c r="E553" t="str">
        <f t="shared" si="10"/>
        <v>Delregion Göteborg</v>
      </c>
    </row>
    <row r="554" spans="1:5" ht="14.65" thickBot="1">
      <c r="A554" s="60">
        <v>42268</v>
      </c>
      <c r="B554" s="61" t="s">
        <v>115</v>
      </c>
      <c r="C554" s="61" t="s">
        <v>134</v>
      </c>
      <c r="D554" s="63" t="s">
        <v>126</v>
      </c>
      <c r="E554" t="str">
        <f t="shared" si="10"/>
        <v>Delregion Göteborg</v>
      </c>
    </row>
    <row r="555" spans="1:5" ht="14.65" thickBot="1">
      <c r="A555" s="60">
        <v>42268</v>
      </c>
      <c r="B555" s="61" t="s">
        <v>115</v>
      </c>
      <c r="C555" s="61" t="s">
        <v>134</v>
      </c>
      <c r="D555" s="63" t="s">
        <v>126</v>
      </c>
      <c r="E555" t="str">
        <f t="shared" si="10"/>
        <v>Delregion Göteborg</v>
      </c>
    </row>
    <row r="556" spans="1:5" ht="14.65" thickBot="1">
      <c r="A556" s="60">
        <v>42272</v>
      </c>
      <c r="B556" s="61" t="s">
        <v>73</v>
      </c>
      <c r="C556" s="61" t="s">
        <v>134</v>
      </c>
      <c r="D556" s="63" t="s">
        <v>126</v>
      </c>
      <c r="E556" t="str">
        <f t="shared" si="10"/>
        <v>Delregion Göteborg</v>
      </c>
    </row>
    <row r="557" spans="1:5" ht="14.65" thickBot="1">
      <c r="A557" s="72">
        <v>42376</v>
      </c>
      <c r="B557" s="73" t="s">
        <v>99</v>
      </c>
      <c r="C557" s="73" t="s">
        <v>134</v>
      </c>
      <c r="D557" s="74" t="s">
        <v>126</v>
      </c>
      <c r="E557" t="str">
        <f t="shared" si="10"/>
        <v>Delregion Skaraborg</v>
      </c>
    </row>
    <row r="558" spans="1:5" ht="14.65" thickBot="1">
      <c r="A558" s="72">
        <v>42458</v>
      </c>
      <c r="B558" s="73" t="s">
        <v>115</v>
      </c>
      <c r="C558" s="73" t="s">
        <v>134</v>
      </c>
      <c r="D558" s="74" t="s">
        <v>126</v>
      </c>
      <c r="E558" t="str">
        <f t="shared" si="10"/>
        <v>Delregion Göteborg</v>
      </c>
    </row>
    <row r="559" spans="1:5" ht="14.65" thickBot="1">
      <c r="A559" s="72">
        <v>42472</v>
      </c>
      <c r="B559" s="73" t="s">
        <v>115</v>
      </c>
      <c r="C559" s="73" t="s">
        <v>134</v>
      </c>
      <c r="D559" s="74" t="s">
        <v>126</v>
      </c>
      <c r="E559" t="str">
        <f t="shared" si="10"/>
        <v>Delregion Göteborg</v>
      </c>
    </row>
    <row r="560" spans="1:5" ht="14.65" thickBot="1">
      <c r="A560" s="72">
        <v>42473</v>
      </c>
      <c r="B560" s="73" t="s">
        <v>97</v>
      </c>
      <c r="C560" s="73" t="s">
        <v>134</v>
      </c>
      <c r="D560" s="74" t="s">
        <v>126</v>
      </c>
      <c r="E560" t="str">
        <f t="shared" si="10"/>
        <v>Delregion Fyrbodal</v>
      </c>
    </row>
    <row r="561" spans="1:5" ht="14.65" thickBot="1">
      <c r="A561" s="72">
        <v>42573</v>
      </c>
      <c r="B561" s="73" t="s">
        <v>115</v>
      </c>
      <c r="C561" s="73" t="s">
        <v>134</v>
      </c>
      <c r="D561" s="74" t="s">
        <v>126</v>
      </c>
      <c r="E561" t="str">
        <f t="shared" si="10"/>
        <v>Delregion Göteborg</v>
      </c>
    </row>
    <row r="562" spans="1:5" ht="14.65" thickBot="1">
      <c r="A562" s="72">
        <v>42621</v>
      </c>
      <c r="B562" s="73" t="s">
        <v>73</v>
      </c>
      <c r="C562" s="73" t="s">
        <v>134</v>
      </c>
      <c r="D562" s="74" t="s">
        <v>126</v>
      </c>
      <c r="E562" t="str">
        <f t="shared" si="10"/>
        <v>Delregion Göteborg</v>
      </c>
    </row>
    <row r="563" spans="1:5" ht="14.65" thickBot="1">
      <c r="A563" s="72">
        <v>42703</v>
      </c>
      <c r="B563" s="73" t="s">
        <v>73</v>
      </c>
      <c r="C563" s="73" t="s">
        <v>134</v>
      </c>
      <c r="D563" s="74" t="s">
        <v>126</v>
      </c>
      <c r="E563" t="str">
        <f t="shared" si="10"/>
        <v>Delregion Göteborg</v>
      </c>
    </row>
    <row r="564" spans="1:5" ht="14.65" thickBot="1">
      <c r="A564" s="72">
        <v>42717</v>
      </c>
      <c r="B564" s="73" t="s">
        <v>95</v>
      </c>
      <c r="C564" s="73" t="s">
        <v>134</v>
      </c>
      <c r="D564" s="74" t="s">
        <v>126</v>
      </c>
      <c r="E564" t="str">
        <f t="shared" si="10"/>
        <v>Delregion Södra Älvsborg</v>
      </c>
    </row>
    <row r="565" spans="1:5" ht="14.65" thickBot="1">
      <c r="A565" s="60">
        <v>41666</v>
      </c>
      <c r="B565" s="61" t="s">
        <v>73</v>
      </c>
      <c r="C565" s="61" t="s">
        <v>130</v>
      </c>
      <c r="D565" s="63" t="s">
        <v>126</v>
      </c>
      <c r="E565" t="str">
        <f t="shared" si="10"/>
        <v>Delregion Göteborg</v>
      </c>
    </row>
    <row r="566" spans="1:5" ht="14.65" thickBot="1">
      <c r="A566" s="60">
        <v>41711</v>
      </c>
      <c r="B566" s="61" t="s">
        <v>86</v>
      </c>
      <c r="C566" s="61" t="s">
        <v>130</v>
      </c>
      <c r="D566" s="63" t="s">
        <v>126</v>
      </c>
      <c r="E566" t="str">
        <f t="shared" si="10"/>
        <v>Delregion Fyrbodal</v>
      </c>
    </row>
    <row r="567" spans="1:5" ht="14.65" thickBot="1">
      <c r="A567" s="60">
        <v>41830</v>
      </c>
      <c r="B567" s="61" t="s">
        <v>95</v>
      </c>
      <c r="C567" s="61" t="s">
        <v>130</v>
      </c>
      <c r="D567" s="63" t="s">
        <v>126</v>
      </c>
      <c r="E567" t="str">
        <f t="shared" si="10"/>
        <v>Delregion Södra Älvsborg</v>
      </c>
    </row>
    <row r="568" spans="1:5" ht="14.65" thickBot="1">
      <c r="A568" s="60">
        <v>41851</v>
      </c>
      <c r="B568" s="61" t="s">
        <v>73</v>
      </c>
      <c r="C568" s="61" t="s">
        <v>130</v>
      </c>
      <c r="D568" s="63" t="s">
        <v>126</v>
      </c>
      <c r="E568" t="str">
        <f t="shared" si="10"/>
        <v>Delregion Göteborg</v>
      </c>
    </row>
    <row r="569" spans="1:5" ht="14.65" thickBot="1">
      <c r="A569" s="60">
        <v>41878</v>
      </c>
      <c r="B569" s="61" t="s">
        <v>115</v>
      </c>
      <c r="C569" s="61" t="s">
        <v>130</v>
      </c>
      <c r="D569" s="63" t="s">
        <v>126</v>
      </c>
      <c r="E569" t="str">
        <f t="shared" si="10"/>
        <v>Delregion Göteborg</v>
      </c>
    </row>
    <row r="570" spans="1:5" ht="14.65" thickBot="1">
      <c r="A570" s="60">
        <v>41939</v>
      </c>
      <c r="B570" s="61" t="s">
        <v>80</v>
      </c>
      <c r="C570" s="61" t="s">
        <v>130</v>
      </c>
      <c r="D570" s="63" t="s">
        <v>126</v>
      </c>
      <c r="E570" t="str">
        <f t="shared" si="10"/>
        <v>Delregion Södra Älvsborg</v>
      </c>
    </row>
    <row r="571" spans="1:5" ht="14.65" thickBot="1">
      <c r="A571" s="60">
        <v>41950</v>
      </c>
      <c r="B571" s="61" t="s">
        <v>76</v>
      </c>
      <c r="C571" s="61" t="s">
        <v>130</v>
      </c>
      <c r="D571" s="63" t="s">
        <v>126</v>
      </c>
      <c r="E571" t="str">
        <f t="shared" si="10"/>
        <v>Delregion Skaraborg</v>
      </c>
    </row>
    <row r="572" spans="1:5" ht="14.65" thickBot="1">
      <c r="A572" s="60">
        <v>41954</v>
      </c>
      <c r="B572" s="61" t="s">
        <v>73</v>
      </c>
      <c r="C572" s="61" t="s">
        <v>130</v>
      </c>
      <c r="D572" s="63" t="s">
        <v>126</v>
      </c>
      <c r="E572" t="str">
        <f t="shared" si="10"/>
        <v>Delregion Göteborg</v>
      </c>
    </row>
    <row r="573" spans="1:5" ht="14.65" thickBot="1">
      <c r="A573" s="60">
        <v>42129</v>
      </c>
      <c r="B573" s="61" t="s">
        <v>97</v>
      </c>
      <c r="C573" s="61" t="s">
        <v>130</v>
      </c>
      <c r="D573" s="63" t="s">
        <v>126</v>
      </c>
      <c r="E573" t="str">
        <f t="shared" si="10"/>
        <v>Delregion Fyrbodal</v>
      </c>
    </row>
    <row r="574" spans="1:5" ht="14.65" thickBot="1">
      <c r="A574" s="60">
        <v>42256</v>
      </c>
      <c r="B574" s="61" t="s">
        <v>73</v>
      </c>
      <c r="C574" s="61" t="s">
        <v>130</v>
      </c>
      <c r="D574" s="63" t="s">
        <v>126</v>
      </c>
      <c r="E574" t="str">
        <f t="shared" si="10"/>
        <v>Delregion Göteborg</v>
      </c>
    </row>
    <row r="575" spans="1:5" ht="14.65" thickBot="1">
      <c r="A575" s="60">
        <v>42286</v>
      </c>
      <c r="B575" s="61" t="s">
        <v>73</v>
      </c>
      <c r="C575" s="61" t="s">
        <v>130</v>
      </c>
      <c r="D575" s="63" t="s">
        <v>126</v>
      </c>
      <c r="E575" t="str">
        <f t="shared" si="10"/>
        <v>Delregion Göteborg</v>
      </c>
    </row>
    <row r="576" spans="1:5" ht="14.65" thickBot="1">
      <c r="A576" s="72">
        <v>42382</v>
      </c>
      <c r="B576" s="73" t="s">
        <v>78</v>
      </c>
      <c r="C576" s="73" t="s">
        <v>130</v>
      </c>
      <c r="D576" s="74" t="s">
        <v>126</v>
      </c>
      <c r="E576" t="str">
        <f t="shared" si="10"/>
        <v>Delregion SIMBA</v>
      </c>
    </row>
    <row r="577" spans="1:5" ht="14.65" thickBot="1">
      <c r="A577" s="72">
        <v>42388</v>
      </c>
      <c r="B577" s="73" t="s">
        <v>73</v>
      </c>
      <c r="C577" s="73" t="s">
        <v>130</v>
      </c>
      <c r="D577" s="74" t="s">
        <v>126</v>
      </c>
      <c r="E577" t="str">
        <f t="shared" si="10"/>
        <v>Delregion Göteborg</v>
      </c>
    </row>
    <row r="578" spans="1:5" ht="14.65" thickBot="1">
      <c r="A578" s="72">
        <v>42394</v>
      </c>
      <c r="B578" s="73" t="s">
        <v>115</v>
      </c>
      <c r="C578" s="73" t="s">
        <v>130</v>
      </c>
      <c r="D578" s="74" t="s">
        <v>126</v>
      </c>
      <c r="E578" t="str">
        <f t="shared" si="10"/>
        <v>Delregion Göteborg</v>
      </c>
    </row>
    <row r="579" spans="1:5" ht="14.65" thickBot="1">
      <c r="A579" s="72">
        <v>42422</v>
      </c>
      <c r="B579" s="73" t="s">
        <v>73</v>
      </c>
      <c r="C579" s="73" t="s">
        <v>130</v>
      </c>
      <c r="D579" s="74" t="s">
        <v>126</v>
      </c>
      <c r="E579" t="str">
        <f t="shared" si="10"/>
        <v>Delregion Göteborg</v>
      </c>
    </row>
    <row r="580" spans="1:5" ht="14.65" thickBot="1">
      <c r="A580" s="72">
        <v>42486</v>
      </c>
      <c r="B580" s="73" t="s">
        <v>73</v>
      </c>
      <c r="C580" s="73" t="s">
        <v>130</v>
      </c>
      <c r="D580" s="74" t="s">
        <v>126</v>
      </c>
      <c r="E580" t="str">
        <f t="shared" si="10"/>
        <v>Delregion Göteborg</v>
      </c>
    </row>
    <row r="581" spans="1:5" ht="14.65" thickBot="1">
      <c r="A581" s="72">
        <v>42489</v>
      </c>
      <c r="B581" s="73" t="s">
        <v>73</v>
      </c>
      <c r="C581" s="73" t="s">
        <v>130</v>
      </c>
      <c r="D581" s="74" t="s">
        <v>126</v>
      </c>
      <c r="E581" t="str">
        <f t="shared" si="10"/>
        <v>Delregion Göteborg</v>
      </c>
    </row>
    <row r="582" spans="1:5" ht="14.65" thickBot="1">
      <c r="A582" s="72">
        <v>42499</v>
      </c>
      <c r="B582" s="73" t="s">
        <v>99</v>
      </c>
      <c r="C582" s="73" t="s">
        <v>130</v>
      </c>
      <c r="D582" s="74" t="s">
        <v>126</v>
      </c>
      <c r="E582" t="str">
        <f t="shared" si="10"/>
        <v>Delregion Skaraborg</v>
      </c>
    </row>
    <row r="583" spans="1:5" ht="14.65" thickBot="1">
      <c r="A583" s="72">
        <v>42614</v>
      </c>
      <c r="B583" s="73" t="s">
        <v>90</v>
      </c>
      <c r="C583" s="73" t="s">
        <v>130</v>
      </c>
      <c r="D583" s="74" t="s">
        <v>126</v>
      </c>
      <c r="E583" t="str">
        <f t="shared" si="10"/>
        <v>Delregion Skaraborg</v>
      </c>
    </row>
    <row r="584" spans="1:5" ht="14.65" thickBot="1">
      <c r="A584" s="72">
        <v>42648</v>
      </c>
      <c r="B584" s="73" t="s">
        <v>133</v>
      </c>
      <c r="C584" s="73" t="s">
        <v>130</v>
      </c>
      <c r="D584" s="74" t="s">
        <v>126</v>
      </c>
      <c r="E584" t="str">
        <f t="shared" si="10"/>
        <v>Delregion Skaraborg</v>
      </c>
    </row>
    <row r="585" spans="1:5" ht="14.65" thickBot="1">
      <c r="A585" s="72">
        <v>42654</v>
      </c>
      <c r="B585" s="73" t="s">
        <v>73</v>
      </c>
      <c r="C585" s="73" t="s">
        <v>130</v>
      </c>
      <c r="D585" s="74" t="s">
        <v>126</v>
      </c>
      <c r="E585" t="str">
        <f t="shared" si="10"/>
        <v>Delregion Göteborg</v>
      </c>
    </row>
    <row r="586" spans="1:5" ht="14.65" thickBot="1">
      <c r="A586" s="72">
        <v>42685</v>
      </c>
      <c r="B586" s="73" t="s">
        <v>73</v>
      </c>
      <c r="C586" s="73" t="s">
        <v>130</v>
      </c>
      <c r="D586" s="74" t="s">
        <v>126</v>
      </c>
      <c r="E586" t="str">
        <f t="shared" si="10"/>
        <v>Delregion Göteborg</v>
      </c>
    </row>
    <row r="587" spans="1:5" ht="14.65" thickBot="1">
      <c r="A587" s="72">
        <v>42688</v>
      </c>
      <c r="B587" s="73" t="s">
        <v>73</v>
      </c>
      <c r="C587" s="73" t="s">
        <v>130</v>
      </c>
      <c r="D587" s="74" t="s">
        <v>126</v>
      </c>
      <c r="E587" t="str">
        <f t="shared" si="10"/>
        <v>Delregion Göteborg</v>
      </c>
    </row>
    <row r="588" spans="1:5" ht="14.65" thickBot="1">
      <c r="A588" s="72">
        <v>42718</v>
      </c>
      <c r="B588" s="73" t="s">
        <v>115</v>
      </c>
      <c r="C588" s="73" t="s">
        <v>130</v>
      </c>
      <c r="D588" s="74" t="s">
        <v>126</v>
      </c>
      <c r="E588" t="str">
        <f t="shared" si="10"/>
        <v>Delregion Göteborg</v>
      </c>
    </row>
    <row r="589" spans="1:5" ht="14.65" thickBot="1">
      <c r="A589" s="60">
        <v>42018</v>
      </c>
      <c r="B589" s="61" t="s">
        <v>73</v>
      </c>
      <c r="C589" s="61" t="s">
        <v>138</v>
      </c>
      <c r="D589" s="63" t="s">
        <v>126</v>
      </c>
      <c r="E589" t="str">
        <f t="shared" ref="E589:E652" si="11">VLOOKUP(B589,$Q$13:$R$61,2,FALSE)</f>
        <v>Delregion Göteborg</v>
      </c>
    </row>
    <row r="590" spans="1:5" ht="14.65" thickBot="1">
      <c r="A590" s="72">
        <v>42436</v>
      </c>
      <c r="B590" s="73" t="s">
        <v>80</v>
      </c>
      <c r="C590" s="73" t="s">
        <v>138</v>
      </c>
      <c r="D590" s="74" t="s">
        <v>126</v>
      </c>
      <c r="E590" t="str">
        <f t="shared" si="11"/>
        <v>Delregion Södra Älvsborg</v>
      </c>
    </row>
    <row r="591" spans="1:5" ht="14.65" thickBot="1">
      <c r="A591" s="60">
        <v>41754</v>
      </c>
      <c r="B591" s="61" t="s">
        <v>73</v>
      </c>
      <c r="C591" s="61" t="s">
        <v>196</v>
      </c>
      <c r="D591" s="63" t="s">
        <v>126</v>
      </c>
      <c r="E591" t="str">
        <f t="shared" si="11"/>
        <v>Delregion Göteborg</v>
      </c>
    </row>
    <row r="592" spans="1:5" ht="14.65" thickBot="1">
      <c r="A592" s="60">
        <v>42320</v>
      </c>
      <c r="B592" s="61" t="s">
        <v>73</v>
      </c>
      <c r="C592" s="61" t="s">
        <v>137</v>
      </c>
      <c r="D592" s="63" t="s">
        <v>126</v>
      </c>
      <c r="E592" t="str">
        <f t="shared" si="11"/>
        <v>Delregion Göteborg</v>
      </c>
    </row>
    <row r="593" spans="1:5" ht="14.65" thickBot="1">
      <c r="A593" s="72">
        <v>42377</v>
      </c>
      <c r="B593" s="73" t="s">
        <v>99</v>
      </c>
      <c r="C593" s="73" t="s">
        <v>137</v>
      </c>
      <c r="D593" s="74" t="s">
        <v>126</v>
      </c>
      <c r="E593" t="str">
        <f t="shared" si="11"/>
        <v>Delregion Skaraborg</v>
      </c>
    </row>
    <row r="594" spans="1:5" ht="14.65" thickBot="1">
      <c r="A594" s="72">
        <v>42634</v>
      </c>
      <c r="B594" s="73" t="s">
        <v>73</v>
      </c>
      <c r="C594" s="73" t="s">
        <v>135</v>
      </c>
      <c r="D594" s="74" t="s">
        <v>126</v>
      </c>
      <c r="E594" t="str">
        <f t="shared" si="11"/>
        <v>Delregion Göteborg</v>
      </c>
    </row>
    <row r="595" spans="1:5" ht="14.65" thickBot="1">
      <c r="A595" s="60">
        <v>41647</v>
      </c>
      <c r="B595" s="61" t="s">
        <v>73</v>
      </c>
      <c r="C595" s="61" t="s">
        <v>128</v>
      </c>
      <c r="D595" s="63" t="s">
        <v>126</v>
      </c>
      <c r="E595" t="str">
        <f t="shared" si="11"/>
        <v>Delregion Göteborg</v>
      </c>
    </row>
    <row r="596" spans="1:5" ht="14.65" thickBot="1">
      <c r="A596" s="60">
        <v>41703</v>
      </c>
      <c r="B596" s="61" t="s">
        <v>73</v>
      </c>
      <c r="C596" s="61" t="s">
        <v>128</v>
      </c>
      <c r="D596" s="63" t="s">
        <v>126</v>
      </c>
      <c r="E596" t="str">
        <f t="shared" si="11"/>
        <v>Delregion Göteborg</v>
      </c>
    </row>
    <row r="597" spans="1:5" ht="14.65" thickBot="1">
      <c r="A597" s="60">
        <v>42019</v>
      </c>
      <c r="B597" s="61" t="s">
        <v>80</v>
      </c>
      <c r="C597" s="61" t="s">
        <v>128</v>
      </c>
      <c r="D597" s="63" t="s">
        <v>126</v>
      </c>
      <c r="E597" t="str">
        <f t="shared" si="11"/>
        <v>Delregion Södra Älvsborg</v>
      </c>
    </row>
    <row r="598" spans="1:5" ht="14.65" thickBot="1">
      <c r="A598" s="60">
        <v>42060</v>
      </c>
      <c r="B598" s="61" t="s">
        <v>136</v>
      </c>
      <c r="C598" s="61" t="s">
        <v>128</v>
      </c>
      <c r="D598" s="63" t="s">
        <v>126</v>
      </c>
      <c r="E598" t="str">
        <f t="shared" si="11"/>
        <v>Delregion Fyrbodal</v>
      </c>
    </row>
    <row r="599" spans="1:5" ht="14.65" thickBot="1">
      <c r="A599" s="60">
        <v>42236</v>
      </c>
      <c r="B599" s="61" t="s">
        <v>77</v>
      </c>
      <c r="C599" s="61" t="s">
        <v>128</v>
      </c>
      <c r="D599" s="63" t="s">
        <v>126</v>
      </c>
      <c r="E599" t="str">
        <f t="shared" si="11"/>
        <v>Delregion SIMBA</v>
      </c>
    </row>
    <row r="600" spans="1:5" ht="14.65" thickBot="1">
      <c r="A600" s="60">
        <v>42305</v>
      </c>
      <c r="B600" s="61" t="s">
        <v>73</v>
      </c>
      <c r="C600" s="61" t="s">
        <v>128</v>
      </c>
      <c r="D600" s="63" t="s">
        <v>126</v>
      </c>
      <c r="E600" t="str">
        <f t="shared" si="11"/>
        <v>Delregion Göteborg</v>
      </c>
    </row>
    <row r="601" spans="1:5" ht="14.65" thickBot="1">
      <c r="A601" s="72">
        <v>42388</v>
      </c>
      <c r="B601" s="73" t="s">
        <v>73</v>
      </c>
      <c r="C601" s="73" t="s">
        <v>128</v>
      </c>
      <c r="D601" s="74" t="s">
        <v>126</v>
      </c>
      <c r="E601" t="str">
        <f t="shared" si="11"/>
        <v>Delregion Göteborg</v>
      </c>
    </row>
    <row r="602" spans="1:5" ht="14.65" thickBot="1">
      <c r="A602" s="72">
        <v>42499</v>
      </c>
      <c r="B602" s="73" t="s">
        <v>115</v>
      </c>
      <c r="C602" s="73" t="s">
        <v>128</v>
      </c>
      <c r="D602" s="74" t="s">
        <v>126</v>
      </c>
      <c r="E602" t="str">
        <f t="shared" si="11"/>
        <v>Delregion Göteborg</v>
      </c>
    </row>
    <row r="603" spans="1:5" ht="14.65" thickBot="1">
      <c r="A603" s="72">
        <v>42629</v>
      </c>
      <c r="B603" s="73" t="s">
        <v>78</v>
      </c>
      <c r="C603" s="73" t="s">
        <v>128</v>
      </c>
      <c r="D603" s="74" t="s">
        <v>126</v>
      </c>
      <c r="E603" t="str">
        <f t="shared" si="11"/>
        <v>Delregion SIMBA</v>
      </c>
    </row>
    <row r="604" spans="1:5" ht="14.65" thickBot="1">
      <c r="A604" s="60">
        <v>41661</v>
      </c>
      <c r="B604" s="61" t="s">
        <v>73</v>
      </c>
      <c r="C604" s="61" t="s">
        <v>127</v>
      </c>
      <c r="D604" s="63" t="s">
        <v>126</v>
      </c>
      <c r="E604" t="str">
        <f t="shared" si="11"/>
        <v>Delregion Göteborg</v>
      </c>
    </row>
    <row r="605" spans="1:5" ht="14.65" thickBot="1">
      <c r="A605" s="60">
        <v>41676</v>
      </c>
      <c r="B605" s="61" t="s">
        <v>80</v>
      </c>
      <c r="C605" s="61" t="s">
        <v>127</v>
      </c>
      <c r="D605" s="63" t="s">
        <v>126</v>
      </c>
      <c r="E605" t="str">
        <f t="shared" si="11"/>
        <v>Delregion Södra Älvsborg</v>
      </c>
    </row>
    <row r="606" spans="1:5" ht="14.65" thickBot="1">
      <c r="A606" s="60">
        <v>41681</v>
      </c>
      <c r="B606" s="61" t="s">
        <v>97</v>
      </c>
      <c r="C606" s="61" t="s">
        <v>127</v>
      </c>
      <c r="D606" s="63" t="s">
        <v>126</v>
      </c>
      <c r="E606" t="str">
        <f t="shared" si="11"/>
        <v>Delregion Fyrbodal</v>
      </c>
    </row>
    <row r="607" spans="1:5" ht="14.65" thickBot="1">
      <c r="A607" s="60">
        <v>41688</v>
      </c>
      <c r="B607" s="61" t="s">
        <v>115</v>
      </c>
      <c r="C607" s="61" t="s">
        <v>127</v>
      </c>
      <c r="D607" s="63" t="s">
        <v>126</v>
      </c>
      <c r="E607" t="str">
        <f t="shared" si="11"/>
        <v>Delregion Göteborg</v>
      </c>
    </row>
    <row r="608" spans="1:5" ht="14.65" thickBot="1">
      <c r="A608" s="60">
        <v>41694</v>
      </c>
      <c r="B608" s="61" t="s">
        <v>95</v>
      </c>
      <c r="C608" s="61" t="s">
        <v>127</v>
      </c>
      <c r="D608" s="63" t="s">
        <v>126</v>
      </c>
      <c r="E608" t="str">
        <f t="shared" si="11"/>
        <v>Delregion Södra Älvsborg</v>
      </c>
    </row>
    <row r="609" spans="1:5" ht="14.65" thickBot="1">
      <c r="A609" s="60">
        <v>41730</v>
      </c>
      <c r="B609" s="61" t="s">
        <v>73</v>
      </c>
      <c r="C609" s="61" t="s">
        <v>127</v>
      </c>
      <c r="D609" s="63" t="s">
        <v>126</v>
      </c>
      <c r="E609" t="str">
        <f t="shared" si="11"/>
        <v>Delregion Göteborg</v>
      </c>
    </row>
    <row r="610" spans="1:5" ht="14.65" thickBot="1">
      <c r="A610" s="60">
        <v>41743</v>
      </c>
      <c r="B610" s="61" t="s">
        <v>116</v>
      </c>
      <c r="C610" s="61" t="s">
        <v>127</v>
      </c>
      <c r="D610" s="63" t="s">
        <v>126</v>
      </c>
      <c r="E610" t="str">
        <f t="shared" si="11"/>
        <v>Delregion Södra Älvsborg</v>
      </c>
    </row>
    <row r="611" spans="1:5" ht="14.65" thickBot="1">
      <c r="A611" s="60">
        <v>41758</v>
      </c>
      <c r="B611" s="61" t="s">
        <v>73</v>
      </c>
      <c r="C611" s="61" t="s">
        <v>127</v>
      </c>
      <c r="D611" s="63" t="s">
        <v>126</v>
      </c>
      <c r="E611" t="str">
        <f t="shared" si="11"/>
        <v>Delregion Göteborg</v>
      </c>
    </row>
    <row r="612" spans="1:5" ht="14.65" thickBot="1">
      <c r="A612" s="60">
        <v>41800</v>
      </c>
      <c r="B612" s="61" t="s">
        <v>95</v>
      </c>
      <c r="C612" s="61" t="s">
        <v>127</v>
      </c>
      <c r="D612" s="63" t="s">
        <v>126</v>
      </c>
      <c r="E612" t="str">
        <f t="shared" si="11"/>
        <v>Delregion Södra Älvsborg</v>
      </c>
    </row>
    <row r="613" spans="1:5" ht="14.65" thickBot="1">
      <c r="A613" s="60">
        <v>41800</v>
      </c>
      <c r="B613" s="61" t="s">
        <v>77</v>
      </c>
      <c r="C613" s="61" t="s">
        <v>127</v>
      </c>
      <c r="D613" s="63" t="s">
        <v>126</v>
      </c>
      <c r="E613" t="str">
        <f t="shared" si="11"/>
        <v>Delregion SIMBA</v>
      </c>
    </row>
    <row r="614" spans="1:5" ht="14.65" thickBot="1">
      <c r="A614" s="60">
        <v>41870</v>
      </c>
      <c r="B614" s="61" t="s">
        <v>73</v>
      </c>
      <c r="C614" s="61" t="s">
        <v>127</v>
      </c>
      <c r="D614" s="63" t="s">
        <v>126</v>
      </c>
      <c r="E614" t="str">
        <f t="shared" si="11"/>
        <v>Delregion Göteborg</v>
      </c>
    </row>
    <row r="615" spans="1:5" ht="14.65" thickBot="1">
      <c r="A615" s="60">
        <v>41870</v>
      </c>
      <c r="B615" s="61" t="s">
        <v>119</v>
      </c>
      <c r="C615" s="61" t="s">
        <v>127</v>
      </c>
      <c r="D615" s="63" t="s">
        <v>126</v>
      </c>
      <c r="E615" t="str">
        <f t="shared" si="11"/>
        <v>Delregion Skaraborg</v>
      </c>
    </row>
    <row r="616" spans="1:5" ht="14.65" thickBot="1">
      <c r="A616" s="60">
        <v>41872</v>
      </c>
      <c r="B616" s="61" t="s">
        <v>110</v>
      </c>
      <c r="C616" s="61" t="s">
        <v>127</v>
      </c>
      <c r="D616" s="63" t="s">
        <v>126</v>
      </c>
      <c r="E616" t="str">
        <f t="shared" si="11"/>
        <v>Delregion Fyrbodal</v>
      </c>
    </row>
    <row r="617" spans="1:5" ht="14.65" thickBot="1">
      <c r="A617" s="60">
        <v>41878</v>
      </c>
      <c r="B617" s="61" t="s">
        <v>102</v>
      </c>
      <c r="C617" s="61" t="s">
        <v>127</v>
      </c>
      <c r="D617" s="63" t="s">
        <v>126</v>
      </c>
      <c r="E617" t="str">
        <f t="shared" si="11"/>
        <v>Delregion Södra Älvsborg</v>
      </c>
    </row>
    <row r="618" spans="1:5" ht="14.65" thickBot="1">
      <c r="A618" s="60">
        <v>41911</v>
      </c>
      <c r="B618" s="61" t="s">
        <v>97</v>
      </c>
      <c r="C618" s="61" t="s">
        <v>127</v>
      </c>
      <c r="D618" s="63" t="s">
        <v>126</v>
      </c>
      <c r="E618" t="str">
        <f t="shared" si="11"/>
        <v>Delregion Fyrbodal</v>
      </c>
    </row>
    <row r="619" spans="1:5" ht="14.65" thickBot="1">
      <c r="A619" s="60">
        <v>41948</v>
      </c>
      <c r="B619" s="61" t="s">
        <v>86</v>
      </c>
      <c r="C619" s="61" t="s">
        <v>127</v>
      </c>
      <c r="D619" s="63" t="s">
        <v>126</v>
      </c>
      <c r="E619" t="str">
        <f t="shared" si="11"/>
        <v>Delregion Fyrbodal</v>
      </c>
    </row>
    <row r="620" spans="1:5" ht="14.65" thickBot="1">
      <c r="A620" s="60">
        <v>41949</v>
      </c>
      <c r="B620" s="61" t="s">
        <v>81</v>
      </c>
      <c r="C620" s="61" t="s">
        <v>127</v>
      </c>
      <c r="D620" s="63" t="s">
        <v>126</v>
      </c>
      <c r="E620" t="str">
        <f t="shared" si="11"/>
        <v>Delregion Fyrbodal</v>
      </c>
    </row>
    <row r="621" spans="1:5" ht="14.65" thickBot="1">
      <c r="A621" s="60">
        <v>41960</v>
      </c>
      <c r="B621" s="61" t="s">
        <v>115</v>
      </c>
      <c r="C621" s="61" t="s">
        <v>127</v>
      </c>
      <c r="D621" s="63" t="s">
        <v>126</v>
      </c>
      <c r="E621" t="str">
        <f t="shared" si="11"/>
        <v>Delregion Göteborg</v>
      </c>
    </row>
    <row r="622" spans="1:5" ht="14.65" thickBot="1">
      <c r="A622" s="60">
        <v>41974</v>
      </c>
      <c r="B622" s="61" t="s">
        <v>73</v>
      </c>
      <c r="C622" s="61" t="s">
        <v>127</v>
      </c>
      <c r="D622" s="63" t="s">
        <v>126</v>
      </c>
      <c r="E622" t="str">
        <f t="shared" si="11"/>
        <v>Delregion Göteborg</v>
      </c>
    </row>
    <row r="623" spans="1:5" ht="14.65" thickBot="1">
      <c r="A623" s="60">
        <v>41974</v>
      </c>
      <c r="B623" s="61" t="s">
        <v>73</v>
      </c>
      <c r="C623" s="61" t="s">
        <v>127</v>
      </c>
      <c r="D623" s="63" t="s">
        <v>126</v>
      </c>
      <c r="E623" t="str">
        <f t="shared" si="11"/>
        <v>Delregion Göteborg</v>
      </c>
    </row>
    <row r="624" spans="1:5" ht="14.65" thickBot="1">
      <c r="A624" s="60">
        <v>41985</v>
      </c>
      <c r="B624" s="61" t="s">
        <v>81</v>
      </c>
      <c r="C624" s="61" t="s">
        <v>127</v>
      </c>
      <c r="D624" s="63" t="s">
        <v>126</v>
      </c>
      <c r="E624" t="str">
        <f t="shared" si="11"/>
        <v>Delregion Fyrbodal</v>
      </c>
    </row>
    <row r="625" spans="1:5" ht="14.65" thickBot="1">
      <c r="A625" s="60">
        <v>41990</v>
      </c>
      <c r="B625" s="61" t="s">
        <v>97</v>
      </c>
      <c r="C625" s="61" t="s">
        <v>127</v>
      </c>
      <c r="D625" s="63" t="s">
        <v>126</v>
      </c>
      <c r="E625" t="str">
        <f t="shared" si="11"/>
        <v>Delregion Fyrbodal</v>
      </c>
    </row>
    <row r="626" spans="1:5" ht="14.65" thickBot="1">
      <c r="A626" s="60">
        <v>41991</v>
      </c>
      <c r="B626" s="61" t="s">
        <v>97</v>
      </c>
      <c r="C626" s="61" t="s">
        <v>127</v>
      </c>
      <c r="D626" s="63" t="s">
        <v>126</v>
      </c>
      <c r="E626" t="str">
        <f t="shared" si="11"/>
        <v>Delregion Fyrbodal</v>
      </c>
    </row>
    <row r="627" spans="1:5" ht="14.65" thickBot="1">
      <c r="A627" s="60">
        <v>41992</v>
      </c>
      <c r="B627" s="61" t="s">
        <v>95</v>
      </c>
      <c r="C627" s="61" t="s">
        <v>127</v>
      </c>
      <c r="D627" s="63" t="s">
        <v>126</v>
      </c>
      <c r="E627" t="str">
        <f t="shared" si="11"/>
        <v>Delregion Södra Älvsborg</v>
      </c>
    </row>
    <row r="628" spans="1:5" ht="14.65" thickBot="1">
      <c r="A628" s="60">
        <v>42012</v>
      </c>
      <c r="B628" s="61" t="s">
        <v>73</v>
      </c>
      <c r="C628" s="61" t="s">
        <v>127</v>
      </c>
      <c r="D628" s="63" t="s">
        <v>126</v>
      </c>
      <c r="E628" t="str">
        <f t="shared" si="11"/>
        <v>Delregion Göteborg</v>
      </c>
    </row>
    <row r="629" spans="1:5" ht="14.65" thickBot="1">
      <c r="A629" s="60">
        <v>42018</v>
      </c>
      <c r="B629" s="61" t="s">
        <v>97</v>
      </c>
      <c r="C629" s="61" t="s">
        <v>127</v>
      </c>
      <c r="D629" s="63" t="s">
        <v>126</v>
      </c>
      <c r="E629" t="str">
        <f t="shared" si="11"/>
        <v>Delregion Fyrbodal</v>
      </c>
    </row>
    <row r="630" spans="1:5" ht="14.65" thickBot="1">
      <c r="A630" s="60">
        <v>42041</v>
      </c>
      <c r="B630" s="61" t="s">
        <v>73</v>
      </c>
      <c r="C630" s="61" t="s">
        <v>127</v>
      </c>
      <c r="D630" s="63" t="s">
        <v>126</v>
      </c>
      <c r="E630" t="str">
        <f t="shared" si="11"/>
        <v>Delregion Göteborg</v>
      </c>
    </row>
    <row r="631" spans="1:5" ht="14.65" thickBot="1">
      <c r="A631" s="60">
        <v>42093</v>
      </c>
      <c r="B631" s="61" t="s">
        <v>73</v>
      </c>
      <c r="C631" s="61" t="s">
        <v>127</v>
      </c>
      <c r="D631" s="63" t="s">
        <v>126</v>
      </c>
      <c r="E631" t="str">
        <f t="shared" si="11"/>
        <v>Delregion Göteborg</v>
      </c>
    </row>
    <row r="632" spans="1:5" ht="14.65" thickBot="1">
      <c r="A632" s="60">
        <v>42110</v>
      </c>
      <c r="B632" s="61" t="s">
        <v>73</v>
      </c>
      <c r="C632" s="61" t="s">
        <v>127</v>
      </c>
      <c r="D632" s="63" t="s">
        <v>126</v>
      </c>
      <c r="E632" t="str">
        <f t="shared" si="11"/>
        <v>Delregion Göteborg</v>
      </c>
    </row>
    <row r="633" spans="1:5" ht="14.65" thickBot="1">
      <c r="A633" s="60">
        <v>42173</v>
      </c>
      <c r="B633" s="61" t="s">
        <v>120</v>
      </c>
      <c r="C633" s="61" t="s">
        <v>127</v>
      </c>
      <c r="D633" s="63" t="s">
        <v>126</v>
      </c>
      <c r="E633" t="str">
        <f t="shared" si="11"/>
        <v>Delregion Södra Älvsborg</v>
      </c>
    </row>
    <row r="634" spans="1:5" ht="14.65" thickBot="1">
      <c r="A634" s="60">
        <v>42186</v>
      </c>
      <c r="B634" s="61" t="s">
        <v>95</v>
      </c>
      <c r="C634" s="61" t="s">
        <v>127</v>
      </c>
      <c r="D634" s="63" t="s">
        <v>126</v>
      </c>
      <c r="E634" t="str">
        <f t="shared" si="11"/>
        <v>Delregion Södra Älvsborg</v>
      </c>
    </row>
    <row r="635" spans="1:5" ht="14.65" thickBot="1">
      <c r="A635" s="60">
        <v>42186</v>
      </c>
      <c r="B635" s="61" t="s">
        <v>73</v>
      </c>
      <c r="C635" s="61" t="s">
        <v>127</v>
      </c>
      <c r="D635" s="63" t="s">
        <v>126</v>
      </c>
      <c r="E635" t="str">
        <f t="shared" si="11"/>
        <v>Delregion Göteborg</v>
      </c>
    </row>
    <row r="636" spans="1:5" ht="14.65" thickBot="1">
      <c r="A636" s="60">
        <v>42195</v>
      </c>
      <c r="B636" s="61" t="s">
        <v>73</v>
      </c>
      <c r="C636" s="61" t="s">
        <v>127</v>
      </c>
      <c r="D636" s="63" t="s">
        <v>126</v>
      </c>
      <c r="E636" t="str">
        <f t="shared" si="11"/>
        <v>Delregion Göteborg</v>
      </c>
    </row>
    <row r="637" spans="1:5" ht="14.65" thickBot="1">
      <c r="A637" s="60">
        <v>42269</v>
      </c>
      <c r="B637" s="61" t="s">
        <v>73</v>
      </c>
      <c r="C637" s="61" t="s">
        <v>127</v>
      </c>
      <c r="D637" s="63" t="s">
        <v>126</v>
      </c>
      <c r="E637" t="str">
        <f t="shared" si="11"/>
        <v>Delregion Göteborg</v>
      </c>
    </row>
    <row r="638" spans="1:5" ht="14.65" thickBot="1">
      <c r="A638" s="60">
        <v>42272</v>
      </c>
      <c r="B638" s="61" t="s">
        <v>73</v>
      </c>
      <c r="C638" s="61" t="s">
        <v>127</v>
      </c>
      <c r="D638" s="63" t="s">
        <v>126</v>
      </c>
      <c r="E638" t="str">
        <f t="shared" si="11"/>
        <v>Delregion Göteborg</v>
      </c>
    </row>
    <row r="639" spans="1:5" ht="14.65" thickBot="1">
      <c r="A639" s="60">
        <v>42300</v>
      </c>
      <c r="B639" s="61" t="s">
        <v>95</v>
      </c>
      <c r="C639" s="61" t="s">
        <v>127</v>
      </c>
      <c r="D639" s="63" t="s">
        <v>126</v>
      </c>
      <c r="E639" t="str">
        <f t="shared" si="11"/>
        <v>Delregion Södra Älvsborg</v>
      </c>
    </row>
    <row r="640" spans="1:5" ht="14.65" thickBot="1">
      <c r="A640" s="60">
        <v>42339</v>
      </c>
      <c r="B640" s="61" t="s">
        <v>98</v>
      </c>
      <c r="C640" s="61" t="s">
        <v>127</v>
      </c>
      <c r="D640" s="63" t="s">
        <v>126</v>
      </c>
      <c r="E640" t="str">
        <f t="shared" si="11"/>
        <v>Delregion Göteborg</v>
      </c>
    </row>
    <row r="641" spans="1:5" ht="14.65" thickBot="1">
      <c r="A641" s="60">
        <v>42354</v>
      </c>
      <c r="B641" s="61" t="s">
        <v>86</v>
      </c>
      <c r="C641" s="61" t="s">
        <v>127</v>
      </c>
      <c r="D641" s="63" t="s">
        <v>126</v>
      </c>
      <c r="E641" t="str">
        <f t="shared" si="11"/>
        <v>Delregion Fyrbodal</v>
      </c>
    </row>
    <row r="642" spans="1:5" ht="14.65" thickBot="1">
      <c r="A642" s="60">
        <v>42356</v>
      </c>
      <c r="B642" s="61" t="s">
        <v>97</v>
      </c>
      <c r="C642" s="61" t="s">
        <v>127</v>
      </c>
      <c r="D642" s="63" t="s">
        <v>126</v>
      </c>
      <c r="E642" t="str">
        <f t="shared" si="11"/>
        <v>Delregion Fyrbodal</v>
      </c>
    </row>
    <row r="643" spans="1:5" ht="14.65" thickBot="1">
      <c r="A643" s="60">
        <v>42360</v>
      </c>
      <c r="B643" s="61" t="s">
        <v>73</v>
      </c>
      <c r="C643" s="61" t="s">
        <v>127</v>
      </c>
      <c r="D643" s="63" t="s">
        <v>126</v>
      </c>
      <c r="E643" t="str">
        <f t="shared" si="11"/>
        <v>Delregion Göteborg</v>
      </c>
    </row>
    <row r="644" spans="1:5" ht="14.65" thickBot="1">
      <c r="A644" s="60">
        <v>42360</v>
      </c>
      <c r="B644" s="61" t="s">
        <v>73</v>
      </c>
      <c r="C644" s="61" t="s">
        <v>127</v>
      </c>
      <c r="D644" s="63" t="s">
        <v>126</v>
      </c>
      <c r="E644" t="str">
        <f t="shared" si="11"/>
        <v>Delregion Göteborg</v>
      </c>
    </row>
    <row r="645" spans="1:5" ht="14.65" thickBot="1">
      <c r="A645" s="72">
        <v>42387</v>
      </c>
      <c r="B645" s="73" t="s">
        <v>73</v>
      </c>
      <c r="C645" s="73" t="s">
        <v>127</v>
      </c>
      <c r="D645" s="74" t="s">
        <v>126</v>
      </c>
      <c r="E645" t="str">
        <f t="shared" si="11"/>
        <v>Delregion Göteborg</v>
      </c>
    </row>
    <row r="646" spans="1:5" ht="14.65" thickBot="1">
      <c r="A646" s="72">
        <v>42387</v>
      </c>
      <c r="B646" s="73" t="s">
        <v>73</v>
      </c>
      <c r="C646" s="73" t="s">
        <v>127</v>
      </c>
      <c r="D646" s="74" t="s">
        <v>126</v>
      </c>
      <c r="E646" t="str">
        <f t="shared" si="11"/>
        <v>Delregion Göteborg</v>
      </c>
    </row>
    <row r="647" spans="1:5" ht="14.65" thickBot="1">
      <c r="A647" s="72">
        <v>42387</v>
      </c>
      <c r="B647" s="73" t="s">
        <v>115</v>
      </c>
      <c r="C647" s="73" t="s">
        <v>127</v>
      </c>
      <c r="D647" s="74" t="s">
        <v>126</v>
      </c>
      <c r="E647" t="str">
        <f t="shared" si="11"/>
        <v>Delregion Göteborg</v>
      </c>
    </row>
    <row r="648" spans="1:5" ht="14.65" thickBot="1">
      <c r="A648" s="72">
        <v>42390</v>
      </c>
      <c r="B648" s="73" t="s">
        <v>95</v>
      </c>
      <c r="C648" s="73" t="s">
        <v>127</v>
      </c>
      <c r="D648" s="74" t="s">
        <v>126</v>
      </c>
      <c r="E648" t="str">
        <f t="shared" si="11"/>
        <v>Delregion Södra Älvsborg</v>
      </c>
    </row>
    <row r="649" spans="1:5" ht="14.65" thickBot="1">
      <c r="A649" s="72">
        <v>42422</v>
      </c>
      <c r="B649" s="73" t="s">
        <v>109</v>
      </c>
      <c r="C649" s="73" t="s">
        <v>127</v>
      </c>
      <c r="D649" s="74" t="s">
        <v>126</v>
      </c>
      <c r="E649" t="str">
        <f t="shared" si="11"/>
        <v>Delregion Fyrbodal</v>
      </c>
    </row>
    <row r="650" spans="1:5" ht="14.65" thickBot="1">
      <c r="A650" s="72">
        <v>42426</v>
      </c>
      <c r="B650" s="73" t="s">
        <v>107</v>
      </c>
      <c r="C650" s="73" t="s">
        <v>127</v>
      </c>
      <c r="D650" s="74" t="s">
        <v>126</v>
      </c>
      <c r="E650" t="str">
        <f t="shared" si="11"/>
        <v>Delregion Skaraborg</v>
      </c>
    </row>
    <row r="651" spans="1:5" ht="14.65" thickBot="1">
      <c r="A651" s="72">
        <v>42429</v>
      </c>
      <c r="B651" s="73" t="s">
        <v>120</v>
      </c>
      <c r="C651" s="73" t="s">
        <v>127</v>
      </c>
      <c r="D651" s="74" t="s">
        <v>126</v>
      </c>
      <c r="E651" t="str">
        <f t="shared" si="11"/>
        <v>Delregion Södra Älvsborg</v>
      </c>
    </row>
    <row r="652" spans="1:5" ht="14.65" thickBot="1">
      <c r="A652" s="72">
        <v>42429</v>
      </c>
      <c r="B652" s="73" t="s">
        <v>78</v>
      </c>
      <c r="C652" s="73" t="s">
        <v>127</v>
      </c>
      <c r="D652" s="74" t="s">
        <v>126</v>
      </c>
      <c r="E652" t="str">
        <f t="shared" si="11"/>
        <v>Delregion SIMBA</v>
      </c>
    </row>
    <row r="653" spans="1:5" ht="14.65" thickBot="1">
      <c r="A653" s="72">
        <v>42436</v>
      </c>
      <c r="B653" s="73" t="s">
        <v>73</v>
      </c>
      <c r="C653" s="73" t="s">
        <v>127</v>
      </c>
      <c r="D653" s="74" t="s">
        <v>126</v>
      </c>
      <c r="E653" t="str">
        <f t="shared" ref="E653:E716" si="12">VLOOKUP(B653,$Q$13:$R$61,2,FALSE)</f>
        <v>Delregion Göteborg</v>
      </c>
    </row>
    <row r="654" spans="1:5" ht="14.65" thickBot="1">
      <c r="A654" s="72">
        <v>42436</v>
      </c>
      <c r="B654" s="73" t="s">
        <v>99</v>
      </c>
      <c r="C654" s="73" t="s">
        <v>127</v>
      </c>
      <c r="D654" s="74" t="s">
        <v>126</v>
      </c>
      <c r="E654" t="str">
        <f t="shared" si="12"/>
        <v>Delregion Skaraborg</v>
      </c>
    </row>
    <row r="655" spans="1:5" ht="14.65" thickBot="1">
      <c r="A655" s="72">
        <v>42452</v>
      </c>
      <c r="B655" s="73" t="s">
        <v>73</v>
      </c>
      <c r="C655" s="73" t="s">
        <v>127</v>
      </c>
      <c r="D655" s="74" t="s">
        <v>126</v>
      </c>
      <c r="E655" t="str">
        <f t="shared" si="12"/>
        <v>Delregion Göteborg</v>
      </c>
    </row>
    <row r="656" spans="1:5" ht="14.65" thickBot="1">
      <c r="A656" s="72">
        <v>42461</v>
      </c>
      <c r="B656" s="73" t="s">
        <v>87</v>
      </c>
      <c r="C656" s="73" t="s">
        <v>127</v>
      </c>
      <c r="D656" s="74" t="s">
        <v>126</v>
      </c>
      <c r="E656" t="str">
        <f t="shared" si="12"/>
        <v>Delregion Skaraborg</v>
      </c>
    </row>
    <row r="657" spans="1:5" ht="14.65" thickBot="1">
      <c r="A657" s="72">
        <v>42478</v>
      </c>
      <c r="B657" s="73" t="s">
        <v>73</v>
      </c>
      <c r="C657" s="73" t="s">
        <v>127</v>
      </c>
      <c r="D657" s="74" t="s">
        <v>126</v>
      </c>
      <c r="E657" t="str">
        <f t="shared" si="12"/>
        <v>Delregion Göteborg</v>
      </c>
    </row>
    <row r="658" spans="1:5" ht="14.65" thickBot="1">
      <c r="A658" s="72">
        <v>42479</v>
      </c>
      <c r="B658" s="73" t="s">
        <v>73</v>
      </c>
      <c r="C658" s="73" t="s">
        <v>127</v>
      </c>
      <c r="D658" s="74" t="s">
        <v>126</v>
      </c>
      <c r="E658" t="str">
        <f t="shared" si="12"/>
        <v>Delregion Göteborg</v>
      </c>
    </row>
    <row r="659" spans="1:5" ht="14.65" thickBot="1">
      <c r="A659" s="72">
        <v>42479</v>
      </c>
      <c r="B659" s="73" t="s">
        <v>119</v>
      </c>
      <c r="C659" s="73" t="s">
        <v>127</v>
      </c>
      <c r="D659" s="74" t="s">
        <v>126</v>
      </c>
      <c r="E659" t="str">
        <f t="shared" si="12"/>
        <v>Delregion Skaraborg</v>
      </c>
    </row>
    <row r="660" spans="1:5" ht="14.65" thickBot="1">
      <c r="A660" s="72">
        <v>42485</v>
      </c>
      <c r="B660" s="73" t="s">
        <v>73</v>
      </c>
      <c r="C660" s="73" t="s">
        <v>127</v>
      </c>
      <c r="D660" s="74" t="s">
        <v>126</v>
      </c>
      <c r="E660" t="str">
        <f t="shared" si="12"/>
        <v>Delregion Göteborg</v>
      </c>
    </row>
    <row r="661" spans="1:5" ht="14.65" thickBot="1">
      <c r="A661" s="72">
        <v>42487</v>
      </c>
      <c r="B661" s="73" t="s">
        <v>95</v>
      </c>
      <c r="C661" s="73" t="s">
        <v>127</v>
      </c>
      <c r="D661" s="74" t="s">
        <v>126</v>
      </c>
      <c r="E661" t="str">
        <f t="shared" si="12"/>
        <v>Delregion Södra Älvsborg</v>
      </c>
    </row>
    <row r="662" spans="1:5" ht="14.65" thickBot="1">
      <c r="A662" s="72">
        <v>42487</v>
      </c>
      <c r="B662" s="73" t="s">
        <v>119</v>
      </c>
      <c r="C662" s="73" t="s">
        <v>127</v>
      </c>
      <c r="D662" s="74" t="s">
        <v>126</v>
      </c>
      <c r="E662" t="str">
        <f t="shared" si="12"/>
        <v>Delregion Skaraborg</v>
      </c>
    </row>
    <row r="663" spans="1:5" ht="14.65" thickBot="1">
      <c r="A663" s="72">
        <v>42488</v>
      </c>
      <c r="B663" s="73" t="s">
        <v>84</v>
      </c>
      <c r="C663" s="73" t="s">
        <v>127</v>
      </c>
      <c r="D663" s="74" t="s">
        <v>126</v>
      </c>
      <c r="E663" t="str">
        <f t="shared" si="12"/>
        <v>Delregion Skaraborg</v>
      </c>
    </row>
    <row r="664" spans="1:5" ht="14.65" thickBot="1">
      <c r="A664" s="72">
        <v>42488</v>
      </c>
      <c r="B664" s="73" t="s">
        <v>84</v>
      </c>
      <c r="C664" s="73" t="s">
        <v>127</v>
      </c>
      <c r="D664" s="74" t="s">
        <v>126</v>
      </c>
      <c r="E664" t="str">
        <f t="shared" si="12"/>
        <v>Delregion Skaraborg</v>
      </c>
    </row>
    <row r="665" spans="1:5" ht="14.65" thickBot="1">
      <c r="A665" s="72">
        <v>42492</v>
      </c>
      <c r="B665" s="73" t="s">
        <v>73</v>
      </c>
      <c r="C665" s="73" t="s">
        <v>127</v>
      </c>
      <c r="D665" s="74" t="s">
        <v>126</v>
      </c>
      <c r="E665" t="str">
        <f t="shared" si="12"/>
        <v>Delregion Göteborg</v>
      </c>
    </row>
    <row r="666" spans="1:5" ht="14.65" thickBot="1">
      <c r="A666" s="72">
        <v>42492</v>
      </c>
      <c r="B666" s="73" t="s">
        <v>73</v>
      </c>
      <c r="C666" s="73" t="s">
        <v>127</v>
      </c>
      <c r="D666" s="74" t="s">
        <v>126</v>
      </c>
      <c r="E666" t="str">
        <f t="shared" si="12"/>
        <v>Delregion Göteborg</v>
      </c>
    </row>
    <row r="667" spans="1:5" ht="14.65" thickBot="1">
      <c r="A667" s="72">
        <v>42493</v>
      </c>
      <c r="B667" s="73" t="s">
        <v>84</v>
      </c>
      <c r="C667" s="73" t="s">
        <v>127</v>
      </c>
      <c r="D667" s="74" t="s">
        <v>126</v>
      </c>
      <c r="E667" t="str">
        <f t="shared" si="12"/>
        <v>Delregion Skaraborg</v>
      </c>
    </row>
    <row r="668" spans="1:5" ht="14.65" thickBot="1">
      <c r="A668" s="72">
        <v>42502</v>
      </c>
      <c r="B668" s="73" t="s">
        <v>78</v>
      </c>
      <c r="C668" s="73" t="s">
        <v>127</v>
      </c>
      <c r="D668" s="74" t="s">
        <v>126</v>
      </c>
      <c r="E668" t="str">
        <f t="shared" si="12"/>
        <v>Delregion SIMBA</v>
      </c>
    </row>
    <row r="669" spans="1:5" ht="14.65" thickBot="1">
      <c r="A669" s="72">
        <v>42503</v>
      </c>
      <c r="B669" s="73" t="s">
        <v>98</v>
      </c>
      <c r="C669" s="73" t="s">
        <v>127</v>
      </c>
      <c r="D669" s="74" t="s">
        <v>126</v>
      </c>
      <c r="E669" t="str">
        <f t="shared" si="12"/>
        <v>Delregion Göteborg</v>
      </c>
    </row>
    <row r="670" spans="1:5" ht="14.65" thickBot="1">
      <c r="A670" s="72">
        <v>42508</v>
      </c>
      <c r="B670" s="73" t="s">
        <v>80</v>
      </c>
      <c r="C670" s="73" t="s">
        <v>127</v>
      </c>
      <c r="D670" s="74" t="s">
        <v>126</v>
      </c>
      <c r="E670" t="str">
        <f t="shared" si="12"/>
        <v>Delregion Södra Älvsborg</v>
      </c>
    </row>
    <row r="671" spans="1:5" ht="14.65" thickBot="1">
      <c r="A671" s="72">
        <v>42508</v>
      </c>
      <c r="B671" s="73" t="s">
        <v>95</v>
      </c>
      <c r="C671" s="73" t="s">
        <v>127</v>
      </c>
      <c r="D671" s="74" t="s">
        <v>126</v>
      </c>
      <c r="E671" t="str">
        <f t="shared" si="12"/>
        <v>Delregion Södra Älvsborg</v>
      </c>
    </row>
    <row r="672" spans="1:5" ht="14.65" thickBot="1">
      <c r="A672" s="72">
        <v>42508</v>
      </c>
      <c r="B672" s="73" t="s">
        <v>97</v>
      </c>
      <c r="C672" s="73" t="s">
        <v>127</v>
      </c>
      <c r="D672" s="74" t="s">
        <v>126</v>
      </c>
      <c r="E672" t="str">
        <f t="shared" si="12"/>
        <v>Delregion Fyrbodal</v>
      </c>
    </row>
    <row r="673" spans="1:5" ht="14.65" thickBot="1">
      <c r="A673" s="72">
        <v>42508</v>
      </c>
      <c r="B673" s="73" t="s">
        <v>73</v>
      </c>
      <c r="C673" s="73" t="s">
        <v>127</v>
      </c>
      <c r="D673" s="74" t="s">
        <v>126</v>
      </c>
      <c r="E673" t="str">
        <f t="shared" si="12"/>
        <v>Delregion Göteborg</v>
      </c>
    </row>
    <row r="674" spans="1:5" ht="14.65" thickBot="1">
      <c r="A674" s="72">
        <v>42508</v>
      </c>
      <c r="B674" s="73" t="s">
        <v>108</v>
      </c>
      <c r="C674" s="73" t="s">
        <v>127</v>
      </c>
      <c r="D674" s="74" t="s">
        <v>126</v>
      </c>
      <c r="E674" t="str">
        <f t="shared" si="12"/>
        <v>Delregion Fyrbodal</v>
      </c>
    </row>
    <row r="675" spans="1:5" ht="14.65" thickBot="1">
      <c r="A675" s="72">
        <v>42508</v>
      </c>
      <c r="B675" s="73" t="s">
        <v>92</v>
      </c>
      <c r="C675" s="73" t="s">
        <v>127</v>
      </c>
      <c r="D675" s="74" t="s">
        <v>126</v>
      </c>
      <c r="E675" t="str">
        <f t="shared" si="12"/>
        <v>Delregion Södra Älvsborg</v>
      </c>
    </row>
    <row r="676" spans="1:5" ht="14.65" thickBot="1">
      <c r="A676" s="72">
        <v>42508</v>
      </c>
      <c r="B676" s="73" t="s">
        <v>73</v>
      </c>
      <c r="C676" s="73" t="s">
        <v>127</v>
      </c>
      <c r="D676" s="73" t="s">
        <v>126</v>
      </c>
      <c r="E676" t="str">
        <f t="shared" si="12"/>
        <v>Delregion Göteborg</v>
      </c>
    </row>
    <row r="677" spans="1:5" ht="14.65" thickBot="1">
      <c r="A677" s="72">
        <v>42509</v>
      </c>
      <c r="B677" s="73" t="s">
        <v>73</v>
      </c>
      <c r="C677" s="73" t="s">
        <v>127</v>
      </c>
      <c r="D677" s="73" t="s">
        <v>126</v>
      </c>
      <c r="E677" t="str">
        <f t="shared" si="12"/>
        <v>Delregion Göteborg</v>
      </c>
    </row>
    <row r="678" spans="1:5" ht="14.65" thickBot="1">
      <c r="A678" s="72">
        <v>42509</v>
      </c>
      <c r="B678" s="73" t="s">
        <v>136</v>
      </c>
      <c r="C678" s="73" t="s">
        <v>127</v>
      </c>
      <c r="D678" s="73" t="s">
        <v>126</v>
      </c>
      <c r="E678" t="str">
        <f t="shared" si="12"/>
        <v>Delregion Fyrbodal</v>
      </c>
    </row>
    <row r="679" spans="1:5" ht="14.65" thickBot="1">
      <c r="A679" s="72">
        <v>42516</v>
      </c>
      <c r="B679" s="73" t="s">
        <v>89</v>
      </c>
      <c r="C679" s="73" t="s">
        <v>127</v>
      </c>
      <c r="D679" s="73" t="s">
        <v>126</v>
      </c>
      <c r="E679" t="str">
        <f t="shared" si="12"/>
        <v>Delregion Skaraborg</v>
      </c>
    </row>
    <row r="680" spans="1:5" ht="14.65" thickBot="1">
      <c r="A680" s="72">
        <v>42520</v>
      </c>
      <c r="B680" s="73" t="s">
        <v>116</v>
      </c>
      <c r="C680" s="73" t="s">
        <v>127</v>
      </c>
      <c r="D680" s="73" t="s">
        <v>126</v>
      </c>
      <c r="E680" t="str">
        <f t="shared" si="12"/>
        <v>Delregion Södra Älvsborg</v>
      </c>
    </row>
    <row r="681" spans="1:5" ht="14.65" thickBot="1">
      <c r="A681" s="72">
        <v>42523</v>
      </c>
      <c r="B681" s="73" t="s">
        <v>73</v>
      </c>
      <c r="C681" s="73" t="s">
        <v>127</v>
      </c>
      <c r="D681" s="73" t="s">
        <v>126</v>
      </c>
      <c r="E681" t="str">
        <f t="shared" si="12"/>
        <v>Delregion Göteborg</v>
      </c>
    </row>
    <row r="682" spans="1:5" ht="14.65" thickBot="1">
      <c r="A682" s="72">
        <v>42523</v>
      </c>
      <c r="B682" s="73" t="s">
        <v>73</v>
      </c>
      <c r="C682" s="73" t="s">
        <v>127</v>
      </c>
      <c r="D682" s="73" t="s">
        <v>126</v>
      </c>
      <c r="E682" t="str">
        <f t="shared" si="12"/>
        <v>Delregion Göteborg</v>
      </c>
    </row>
    <row r="683" spans="1:5" ht="14.65" thickBot="1">
      <c r="A683" s="72">
        <v>42534</v>
      </c>
      <c r="B683" s="73" t="s">
        <v>120</v>
      </c>
      <c r="C683" s="73" t="s">
        <v>127</v>
      </c>
      <c r="D683" s="73" t="s">
        <v>126</v>
      </c>
      <c r="E683" t="str">
        <f t="shared" si="12"/>
        <v>Delregion Södra Älvsborg</v>
      </c>
    </row>
    <row r="684" spans="1:5" ht="14.65" thickBot="1">
      <c r="A684" s="72">
        <v>42541</v>
      </c>
      <c r="B684" s="73" t="s">
        <v>73</v>
      </c>
      <c r="C684" s="73" t="s">
        <v>127</v>
      </c>
      <c r="D684" s="73" t="s">
        <v>126</v>
      </c>
      <c r="E684" t="str">
        <f t="shared" si="12"/>
        <v>Delregion Göteborg</v>
      </c>
    </row>
    <row r="685" spans="1:5" ht="14.65" thickBot="1">
      <c r="A685" s="72">
        <v>42541</v>
      </c>
      <c r="B685" s="73" t="s">
        <v>120</v>
      </c>
      <c r="C685" s="73" t="s">
        <v>127</v>
      </c>
      <c r="D685" s="73" t="s">
        <v>126</v>
      </c>
      <c r="E685" t="str">
        <f t="shared" si="12"/>
        <v>Delregion Södra Älvsborg</v>
      </c>
    </row>
    <row r="686" spans="1:5" ht="14.65" thickBot="1">
      <c r="A686" s="72">
        <v>42571</v>
      </c>
      <c r="B686" s="73" t="s">
        <v>113</v>
      </c>
      <c r="C686" s="73" t="s">
        <v>127</v>
      </c>
      <c r="D686" s="73" t="s">
        <v>126</v>
      </c>
      <c r="E686" t="str">
        <f t="shared" si="12"/>
        <v>Delregion Skaraborg</v>
      </c>
    </row>
    <row r="687" spans="1:5" ht="14.65" thickBot="1">
      <c r="A687" s="72">
        <v>42573</v>
      </c>
      <c r="B687" s="73" t="s">
        <v>86</v>
      </c>
      <c r="C687" s="73" t="s">
        <v>127</v>
      </c>
      <c r="D687" s="73" t="s">
        <v>126</v>
      </c>
      <c r="E687" t="str">
        <f t="shared" si="12"/>
        <v>Delregion Fyrbodal</v>
      </c>
    </row>
    <row r="688" spans="1:5" ht="14.65" thickBot="1">
      <c r="A688" s="72">
        <v>42578</v>
      </c>
      <c r="B688" s="73" t="s">
        <v>78</v>
      </c>
      <c r="C688" s="73" t="s">
        <v>127</v>
      </c>
      <c r="D688" s="73" t="s">
        <v>126</v>
      </c>
      <c r="E688" t="str">
        <f t="shared" si="12"/>
        <v>Delregion SIMBA</v>
      </c>
    </row>
    <row r="689" spans="1:5" ht="14.65" thickBot="1">
      <c r="A689" s="72">
        <v>42585</v>
      </c>
      <c r="B689" s="73" t="s">
        <v>86</v>
      </c>
      <c r="C689" s="73" t="s">
        <v>127</v>
      </c>
      <c r="D689" s="73" t="s">
        <v>126</v>
      </c>
      <c r="E689" t="str">
        <f t="shared" si="12"/>
        <v>Delregion Fyrbodal</v>
      </c>
    </row>
    <row r="690" spans="1:5" ht="14.65" thickBot="1">
      <c r="A690" s="72">
        <v>42604</v>
      </c>
      <c r="B690" s="73" t="s">
        <v>97</v>
      </c>
      <c r="C690" s="73" t="s">
        <v>127</v>
      </c>
      <c r="D690" s="73" t="s">
        <v>126</v>
      </c>
      <c r="E690" t="str">
        <f t="shared" si="12"/>
        <v>Delregion Fyrbodal</v>
      </c>
    </row>
    <row r="691" spans="1:5" ht="14.65" thickBot="1">
      <c r="A691" s="72">
        <v>42613</v>
      </c>
      <c r="B691" s="73" t="s">
        <v>73</v>
      </c>
      <c r="C691" s="73" t="s">
        <v>127</v>
      </c>
      <c r="D691" s="73" t="s">
        <v>126</v>
      </c>
      <c r="E691" t="str">
        <f t="shared" si="12"/>
        <v>Delregion Göteborg</v>
      </c>
    </row>
    <row r="692" spans="1:5" ht="14.65" thickBot="1">
      <c r="A692" s="72">
        <v>42614</v>
      </c>
      <c r="B692" s="73" t="s">
        <v>94</v>
      </c>
      <c r="C692" s="73" t="s">
        <v>127</v>
      </c>
      <c r="D692" s="73" t="s">
        <v>126</v>
      </c>
      <c r="E692" t="str">
        <f t="shared" si="12"/>
        <v>Delregion Fyrbodal</v>
      </c>
    </row>
    <row r="693" spans="1:5" ht="14.65" thickBot="1">
      <c r="A693" s="72">
        <v>42614</v>
      </c>
      <c r="B693" s="73" t="s">
        <v>73</v>
      </c>
      <c r="C693" s="73" t="s">
        <v>127</v>
      </c>
      <c r="D693" s="73" t="s">
        <v>126</v>
      </c>
      <c r="E693" t="str">
        <f t="shared" si="12"/>
        <v>Delregion Göteborg</v>
      </c>
    </row>
    <row r="694" spans="1:5" ht="14.65" thickBot="1">
      <c r="A694" s="72">
        <v>42620</v>
      </c>
      <c r="B694" s="73" t="s">
        <v>73</v>
      </c>
      <c r="C694" s="73" t="s">
        <v>127</v>
      </c>
      <c r="D694" s="73" t="s">
        <v>126</v>
      </c>
      <c r="E694" t="str">
        <f t="shared" si="12"/>
        <v>Delregion Göteborg</v>
      </c>
    </row>
    <row r="695" spans="1:5" ht="14.65" thickBot="1">
      <c r="A695" s="72">
        <v>42626</v>
      </c>
      <c r="B695" s="73" t="s">
        <v>117</v>
      </c>
      <c r="C695" s="73" t="s">
        <v>127</v>
      </c>
      <c r="D695" s="73" t="s">
        <v>126</v>
      </c>
      <c r="E695" t="str">
        <f t="shared" si="12"/>
        <v>Delregion Skaraborg</v>
      </c>
    </row>
    <row r="696" spans="1:5" ht="14.65" thickBot="1">
      <c r="A696" s="72">
        <v>42639</v>
      </c>
      <c r="B696" s="73" t="s">
        <v>95</v>
      </c>
      <c r="C696" s="73" t="s">
        <v>127</v>
      </c>
      <c r="D696" s="73" t="s">
        <v>126</v>
      </c>
      <c r="E696" t="str">
        <f t="shared" si="12"/>
        <v>Delregion Södra Älvsborg</v>
      </c>
    </row>
    <row r="697" spans="1:5" ht="14.65" thickBot="1">
      <c r="A697" s="72">
        <v>42650</v>
      </c>
      <c r="B697" s="73" t="s">
        <v>73</v>
      </c>
      <c r="C697" s="73" t="s">
        <v>127</v>
      </c>
      <c r="D697" s="73" t="s">
        <v>126</v>
      </c>
      <c r="E697" t="str">
        <f t="shared" si="12"/>
        <v>Delregion Göteborg</v>
      </c>
    </row>
    <row r="698" spans="1:5" ht="14.65" thickBot="1">
      <c r="A698" s="72">
        <v>42654</v>
      </c>
      <c r="B698" s="73" t="s">
        <v>80</v>
      </c>
      <c r="C698" s="73" t="s">
        <v>127</v>
      </c>
      <c r="D698" s="73" t="s">
        <v>126</v>
      </c>
      <c r="E698" t="str">
        <f t="shared" si="12"/>
        <v>Delregion Södra Älvsborg</v>
      </c>
    </row>
    <row r="699" spans="1:5" ht="14.65" thickBot="1">
      <c r="A699" s="72">
        <v>42654</v>
      </c>
      <c r="B699" s="73" t="s">
        <v>73</v>
      </c>
      <c r="C699" s="73" t="s">
        <v>127</v>
      </c>
      <c r="D699" s="73" t="s">
        <v>126</v>
      </c>
      <c r="E699" t="str">
        <f t="shared" si="12"/>
        <v>Delregion Göteborg</v>
      </c>
    </row>
    <row r="700" spans="1:5" ht="14.65" thickBot="1">
      <c r="A700" s="72">
        <v>42683</v>
      </c>
      <c r="B700" s="73" t="s">
        <v>76</v>
      </c>
      <c r="C700" s="73" t="s">
        <v>127</v>
      </c>
      <c r="D700" s="73" t="s">
        <v>126</v>
      </c>
      <c r="E700" t="str">
        <f t="shared" si="12"/>
        <v>Delregion Skaraborg</v>
      </c>
    </row>
    <row r="701" spans="1:5" ht="14.65" thickBot="1">
      <c r="A701" s="72">
        <v>42684</v>
      </c>
      <c r="B701" s="73" t="s">
        <v>73</v>
      </c>
      <c r="C701" s="73" t="s">
        <v>127</v>
      </c>
      <c r="D701" s="73" t="s">
        <v>126</v>
      </c>
      <c r="E701" t="str">
        <f t="shared" si="12"/>
        <v>Delregion Göteborg</v>
      </c>
    </row>
    <row r="702" spans="1:5" ht="14.65" thickBot="1">
      <c r="A702" s="72">
        <v>42684</v>
      </c>
      <c r="B702" s="73" t="s">
        <v>115</v>
      </c>
      <c r="C702" s="73" t="s">
        <v>127</v>
      </c>
      <c r="D702" s="73" t="s">
        <v>126</v>
      </c>
      <c r="E702" t="str">
        <f t="shared" si="12"/>
        <v>Delregion Göteborg</v>
      </c>
    </row>
    <row r="703" spans="1:5" ht="14.65" thickBot="1">
      <c r="A703" s="72">
        <v>42688</v>
      </c>
      <c r="B703" s="73" t="s">
        <v>73</v>
      </c>
      <c r="C703" s="73" t="s">
        <v>127</v>
      </c>
      <c r="D703" s="73" t="s">
        <v>126</v>
      </c>
      <c r="E703" t="str">
        <f t="shared" si="12"/>
        <v>Delregion Göteborg</v>
      </c>
    </row>
    <row r="704" spans="1:5" ht="14.65" thickBot="1">
      <c r="A704" s="72">
        <v>42704</v>
      </c>
      <c r="B704" s="73" t="s">
        <v>113</v>
      </c>
      <c r="C704" s="73" t="s">
        <v>127</v>
      </c>
      <c r="D704" s="73" t="s">
        <v>126</v>
      </c>
      <c r="E704" t="str">
        <f t="shared" si="12"/>
        <v>Delregion Skaraborg</v>
      </c>
    </row>
    <row r="705" spans="1:5" ht="14.65" thickBot="1">
      <c r="A705" s="72">
        <v>42719</v>
      </c>
      <c r="B705" s="73" t="s">
        <v>115</v>
      </c>
      <c r="C705" s="73" t="s">
        <v>127</v>
      </c>
      <c r="D705" s="73" t="s">
        <v>126</v>
      </c>
      <c r="E705" t="str">
        <f t="shared" si="12"/>
        <v>Delregion Göteborg</v>
      </c>
    </row>
    <row r="706" spans="1:5" ht="14.65" thickBot="1">
      <c r="A706" s="72">
        <v>42719</v>
      </c>
      <c r="B706" s="73" t="s">
        <v>116</v>
      </c>
      <c r="C706" s="73" t="s">
        <v>127</v>
      </c>
      <c r="D706" s="73" t="s">
        <v>126</v>
      </c>
      <c r="E706" t="str">
        <f t="shared" si="12"/>
        <v>Delregion Södra Älvsborg</v>
      </c>
    </row>
    <row r="707" spans="1:5" ht="14.65" thickBot="1">
      <c r="A707" s="72">
        <v>42720</v>
      </c>
      <c r="B707" s="73" t="s">
        <v>98</v>
      </c>
      <c r="C707" s="73" t="s">
        <v>127</v>
      </c>
      <c r="D707" s="73" t="s">
        <v>126</v>
      </c>
      <c r="E707" t="str">
        <f t="shared" si="12"/>
        <v>Delregion Göteborg</v>
      </c>
    </row>
    <row r="708" spans="1:5" ht="14.65" thickBot="1">
      <c r="A708" s="72">
        <v>42731</v>
      </c>
      <c r="B708" s="73" t="s">
        <v>73</v>
      </c>
      <c r="C708" s="73" t="s">
        <v>127</v>
      </c>
      <c r="D708" s="73" t="s">
        <v>126</v>
      </c>
      <c r="E708" t="str">
        <f t="shared" si="12"/>
        <v>Delregion Göteborg</v>
      </c>
    </row>
    <row r="709" spans="1:5" ht="14.65" thickBot="1">
      <c r="A709" s="60">
        <v>41646</v>
      </c>
      <c r="B709" s="61" t="s">
        <v>73</v>
      </c>
      <c r="C709" s="61" t="s">
        <v>129</v>
      </c>
      <c r="D709" s="61" t="s">
        <v>126</v>
      </c>
      <c r="E709" t="str">
        <f t="shared" si="12"/>
        <v>Delregion Göteborg</v>
      </c>
    </row>
    <row r="710" spans="1:5" ht="14.65" thickBot="1">
      <c r="A710" s="60">
        <v>41731</v>
      </c>
      <c r="B710" s="61" t="s">
        <v>86</v>
      </c>
      <c r="C710" s="61" t="s">
        <v>129</v>
      </c>
      <c r="D710" s="61" t="s">
        <v>126</v>
      </c>
      <c r="E710" t="str">
        <f t="shared" si="12"/>
        <v>Delregion Fyrbodal</v>
      </c>
    </row>
    <row r="711" spans="1:5" ht="14.65" thickBot="1">
      <c r="A711" s="60">
        <v>41731</v>
      </c>
      <c r="B711" s="61" t="s">
        <v>73</v>
      </c>
      <c r="C711" s="61" t="s">
        <v>129</v>
      </c>
      <c r="D711" s="61" t="s">
        <v>126</v>
      </c>
      <c r="E711" t="str">
        <f t="shared" si="12"/>
        <v>Delregion Göteborg</v>
      </c>
    </row>
    <row r="712" spans="1:5" ht="14.65" thickBot="1">
      <c r="A712" s="60">
        <v>41739</v>
      </c>
      <c r="B712" s="61" t="s">
        <v>95</v>
      </c>
      <c r="C712" s="61" t="s">
        <v>129</v>
      </c>
      <c r="D712" s="61" t="s">
        <v>126</v>
      </c>
      <c r="E712" t="str">
        <f t="shared" si="12"/>
        <v>Delregion Södra Älvsborg</v>
      </c>
    </row>
    <row r="713" spans="1:5" ht="14.65" thickBot="1">
      <c r="A713" s="60">
        <v>41774</v>
      </c>
      <c r="B713" s="61" t="s">
        <v>76</v>
      </c>
      <c r="C713" s="61" t="s">
        <v>129</v>
      </c>
      <c r="D713" s="61" t="s">
        <v>126</v>
      </c>
      <c r="E713" t="str">
        <f t="shared" si="12"/>
        <v>Delregion Skaraborg</v>
      </c>
    </row>
    <row r="714" spans="1:5" ht="14.65" thickBot="1">
      <c r="A714" s="60">
        <v>41795</v>
      </c>
      <c r="B714" s="61" t="s">
        <v>73</v>
      </c>
      <c r="C714" s="61" t="s">
        <v>129</v>
      </c>
      <c r="D714" s="61" t="s">
        <v>126</v>
      </c>
      <c r="E714" t="str">
        <f t="shared" si="12"/>
        <v>Delregion Göteborg</v>
      </c>
    </row>
    <row r="715" spans="1:5" ht="14.65" thickBot="1">
      <c r="A715" s="60">
        <v>41795</v>
      </c>
      <c r="B715" s="61" t="s">
        <v>73</v>
      </c>
      <c r="C715" s="61" t="s">
        <v>129</v>
      </c>
      <c r="D715" s="61" t="s">
        <v>126</v>
      </c>
      <c r="E715" t="str">
        <f t="shared" si="12"/>
        <v>Delregion Göteborg</v>
      </c>
    </row>
    <row r="716" spans="1:5" ht="14.65" thickBot="1">
      <c r="A716" s="60">
        <v>41907</v>
      </c>
      <c r="B716" s="61" t="s">
        <v>73</v>
      </c>
      <c r="C716" s="61" t="s">
        <v>129</v>
      </c>
      <c r="D716" s="61" t="s">
        <v>126</v>
      </c>
      <c r="E716" t="str">
        <f t="shared" si="12"/>
        <v>Delregion Göteborg</v>
      </c>
    </row>
    <row r="717" spans="1:5" ht="14.65" thickBot="1">
      <c r="A717" s="60">
        <v>41918</v>
      </c>
      <c r="B717" s="61" t="s">
        <v>120</v>
      </c>
      <c r="C717" s="61" t="s">
        <v>129</v>
      </c>
      <c r="D717" s="61" t="s">
        <v>126</v>
      </c>
      <c r="E717" t="str">
        <f t="shared" ref="E717:E780" si="13">VLOOKUP(B717,$Q$13:$R$61,2,FALSE)</f>
        <v>Delregion Södra Älvsborg</v>
      </c>
    </row>
    <row r="718" spans="1:5" ht="14.65" thickBot="1">
      <c r="A718" s="60">
        <v>41925</v>
      </c>
      <c r="B718" s="61" t="s">
        <v>95</v>
      </c>
      <c r="C718" s="61" t="s">
        <v>129</v>
      </c>
      <c r="D718" s="61" t="s">
        <v>126</v>
      </c>
      <c r="E718" t="str">
        <f t="shared" si="13"/>
        <v>Delregion Södra Älvsborg</v>
      </c>
    </row>
    <row r="719" spans="1:5" ht="14.65" thickBot="1">
      <c r="A719" s="60">
        <v>41934</v>
      </c>
      <c r="B719" s="61" t="s">
        <v>97</v>
      </c>
      <c r="C719" s="61" t="s">
        <v>129</v>
      </c>
      <c r="D719" s="61" t="s">
        <v>126</v>
      </c>
      <c r="E719" t="str">
        <f t="shared" si="13"/>
        <v>Delregion Fyrbodal</v>
      </c>
    </row>
    <row r="720" spans="1:5" ht="14.65" thickBot="1">
      <c r="A720" s="60">
        <v>41934</v>
      </c>
      <c r="B720" s="61" t="s">
        <v>73</v>
      </c>
      <c r="C720" s="61" t="s">
        <v>129</v>
      </c>
      <c r="D720" s="61" t="s">
        <v>126</v>
      </c>
      <c r="E720" t="str">
        <f t="shared" si="13"/>
        <v>Delregion Göteborg</v>
      </c>
    </row>
    <row r="721" spans="1:5" ht="14.65" thickBot="1">
      <c r="A721" s="60">
        <v>41961</v>
      </c>
      <c r="B721" s="61" t="s">
        <v>95</v>
      </c>
      <c r="C721" s="61" t="s">
        <v>129</v>
      </c>
      <c r="D721" s="61" t="s">
        <v>126</v>
      </c>
      <c r="E721" t="str">
        <f t="shared" si="13"/>
        <v>Delregion Södra Älvsborg</v>
      </c>
    </row>
    <row r="722" spans="1:5" ht="14.65" thickBot="1">
      <c r="A722" s="60">
        <v>42030</v>
      </c>
      <c r="B722" s="61" t="s">
        <v>73</v>
      </c>
      <c r="C722" s="61" t="s">
        <v>129</v>
      </c>
      <c r="D722" s="61" t="s">
        <v>126</v>
      </c>
      <c r="E722" t="str">
        <f t="shared" si="13"/>
        <v>Delregion Göteborg</v>
      </c>
    </row>
    <row r="723" spans="1:5" ht="14.65" thickBot="1">
      <c r="A723" s="60">
        <v>42034</v>
      </c>
      <c r="B723" s="61" t="s">
        <v>73</v>
      </c>
      <c r="C723" s="61" t="s">
        <v>129</v>
      </c>
      <c r="D723" s="61" t="s">
        <v>126</v>
      </c>
      <c r="E723" t="str">
        <f t="shared" si="13"/>
        <v>Delregion Göteborg</v>
      </c>
    </row>
    <row r="724" spans="1:5" ht="14.65" thickBot="1">
      <c r="A724" s="60">
        <v>42104</v>
      </c>
      <c r="B724" s="61" t="s">
        <v>97</v>
      </c>
      <c r="C724" s="61" t="s">
        <v>129</v>
      </c>
      <c r="D724" s="61" t="s">
        <v>126</v>
      </c>
      <c r="E724" t="str">
        <f t="shared" si="13"/>
        <v>Delregion Fyrbodal</v>
      </c>
    </row>
    <row r="725" spans="1:5" ht="14.65" thickBot="1">
      <c r="A725" s="60">
        <v>42114</v>
      </c>
      <c r="B725" s="61" t="s">
        <v>87</v>
      </c>
      <c r="C725" s="61" t="s">
        <v>129</v>
      </c>
      <c r="D725" s="61" t="s">
        <v>126</v>
      </c>
      <c r="E725" t="str">
        <f t="shared" si="13"/>
        <v>Delregion Skaraborg</v>
      </c>
    </row>
    <row r="726" spans="1:5" ht="14.65" thickBot="1">
      <c r="A726" s="60">
        <v>42164</v>
      </c>
      <c r="B726" s="61" t="s">
        <v>73</v>
      </c>
      <c r="C726" s="61" t="s">
        <v>129</v>
      </c>
      <c r="D726" s="61" t="s">
        <v>126</v>
      </c>
      <c r="E726" t="str">
        <f t="shared" si="13"/>
        <v>Delregion Göteborg</v>
      </c>
    </row>
    <row r="727" spans="1:5" ht="14.65" thickBot="1">
      <c r="A727" s="60">
        <v>42171</v>
      </c>
      <c r="B727" s="61" t="s">
        <v>73</v>
      </c>
      <c r="C727" s="61" t="s">
        <v>129</v>
      </c>
      <c r="D727" s="61" t="s">
        <v>126</v>
      </c>
      <c r="E727" t="str">
        <f t="shared" si="13"/>
        <v>Delregion Göteborg</v>
      </c>
    </row>
    <row r="728" spans="1:5" ht="14.65" thickBot="1">
      <c r="A728" s="60">
        <v>42181</v>
      </c>
      <c r="B728" s="61" t="s">
        <v>73</v>
      </c>
      <c r="C728" s="61" t="s">
        <v>129</v>
      </c>
      <c r="D728" s="61" t="s">
        <v>126</v>
      </c>
      <c r="E728" t="str">
        <f t="shared" si="13"/>
        <v>Delregion Göteborg</v>
      </c>
    </row>
    <row r="729" spans="1:5" ht="14.65" thickBot="1">
      <c r="A729" s="60">
        <v>42234</v>
      </c>
      <c r="B729" s="61" t="s">
        <v>73</v>
      </c>
      <c r="C729" s="61" t="s">
        <v>129</v>
      </c>
      <c r="D729" s="61" t="s">
        <v>126</v>
      </c>
      <c r="E729" t="str">
        <f t="shared" si="13"/>
        <v>Delregion Göteborg</v>
      </c>
    </row>
    <row r="730" spans="1:5" ht="14.65" thickBot="1">
      <c r="A730" s="60">
        <v>42300</v>
      </c>
      <c r="B730" s="61" t="s">
        <v>87</v>
      </c>
      <c r="C730" s="61" t="s">
        <v>129</v>
      </c>
      <c r="D730" s="61" t="s">
        <v>126</v>
      </c>
      <c r="E730" t="str">
        <f t="shared" si="13"/>
        <v>Delregion Skaraborg</v>
      </c>
    </row>
    <row r="731" spans="1:5" ht="14.65" thickBot="1">
      <c r="A731" s="60">
        <v>42345</v>
      </c>
      <c r="B731" s="61" t="s">
        <v>73</v>
      </c>
      <c r="C731" s="61" t="s">
        <v>129</v>
      </c>
      <c r="D731" s="61" t="s">
        <v>126</v>
      </c>
      <c r="E731" t="str">
        <f t="shared" si="13"/>
        <v>Delregion Göteborg</v>
      </c>
    </row>
    <row r="732" spans="1:5" ht="14.65" thickBot="1">
      <c r="A732" s="60">
        <v>42346</v>
      </c>
      <c r="B732" s="61" t="s">
        <v>87</v>
      </c>
      <c r="C732" s="61" t="s">
        <v>129</v>
      </c>
      <c r="D732" s="61" t="s">
        <v>126</v>
      </c>
      <c r="E732" t="str">
        <f t="shared" si="13"/>
        <v>Delregion Skaraborg</v>
      </c>
    </row>
    <row r="733" spans="1:5" ht="14.65" thickBot="1">
      <c r="A733" s="60">
        <v>42353</v>
      </c>
      <c r="B733" s="61" t="s">
        <v>73</v>
      </c>
      <c r="C733" s="61" t="s">
        <v>129</v>
      </c>
      <c r="D733" s="61" t="s">
        <v>126</v>
      </c>
      <c r="E733" t="str">
        <f t="shared" si="13"/>
        <v>Delregion Göteborg</v>
      </c>
    </row>
    <row r="734" spans="1:5" ht="14.65" thickBot="1">
      <c r="A734" s="60">
        <v>42354</v>
      </c>
      <c r="B734" s="61" t="s">
        <v>73</v>
      </c>
      <c r="C734" s="61" t="s">
        <v>129</v>
      </c>
      <c r="D734" s="61" t="s">
        <v>126</v>
      </c>
      <c r="E734" t="str">
        <f t="shared" si="13"/>
        <v>Delregion Göteborg</v>
      </c>
    </row>
    <row r="735" spans="1:5" ht="14.65" thickBot="1">
      <c r="A735" s="72">
        <v>42377</v>
      </c>
      <c r="B735" s="73" t="s">
        <v>115</v>
      </c>
      <c r="C735" s="73" t="s">
        <v>129</v>
      </c>
      <c r="D735" s="73" t="s">
        <v>126</v>
      </c>
      <c r="E735" t="str">
        <f t="shared" si="13"/>
        <v>Delregion Göteborg</v>
      </c>
    </row>
    <row r="736" spans="1:5" ht="14.65" thickBot="1">
      <c r="A736" s="72">
        <v>42391</v>
      </c>
      <c r="B736" s="73" t="s">
        <v>73</v>
      </c>
      <c r="C736" s="73" t="s">
        <v>129</v>
      </c>
      <c r="D736" s="73" t="s">
        <v>126</v>
      </c>
      <c r="E736" t="str">
        <f t="shared" si="13"/>
        <v>Delregion Göteborg</v>
      </c>
    </row>
    <row r="737" spans="1:5" ht="14.65" thickBot="1">
      <c r="A737" s="72">
        <v>42395</v>
      </c>
      <c r="B737" s="73" t="s">
        <v>73</v>
      </c>
      <c r="C737" s="73" t="s">
        <v>129</v>
      </c>
      <c r="D737" s="73" t="s">
        <v>126</v>
      </c>
      <c r="E737" t="str">
        <f t="shared" si="13"/>
        <v>Delregion Göteborg</v>
      </c>
    </row>
    <row r="738" spans="1:5" ht="14.65" thickBot="1">
      <c r="A738" s="72">
        <v>42396</v>
      </c>
      <c r="B738" s="73" t="s">
        <v>73</v>
      </c>
      <c r="C738" s="73" t="s">
        <v>129</v>
      </c>
      <c r="D738" s="73" t="s">
        <v>126</v>
      </c>
      <c r="E738" t="str">
        <f t="shared" si="13"/>
        <v>Delregion Göteborg</v>
      </c>
    </row>
    <row r="739" spans="1:5" ht="14.65" thickBot="1">
      <c r="A739" s="72">
        <v>42396</v>
      </c>
      <c r="B739" s="73" t="s">
        <v>73</v>
      </c>
      <c r="C739" s="73" t="s">
        <v>129</v>
      </c>
      <c r="D739" s="73" t="s">
        <v>126</v>
      </c>
      <c r="E739" t="str">
        <f t="shared" si="13"/>
        <v>Delregion Göteborg</v>
      </c>
    </row>
    <row r="740" spans="1:5" ht="14.65" thickBot="1">
      <c r="A740" s="72">
        <v>42416</v>
      </c>
      <c r="B740" s="73" t="s">
        <v>94</v>
      </c>
      <c r="C740" s="73" t="s">
        <v>129</v>
      </c>
      <c r="D740" s="73" t="s">
        <v>126</v>
      </c>
      <c r="E740" t="str">
        <f t="shared" si="13"/>
        <v>Delregion Fyrbodal</v>
      </c>
    </row>
    <row r="741" spans="1:5" ht="14.65" thickBot="1">
      <c r="A741" s="72">
        <v>42436</v>
      </c>
      <c r="B741" s="73" t="s">
        <v>99</v>
      </c>
      <c r="C741" s="73" t="s">
        <v>129</v>
      </c>
      <c r="D741" s="73" t="s">
        <v>126</v>
      </c>
      <c r="E741" t="str">
        <f t="shared" si="13"/>
        <v>Delregion Skaraborg</v>
      </c>
    </row>
    <row r="742" spans="1:5" ht="14.65" thickBot="1">
      <c r="A742" s="72">
        <v>42436</v>
      </c>
      <c r="B742" s="73" t="s">
        <v>95</v>
      </c>
      <c r="C742" s="73" t="s">
        <v>129</v>
      </c>
      <c r="D742" s="73" t="s">
        <v>126</v>
      </c>
      <c r="E742" t="str">
        <f t="shared" si="13"/>
        <v>Delregion Södra Älvsborg</v>
      </c>
    </row>
    <row r="743" spans="1:5" ht="14.65" thickBot="1">
      <c r="A743" s="72">
        <v>42440</v>
      </c>
      <c r="B743" s="73" t="s">
        <v>73</v>
      </c>
      <c r="C743" s="73" t="s">
        <v>129</v>
      </c>
      <c r="D743" s="73" t="s">
        <v>126</v>
      </c>
      <c r="E743" t="str">
        <f t="shared" si="13"/>
        <v>Delregion Göteborg</v>
      </c>
    </row>
    <row r="744" spans="1:5" ht="14.65" thickBot="1">
      <c r="A744" s="72">
        <v>42471</v>
      </c>
      <c r="B744" s="73" t="s">
        <v>94</v>
      </c>
      <c r="C744" s="73" t="s">
        <v>129</v>
      </c>
      <c r="D744" s="73" t="s">
        <v>126</v>
      </c>
      <c r="E744" t="str">
        <f t="shared" si="13"/>
        <v>Delregion Fyrbodal</v>
      </c>
    </row>
    <row r="745" spans="1:5" ht="14.65" thickBot="1">
      <c r="A745" s="72">
        <v>42475</v>
      </c>
      <c r="B745" s="73" t="s">
        <v>73</v>
      </c>
      <c r="C745" s="73" t="s">
        <v>129</v>
      </c>
      <c r="D745" s="73" t="s">
        <v>126</v>
      </c>
      <c r="E745" t="str">
        <f t="shared" si="13"/>
        <v>Delregion Göteborg</v>
      </c>
    </row>
    <row r="746" spans="1:5" ht="14.65" thickBot="1">
      <c r="A746" s="72">
        <v>42475</v>
      </c>
      <c r="B746" s="73" t="s">
        <v>99</v>
      </c>
      <c r="C746" s="73" t="s">
        <v>129</v>
      </c>
      <c r="D746" s="73" t="s">
        <v>126</v>
      </c>
      <c r="E746" t="str">
        <f t="shared" si="13"/>
        <v>Delregion Skaraborg</v>
      </c>
    </row>
    <row r="747" spans="1:5" ht="14.65" thickBot="1">
      <c r="A747" s="72">
        <v>42475</v>
      </c>
      <c r="B747" s="73" t="s">
        <v>95</v>
      </c>
      <c r="C747" s="73" t="s">
        <v>129</v>
      </c>
      <c r="D747" s="73" t="s">
        <v>126</v>
      </c>
      <c r="E747" t="str">
        <f t="shared" si="13"/>
        <v>Delregion Södra Älvsborg</v>
      </c>
    </row>
    <row r="748" spans="1:5" ht="14.65" thickBot="1">
      <c r="A748" s="72">
        <v>42481</v>
      </c>
      <c r="B748" s="73" t="s">
        <v>73</v>
      </c>
      <c r="C748" s="73" t="s">
        <v>129</v>
      </c>
      <c r="D748" s="73" t="s">
        <v>126</v>
      </c>
      <c r="E748" t="str">
        <f t="shared" si="13"/>
        <v>Delregion Göteborg</v>
      </c>
    </row>
    <row r="749" spans="1:5" ht="14.65" thickBot="1">
      <c r="A749" s="72">
        <v>42481</v>
      </c>
      <c r="B749" s="73" t="s">
        <v>73</v>
      </c>
      <c r="C749" s="73" t="s">
        <v>129</v>
      </c>
      <c r="D749" s="73" t="s">
        <v>126</v>
      </c>
      <c r="E749" t="str">
        <f t="shared" si="13"/>
        <v>Delregion Göteborg</v>
      </c>
    </row>
    <row r="750" spans="1:5" ht="14.65" thickBot="1">
      <c r="A750" s="72">
        <v>42488</v>
      </c>
      <c r="B750" s="73" t="s">
        <v>95</v>
      </c>
      <c r="C750" s="73" t="s">
        <v>129</v>
      </c>
      <c r="D750" s="73" t="s">
        <v>126</v>
      </c>
      <c r="E750" t="str">
        <f t="shared" si="13"/>
        <v>Delregion Södra Älvsborg</v>
      </c>
    </row>
    <row r="751" spans="1:5" ht="14.65" thickBot="1">
      <c r="A751" s="72">
        <v>42503</v>
      </c>
      <c r="B751" s="73" t="s">
        <v>73</v>
      </c>
      <c r="C751" s="73" t="s">
        <v>129</v>
      </c>
      <c r="D751" s="73" t="s">
        <v>126</v>
      </c>
      <c r="E751" t="str">
        <f t="shared" si="13"/>
        <v>Delregion Göteborg</v>
      </c>
    </row>
    <row r="752" spans="1:5" ht="14.65" thickBot="1">
      <c r="A752" s="72">
        <v>42503</v>
      </c>
      <c r="B752" s="73" t="s">
        <v>87</v>
      </c>
      <c r="C752" s="73" t="s">
        <v>129</v>
      </c>
      <c r="D752" s="73" t="s">
        <v>126</v>
      </c>
      <c r="E752" t="str">
        <f t="shared" si="13"/>
        <v>Delregion Skaraborg</v>
      </c>
    </row>
    <row r="753" spans="1:5" ht="14.65" thickBot="1">
      <c r="A753" s="72">
        <v>42507</v>
      </c>
      <c r="B753" s="73" t="s">
        <v>99</v>
      </c>
      <c r="C753" s="73" t="s">
        <v>129</v>
      </c>
      <c r="D753" s="73" t="s">
        <v>126</v>
      </c>
      <c r="E753" t="str">
        <f t="shared" si="13"/>
        <v>Delregion Skaraborg</v>
      </c>
    </row>
    <row r="754" spans="1:5" ht="14.65" thickBot="1">
      <c r="A754" s="72">
        <v>42507</v>
      </c>
      <c r="B754" s="73" t="s">
        <v>120</v>
      </c>
      <c r="C754" s="73" t="s">
        <v>129</v>
      </c>
      <c r="D754" s="73" t="s">
        <v>126</v>
      </c>
      <c r="E754" t="str">
        <f t="shared" si="13"/>
        <v>Delregion Södra Älvsborg</v>
      </c>
    </row>
    <row r="755" spans="1:5" ht="14.65" thickBot="1">
      <c r="A755" s="72">
        <v>42508</v>
      </c>
      <c r="B755" s="73" t="s">
        <v>80</v>
      </c>
      <c r="C755" s="73" t="s">
        <v>129</v>
      </c>
      <c r="D755" s="73" t="s">
        <v>126</v>
      </c>
      <c r="E755" t="str">
        <f t="shared" si="13"/>
        <v>Delregion Södra Älvsborg</v>
      </c>
    </row>
    <row r="756" spans="1:5" ht="14.65" thickBot="1">
      <c r="A756" s="72">
        <v>42509</v>
      </c>
      <c r="B756" s="73" t="s">
        <v>104</v>
      </c>
      <c r="C756" s="73" t="s">
        <v>129</v>
      </c>
      <c r="D756" s="73" t="s">
        <v>126</v>
      </c>
      <c r="E756" t="str">
        <f t="shared" si="13"/>
        <v>Delregion SIMBA</v>
      </c>
    </row>
    <row r="757" spans="1:5" ht="14.65" thickBot="1">
      <c r="A757" s="72">
        <v>42517</v>
      </c>
      <c r="B757" s="73" t="s">
        <v>120</v>
      </c>
      <c r="C757" s="73" t="s">
        <v>129</v>
      </c>
      <c r="D757" s="73" t="s">
        <v>126</v>
      </c>
      <c r="E757" t="str">
        <f t="shared" si="13"/>
        <v>Delregion Södra Älvsborg</v>
      </c>
    </row>
    <row r="758" spans="1:5" ht="14.65" thickBot="1">
      <c r="A758" s="72">
        <v>42530</v>
      </c>
      <c r="B758" s="73" t="s">
        <v>78</v>
      </c>
      <c r="C758" s="73" t="s">
        <v>129</v>
      </c>
      <c r="D758" s="73" t="s">
        <v>126</v>
      </c>
      <c r="E758" t="str">
        <f t="shared" si="13"/>
        <v>Delregion SIMBA</v>
      </c>
    </row>
    <row r="759" spans="1:5" ht="14.65" thickBot="1">
      <c r="A759" s="72">
        <v>42530</v>
      </c>
      <c r="B759" s="73" t="s">
        <v>87</v>
      </c>
      <c r="C759" s="73" t="s">
        <v>129</v>
      </c>
      <c r="D759" s="73" t="s">
        <v>126</v>
      </c>
      <c r="E759" t="str">
        <f t="shared" si="13"/>
        <v>Delregion Skaraborg</v>
      </c>
    </row>
    <row r="760" spans="1:5" ht="14.65" thickBot="1">
      <c r="A760" s="72">
        <v>42534</v>
      </c>
      <c r="B760" s="73" t="s">
        <v>94</v>
      </c>
      <c r="C760" s="73" t="s">
        <v>129</v>
      </c>
      <c r="D760" s="73" t="s">
        <v>126</v>
      </c>
      <c r="E760" t="str">
        <f t="shared" si="13"/>
        <v>Delregion Fyrbodal</v>
      </c>
    </row>
    <row r="761" spans="1:5" ht="14.65" thickBot="1">
      <c r="A761" s="72">
        <v>42541</v>
      </c>
      <c r="B761" s="73" t="s">
        <v>73</v>
      </c>
      <c r="C761" s="73" t="s">
        <v>129</v>
      </c>
      <c r="D761" s="73" t="s">
        <v>126</v>
      </c>
      <c r="E761" t="str">
        <f t="shared" si="13"/>
        <v>Delregion Göteborg</v>
      </c>
    </row>
    <row r="762" spans="1:5" ht="14.65" thickBot="1">
      <c r="A762" s="72">
        <v>42557</v>
      </c>
      <c r="B762" s="73" t="s">
        <v>120</v>
      </c>
      <c r="C762" s="73" t="s">
        <v>129</v>
      </c>
      <c r="D762" s="73" t="s">
        <v>126</v>
      </c>
      <c r="E762" t="str">
        <f t="shared" si="13"/>
        <v>Delregion Södra Älvsborg</v>
      </c>
    </row>
    <row r="763" spans="1:5" ht="14.65" thickBot="1">
      <c r="A763" s="72">
        <v>42586</v>
      </c>
      <c r="B763" s="73" t="s">
        <v>73</v>
      </c>
      <c r="C763" s="73" t="s">
        <v>129</v>
      </c>
      <c r="D763" s="73" t="s">
        <v>126</v>
      </c>
      <c r="E763" t="str">
        <f t="shared" si="13"/>
        <v>Delregion Göteborg</v>
      </c>
    </row>
    <row r="764" spans="1:5" ht="14.65" thickBot="1">
      <c r="A764" s="72">
        <v>42594</v>
      </c>
      <c r="B764" s="73" t="s">
        <v>95</v>
      </c>
      <c r="C764" s="73" t="s">
        <v>129</v>
      </c>
      <c r="D764" s="73" t="s">
        <v>126</v>
      </c>
      <c r="E764" t="str">
        <f t="shared" si="13"/>
        <v>Delregion Södra Älvsborg</v>
      </c>
    </row>
    <row r="765" spans="1:5" ht="14.65" thickBot="1">
      <c r="A765" s="72">
        <v>42594</v>
      </c>
      <c r="B765" s="73" t="s">
        <v>87</v>
      </c>
      <c r="C765" s="73" t="s">
        <v>129</v>
      </c>
      <c r="D765" s="73" t="s">
        <v>126</v>
      </c>
      <c r="E765" t="str">
        <f t="shared" si="13"/>
        <v>Delregion Skaraborg</v>
      </c>
    </row>
    <row r="766" spans="1:5" ht="14.65" thickBot="1">
      <c r="A766" s="72">
        <v>42613</v>
      </c>
      <c r="B766" s="73" t="s">
        <v>73</v>
      </c>
      <c r="C766" s="73" t="s">
        <v>129</v>
      </c>
      <c r="D766" s="73" t="s">
        <v>126</v>
      </c>
      <c r="E766" t="str">
        <f t="shared" si="13"/>
        <v>Delregion Göteborg</v>
      </c>
    </row>
    <row r="767" spans="1:5" ht="14.65" thickBot="1">
      <c r="A767" s="72">
        <v>42614</v>
      </c>
      <c r="B767" s="73" t="s">
        <v>109</v>
      </c>
      <c r="C767" s="73" t="s">
        <v>129</v>
      </c>
      <c r="D767" s="73" t="s">
        <v>126</v>
      </c>
      <c r="E767" t="str">
        <f t="shared" si="13"/>
        <v>Delregion Fyrbodal</v>
      </c>
    </row>
    <row r="768" spans="1:5" ht="14.65" thickBot="1">
      <c r="A768" s="72">
        <v>42618</v>
      </c>
      <c r="B768" s="73" t="s">
        <v>94</v>
      </c>
      <c r="C768" s="73" t="s">
        <v>129</v>
      </c>
      <c r="D768" s="73" t="s">
        <v>126</v>
      </c>
      <c r="E768" t="str">
        <f t="shared" si="13"/>
        <v>Delregion Fyrbodal</v>
      </c>
    </row>
    <row r="769" spans="1:5" ht="14.65" thickBot="1">
      <c r="A769" s="72">
        <v>42648</v>
      </c>
      <c r="B769" s="73" t="s">
        <v>73</v>
      </c>
      <c r="C769" s="73" t="s">
        <v>129</v>
      </c>
      <c r="D769" s="73" t="s">
        <v>126</v>
      </c>
      <c r="E769" t="str">
        <f t="shared" si="13"/>
        <v>Delregion Göteborg</v>
      </c>
    </row>
    <row r="770" spans="1:5" ht="14.65" thickBot="1">
      <c r="A770" s="72">
        <v>42649</v>
      </c>
      <c r="B770" s="73" t="s">
        <v>78</v>
      </c>
      <c r="C770" s="73" t="s">
        <v>129</v>
      </c>
      <c r="D770" s="73" t="s">
        <v>126</v>
      </c>
      <c r="E770" t="str">
        <f t="shared" si="13"/>
        <v>Delregion SIMBA</v>
      </c>
    </row>
    <row r="771" spans="1:5" ht="14.65" thickBot="1">
      <c r="A771" s="72">
        <v>42653</v>
      </c>
      <c r="B771" s="73" t="s">
        <v>94</v>
      </c>
      <c r="C771" s="73" t="s">
        <v>129</v>
      </c>
      <c r="D771" s="73" t="s">
        <v>126</v>
      </c>
      <c r="E771" t="str">
        <f t="shared" si="13"/>
        <v>Delregion Fyrbodal</v>
      </c>
    </row>
    <row r="772" spans="1:5" ht="14.65" thickBot="1">
      <c r="A772" s="72">
        <v>42653</v>
      </c>
      <c r="B772" s="73" t="s">
        <v>73</v>
      </c>
      <c r="C772" s="73" t="s">
        <v>129</v>
      </c>
      <c r="D772" s="73" t="s">
        <v>126</v>
      </c>
      <c r="E772" t="str">
        <f t="shared" si="13"/>
        <v>Delregion Göteborg</v>
      </c>
    </row>
    <row r="773" spans="1:5" ht="14.65" thickBot="1">
      <c r="A773" s="72">
        <v>42653</v>
      </c>
      <c r="B773" s="73" t="s">
        <v>95</v>
      </c>
      <c r="C773" s="73" t="s">
        <v>129</v>
      </c>
      <c r="D773" s="73" t="s">
        <v>126</v>
      </c>
      <c r="E773" t="str">
        <f t="shared" si="13"/>
        <v>Delregion Södra Älvsborg</v>
      </c>
    </row>
    <row r="774" spans="1:5" ht="14.65" thickBot="1">
      <c r="A774" s="72">
        <v>42654</v>
      </c>
      <c r="B774" s="73" t="s">
        <v>104</v>
      </c>
      <c r="C774" s="73" t="s">
        <v>129</v>
      </c>
      <c r="D774" s="73" t="s">
        <v>126</v>
      </c>
      <c r="E774" t="str">
        <f t="shared" si="13"/>
        <v>Delregion SIMBA</v>
      </c>
    </row>
    <row r="775" spans="1:5" ht="14.65" thickBot="1">
      <c r="A775" s="72">
        <v>42664</v>
      </c>
      <c r="B775" s="73" t="s">
        <v>73</v>
      </c>
      <c r="C775" s="73" t="s">
        <v>129</v>
      </c>
      <c r="D775" s="73" t="s">
        <v>126</v>
      </c>
      <c r="E775" t="str">
        <f t="shared" si="13"/>
        <v>Delregion Göteborg</v>
      </c>
    </row>
    <row r="776" spans="1:5" ht="14.65" thickBot="1">
      <c r="A776" s="72">
        <v>42681</v>
      </c>
      <c r="B776" s="73" t="s">
        <v>73</v>
      </c>
      <c r="C776" s="73" t="s">
        <v>129</v>
      </c>
      <c r="D776" s="73" t="s">
        <v>126</v>
      </c>
      <c r="E776" t="str">
        <f t="shared" si="13"/>
        <v>Delregion Göteborg</v>
      </c>
    </row>
    <row r="777" spans="1:5" ht="14.65" thickBot="1">
      <c r="A777" s="72">
        <v>42681</v>
      </c>
      <c r="B777" s="73" t="s">
        <v>107</v>
      </c>
      <c r="C777" s="73" t="s">
        <v>129</v>
      </c>
      <c r="D777" s="73" t="s">
        <v>126</v>
      </c>
      <c r="E777" t="str">
        <f t="shared" si="13"/>
        <v>Delregion Skaraborg</v>
      </c>
    </row>
    <row r="778" spans="1:5" ht="14.65" thickBot="1">
      <c r="A778" s="72">
        <v>42683</v>
      </c>
      <c r="B778" s="73" t="s">
        <v>78</v>
      </c>
      <c r="C778" s="73" t="s">
        <v>129</v>
      </c>
      <c r="D778" s="73" t="s">
        <v>126</v>
      </c>
      <c r="E778" t="str">
        <f t="shared" si="13"/>
        <v>Delregion SIMBA</v>
      </c>
    </row>
    <row r="779" spans="1:5" ht="14.65" thickBot="1">
      <c r="A779" s="72">
        <v>42703</v>
      </c>
      <c r="B779" s="73" t="s">
        <v>76</v>
      </c>
      <c r="C779" s="73" t="s">
        <v>129</v>
      </c>
      <c r="D779" s="73" t="s">
        <v>126</v>
      </c>
      <c r="E779" t="str">
        <f t="shared" si="13"/>
        <v>Delregion Skaraborg</v>
      </c>
    </row>
    <row r="780" spans="1:5" ht="14.65" thickBot="1">
      <c r="A780" s="72">
        <v>42709</v>
      </c>
      <c r="B780" s="73" t="s">
        <v>97</v>
      </c>
      <c r="C780" s="73" t="s">
        <v>129</v>
      </c>
      <c r="D780" s="73" t="s">
        <v>126</v>
      </c>
      <c r="E780" t="str">
        <f t="shared" si="13"/>
        <v>Delregion Fyrbodal</v>
      </c>
    </row>
    <row r="781" spans="1:5" ht="14.65" thickBot="1">
      <c r="A781" s="72">
        <v>42734</v>
      </c>
      <c r="B781" s="73" t="s">
        <v>120</v>
      </c>
      <c r="C781" s="73" t="s">
        <v>129</v>
      </c>
      <c r="D781" s="73" t="s">
        <v>126</v>
      </c>
      <c r="E781" t="str">
        <f t="shared" ref="E781:E844" si="14">VLOOKUP(B781,$Q$13:$R$61,2,FALSE)</f>
        <v>Delregion Södra Älvsborg</v>
      </c>
    </row>
    <row r="782" spans="1:5" ht="14.65" thickBot="1">
      <c r="A782" s="72">
        <v>42734</v>
      </c>
      <c r="B782" s="73" t="s">
        <v>87</v>
      </c>
      <c r="C782" s="73" t="s">
        <v>129</v>
      </c>
      <c r="D782" s="73" t="s">
        <v>126</v>
      </c>
      <c r="E782" t="str">
        <f t="shared" si="14"/>
        <v>Delregion Skaraborg</v>
      </c>
    </row>
    <row r="783" spans="1:5" ht="14.65" thickBot="1">
      <c r="A783" s="60">
        <v>41800</v>
      </c>
      <c r="B783" s="61" t="s">
        <v>73</v>
      </c>
      <c r="C783" s="61" t="s">
        <v>139</v>
      </c>
      <c r="D783" s="61" t="s">
        <v>126</v>
      </c>
      <c r="E783" t="str">
        <f t="shared" si="14"/>
        <v>Delregion Göteborg</v>
      </c>
    </row>
    <row r="784" spans="1:5" ht="14.65" thickBot="1">
      <c r="A784" s="60">
        <v>41941</v>
      </c>
      <c r="B784" s="61" t="s">
        <v>99</v>
      </c>
      <c r="C784" s="61" t="s">
        <v>139</v>
      </c>
      <c r="D784" s="61" t="s">
        <v>126</v>
      </c>
      <c r="E784" t="str">
        <f t="shared" si="14"/>
        <v>Delregion Skaraborg</v>
      </c>
    </row>
    <row r="785" spans="1:5" ht="14.65" thickBot="1">
      <c r="A785" s="60">
        <v>41963</v>
      </c>
      <c r="B785" s="61" t="s">
        <v>97</v>
      </c>
      <c r="C785" s="61" t="s">
        <v>139</v>
      </c>
      <c r="D785" s="61" t="s">
        <v>126</v>
      </c>
      <c r="E785" t="str">
        <f t="shared" si="14"/>
        <v>Delregion Fyrbodal</v>
      </c>
    </row>
    <row r="786" spans="1:5" ht="14.65" thickBot="1">
      <c r="A786" s="60">
        <v>42012</v>
      </c>
      <c r="B786" s="61" t="s">
        <v>97</v>
      </c>
      <c r="C786" s="61" t="s">
        <v>139</v>
      </c>
      <c r="D786" s="61" t="s">
        <v>126</v>
      </c>
      <c r="E786" t="str">
        <f t="shared" si="14"/>
        <v>Delregion Fyrbodal</v>
      </c>
    </row>
    <row r="787" spans="1:5" ht="14.65" thickBot="1">
      <c r="A787" s="60">
        <v>42068</v>
      </c>
      <c r="B787" s="61" t="s">
        <v>95</v>
      </c>
      <c r="C787" s="61" t="s">
        <v>139</v>
      </c>
      <c r="D787" s="61" t="s">
        <v>126</v>
      </c>
      <c r="E787" t="str">
        <f t="shared" si="14"/>
        <v>Delregion Södra Älvsborg</v>
      </c>
    </row>
    <row r="788" spans="1:5" ht="14.65" thickBot="1">
      <c r="A788" s="60">
        <v>42094</v>
      </c>
      <c r="B788" s="61" t="s">
        <v>73</v>
      </c>
      <c r="C788" s="61" t="s">
        <v>139</v>
      </c>
      <c r="D788" s="61" t="s">
        <v>126</v>
      </c>
      <c r="E788" t="str">
        <f t="shared" si="14"/>
        <v>Delregion Göteborg</v>
      </c>
    </row>
    <row r="789" spans="1:5" ht="14.65" thickBot="1">
      <c r="A789" s="60">
        <v>42185</v>
      </c>
      <c r="B789" s="61" t="s">
        <v>73</v>
      </c>
      <c r="C789" s="61" t="s">
        <v>139</v>
      </c>
      <c r="D789" s="61" t="s">
        <v>126</v>
      </c>
      <c r="E789" t="str">
        <f t="shared" si="14"/>
        <v>Delregion Göteborg</v>
      </c>
    </row>
    <row r="790" spans="1:5" ht="14.65" thickBot="1">
      <c r="A790" s="60">
        <v>42310</v>
      </c>
      <c r="B790" s="61" t="s">
        <v>73</v>
      </c>
      <c r="C790" s="61" t="s">
        <v>139</v>
      </c>
      <c r="D790" s="61" t="s">
        <v>126</v>
      </c>
      <c r="E790" t="str">
        <f t="shared" si="14"/>
        <v>Delregion Göteborg</v>
      </c>
    </row>
    <row r="791" spans="1:5" ht="14.65" thickBot="1">
      <c r="A791" s="72">
        <v>42620</v>
      </c>
      <c r="B791" s="73" t="s">
        <v>73</v>
      </c>
      <c r="C791" s="73" t="s">
        <v>139</v>
      </c>
      <c r="D791" s="73" t="s">
        <v>126</v>
      </c>
      <c r="E791" t="str">
        <f t="shared" si="14"/>
        <v>Delregion Göteborg</v>
      </c>
    </row>
    <row r="792" spans="1:5" ht="14.65" thickBot="1">
      <c r="A792" s="60">
        <v>41655</v>
      </c>
      <c r="B792" s="61" t="s">
        <v>78</v>
      </c>
      <c r="C792" s="61" t="s">
        <v>125</v>
      </c>
      <c r="D792" s="61" t="s">
        <v>126</v>
      </c>
      <c r="E792" t="str">
        <f t="shared" si="14"/>
        <v>Delregion SIMBA</v>
      </c>
    </row>
    <row r="793" spans="1:5" ht="14.65" thickBot="1">
      <c r="A793" s="60">
        <v>41695</v>
      </c>
      <c r="B793" s="61" t="s">
        <v>73</v>
      </c>
      <c r="C793" s="61" t="s">
        <v>125</v>
      </c>
      <c r="D793" s="61" t="s">
        <v>126</v>
      </c>
      <c r="E793" t="str">
        <f t="shared" si="14"/>
        <v>Delregion Göteborg</v>
      </c>
    </row>
    <row r="794" spans="1:5" ht="14.65" thickBot="1">
      <c r="A794" s="60">
        <v>41778</v>
      </c>
      <c r="B794" s="61" t="s">
        <v>73</v>
      </c>
      <c r="C794" s="61" t="s">
        <v>125</v>
      </c>
      <c r="D794" s="61" t="s">
        <v>126</v>
      </c>
      <c r="E794" t="str">
        <f t="shared" si="14"/>
        <v>Delregion Göteborg</v>
      </c>
    </row>
    <row r="795" spans="1:5" ht="14.65" thickBot="1">
      <c r="A795" s="60">
        <v>41779</v>
      </c>
      <c r="B795" s="61" t="s">
        <v>73</v>
      </c>
      <c r="C795" s="61" t="s">
        <v>125</v>
      </c>
      <c r="D795" s="61" t="s">
        <v>126</v>
      </c>
      <c r="E795" t="str">
        <f t="shared" si="14"/>
        <v>Delregion Göteborg</v>
      </c>
    </row>
    <row r="796" spans="1:5" ht="14.65" thickBot="1">
      <c r="A796" s="60">
        <v>41969</v>
      </c>
      <c r="B796" s="61" t="s">
        <v>73</v>
      </c>
      <c r="C796" s="61" t="s">
        <v>125</v>
      </c>
      <c r="D796" s="61" t="s">
        <v>126</v>
      </c>
      <c r="E796" t="str">
        <f t="shared" si="14"/>
        <v>Delregion Göteborg</v>
      </c>
    </row>
    <row r="797" spans="1:5" ht="14.65" thickBot="1">
      <c r="A797" s="60">
        <v>42016</v>
      </c>
      <c r="B797" s="61" t="s">
        <v>97</v>
      </c>
      <c r="C797" s="61" t="s">
        <v>125</v>
      </c>
      <c r="D797" s="61" t="s">
        <v>126</v>
      </c>
      <c r="E797" t="str">
        <f t="shared" si="14"/>
        <v>Delregion Fyrbodal</v>
      </c>
    </row>
    <row r="798" spans="1:5" ht="14.65" thickBot="1">
      <c r="A798" s="60">
        <v>42088</v>
      </c>
      <c r="B798" s="61" t="s">
        <v>97</v>
      </c>
      <c r="C798" s="61" t="s">
        <v>125</v>
      </c>
      <c r="D798" s="61" t="s">
        <v>126</v>
      </c>
      <c r="E798" t="str">
        <f t="shared" si="14"/>
        <v>Delregion Fyrbodal</v>
      </c>
    </row>
    <row r="799" spans="1:5" ht="14.65" thickBot="1">
      <c r="A799" s="60">
        <v>42132</v>
      </c>
      <c r="B799" s="61" t="s">
        <v>73</v>
      </c>
      <c r="C799" s="61" t="s">
        <v>125</v>
      </c>
      <c r="D799" s="61" t="s">
        <v>126</v>
      </c>
      <c r="E799" t="str">
        <f t="shared" si="14"/>
        <v>Delregion Göteborg</v>
      </c>
    </row>
    <row r="800" spans="1:5" ht="14.65" thickBot="1">
      <c r="A800" s="60">
        <v>42142</v>
      </c>
      <c r="B800" s="61" t="s">
        <v>73</v>
      </c>
      <c r="C800" s="61" t="s">
        <v>125</v>
      </c>
      <c r="D800" s="61" t="s">
        <v>126</v>
      </c>
      <c r="E800" t="str">
        <f t="shared" si="14"/>
        <v>Delregion Göteborg</v>
      </c>
    </row>
    <row r="801" spans="1:5" ht="14.65" thickBot="1">
      <c r="A801" s="60">
        <v>42164</v>
      </c>
      <c r="B801" s="61" t="s">
        <v>86</v>
      </c>
      <c r="C801" s="61" t="s">
        <v>125</v>
      </c>
      <c r="D801" s="61" t="s">
        <v>126</v>
      </c>
      <c r="E801" t="str">
        <f t="shared" si="14"/>
        <v>Delregion Fyrbodal</v>
      </c>
    </row>
    <row r="802" spans="1:5" ht="14.65" thickBot="1">
      <c r="A802" s="60">
        <v>42234</v>
      </c>
      <c r="B802" s="61" t="s">
        <v>80</v>
      </c>
      <c r="C802" s="61" t="s">
        <v>125</v>
      </c>
      <c r="D802" s="61" t="s">
        <v>126</v>
      </c>
      <c r="E802" t="str">
        <f t="shared" si="14"/>
        <v>Delregion Södra Älvsborg</v>
      </c>
    </row>
    <row r="803" spans="1:5" ht="14.65" thickBot="1">
      <c r="A803" s="60">
        <v>42339</v>
      </c>
      <c r="B803" s="61" t="s">
        <v>73</v>
      </c>
      <c r="C803" s="61" t="s">
        <v>125</v>
      </c>
      <c r="D803" s="61" t="s">
        <v>126</v>
      </c>
      <c r="E803" t="str">
        <f t="shared" si="14"/>
        <v>Delregion Göteborg</v>
      </c>
    </row>
    <row r="804" spans="1:5" ht="14.65" thickBot="1">
      <c r="A804" s="60">
        <v>42347</v>
      </c>
      <c r="B804" s="61" t="s">
        <v>73</v>
      </c>
      <c r="C804" s="61" t="s">
        <v>125</v>
      </c>
      <c r="D804" s="61" t="s">
        <v>126</v>
      </c>
      <c r="E804" t="str">
        <f t="shared" si="14"/>
        <v>Delregion Göteborg</v>
      </c>
    </row>
    <row r="805" spans="1:5" ht="14.65" thickBot="1">
      <c r="A805" s="72">
        <v>42382</v>
      </c>
      <c r="B805" s="73" t="s">
        <v>73</v>
      </c>
      <c r="C805" s="73" t="s">
        <v>125</v>
      </c>
      <c r="D805" s="73" t="s">
        <v>126</v>
      </c>
      <c r="E805" t="str">
        <f t="shared" si="14"/>
        <v>Delregion Göteborg</v>
      </c>
    </row>
    <row r="806" spans="1:5" ht="14.65" thickBot="1">
      <c r="A806" s="72">
        <v>42391</v>
      </c>
      <c r="B806" s="73" t="s">
        <v>73</v>
      </c>
      <c r="C806" s="73" t="s">
        <v>125</v>
      </c>
      <c r="D806" s="73" t="s">
        <v>126</v>
      </c>
      <c r="E806" t="str">
        <f t="shared" si="14"/>
        <v>Delregion Göteborg</v>
      </c>
    </row>
    <row r="807" spans="1:5" ht="14.65" thickBot="1">
      <c r="A807" s="72">
        <v>42409</v>
      </c>
      <c r="B807" s="73" t="s">
        <v>73</v>
      </c>
      <c r="C807" s="73" t="s">
        <v>125</v>
      </c>
      <c r="D807" s="73" t="s">
        <v>126</v>
      </c>
      <c r="E807" t="str">
        <f t="shared" si="14"/>
        <v>Delregion Göteborg</v>
      </c>
    </row>
    <row r="808" spans="1:5" ht="14.65" thickBot="1">
      <c r="A808" s="72">
        <v>42416</v>
      </c>
      <c r="B808" s="73" t="s">
        <v>97</v>
      </c>
      <c r="C808" s="73" t="s">
        <v>125</v>
      </c>
      <c r="D808" s="73" t="s">
        <v>126</v>
      </c>
      <c r="E808" t="str">
        <f t="shared" si="14"/>
        <v>Delregion Fyrbodal</v>
      </c>
    </row>
    <row r="809" spans="1:5" ht="14.65" thickBot="1">
      <c r="A809" s="72">
        <v>42436</v>
      </c>
      <c r="B809" s="73" t="s">
        <v>86</v>
      </c>
      <c r="C809" s="73" t="s">
        <v>125</v>
      </c>
      <c r="D809" s="73" t="s">
        <v>126</v>
      </c>
      <c r="E809" t="str">
        <f t="shared" si="14"/>
        <v>Delregion Fyrbodal</v>
      </c>
    </row>
    <row r="810" spans="1:5" ht="14.65" thickBot="1">
      <c r="A810" s="72">
        <v>42436</v>
      </c>
      <c r="B810" s="73" t="s">
        <v>73</v>
      </c>
      <c r="C810" s="73" t="s">
        <v>125</v>
      </c>
      <c r="D810" s="73" t="s">
        <v>126</v>
      </c>
      <c r="E810" t="str">
        <f t="shared" si="14"/>
        <v>Delregion Göteborg</v>
      </c>
    </row>
    <row r="811" spans="1:5" ht="14.65" thickBot="1">
      <c r="A811" s="72">
        <v>42478</v>
      </c>
      <c r="B811" s="73" t="s">
        <v>97</v>
      </c>
      <c r="C811" s="73" t="s">
        <v>125</v>
      </c>
      <c r="D811" s="73" t="s">
        <v>126</v>
      </c>
      <c r="E811" t="str">
        <f t="shared" si="14"/>
        <v>Delregion Fyrbodal</v>
      </c>
    </row>
    <row r="812" spans="1:5" ht="14.65" thickBot="1">
      <c r="A812" s="72">
        <v>42489</v>
      </c>
      <c r="B812" s="73" t="s">
        <v>73</v>
      </c>
      <c r="C812" s="73" t="s">
        <v>125</v>
      </c>
      <c r="D812" s="73" t="s">
        <v>126</v>
      </c>
      <c r="E812" t="str">
        <f t="shared" si="14"/>
        <v>Delregion Göteborg</v>
      </c>
    </row>
    <row r="813" spans="1:5" ht="14.65" thickBot="1">
      <c r="A813" s="72">
        <v>42489</v>
      </c>
      <c r="B813" s="73" t="s">
        <v>97</v>
      </c>
      <c r="C813" s="73" t="s">
        <v>125</v>
      </c>
      <c r="D813" s="73" t="s">
        <v>126</v>
      </c>
      <c r="E813" t="str">
        <f t="shared" si="14"/>
        <v>Delregion Fyrbodal</v>
      </c>
    </row>
    <row r="814" spans="1:5" ht="14.65" thickBot="1">
      <c r="A814" s="72">
        <v>42599</v>
      </c>
      <c r="B814" s="73" t="s">
        <v>86</v>
      </c>
      <c r="C814" s="73" t="s">
        <v>125</v>
      </c>
      <c r="D814" s="73" t="s">
        <v>126</v>
      </c>
      <c r="E814" t="str">
        <f t="shared" si="14"/>
        <v>Delregion Fyrbodal</v>
      </c>
    </row>
    <row r="815" spans="1:5" ht="14.65" thickBot="1">
      <c r="A815" s="72">
        <v>42620</v>
      </c>
      <c r="B815" s="73" t="s">
        <v>73</v>
      </c>
      <c r="C815" s="73" t="s">
        <v>125</v>
      </c>
      <c r="D815" s="73" t="s">
        <v>126</v>
      </c>
      <c r="E815" t="str">
        <f t="shared" si="14"/>
        <v>Delregion Göteborg</v>
      </c>
    </row>
    <row r="816" spans="1:5" ht="14.65" thickBot="1">
      <c r="A816" s="72">
        <v>42648</v>
      </c>
      <c r="B816" s="73" t="s">
        <v>73</v>
      </c>
      <c r="C816" s="73" t="s">
        <v>125</v>
      </c>
      <c r="D816" s="73" t="s">
        <v>126</v>
      </c>
      <c r="E816" t="str">
        <f t="shared" si="14"/>
        <v>Delregion Göteborg</v>
      </c>
    </row>
    <row r="817" spans="1:5" ht="14.65" thickBot="1">
      <c r="A817" s="72">
        <v>42689</v>
      </c>
      <c r="B817" s="73" t="s">
        <v>73</v>
      </c>
      <c r="C817" s="73" t="s">
        <v>125</v>
      </c>
      <c r="D817" s="73" t="s">
        <v>126</v>
      </c>
      <c r="E817" t="str">
        <f t="shared" si="14"/>
        <v>Delregion Göteborg</v>
      </c>
    </row>
    <row r="818" spans="1:5" ht="14.65" thickBot="1">
      <c r="A818" s="72">
        <v>42699</v>
      </c>
      <c r="B818" s="73" t="s">
        <v>73</v>
      </c>
      <c r="C818" s="73" t="s">
        <v>125</v>
      </c>
      <c r="D818" s="73" t="s">
        <v>126</v>
      </c>
      <c r="E818" t="str">
        <f t="shared" si="14"/>
        <v>Delregion Göteborg</v>
      </c>
    </row>
    <row r="819" spans="1:5" ht="14.65" thickBot="1">
      <c r="A819" s="72">
        <v>42699</v>
      </c>
      <c r="B819" s="73" t="s">
        <v>73</v>
      </c>
      <c r="C819" s="73" t="s">
        <v>125</v>
      </c>
      <c r="D819" s="73" t="s">
        <v>126</v>
      </c>
      <c r="E819" t="str">
        <f t="shared" si="14"/>
        <v>Delregion Göteborg</v>
      </c>
    </row>
    <row r="820" spans="1:5" ht="14.65" thickBot="1">
      <c r="A820" s="72">
        <v>42718</v>
      </c>
      <c r="B820" s="73" t="s">
        <v>73</v>
      </c>
      <c r="C820" s="73" t="s">
        <v>125</v>
      </c>
      <c r="D820" s="73" t="s">
        <v>126</v>
      </c>
      <c r="E820" t="str">
        <f t="shared" si="14"/>
        <v>Delregion Göteborg</v>
      </c>
    </row>
    <row r="821" spans="1:5" ht="14.65" thickBot="1">
      <c r="A821" s="60">
        <v>41652</v>
      </c>
      <c r="B821" s="61" t="s">
        <v>73</v>
      </c>
      <c r="C821" s="61" t="s">
        <v>131</v>
      </c>
      <c r="D821" s="61" t="s">
        <v>126</v>
      </c>
      <c r="E821" t="str">
        <f t="shared" si="14"/>
        <v>Delregion Göteborg</v>
      </c>
    </row>
    <row r="822" spans="1:5" ht="14.65" thickBot="1">
      <c r="A822" s="60">
        <v>41668</v>
      </c>
      <c r="B822" s="61" t="s">
        <v>73</v>
      </c>
      <c r="C822" s="61" t="s">
        <v>131</v>
      </c>
      <c r="D822" s="61" t="s">
        <v>126</v>
      </c>
      <c r="E822" t="str">
        <f t="shared" si="14"/>
        <v>Delregion Göteborg</v>
      </c>
    </row>
    <row r="823" spans="1:5" ht="14.65" thickBot="1">
      <c r="A823" s="60">
        <v>41684</v>
      </c>
      <c r="B823" s="61" t="s">
        <v>73</v>
      </c>
      <c r="C823" s="61" t="s">
        <v>131</v>
      </c>
      <c r="D823" s="61" t="s">
        <v>126</v>
      </c>
      <c r="E823" t="str">
        <f t="shared" si="14"/>
        <v>Delregion Göteborg</v>
      </c>
    </row>
    <row r="824" spans="1:5" ht="14.65" thickBot="1">
      <c r="A824" s="60">
        <v>41710</v>
      </c>
      <c r="B824" s="61" t="s">
        <v>73</v>
      </c>
      <c r="C824" s="61" t="s">
        <v>131</v>
      </c>
      <c r="D824" s="61" t="s">
        <v>126</v>
      </c>
      <c r="E824" t="str">
        <f t="shared" si="14"/>
        <v>Delregion Göteborg</v>
      </c>
    </row>
    <row r="825" spans="1:5" ht="14.65" thickBot="1">
      <c r="A825" s="60">
        <v>41719</v>
      </c>
      <c r="B825" s="61" t="s">
        <v>78</v>
      </c>
      <c r="C825" s="61" t="s">
        <v>131</v>
      </c>
      <c r="D825" s="61" t="s">
        <v>126</v>
      </c>
      <c r="E825" t="str">
        <f t="shared" si="14"/>
        <v>Delregion SIMBA</v>
      </c>
    </row>
    <row r="826" spans="1:5" ht="14.65" thickBot="1">
      <c r="A826" s="60">
        <v>41738</v>
      </c>
      <c r="B826" s="61" t="s">
        <v>73</v>
      </c>
      <c r="C826" s="61" t="s">
        <v>131</v>
      </c>
      <c r="D826" s="61" t="s">
        <v>126</v>
      </c>
      <c r="E826" t="str">
        <f t="shared" si="14"/>
        <v>Delregion Göteborg</v>
      </c>
    </row>
    <row r="827" spans="1:5" ht="14.65" thickBot="1">
      <c r="A827" s="60">
        <v>41754</v>
      </c>
      <c r="B827" s="61" t="s">
        <v>97</v>
      </c>
      <c r="C827" s="61" t="s">
        <v>131</v>
      </c>
      <c r="D827" s="61" t="s">
        <v>126</v>
      </c>
      <c r="E827" t="str">
        <f t="shared" si="14"/>
        <v>Delregion Fyrbodal</v>
      </c>
    </row>
    <row r="828" spans="1:5" ht="14.65" thickBot="1">
      <c r="A828" s="60">
        <v>41880</v>
      </c>
      <c r="B828" s="61" t="s">
        <v>115</v>
      </c>
      <c r="C828" s="61" t="s">
        <v>131</v>
      </c>
      <c r="D828" s="61" t="s">
        <v>126</v>
      </c>
      <c r="E828" t="str">
        <f t="shared" si="14"/>
        <v>Delregion Göteborg</v>
      </c>
    </row>
    <row r="829" spans="1:5" ht="14.65" thickBot="1">
      <c r="A829" s="60">
        <v>41884</v>
      </c>
      <c r="B829" s="61" t="s">
        <v>112</v>
      </c>
      <c r="C829" s="61" t="s">
        <v>131</v>
      </c>
      <c r="D829" s="61" t="s">
        <v>126</v>
      </c>
      <c r="E829" t="str">
        <f t="shared" si="14"/>
        <v>Delregion Göteborg</v>
      </c>
    </row>
    <row r="830" spans="1:5" ht="14.65" thickBot="1">
      <c r="A830" s="60">
        <v>41904</v>
      </c>
      <c r="B830" s="61" t="s">
        <v>73</v>
      </c>
      <c r="C830" s="61" t="s">
        <v>131</v>
      </c>
      <c r="D830" s="61" t="s">
        <v>126</v>
      </c>
      <c r="E830" t="str">
        <f t="shared" si="14"/>
        <v>Delregion Göteborg</v>
      </c>
    </row>
    <row r="831" spans="1:5" ht="14.65" thickBot="1">
      <c r="A831" s="60">
        <v>41919</v>
      </c>
      <c r="B831" s="61" t="s">
        <v>73</v>
      </c>
      <c r="C831" s="61" t="s">
        <v>131</v>
      </c>
      <c r="D831" s="61" t="s">
        <v>126</v>
      </c>
      <c r="E831" t="str">
        <f t="shared" si="14"/>
        <v>Delregion Göteborg</v>
      </c>
    </row>
    <row r="832" spans="1:5" ht="14.65" thickBot="1">
      <c r="A832" s="60">
        <v>41921</v>
      </c>
      <c r="B832" s="61" t="s">
        <v>73</v>
      </c>
      <c r="C832" s="61" t="s">
        <v>131</v>
      </c>
      <c r="D832" s="61" t="s">
        <v>126</v>
      </c>
      <c r="E832" t="str">
        <f t="shared" si="14"/>
        <v>Delregion Göteborg</v>
      </c>
    </row>
    <row r="833" spans="1:5" ht="14.65" thickBot="1">
      <c r="A833" s="60">
        <v>41947</v>
      </c>
      <c r="B833" s="61" t="s">
        <v>99</v>
      </c>
      <c r="C833" s="61" t="s">
        <v>131</v>
      </c>
      <c r="D833" s="61" t="s">
        <v>126</v>
      </c>
      <c r="E833" t="str">
        <f t="shared" si="14"/>
        <v>Delregion Skaraborg</v>
      </c>
    </row>
    <row r="834" spans="1:5" ht="14.65" thickBot="1">
      <c r="A834" s="60">
        <v>41953</v>
      </c>
      <c r="B834" s="61" t="s">
        <v>95</v>
      </c>
      <c r="C834" s="61" t="s">
        <v>131</v>
      </c>
      <c r="D834" s="61" t="s">
        <v>126</v>
      </c>
      <c r="E834" t="str">
        <f t="shared" si="14"/>
        <v>Delregion Södra Älvsborg</v>
      </c>
    </row>
    <row r="835" spans="1:5" ht="14.65" thickBot="1">
      <c r="A835" s="60">
        <v>41953</v>
      </c>
      <c r="B835" s="61" t="s">
        <v>115</v>
      </c>
      <c r="C835" s="61" t="s">
        <v>131</v>
      </c>
      <c r="D835" s="61" t="s">
        <v>126</v>
      </c>
      <c r="E835" t="str">
        <f t="shared" si="14"/>
        <v>Delregion Göteborg</v>
      </c>
    </row>
    <row r="836" spans="1:5" ht="14.65" thickBot="1">
      <c r="A836" s="60">
        <v>41955</v>
      </c>
      <c r="B836" s="61" t="s">
        <v>86</v>
      </c>
      <c r="C836" s="61" t="s">
        <v>131</v>
      </c>
      <c r="D836" s="61" t="s">
        <v>126</v>
      </c>
      <c r="E836" t="str">
        <f t="shared" si="14"/>
        <v>Delregion Fyrbodal</v>
      </c>
    </row>
    <row r="837" spans="1:5" ht="14.65" thickBot="1">
      <c r="A837" s="60">
        <v>41956</v>
      </c>
      <c r="B837" s="61" t="s">
        <v>95</v>
      </c>
      <c r="C837" s="61" t="s">
        <v>131</v>
      </c>
      <c r="D837" s="61" t="s">
        <v>126</v>
      </c>
      <c r="E837" t="str">
        <f t="shared" si="14"/>
        <v>Delregion Södra Älvsborg</v>
      </c>
    </row>
    <row r="838" spans="1:5" ht="14.65" thickBot="1">
      <c r="A838" s="60">
        <v>41956</v>
      </c>
      <c r="B838" s="61" t="s">
        <v>73</v>
      </c>
      <c r="C838" s="61" t="s">
        <v>131</v>
      </c>
      <c r="D838" s="61" t="s">
        <v>126</v>
      </c>
      <c r="E838" t="str">
        <f t="shared" si="14"/>
        <v>Delregion Göteborg</v>
      </c>
    </row>
    <row r="839" spans="1:5" ht="14.65" thickBot="1">
      <c r="A839" s="60">
        <v>41960</v>
      </c>
      <c r="B839" s="61" t="s">
        <v>99</v>
      </c>
      <c r="C839" s="61" t="s">
        <v>131</v>
      </c>
      <c r="D839" s="61" t="s">
        <v>126</v>
      </c>
      <c r="E839" t="str">
        <f t="shared" si="14"/>
        <v>Delregion Skaraborg</v>
      </c>
    </row>
    <row r="840" spans="1:5" ht="14.65" thickBot="1">
      <c r="A840" s="60">
        <v>41962</v>
      </c>
      <c r="B840" s="61" t="s">
        <v>95</v>
      </c>
      <c r="C840" s="61" t="s">
        <v>131</v>
      </c>
      <c r="D840" s="61" t="s">
        <v>126</v>
      </c>
      <c r="E840" t="str">
        <f t="shared" si="14"/>
        <v>Delregion Södra Älvsborg</v>
      </c>
    </row>
    <row r="841" spans="1:5" ht="14.65" thickBot="1">
      <c r="A841" s="60">
        <v>41968</v>
      </c>
      <c r="B841" s="61" t="s">
        <v>115</v>
      </c>
      <c r="C841" s="61" t="s">
        <v>131</v>
      </c>
      <c r="D841" s="61" t="s">
        <v>126</v>
      </c>
      <c r="E841" t="str">
        <f t="shared" si="14"/>
        <v>Delregion Göteborg</v>
      </c>
    </row>
    <row r="842" spans="1:5" ht="14.65" thickBot="1">
      <c r="A842" s="60">
        <v>41971</v>
      </c>
      <c r="B842" s="61" t="s">
        <v>86</v>
      </c>
      <c r="C842" s="61" t="s">
        <v>131</v>
      </c>
      <c r="D842" s="61" t="s">
        <v>126</v>
      </c>
      <c r="E842" t="str">
        <f t="shared" si="14"/>
        <v>Delregion Fyrbodal</v>
      </c>
    </row>
    <row r="843" spans="1:5" ht="14.65" thickBot="1">
      <c r="A843" s="60">
        <v>41976</v>
      </c>
      <c r="B843" s="61" t="s">
        <v>97</v>
      </c>
      <c r="C843" s="61" t="s">
        <v>131</v>
      </c>
      <c r="D843" s="61" t="s">
        <v>126</v>
      </c>
      <c r="E843" t="str">
        <f t="shared" si="14"/>
        <v>Delregion Fyrbodal</v>
      </c>
    </row>
    <row r="844" spans="1:5" ht="14.65" thickBot="1">
      <c r="A844" s="60">
        <v>41982</v>
      </c>
      <c r="B844" s="61" t="s">
        <v>73</v>
      </c>
      <c r="C844" s="61" t="s">
        <v>131</v>
      </c>
      <c r="D844" s="61" t="s">
        <v>126</v>
      </c>
      <c r="E844" t="str">
        <f t="shared" si="14"/>
        <v>Delregion Göteborg</v>
      </c>
    </row>
    <row r="845" spans="1:5" ht="14.65" thickBot="1">
      <c r="A845" s="60">
        <v>41988</v>
      </c>
      <c r="B845" s="61" t="s">
        <v>99</v>
      </c>
      <c r="C845" s="61" t="s">
        <v>131</v>
      </c>
      <c r="D845" s="61" t="s">
        <v>126</v>
      </c>
      <c r="E845" t="str">
        <f t="shared" ref="E845:E908" si="15">VLOOKUP(B845,$Q$13:$R$61,2,FALSE)</f>
        <v>Delregion Skaraborg</v>
      </c>
    </row>
    <row r="846" spans="1:5" ht="14.65" thickBot="1">
      <c r="A846" s="60">
        <v>41991</v>
      </c>
      <c r="B846" s="61" t="s">
        <v>73</v>
      </c>
      <c r="C846" s="61" t="s">
        <v>131</v>
      </c>
      <c r="D846" s="61" t="s">
        <v>126</v>
      </c>
      <c r="E846" t="str">
        <f t="shared" si="15"/>
        <v>Delregion Göteborg</v>
      </c>
    </row>
    <row r="847" spans="1:5" ht="14.65" thickBot="1">
      <c r="A847" s="60">
        <v>42012</v>
      </c>
      <c r="B847" s="61" t="s">
        <v>73</v>
      </c>
      <c r="C847" s="61" t="s">
        <v>131</v>
      </c>
      <c r="D847" s="61" t="s">
        <v>126</v>
      </c>
      <c r="E847" t="str">
        <f t="shared" si="15"/>
        <v>Delregion Göteborg</v>
      </c>
    </row>
    <row r="848" spans="1:5" ht="14.65" thickBot="1">
      <c r="A848" s="60">
        <v>42018</v>
      </c>
      <c r="B848" s="61" t="s">
        <v>99</v>
      </c>
      <c r="C848" s="61" t="s">
        <v>131</v>
      </c>
      <c r="D848" s="61" t="s">
        <v>126</v>
      </c>
      <c r="E848" t="str">
        <f t="shared" si="15"/>
        <v>Delregion Skaraborg</v>
      </c>
    </row>
    <row r="849" spans="1:5" ht="14.65" thickBot="1">
      <c r="A849" s="60">
        <v>42020</v>
      </c>
      <c r="B849" s="61" t="s">
        <v>73</v>
      </c>
      <c r="C849" s="61" t="s">
        <v>131</v>
      </c>
      <c r="D849" s="61" t="s">
        <v>126</v>
      </c>
      <c r="E849" t="str">
        <f t="shared" si="15"/>
        <v>Delregion Göteborg</v>
      </c>
    </row>
    <row r="850" spans="1:5" ht="14.65" thickBot="1">
      <c r="A850" s="60">
        <v>42020</v>
      </c>
      <c r="B850" s="61" t="s">
        <v>73</v>
      </c>
      <c r="C850" s="61" t="s">
        <v>131</v>
      </c>
      <c r="D850" s="61" t="s">
        <v>126</v>
      </c>
      <c r="E850" t="str">
        <f t="shared" si="15"/>
        <v>Delregion Göteborg</v>
      </c>
    </row>
    <row r="851" spans="1:5" ht="14.65" thickBot="1">
      <c r="A851" s="60">
        <v>42023</v>
      </c>
      <c r="B851" s="61" t="s">
        <v>73</v>
      </c>
      <c r="C851" s="61" t="s">
        <v>131</v>
      </c>
      <c r="D851" s="61" t="s">
        <v>126</v>
      </c>
      <c r="E851" t="str">
        <f t="shared" si="15"/>
        <v>Delregion Göteborg</v>
      </c>
    </row>
    <row r="852" spans="1:5" ht="14.65" thickBot="1">
      <c r="A852" s="60">
        <v>42024</v>
      </c>
      <c r="B852" s="61" t="s">
        <v>73</v>
      </c>
      <c r="C852" s="61" t="s">
        <v>131</v>
      </c>
      <c r="D852" s="61" t="s">
        <v>126</v>
      </c>
      <c r="E852" t="str">
        <f t="shared" si="15"/>
        <v>Delregion Göteborg</v>
      </c>
    </row>
    <row r="853" spans="1:5" ht="14.65" thickBot="1">
      <c r="A853" s="60">
        <v>42027</v>
      </c>
      <c r="B853" s="61" t="s">
        <v>97</v>
      </c>
      <c r="C853" s="61" t="s">
        <v>131</v>
      </c>
      <c r="D853" s="61" t="s">
        <v>126</v>
      </c>
      <c r="E853" t="str">
        <f t="shared" si="15"/>
        <v>Delregion Fyrbodal</v>
      </c>
    </row>
    <row r="854" spans="1:5" ht="14.65" thickBot="1">
      <c r="A854" s="60">
        <v>42039</v>
      </c>
      <c r="B854" s="61" t="s">
        <v>73</v>
      </c>
      <c r="C854" s="61" t="s">
        <v>131</v>
      </c>
      <c r="D854" s="61" t="s">
        <v>126</v>
      </c>
      <c r="E854" t="str">
        <f t="shared" si="15"/>
        <v>Delregion Göteborg</v>
      </c>
    </row>
    <row r="855" spans="1:5" ht="14.65" thickBot="1">
      <c r="A855" s="60">
        <v>42066</v>
      </c>
      <c r="B855" s="61" t="s">
        <v>73</v>
      </c>
      <c r="C855" s="61" t="s">
        <v>131</v>
      </c>
      <c r="D855" s="61" t="s">
        <v>126</v>
      </c>
      <c r="E855" t="str">
        <f t="shared" si="15"/>
        <v>Delregion Göteborg</v>
      </c>
    </row>
    <row r="856" spans="1:5" ht="14.65" thickBot="1">
      <c r="A856" s="60">
        <v>42073</v>
      </c>
      <c r="B856" s="61" t="s">
        <v>73</v>
      </c>
      <c r="C856" s="61" t="s">
        <v>131</v>
      </c>
      <c r="D856" s="61" t="s">
        <v>126</v>
      </c>
      <c r="E856" t="str">
        <f t="shared" si="15"/>
        <v>Delregion Göteborg</v>
      </c>
    </row>
    <row r="857" spans="1:5" ht="14.65" thickBot="1">
      <c r="A857" s="60">
        <v>42082</v>
      </c>
      <c r="B857" s="61" t="s">
        <v>95</v>
      </c>
      <c r="C857" s="61" t="s">
        <v>131</v>
      </c>
      <c r="D857" s="61" t="s">
        <v>126</v>
      </c>
      <c r="E857" t="str">
        <f t="shared" si="15"/>
        <v>Delregion Södra Älvsborg</v>
      </c>
    </row>
    <row r="858" spans="1:5" ht="14.65" thickBot="1">
      <c r="A858" s="60">
        <v>42083</v>
      </c>
      <c r="B858" s="61" t="s">
        <v>115</v>
      </c>
      <c r="C858" s="61" t="s">
        <v>131</v>
      </c>
      <c r="D858" s="61" t="s">
        <v>126</v>
      </c>
      <c r="E858" t="str">
        <f t="shared" si="15"/>
        <v>Delregion Göteborg</v>
      </c>
    </row>
    <row r="859" spans="1:5" ht="14.65" thickBot="1">
      <c r="A859" s="60">
        <v>42093</v>
      </c>
      <c r="B859" s="61" t="s">
        <v>73</v>
      </c>
      <c r="C859" s="61" t="s">
        <v>131</v>
      </c>
      <c r="D859" s="61" t="s">
        <v>126</v>
      </c>
      <c r="E859" t="str">
        <f t="shared" si="15"/>
        <v>Delregion Göteborg</v>
      </c>
    </row>
    <row r="860" spans="1:5" ht="14.65" thickBot="1">
      <c r="A860" s="60">
        <v>42095</v>
      </c>
      <c r="B860" s="61" t="s">
        <v>99</v>
      </c>
      <c r="C860" s="61" t="s">
        <v>131</v>
      </c>
      <c r="D860" s="61" t="s">
        <v>126</v>
      </c>
      <c r="E860" t="str">
        <f t="shared" si="15"/>
        <v>Delregion Skaraborg</v>
      </c>
    </row>
    <row r="861" spans="1:5" ht="14.65" thickBot="1">
      <c r="A861" s="60">
        <v>42104</v>
      </c>
      <c r="B861" s="61" t="s">
        <v>73</v>
      </c>
      <c r="C861" s="61" t="s">
        <v>131</v>
      </c>
      <c r="D861" s="61" t="s">
        <v>126</v>
      </c>
      <c r="E861" t="str">
        <f t="shared" si="15"/>
        <v>Delregion Göteborg</v>
      </c>
    </row>
    <row r="862" spans="1:5" ht="14.65" thickBot="1">
      <c r="A862" s="60">
        <v>42104</v>
      </c>
      <c r="B862" s="61" t="s">
        <v>99</v>
      </c>
      <c r="C862" s="61" t="s">
        <v>131</v>
      </c>
      <c r="D862" s="61" t="s">
        <v>126</v>
      </c>
      <c r="E862" t="str">
        <f t="shared" si="15"/>
        <v>Delregion Skaraborg</v>
      </c>
    </row>
    <row r="863" spans="1:5" ht="14.65" thickBot="1">
      <c r="A863" s="60">
        <v>42108</v>
      </c>
      <c r="B863" s="61" t="s">
        <v>115</v>
      </c>
      <c r="C863" s="61" t="s">
        <v>131</v>
      </c>
      <c r="D863" s="61" t="s">
        <v>126</v>
      </c>
      <c r="E863" t="str">
        <f t="shared" si="15"/>
        <v>Delregion Göteborg</v>
      </c>
    </row>
    <row r="864" spans="1:5" ht="14.65" thickBot="1">
      <c r="A864" s="60">
        <v>42108</v>
      </c>
      <c r="B864" s="61" t="s">
        <v>115</v>
      </c>
      <c r="C864" s="61" t="s">
        <v>131</v>
      </c>
      <c r="D864" s="61" t="s">
        <v>126</v>
      </c>
      <c r="E864" t="str">
        <f t="shared" si="15"/>
        <v>Delregion Göteborg</v>
      </c>
    </row>
    <row r="865" spans="1:5" ht="14.65" thickBot="1">
      <c r="A865" s="60">
        <v>42111</v>
      </c>
      <c r="B865" s="61" t="s">
        <v>95</v>
      </c>
      <c r="C865" s="61" t="s">
        <v>131</v>
      </c>
      <c r="D865" s="61" t="s">
        <v>126</v>
      </c>
      <c r="E865" t="str">
        <f t="shared" si="15"/>
        <v>Delregion Södra Älvsborg</v>
      </c>
    </row>
    <row r="866" spans="1:5" ht="14.65" thickBot="1">
      <c r="A866" s="60">
        <v>42117</v>
      </c>
      <c r="B866" s="61" t="s">
        <v>73</v>
      </c>
      <c r="C866" s="61" t="s">
        <v>131</v>
      </c>
      <c r="D866" s="61" t="s">
        <v>126</v>
      </c>
      <c r="E866" t="str">
        <f t="shared" si="15"/>
        <v>Delregion Göteborg</v>
      </c>
    </row>
    <row r="867" spans="1:5" ht="14.65" thickBot="1">
      <c r="A867" s="60">
        <v>42171</v>
      </c>
      <c r="B867" s="61" t="s">
        <v>73</v>
      </c>
      <c r="C867" s="61" t="s">
        <v>131</v>
      </c>
      <c r="D867" s="61" t="s">
        <v>126</v>
      </c>
      <c r="E867" t="str">
        <f t="shared" si="15"/>
        <v>Delregion Göteborg</v>
      </c>
    </row>
    <row r="868" spans="1:5" ht="14.65" thickBot="1">
      <c r="A868" s="60">
        <v>42173</v>
      </c>
      <c r="B868" s="61" t="s">
        <v>115</v>
      </c>
      <c r="C868" s="61" t="s">
        <v>131</v>
      </c>
      <c r="D868" s="61" t="s">
        <v>126</v>
      </c>
      <c r="E868" t="str">
        <f t="shared" si="15"/>
        <v>Delregion Göteborg</v>
      </c>
    </row>
    <row r="869" spans="1:5" ht="14.65" thickBot="1">
      <c r="A869" s="60">
        <v>42181</v>
      </c>
      <c r="B869" s="61" t="s">
        <v>73</v>
      </c>
      <c r="C869" s="61" t="s">
        <v>131</v>
      </c>
      <c r="D869" s="61" t="s">
        <v>126</v>
      </c>
      <c r="E869" t="str">
        <f t="shared" si="15"/>
        <v>Delregion Göteborg</v>
      </c>
    </row>
    <row r="870" spans="1:5" ht="14.65" thickBot="1">
      <c r="A870" s="60">
        <v>42194</v>
      </c>
      <c r="B870" s="61" t="s">
        <v>73</v>
      </c>
      <c r="C870" s="61" t="s">
        <v>131</v>
      </c>
      <c r="D870" s="61" t="s">
        <v>126</v>
      </c>
      <c r="E870" t="str">
        <f t="shared" si="15"/>
        <v>Delregion Göteborg</v>
      </c>
    </row>
    <row r="871" spans="1:5" ht="14.65" thickBot="1">
      <c r="A871" s="60">
        <v>42256</v>
      </c>
      <c r="B871" s="61" t="s">
        <v>73</v>
      </c>
      <c r="C871" s="61" t="s">
        <v>131</v>
      </c>
      <c r="D871" s="61" t="s">
        <v>126</v>
      </c>
      <c r="E871" t="str">
        <f t="shared" si="15"/>
        <v>Delregion Göteborg</v>
      </c>
    </row>
    <row r="872" spans="1:5" ht="14.65" thickBot="1">
      <c r="A872" s="60">
        <v>42258</v>
      </c>
      <c r="B872" s="61" t="s">
        <v>73</v>
      </c>
      <c r="C872" s="61" t="s">
        <v>131</v>
      </c>
      <c r="D872" s="61" t="s">
        <v>126</v>
      </c>
      <c r="E872" t="str">
        <f t="shared" si="15"/>
        <v>Delregion Göteborg</v>
      </c>
    </row>
    <row r="873" spans="1:5" ht="14.65" thickBot="1">
      <c r="A873" s="60">
        <v>42271</v>
      </c>
      <c r="B873" s="61" t="s">
        <v>78</v>
      </c>
      <c r="C873" s="61" t="s">
        <v>131</v>
      </c>
      <c r="D873" s="61" t="s">
        <v>126</v>
      </c>
      <c r="E873" t="str">
        <f t="shared" si="15"/>
        <v>Delregion SIMBA</v>
      </c>
    </row>
    <row r="874" spans="1:5" ht="14.65" thickBot="1">
      <c r="A874" s="60">
        <v>42275</v>
      </c>
      <c r="B874" s="61" t="s">
        <v>76</v>
      </c>
      <c r="C874" s="61" t="s">
        <v>131</v>
      </c>
      <c r="D874" s="61" t="s">
        <v>126</v>
      </c>
      <c r="E874" t="str">
        <f t="shared" si="15"/>
        <v>Delregion Skaraborg</v>
      </c>
    </row>
    <row r="875" spans="1:5" ht="14.65" thickBot="1">
      <c r="A875" s="60">
        <v>42277</v>
      </c>
      <c r="B875" s="61" t="s">
        <v>73</v>
      </c>
      <c r="C875" s="61" t="s">
        <v>131</v>
      </c>
      <c r="D875" s="61" t="s">
        <v>126</v>
      </c>
      <c r="E875" t="str">
        <f t="shared" si="15"/>
        <v>Delregion Göteborg</v>
      </c>
    </row>
    <row r="876" spans="1:5" ht="14.65" thickBot="1">
      <c r="A876" s="60">
        <v>42318</v>
      </c>
      <c r="B876" s="61" t="s">
        <v>73</v>
      </c>
      <c r="C876" s="61" t="s">
        <v>131</v>
      </c>
      <c r="D876" s="61" t="s">
        <v>126</v>
      </c>
      <c r="E876" t="str">
        <f t="shared" si="15"/>
        <v>Delregion Göteborg</v>
      </c>
    </row>
    <row r="877" spans="1:5" ht="14.65" thickBot="1">
      <c r="A877" s="60">
        <v>42324</v>
      </c>
      <c r="B877" s="61" t="s">
        <v>73</v>
      </c>
      <c r="C877" s="61" t="s">
        <v>131</v>
      </c>
      <c r="D877" s="61" t="s">
        <v>126</v>
      </c>
      <c r="E877" t="str">
        <f t="shared" si="15"/>
        <v>Delregion Göteborg</v>
      </c>
    </row>
    <row r="878" spans="1:5" ht="14.65" thickBot="1">
      <c r="A878" s="60">
        <v>42341</v>
      </c>
      <c r="B878" s="61" t="s">
        <v>86</v>
      </c>
      <c r="C878" s="61" t="s">
        <v>131</v>
      </c>
      <c r="D878" s="61" t="s">
        <v>126</v>
      </c>
      <c r="E878" t="str">
        <f t="shared" si="15"/>
        <v>Delregion Fyrbodal</v>
      </c>
    </row>
    <row r="879" spans="1:5" ht="14.65" thickBot="1">
      <c r="A879" s="60">
        <v>42342</v>
      </c>
      <c r="B879" s="61" t="s">
        <v>73</v>
      </c>
      <c r="C879" s="61" t="s">
        <v>131</v>
      </c>
      <c r="D879" s="61" t="s">
        <v>126</v>
      </c>
      <c r="E879" t="str">
        <f t="shared" si="15"/>
        <v>Delregion Göteborg</v>
      </c>
    </row>
    <row r="880" spans="1:5" ht="14.65" thickBot="1">
      <c r="A880" s="60">
        <v>42349</v>
      </c>
      <c r="B880" s="61" t="s">
        <v>73</v>
      </c>
      <c r="C880" s="61" t="s">
        <v>131</v>
      </c>
      <c r="D880" s="61" t="s">
        <v>126</v>
      </c>
      <c r="E880" t="str">
        <f t="shared" si="15"/>
        <v>Delregion Göteborg</v>
      </c>
    </row>
    <row r="881" spans="1:5" ht="14.65" thickBot="1">
      <c r="A881" s="60">
        <v>42360</v>
      </c>
      <c r="B881" s="61" t="s">
        <v>115</v>
      </c>
      <c r="C881" s="61" t="s">
        <v>131</v>
      </c>
      <c r="D881" s="61" t="s">
        <v>126</v>
      </c>
      <c r="E881" t="str">
        <f t="shared" si="15"/>
        <v>Delregion Göteborg</v>
      </c>
    </row>
    <row r="882" spans="1:5" ht="14.65" thickBot="1">
      <c r="A882" s="72">
        <v>42376</v>
      </c>
      <c r="B882" s="73" t="s">
        <v>115</v>
      </c>
      <c r="C882" s="73" t="s">
        <v>131</v>
      </c>
      <c r="D882" s="73" t="s">
        <v>126</v>
      </c>
      <c r="E882" t="str">
        <f t="shared" si="15"/>
        <v>Delregion Göteborg</v>
      </c>
    </row>
    <row r="883" spans="1:5" ht="14.65" thickBot="1">
      <c r="A883" s="72">
        <v>42390</v>
      </c>
      <c r="B883" s="73" t="s">
        <v>73</v>
      </c>
      <c r="C883" s="73" t="s">
        <v>131</v>
      </c>
      <c r="D883" s="73" t="s">
        <v>126</v>
      </c>
      <c r="E883" t="str">
        <f t="shared" si="15"/>
        <v>Delregion Göteborg</v>
      </c>
    </row>
    <row r="884" spans="1:5" ht="14.65" thickBot="1">
      <c r="A884" s="72">
        <v>42403</v>
      </c>
      <c r="B884" s="73" t="s">
        <v>115</v>
      </c>
      <c r="C884" s="73" t="s">
        <v>131</v>
      </c>
      <c r="D884" s="73" t="s">
        <v>126</v>
      </c>
      <c r="E884" t="str">
        <f t="shared" si="15"/>
        <v>Delregion Göteborg</v>
      </c>
    </row>
    <row r="885" spans="1:5" ht="14.65" thickBot="1">
      <c r="A885" s="72">
        <v>42403</v>
      </c>
      <c r="B885" s="73" t="s">
        <v>115</v>
      </c>
      <c r="C885" s="73" t="s">
        <v>131</v>
      </c>
      <c r="D885" s="73" t="s">
        <v>126</v>
      </c>
      <c r="E885" t="str">
        <f t="shared" si="15"/>
        <v>Delregion Göteborg</v>
      </c>
    </row>
    <row r="886" spans="1:5" ht="14.65" thickBot="1">
      <c r="A886" s="72">
        <v>42415</v>
      </c>
      <c r="B886" s="73" t="s">
        <v>115</v>
      </c>
      <c r="C886" s="73" t="s">
        <v>131</v>
      </c>
      <c r="D886" s="73" t="s">
        <v>126</v>
      </c>
      <c r="E886" t="str">
        <f t="shared" si="15"/>
        <v>Delregion Göteborg</v>
      </c>
    </row>
    <row r="887" spans="1:5" ht="14.65" thickBot="1">
      <c r="A887" s="72">
        <v>42430</v>
      </c>
      <c r="B887" s="73" t="s">
        <v>73</v>
      </c>
      <c r="C887" s="73" t="s">
        <v>131</v>
      </c>
      <c r="D887" s="73" t="s">
        <v>126</v>
      </c>
      <c r="E887" t="str">
        <f t="shared" si="15"/>
        <v>Delregion Göteborg</v>
      </c>
    </row>
    <row r="888" spans="1:5" ht="14.65" thickBot="1">
      <c r="A888" s="72">
        <v>42431</v>
      </c>
      <c r="B888" s="73" t="s">
        <v>73</v>
      </c>
      <c r="C888" s="73" t="s">
        <v>131</v>
      </c>
      <c r="D888" s="73" t="s">
        <v>126</v>
      </c>
      <c r="E888" t="str">
        <f t="shared" si="15"/>
        <v>Delregion Göteborg</v>
      </c>
    </row>
    <row r="889" spans="1:5" ht="14.65" thickBot="1">
      <c r="A889" s="72">
        <v>42438</v>
      </c>
      <c r="B889" s="73" t="s">
        <v>86</v>
      </c>
      <c r="C889" s="73" t="s">
        <v>131</v>
      </c>
      <c r="D889" s="73" t="s">
        <v>126</v>
      </c>
      <c r="E889" t="str">
        <f t="shared" si="15"/>
        <v>Delregion Fyrbodal</v>
      </c>
    </row>
    <row r="890" spans="1:5" ht="14.65" thickBot="1">
      <c r="A890" s="72">
        <v>42444</v>
      </c>
      <c r="B890" s="73" t="s">
        <v>73</v>
      </c>
      <c r="C890" s="73" t="s">
        <v>131</v>
      </c>
      <c r="D890" s="73" t="s">
        <v>126</v>
      </c>
      <c r="E890" t="str">
        <f t="shared" si="15"/>
        <v>Delregion Göteborg</v>
      </c>
    </row>
    <row r="891" spans="1:5" ht="14.65" thickBot="1">
      <c r="A891" s="72">
        <v>42446</v>
      </c>
      <c r="B891" s="73" t="s">
        <v>76</v>
      </c>
      <c r="C891" s="73" t="s">
        <v>131</v>
      </c>
      <c r="D891" s="73" t="s">
        <v>126</v>
      </c>
      <c r="E891" t="str">
        <f t="shared" si="15"/>
        <v>Delregion Skaraborg</v>
      </c>
    </row>
    <row r="892" spans="1:5" ht="14.65" thickBot="1">
      <c r="A892" s="72">
        <v>42447</v>
      </c>
      <c r="B892" s="73" t="s">
        <v>95</v>
      </c>
      <c r="C892" s="73" t="s">
        <v>131</v>
      </c>
      <c r="D892" s="73" t="s">
        <v>126</v>
      </c>
      <c r="E892" t="str">
        <f t="shared" si="15"/>
        <v>Delregion Södra Älvsborg</v>
      </c>
    </row>
    <row r="893" spans="1:5" ht="14.65" thickBot="1">
      <c r="A893" s="72">
        <v>42486</v>
      </c>
      <c r="B893" s="73" t="s">
        <v>73</v>
      </c>
      <c r="C893" s="73" t="s">
        <v>131</v>
      </c>
      <c r="D893" s="73" t="s">
        <v>126</v>
      </c>
      <c r="E893" t="str">
        <f t="shared" si="15"/>
        <v>Delregion Göteborg</v>
      </c>
    </row>
    <row r="894" spans="1:5" ht="14.65" thickBot="1">
      <c r="A894" s="72">
        <v>42489</v>
      </c>
      <c r="B894" s="73" t="s">
        <v>73</v>
      </c>
      <c r="C894" s="73" t="s">
        <v>131</v>
      </c>
      <c r="D894" s="73" t="s">
        <v>126</v>
      </c>
      <c r="E894" t="str">
        <f t="shared" si="15"/>
        <v>Delregion Göteborg</v>
      </c>
    </row>
    <row r="895" spans="1:5" ht="14.65" thickBot="1">
      <c r="A895" s="72">
        <v>42493</v>
      </c>
      <c r="B895" s="73" t="s">
        <v>95</v>
      </c>
      <c r="C895" s="73" t="s">
        <v>131</v>
      </c>
      <c r="D895" s="73" t="s">
        <v>126</v>
      </c>
      <c r="E895" t="str">
        <f t="shared" si="15"/>
        <v>Delregion Södra Älvsborg</v>
      </c>
    </row>
    <row r="896" spans="1:5" ht="14.65" thickBot="1">
      <c r="A896" s="72">
        <v>42502</v>
      </c>
      <c r="B896" s="73" t="s">
        <v>95</v>
      </c>
      <c r="C896" s="73" t="s">
        <v>131</v>
      </c>
      <c r="D896" s="73" t="s">
        <v>126</v>
      </c>
      <c r="E896" t="str">
        <f t="shared" si="15"/>
        <v>Delregion Södra Älvsborg</v>
      </c>
    </row>
    <row r="897" spans="1:5" ht="14.65" thickBot="1">
      <c r="A897" s="72">
        <v>42507</v>
      </c>
      <c r="B897" s="73" t="s">
        <v>73</v>
      </c>
      <c r="C897" s="73" t="s">
        <v>131</v>
      </c>
      <c r="D897" s="73" t="s">
        <v>126</v>
      </c>
      <c r="E897" t="str">
        <f t="shared" si="15"/>
        <v>Delregion Göteborg</v>
      </c>
    </row>
    <row r="898" spans="1:5" ht="14.65" thickBot="1">
      <c r="A898" s="72">
        <v>42508</v>
      </c>
      <c r="B898" s="73" t="s">
        <v>99</v>
      </c>
      <c r="C898" s="73" t="s">
        <v>131</v>
      </c>
      <c r="D898" s="73" t="s">
        <v>126</v>
      </c>
      <c r="E898" t="str">
        <f t="shared" si="15"/>
        <v>Delregion Skaraborg</v>
      </c>
    </row>
    <row r="899" spans="1:5" ht="14.65" thickBot="1">
      <c r="A899" s="72">
        <v>42528</v>
      </c>
      <c r="B899" s="73" t="s">
        <v>99</v>
      </c>
      <c r="C899" s="73" t="s">
        <v>131</v>
      </c>
      <c r="D899" s="73" t="s">
        <v>126</v>
      </c>
      <c r="E899" t="str">
        <f t="shared" si="15"/>
        <v>Delregion Skaraborg</v>
      </c>
    </row>
    <row r="900" spans="1:5" ht="14.65" thickBot="1">
      <c r="A900" s="72">
        <v>42530</v>
      </c>
      <c r="B900" s="73" t="s">
        <v>73</v>
      </c>
      <c r="C900" s="73" t="s">
        <v>131</v>
      </c>
      <c r="D900" s="73" t="s">
        <v>126</v>
      </c>
      <c r="E900" t="str">
        <f t="shared" si="15"/>
        <v>Delregion Göteborg</v>
      </c>
    </row>
    <row r="901" spans="1:5" ht="14.65" thickBot="1">
      <c r="A901" s="72">
        <v>42549</v>
      </c>
      <c r="B901" s="73" t="s">
        <v>97</v>
      </c>
      <c r="C901" s="73" t="s">
        <v>131</v>
      </c>
      <c r="D901" s="73" t="s">
        <v>126</v>
      </c>
      <c r="E901" t="str">
        <f t="shared" si="15"/>
        <v>Delregion Fyrbodal</v>
      </c>
    </row>
    <row r="902" spans="1:5" ht="14.65" thickBot="1">
      <c r="A902" s="72">
        <v>42555</v>
      </c>
      <c r="B902" s="73" t="s">
        <v>73</v>
      </c>
      <c r="C902" s="73" t="s">
        <v>131</v>
      </c>
      <c r="D902" s="73" t="s">
        <v>126</v>
      </c>
      <c r="E902" t="str">
        <f t="shared" si="15"/>
        <v>Delregion Göteborg</v>
      </c>
    </row>
    <row r="903" spans="1:5" ht="14.65" thickBot="1">
      <c r="A903" s="72">
        <v>42559</v>
      </c>
      <c r="B903" s="73" t="s">
        <v>73</v>
      </c>
      <c r="C903" s="73" t="s">
        <v>131</v>
      </c>
      <c r="D903" s="73" t="s">
        <v>126</v>
      </c>
      <c r="E903" t="str">
        <f t="shared" si="15"/>
        <v>Delregion Göteborg</v>
      </c>
    </row>
    <row r="904" spans="1:5" ht="14.65" thickBot="1">
      <c r="A904" s="72">
        <v>42573</v>
      </c>
      <c r="B904" s="73" t="s">
        <v>94</v>
      </c>
      <c r="C904" s="73" t="s">
        <v>131</v>
      </c>
      <c r="D904" s="73" t="s">
        <v>126</v>
      </c>
      <c r="E904" t="str">
        <f t="shared" si="15"/>
        <v>Delregion Fyrbodal</v>
      </c>
    </row>
    <row r="905" spans="1:5" ht="14.65" thickBot="1">
      <c r="A905" s="72">
        <v>42578</v>
      </c>
      <c r="B905" s="73" t="s">
        <v>99</v>
      </c>
      <c r="C905" s="73" t="s">
        <v>131</v>
      </c>
      <c r="D905" s="73" t="s">
        <v>126</v>
      </c>
      <c r="E905" t="str">
        <f t="shared" si="15"/>
        <v>Delregion Skaraborg</v>
      </c>
    </row>
    <row r="906" spans="1:5" ht="14.65" thickBot="1">
      <c r="A906" s="72">
        <v>42583</v>
      </c>
      <c r="B906" s="73" t="s">
        <v>73</v>
      </c>
      <c r="C906" s="73" t="s">
        <v>131</v>
      </c>
      <c r="D906" s="73" t="s">
        <v>126</v>
      </c>
      <c r="E906" t="str">
        <f t="shared" si="15"/>
        <v>Delregion Göteborg</v>
      </c>
    </row>
    <row r="907" spans="1:5" ht="14.65" thickBot="1">
      <c r="A907" s="72">
        <v>42584</v>
      </c>
      <c r="B907" s="73" t="s">
        <v>73</v>
      </c>
      <c r="C907" s="73" t="s">
        <v>131</v>
      </c>
      <c r="D907" s="73" t="s">
        <v>126</v>
      </c>
      <c r="E907" t="str">
        <f t="shared" si="15"/>
        <v>Delregion Göteborg</v>
      </c>
    </row>
    <row r="908" spans="1:5" ht="14.65" thickBot="1">
      <c r="A908" s="72">
        <v>42612</v>
      </c>
      <c r="B908" s="73" t="s">
        <v>99</v>
      </c>
      <c r="C908" s="73" t="s">
        <v>131</v>
      </c>
      <c r="D908" s="73" t="s">
        <v>126</v>
      </c>
      <c r="E908" t="str">
        <f t="shared" si="15"/>
        <v>Delregion Skaraborg</v>
      </c>
    </row>
    <row r="909" spans="1:5" ht="14.65" thickBot="1">
      <c r="A909" s="72">
        <v>42618</v>
      </c>
      <c r="B909" s="73" t="s">
        <v>95</v>
      </c>
      <c r="C909" s="73" t="s">
        <v>131</v>
      </c>
      <c r="D909" s="73" t="s">
        <v>126</v>
      </c>
      <c r="E909" t="str">
        <f t="shared" ref="E909:E972" si="16">VLOOKUP(B909,$Q$13:$R$61,2,FALSE)</f>
        <v>Delregion Södra Älvsborg</v>
      </c>
    </row>
    <row r="910" spans="1:5" ht="14.65" thickBot="1">
      <c r="A910" s="72">
        <v>42627</v>
      </c>
      <c r="B910" s="73" t="s">
        <v>95</v>
      </c>
      <c r="C910" s="73" t="s">
        <v>131</v>
      </c>
      <c r="D910" s="73" t="s">
        <v>126</v>
      </c>
      <c r="E910" t="str">
        <f t="shared" si="16"/>
        <v>Delregion Södra Älvsborg</v>
      </c>
    </row>
    <row r="911" spans="1:5" ht="14.65" thickBot="1">
      <c r="A911" s="72">
        <v>42646</v>
      </c>
      <c r="B911" s="73" t="s">
        <v>73</v>
      </c>
      <c r="C911" s="73" t="s">
        <v>131</v>
      </c>
      <c r="D911" s="73" t="s">
        <v>126</v>
      </c>
      <c r="E911" t="str">
        <f t="shared" si="16"/>
        <v>Delregion Göteborg</v>
      </c>
    </row>
    <row r="912" spans="1:5" ht="14.65" thickBot="1">
      <c r="A912" s="72">
        <v>42650</v>
      </c>
      <c r="B912" s="73" t="s">
        <v>97</v>
      </c>
      <c r="C912" s="73" t="s">
        <v>131</v>
      </c>
      <c r="D912" s="73" t="s">
        <v>126</v>
      </c>
      <c r="E912" t="str">
        <f t="shared" si="16"/>
        <v>Delregion Fyrbodal</v>
      </c>
    </row>
    <row r="913" spans="1:5" ht="14.65" thickBot="1">
      <c r="A913" s="72">
        <v>42668</v>
      </c>
      <c r="B913" s="73" t="s">
        <v>101</v>
      </c>
      <c r="C913" s="73" t="s">
        <v>131</v>
      </c>
      <c r="D913" s="73" t="s">
        <v>126</v>
      </c>
      <c r="E913" t="str">
        <f t="shared" si="16"/>
        <v>Delregion SIMBA</v>
      </c>
    </row>
    <row r="914" spans="1:5" ht="14.65" thickBot="1">
      <c r="A914" s="72">
        <v>42675</v>
      </c>
      <c r="B914" s="73" t="s">
        <v>115</v>
      </c>
      <c r="C914" s="73" t="s">
        <v>131</v>
      </c>
      <c r="D914" s="73" t="s">
        <v>126</v>
      </c>
      <c r="E914" t="str">
        <f t="shared" si="16"/>
        <v>Delregion Göteborg</v>
      </c>
    </row>
    <row r="915" spans="1:5" ht="14.65" thickBot="1">
      <c r="A915" s="72">
        <v>42684</v>
      </c>
      <c r="B915" s="73" t="s">
        <v>115</v>
      </c>
      <c r="C915" s="73" t="s">
        <v>131</v>
      </c>
      <c r="D915" s="73" t="s">
        <v>126</v>
      </c>
      <c r="E915" t="str">
        <f t="shared" si="16"/>
        <v>Delregion Göteborg</v>
      </c>
    </row>
    <row r="916" spans="1:5" ht="14.65" thickBot="1">
      <c r="A916" s="72">
        <v>42688</v>
      </c>
      <c r="B916" s="73" t="s">
        <v>73</v>
      </c>
      <c r="C916" s="73" t="s">
        <v>131</v>
      </c>
      <c r="D916" s="73" t="s">
        <v>126</v>
      </c>
      <c r="E916" t="str">
        <f t="shared" si="16"/>
        <v>Delregion Göteborg</v>
      </c>
    </row>
    <row r="917" spans="1:5" ht="14.65" thickBot="1">
      <c r="A917" s="72">
        <v>42689</v>
      </c>
      <c r="B917" s="73" t="s">
        <v>115</v>
      </c>
      <c r="C917" s="73" t="s">
        <v>131</v>
      </c>
      <c r="D917" s="73" t="s">
        <v>126</v>
      </c>
      <c r="E917" t="str">
        <f t="shared" si="16"/>
        <v>Delregion Göteborg</v>
      </c>
    </row>
    <row r="918" spans="1:5" ht="14.65" thickBot="1">
      <c r="A918" s="72">
        <v>42691</v>
      </c>
      <c r="B918" s="73" t="s">
        <v>73</v>
      </c>
      <c r="C918" s="73" t="s">
        <v>131</v>
      </c>
      <c r="D918" s="73" t="s">
        <v>126</v>
      </c>
      <c r="E918" t="str">
        <f t="shared" si="16"/>
        <v>Delregion Göteborg</v>
      </c>
    </row>
    <row r="919" spans="1:5" ht="14.65" thickBot="1">
      <c r="A919" s="72">
        <v>42713</v>
      </c>
      <c r="B919" s="73" t="s">
        <v>115</v>
      </c>
      <c r="C919" s="73" t="s">
        <v>131</v>
      </c>
      <c r="D919" s="73" t="s">
        <v>126</v>
      </c>
      <c r="E919" t="str">
        <f t="shared" si="16"/>
        <v>Delregion Göteborg</v>
      </c>
    </row>
    <row r="920" spans="1:5" ht="14.65" thickBot="1">
      <c r="A920" s="72">
        <v>42713</v>
      </c>
      <c r="B920" s="73" t="s">
        <v>115</v>
      </c>
      <c r="C920" s="73" t="s">
        <v>131</v>
      </c>
      <c r="D920" s="73" t="s">
        <v>126</v>
      </c>
      <c r="E920" t="str">
        <f t="shared" si="16"/>
        <v>Delregion Göteborg</v>
      </c>
    </row>
    <row r="921" spans="1:5" ht="14.65" thickBot="1">
      <c r="A921" s="60">
        <v>41774</v>
      </c>
      <c r="B921" s="61" t="s">
        <v>95</v>
      </c>
      <c r="C921" s="61" t="s">
        <v>132</v>
      </c>
      <c r="D921" s="61" t="s">
        <v>126</v>
      </c>
      <c r="E921" t="str">
        <f t="shared" si="16"/>
        <v>Delregion Södra Älvsborg</v>
      </c>
    </row>
    <row r="922" spans="1:5" ht="14.65" thickBot="1">
      <c r="A922" s="60">
        <v>41880</v>
      </c>
      <c r="B922" s="61" t="s">
        <v>73</v>
      </c>
      <c r="C922" s="61" t="s">
        <v>132</v>
      </c>
      <c r="D922" s="61" t="s">
        <v>126</v>
      </c>
      <c r="E922" t="str">
        <f t="shared" si="16"/>
        <v>Delregion Göteborg</v>
      </c>
    </row>
    <row r="923" spans="1:5" ht="14.65" thickBot="1">
      <c r="A923" s="60">
        <v>41927</v>
      </c>
      <c r="B923" s="61" t="s">
        <v>73</v>
      </c>
      <c r="C923" s="61" t="s">
        <v>132</v>
      </c>
      <c r="D923" s="61" t="s">
        <v>126</v>
      </c>
      <c r="E923" t="str">
        <f t="shared" si="16"/>
        <v>Delregion Göteborg</v>
      </c>
    </row>
    <row r="924" spans="1:5" ht="14.65" thickBot="1">
      <c r="A924" s="60">
        <v>42328</v>
      </c>
      <c r="B924" s="61" t="s">
        <v>115</v>
      </c>
      <c r="C924" s="61" t="s">
        <v>132</v>
      </c>
      <c r="D924" s="61" t="s">
        <v>126</v>
      </c>
      <c r="E924" t="str">
        <f t="shared" si="16"/>
        <v>Delregion Göteborg</v>
      </c>
    </row>
    <row r="925" spans="1:5" ht="14.65" thickBot="1">
      <c r="A925" s="72">
        <v>42544</v>
      </c>
      <c r="B925" s="73" t="s">
        <v>73</v>
      </c>
      <c r="C925" s="73" t="s">
        <v>132</v>
      </c>
      <c r="D925" s="73" t="s">
        <v>126</v>
      </c>
      <c r="E925" t="str">
        <f t="shared" si="16"/>
        <v>Delregion Göteborg</v>
      </c>
    </row>
    <row r="926" spans="1:5" ht="14.65" thickBot="1">
      <c r="A926" s="72">
        <v>42565</v>
      </c>
      <c r="B926" s="73" t="s">
        <v>73</v>
      </c>
      <c r="C926" s="73" t="s">
        <v>132</v>
      </c>
      <c r="D926" s="73" t="s">
        <v>126</v>
      </c>
      <c r="E926" t="str">
        <f t="shared" si="16"/>
        <v>Delregion Göteborg</v>
      </c>
    </row>
    <row r="927" spans="1:5" ht="14.65" thickBot="1">
      <c r="A927" s="72">
        <v>42648</v>
      </c>
      <c r="B927" s="73" t="s">
        <v>73</v>
      </c>
      <c r="C927" s="73" t="s">
        <v>132</v>
      </c>
      <c r="D927" s="73" t="s">
        <v>126</v>
      </c>
      <c r="E927" t="str">
        <f t="shared" si="16"/>
        <v>Delregion Göteborg</v>
      </c>
    </row>
    <row r="928" spans="1:5" ht="14.65" thickBot="1">
      <c r="A928" s="60">
        <v>41703</v>
      </c>
      <c r="B928" s="61" t="s">
        <v>99</v>
      </c>
      <c r="C928" s="61" t="s">
        <v>91</v>
      </c>
      <c r="D928" s="61" t="s">
        <v>126</v>
      </c>
      <c r="E928" t="str">
        <f t="shared" si="16"/>
        <v>Delregion Skaraborg</v>
      </c>
    </row>
    <row r="929" spans="1:5" ht="14.65" thickBot="1">
      <c r="A929" s="60">
        <v>41873</v>
      </c>
      <c r="B929" s="61" t="s">
        <v>73</v>
      </c>
      <c r="C929" s="61" t="s">
        <v>91</v>
      </c>
      <c r="D929" s="61" t="s">
        <v>126</v>
      </c>
      <c r="E929" t="str">
        <f t="shared" si="16"/>
        <v>Delregion Göteborg</v>
      </c>
    </row>
    <row r="930" spans="1:5" ht="14.65" thickBot="1">
      <c r="A930" s="60">
        <v>41894</v>
      </c>
      <c r="B930" s="61" t="s">
        <v>78</v>
      </c>
      <c r="C930" s="61" t="s">
        <v>91</v>
      </c>
      <c r="D930" s="61" t="s">
        <v>126</v>
      </c>
      <c r="E930" t="str">
        <f t="shared" si="16"/>
        <v>Delregion SIMBA</v>
      </c>
    </row>
    <row r="931" spans="1:5" ht="14.65" thickBot="1">
      <c r="A931" s="60">
        <v>42033</v>
      </c>
      <c r="B931" s="61" t="s">
        <v>89</v>
      </c>
      <c r="C931" s="61" t="s">
        <v>91</v>
      </c>
      <c r="D931" s="61" t="s">
        <v>126</v>
      </c>
      <c r="E931" t="str">
        <f t="shared" si="16"/>
        <v>Delregion Skaraborg</v>
      </c>
    </row>
    <row r="932" spans="1:5" ht="14.65" thickBot="1">
      <c r="A932" s="60">
        <v>42237</v>
      </c>
      <c r="B932" s="61" t="s">
        <v>86</v>
      </c>
      <c r="C932" s="61" t="s">
        <v>91</v>
      </c>
      <c r="D932" s="61" t="s">
        <v>126</v>
      </c>
      <c r="E932" t="str">
        <f t="shared" si="16"/>
        <v>Delregion Fyrbodal</v>
      </c>
    </row>
    <row r="933" spans="1:5" ht="14.65" thickBot="1">
      <c r="A933" s="72">
        <v>42397</v>
      </c>
      <c r="B933" s="73" t="s">
        <v>73</v>
      </c>
      <c r="C933" s="73" t="s">
        <v>91</v>
      </c>
      <c r="D933" s="73" t="s">
        <v>126</v>
      </c>
      <c r="E933" t="str">
        <f t="shared" si="16"/>
        <v>Delregion Göteborg</v>
      </c>
    </row>
    <row r="934" spans="1:5" ht="14.65" thickBot="1">
      <c r="A934" s="60">
        <v>41906</v>
      </c>
      <c r="B934" s="61" t="s">
        <v>73</v>
      </c>
      <c r="C934" s="61" t="s">
        <v>74</v>
      </c>
      <c r="D934" s="61" t="s">
        <v>126</v>
      </c>
      <c r="E934" t="str">
        <f t="shared" si="16"/>
        <v>Delregion Göteborg</v>
      </c>
    </row>
    <row r="935" spans="1:5" ht="14.65" thickBot="1">
      <c r="A935" s="60">
        <v>41949</v>
      </c>
      <c r="B935" s="61" t="s">
        <v>122</v>
      </c>
      <c r="C935" s="61" t="s">
        <v>74</v>
      </c>
      <c r="D935" s="61" t="s">
        <v>126</v>
      </c>
      <c r="E935" t="str">
        <f t="shared" si="16"/>
        <v>Delregion Fyrbodal</v>
      </c>
    </row>
    <row r="936" spans="1:5" ht="14.65" thickBot="1">
      <c r="A936" s="60">
        <v>42041</v>
      </c>
      <c r="B936" s="61" t="s">
        <v>73</v>
      </c>
      <c r="C936" s="61" t="s">
        <v>74</v>
      </c>
      <c r="D936" s="61" t="s">
        <v>126</v>
      </c>
      <c r="E936" t="str">
        <f t="shared" si="16"/>
        <v>Delregion Göteborg</v>
      </c>
    </row>
    <row r="937" spans="1:5" ht="14.65" thickBot="1">
      <c r="A937" s="60">
        <v>42221</v>
      </c>
      <c r="B937" s="61" t="s">
        <v>78</v>
      </c>
      <c r="C937" s="61" t="s">
        <v>74</v>
      </c>
      <c r="D937" s="61" t="s">
        <v>126</v>
      </c>
      <c r="E937" t="str">
        <f t="shared" si="16"/>
        <v>Delregion SIMBA</v>
      </c>
    </row>
    <row r="938" spans="1:5" ht="14.65" thickBot="1">
      <c r="A938" s="60">
        <v>42340</v>
      </c>
      <c r="B938" s="61" t="s">
        <v>95</v>
      </c>
      <c r="C938" s="61" t="s">
        <v>74</v>
      </c>
      <c r="D938" s="61" t="s">
        <v>126</v>
      </c>
      <c r="E938" t="str">
        <f t="shared" si="16"/>
        <v>Delregion Södra Älvsborg</v>
      </c>
    </row>
    <row r="939" spans="1:5" ht="14.65" thickBot="1">
      <c r="A939" s="60">
        <v>42340</v>
      </c>
      <c r="B939" s="61" t="s">
        <v>95</v>
      </c>
      <c r="C939" s="61" t="s">
        <v>74</v>
      </c>
      <c r="D939" s="61" t="s">
        <v>126</v>
      </c>
      <c r="E939" t="str">
        <f t="shared" si="16"/>
        <v>Delregion Södra Älvsborg</v>
      </c>
    </row>
    <row r="940" spans="1:5" ht="14.65" thickBot="1">
      <c r="A940" s="72">
        <v>42417</v>
      </c>
      <c r="B940" s="73" t="s">
        <v>78</v>
      </c>
      <c r="C940" s="73" t="s">
        <v>74</v>
      </c>
      <c r="D940" s="73" t="s">
        <v>126</v>
      </c>
      <c r="E940" t="str">
        <f t="shared" si="16"/>
        <v>Delregion SIMBA</v>
      </c>
    </row>
    <row r="941" spans="1:5" ht="14.65" thickBot="1">
      <c r="A941" s="72">
        <v>42418</v>
      </c>
      <c r="B941" s="73" t="s">
        <v>73</v>
      </c>
      <c r="C941" s="73" t="s">
        <v>74</v>
      </c>
      <c r="D941" s="73" t="s">
        <v>126</v>
      </c>
      <c r="E941" t="str">
        <f t="shared" si="16"/>
        <v>Delregion Göteborg</v>
      </c>
    </row>
    <row r="942" spans="1:5" ht="14.65" thickBot="1">
      <c r="A942" s="72">
        <v>42430</v>
      </c>
      <c r="B942" s="73" t="s">
        <v>86</v>
      </c>
      <c r="C942" s="73" t="s">
        <v>74</v>
      </c>
      <c r="D942" s="73" t="s">
        <v>126</v>
      </c>
      <c r="E942" t="str">
        <f t="shared" si="16"/>
        <v>Delregion Fyrbodal</v>
      </c>
    </row>
    <row r="943" spans="1:5" ht="14.65" thickBot="1">
      <c r="A943" s="72">
        <v>42447</v>
      </c>
      <c r="B943" s="73" t="s">
        <v>119</v>
      </c>
      <c r="C943" s="73" t="s">
        <v>74</v>
      </c>
      <c r="D943" s="73" t="s">
        <v>126</v>
      </c>
      <c r="E943" t="str">
        <f t="shared" si="16"/>
        <v>Delregion Skaraborg</v>
      </c>
    </row>
    <row r="944" spans="1:5" ht="14.65" thickBot="1">
      <c r="A944" s="72">
        <v>42447</v>
      </c>
      <c r="B944" s="73" t="s">
        <v>80</v>
      </c>
      <c r="C944" s="73" t="s">
        <v>74</v>
      </c>
      <c r="D944" s="73" t="s">
        <v>126</v>
      </c>
      <c r="E944" t="str">
        <f t="shared" si="16"/>
        <v>Delregion Södra Älvsborg</v>
      </c>
    </row>
    <row r="945" spans="1:5" ht="14.65" thickBot="1">
      <c r="A945" s="72">
        <v>42478</v>
      </c>
      <c r="B945" s="73" t="s">
        <v>99</v>
      </c>
      <c r="C945" s="73" t="s">
        <v>74</v>
      </c>
      <c r="D945" s="73" t="s">
        <v>126</v>
      </c>
      <c r="E945" t="str">
        <f t="shared" si="16"/>
        <v>Delregion Skaraborg</v>
      </c>
    </row>
    <row r="946" spans="1:5" ht="14.65" thickBot="1">
      <c r="A946" s="72">
        <v>42500</v>
      </c>
      <c r="B946" s="73" t="s">
        <v>86</v>
      </c>
      <c r="C946" s="73" t="s">
        <v>74</v>
      </c>
      <c r="D946" s="73" t="s">
        <v>126</v>
      </c>
      <c r="E946" t="str">
        <f t="shared" si="16"/>
        <v>Delregion Fyrbodal</v>
      </c>
    </row>
    <row r="947" spans="1:5" ht="14.65" thickBot="1">
      <c r="A947" s="72">
        <v>42586</v>
      </c>
      <c r="B947" s="73" t="s">
        <v>114</v>
      </c>
      <c r="C947" s="73" t="s">
        <v>74</v>
      </c>
      <c r="D947" s="73" t="s">
        <v>126</v>
      </c>
      <c r="E947" t="str">
        <f t="shared" si="16"/>
        <v>Delregion Fyrbodal</v>
      </c>
    </row>
    <row r="948" spans="1:5" ht="14.65" thickBot="1">
      <c r="A948" s="72">
        <v>42594</v>
      </c>
      <c r="B948" s="73" t="s">
        <v>115</v>
      </c>
      <c r="C948" s="73" t="s">
        <v>74</v>
      </c>
      <c r="D948" s="73" t="s">
        <v>126</v>
      </c>
      <c r="E948" t="str">
        <f t="shared" si="16"/>
        <v>Delregion Göteborg</v>
      </c>
    </row>
    <row r="949" spans="1:5" ht="14.65" thickBot="1">
      <c r="A949" s="72">
        <v>42615</v>
      </c>
      <c r="B949" s="73" t="s">
        <v>95</v>
      </c>
      <c r="C949" s="73" t="s">
        <v>74</v>
      </c>
      <c r="D949" s="73" t="s">
        <v>126</v>
      </c>
      <c r="E949" t="str">
        <f t="shared" si="16"/>
        <v>Delregion Södra Älvsborg</v>
      </c>
    </row>
    <row r="950" spans="1:5" ht="14.65" thickBot="1">
      <c r="A950" s="72">
        <v>42642</v>
      </c>
      <c r="B950" s="73" t="s">
        <v>73</v>
      </c>
      <c r="C950" s="73" t="s">
        <v>74</v>
      </c>
      <c r="D950" s="73" t="s">
        <v>126</v>
      </c>
      <c r="E950" t="str">
        <f t="shared" si="16"/>
        <v>Delregion Göteborg</v>
      </c>
    </row>
    <row r="951" spans="1:5" ht="14.65" thickBot="1">
      <c r="A951" s="72">
        <v>42643</v>
      </c>
      <c r="B951" s="73" t="s">
        <v>80</v>
      </c>
      <c r="C951" s="73" t="s">
        <v>74</v>
      </c>
      <c r="D951" s="73" t="s">
        <v>126</v>
      </c>
      <c r="E951" t="str">
        <f t="shared" si="16"/>
        <v>Delregion Södra Älvsborg</v>
      </c>
    </row>
    <row r="952" spans="1:5" ht="14.65" thickBot="1">
      <c r="A952" s="72">
        <v>42653</v>
      </c>
      <c r="B952" s="73" t="s">
        <v>98</v>
      </c>
      <c r="C952" s="73" t="s">
        <v>74</v>
      </c>
      <c r="D952" s="73" t="s">
        <v>126</v>
      </c>
      <c r="E952" t="str">
        <f t="shared" si="16"/>
        <v>Delregion Göteborg</v>
      </c>
    </row>
    <row r="953" spans="1:5" ht="14.65" thickBot="1">
      <c r="A953" s="72"/>
      <c r="B953" s="73"/>
      <c r="C953" s="73"/>
      <c r="D953" s="73"/>
      <c r="E953" t="e">
        <f t="shared" si="16"/>
        <v>#N/A</v>
      </c>
    </row>
    <row r="954" spans="1:5">
      <c r="E954" t="e">
        <f t="shared" si="16"/>
        <v>#N/A</v>
      </c>
    </row>
    <row r="955" spans="1:5">
      <c r="E955" t="e">
        <f t="shared" si="16"/>
        <v>#N/A</v>
      </c>
    </row>
    <row r="956" spans="1:5">
      <c r="E956" t="e">
        <f t="shared" si="16"/>
        <v>#N/A</v>
      </c>
    </row>
    <row r="957" spans="1:5">
      <c r="E957" t="e">
        <f t="shared" si="16"/>
        <v>#N/A</v>
      </c>
    </row>
    <row r="958" spans="1:5">
      <c r="E958" t="e">
        <f t="shared" si="16"/>
        <v>#N/A</v>
      </c>
    </row>
    <row r="959" spans="1:5">
      <c r="E959" t="e">
        <f t="shared" si="16"/>
        <v>#N/A</v>
      </c>
    </row>
    <row r="960" spans="1:5">
      <c r="E960" t="e">
        <f t="shared" si="16"/>
        <v>#N/A</v>
      </c>
    </row>
    <row r="961" spans="5:5">
      <c r="E961" t="e">
        <f t="shared" si="16"/>
        <v>#N/A</v>
      </c>
    </row>
    <row r="962" spans="5:5">
      <c r="E962" t="e">
        <f t="shared" si="16"/>
        <v>#N/A</v>
      </c>
    </row>
    <row r="963" spans="5:5">
      <c r="E963" t="e">
        <f t="shared" si="16"/>
        <v>#N/A</v>
      </c>
    </row>
    <row r="964" spans="5:5">
      <c r="E964" t="e">
        <f t="shared" si="16"/>
        <v>#N/A</v>
      </c>
    </row>
    <row r="965" spans="5:5">
      <c r="E965" t="e">
        <f t="shared" si="16"/>
        <v>#N/A</v>
      </c>
    </row>
    <row r="966" spans="5:5">
      <c r="E966" t="e">
        <f t="shared" si="16"/>
        <v>#N/A</v>
      </c>
    </row>
    <row r="967" spans="5:5">
      <c r="E967" t="e">
        <f t="shared" si="16"/>
        <v>#N/A</v>
      </c>
    </row>
    <row r="968" spans="5:5">
      <c r="E968" t="e">
        <f t="shared" si="16"/>
        <v>#N/A</v>
      </c>
    </row>
    <row r="969" spans="5:5">
      <c r="E969" t="e">
        <f t="shared" si="16"/>
        <v>#N/A</v>
      </c>
    </row>
    <row r="970" spans="5:5">
      <c r="E970" t="e">
        <f t="shared" si="16"/>
        <v>#N/A</v>
      </c>
    </row>
    <row r="971" spans="5:5">
      <c r="E971" t="e">
        <f t="shared" si="16"/>
        <v>#N/A</v>
      </c>
    </row>
    <row r="972" spans="5:5">
      <c r="E972" t="e">
        <f t="shared" si="16"/>
        <v>#N/A</v>
      </c>
    </row>
    <row r="973" spans="5:5">
      <c r="E973" t="e">
        <f t="shared" ref="E973:E1036" si="17">VLOOKUP(B973,$Q$13:$R$61,2,FALSE)</f>
        <v>#N/A</v>
      </c>
    </row>
    <row r="974" spans="5:5">
      <c r="E974" t="e">
        <f t="shared" si="17"/>
        <v>#N/A</v>
      </c>
    </row>
    <row r="975" spans="5:5">
      <c r="E975" t="e">
        <f t="shared" si="17"/>
        <v>#N/A</v>
      </c>
    </row>
    <row r="976" spans="5:5">
      <c r="E976" t="e">
        <f t="shared" si="17"/>
        <v>#N/A</v>
      </c>
    </row>
    <row r="977" spans="5:5">
      <c r="E977" t="e">
        <f t="shared" si="17"/>
        <v>#N/A</v>
      </c>
    </row>
    <row r="978" spans="5:5">
      <c r="E978" t="e">
        <f t="shared" si="17"/>
        <v>#N/A</v>
      </c>
    </row>
    <row r="979" spans="5:5">
      <c r="E979" t="e">
        <f t="shared" si="17"/>
        <v>#N/A</v>
      </c>
    </row>
    <row r="980" spans="5:5">
      <c r="E980" t="e">
        <f t="shared" si="17"/>
        <v>#N/A</v>
      </c>
    </row>
    <row r="981" spans="5:5">
      <c r="E981" t="e">
        <f t="shared" si="17"/>
        <v>#N/A</v>
      </c>
    </row>
    <row r="982" spans="5:5">
      <c r="E982" t="e">
        <f t="shared" si="17"/>
        <v>#N/A</v>
      </c>
    </row>
    <row r="983" spans="5:5">
      <c r="E983" t="e">
        <f t="shared" si="17"/>
        <v>#N/A</v>
      </c>
    </row>
    <row r="984" spans="5:5">
      <c r="E984" t="e">
        <f t="shared" si="17"/>
        <v>#N/A</v>
      </c>
    </row>
    <row r="985" spans="5:5">
      <c r="E985" t="e">
        <f t="shared" si="17"/>
        <v>#N/A</v>
      </c>
    </row>
    <row r="986" spans="5:5">
      <c r="E986" t="e">
        <f t="shared" si="17"/>
        <v>#N/A</v>
      </c>
    </row>
    <row r="987" spans="5:5">
      <c r="E987" t="e">
        <f t="shared" si="17"/>
        <v>#N/A</v>
      </c>
    </row>
    <row r="988" spans="5:5">
      <c r="E988" t="e">
        <f t="shared" si="17"/>
        <v>#N/A</v>
      </c>
    </row>
    <row r="989" spans="5:5">
      <c r="E989" t="e">
        <f t="shared" si="17"/>
        <v>#N/A</v>
      </c>
    </row>
    <row r="990" spans="5:5">
      <c r="E990" t="e">
        <f t="shared" si="17"/>
        <v>#N/A</v>
      </c>
    </row>
    <row r="991" spans="5:5">
      <c r="E991" t="e">
        <f t="shared" si="17"/>
        <v>#N/A</v>
      </c>
    </row>
    <row r="992" spans="5:5">
      <c r="E992" t="e">
        <f t="shared" si="17"/>
        <v>#N/A</v>
      </c>
    </row>
    <row r="993" spans="5:5">
      <c r="E993" t="e">
        <f t="shared" si="17"/>
        <v>#N/A</v>
      </c>
    </row>
    <row r="994" spans="5:5">
      <c r="E994" t="e">
        <f t="shared" si="17"/>
        <v>#N/A</v>
      </c>
    </row>
    <row r="995" spans="5:5">
      <c r="E995" t="e">
        <f t="shared" si="17"/>
        <v>#N/A</v>
      </c>
    </row>
    <row r="996" spans="5:5">
      <c r="E996" t="e">
        <f t="shared" si="17"/>
        <v>#N/A</v>
      </c>
    </row>
    <row r="997" spans="5:5">
      <c r="E997" t="e">
        <f t="shared" si="17"/>
        <v>#N/A</v>
      </c>
    </row>
    <row r="998" spans="5:5">
      <c r="E998" t="e">
        <f t="shared" si="17"/>
        <v>#N/A</v>
      </c>
    </row>
    <row r="999" spans="5:5">
      <c r="E999" t="e">
        <f t="shared" si="17"/>
        <v>#N/A</v>
      </c>
    </row>
    <row r="1000" spans="5:5">
      <c r="E1000" t="e">
        <f t="shared" si="17"/>
        <v>#N/A</v>
      </c>
    </row>
    <row r="1001" spans="5:5">
      <c r="E1001" t="e">
        <f t="shared" si="17"/>
        <v>#N/A</v>
      </c>
    </row>
    <row r="1002" spans="5:5">
      <c r="E1002" t="e">
        <f t="shared" si="17"/>
        <v>#N/A</v>
      </c>
    </row>
    <row r="1003" spans="5:5">
      <c r="E1003" t="e">
        <f t="shared" si="17"/>
        <v>#N/A</v>
      </c>
    </row>
    <row r="1004" spans="5:5">
      <c r="E1004" t="e">
        <f t="shared" si="17"/>
        <v>#N/A</v>
      </c>
    </row>
    <row r="1005" spans="5:5">
      <c r="E1005" t="e">
        <f t="shared" si="17"/>
        <v>#N/A</v>
      </c>
    </row>
    <row r="1006" spans="5:5">
      <c r="E1006" t="e">
        <f t="shared" si="17"/>
        <v>#N/A</v>
      </c>
    </row>
    <row r="1007" spans="5:5">
      <c r="E1007" t="e">
        <f t="shared" si="17"/>
        <v>#N/A</v>
      </c>
    </row>
    <row r="1008" spans="5:5">
      <c r="E1008" t="e">
        <f t="shared" si="17"/>
        <v>#N/A</v>
      </c>
    </row>
    <row r="1009" spans="5:5">
      <c r="E1009" t="e">
        <f t="shared" si="17"/>
        <v>#N/A</v>
      </c>
    </row>
    <row r="1010" spans="5:5">
      <c r="E1010" t="e">
        <f t="shared" si="17"/>
        <v>#N/A</v>
      </c>
    </row>
    <row r="1011" spans="5:5">
      <c r="E1011" t="e">
        <f t="shared" si="17"/>
        <v>#N/A</v>
      </c>
    </row>
    <row r="1012" spans="5:5">
      <c r="E1012" t="e">
        <f t="shared" si="17"/>
        <v>#N/A</v>
      </c>
    </row>
    <row r="1013" spans="5:5">
      <c r="E1013" t="e">
        <f t="shared" si="17"/>
        <v>#N/A</v>
      </c>
    </row>
    <row r="1014" spans="5:5">
      <c r="E1014" t="e">
        <f t="shared" si="17"/>
        <v>#N/A</v>
      </c>
    </row>
    <row r="1015" spans="5:5">
      <c r="E1015" t="e">
        <f t="shared" si="17"/>
        <v>#N/A</v>
      </c>
    </row>
    <row r="1016" spans="5:5">
      <c r="E1016" t="e">
        <f t="shared" si="17"/>
        <v>#N/A</v>
      </c>
    </row>
    <row r="1017" spans="5:5">
      <c r="E1017" t="e">
        <f t="shared" si="17"/>
        <v>#N/A</v>
      </c>
    </row>
    <row r="1018" spans="5:5">
      <c r="E1018" t="e">
        <f t="shared" si="17"/>
        <v>#N/A</v>
      </c>
    </row>
    <row r="1019" spans="5:5">
      <c r="E1019" t="e">
        <f t="shared" si="17"/>
        <v>#N/A</v>
      </c>
    </row>
    <row r="1020" spans="5:5">
      <c r="E1020" t="e">
        <f t="shared" si="17"/>
        <v>#N/A</v>
      </c>
    </row>
    <row r="1021" spans="5:5">
      <c r="E1021" t="e">
        <f t="shared" si="17"/>
        <v>#N/A</v>
      </c>
    </row>
    <row r="1022" spans="5:5">
      <c r="E1022" t="e">
        <f t="shared" si="17"/>
        <v>#N/A</v>
      </c>
    </row>
    <row r="1023" spans="5:5">
      <c r="E1023" t="e">
        <f t="shared" si="17"/>
        <v>#N/A</v>
      </c>
    </row>
    <row r="1024" spans="5:5">
      <c r="E1024" t="e">
        <f t="shared" si="17"/>
        <v>#N/A</v>
      </c>
    </row>
    <row r="1025" spans="5:5">
      <c r="E1025" t="e">
        <f t="shared" si="17"/>
        <v>#N/A</v>
      </c>
    </row>
    <row r="1026" spans="5:5">
      <c r="E1026" t="e">
        <f t="shared" si="17"/>
        <v>#N/A</v>
      </c>
    </row>
    <row r="1027" spans="5:5">
      <c r="E1027" t="e">
        <f t="shared" si="17"/>
        <v>#N/A</v>
      </c>
    </row>
    <row r="1028" spans="5:5">
      <c r="E1028" t="e">
        <f t="shared" si="17"/>
        <v>#N/A</v>
      </c>
    </row>
    <row r="1029" spans="5:5">
      <c r="E1029" t="e">
        <f t="shared" si="17"/>
        <v>#N/A</v>
      </c>
    </row>
    <row r="1030" spans="5:5">
      <c r="E1030" t="e">
        <f t="shared" si="17"/>
        <v>#N/A</v>
      </c>
    </row>
    <row r="1031" spans="5:5">
      <c r="E1031" t="e">
        <f t="shared" si="17"/>
        <v>#N/A</v>
      </c>
    </row>
    <row r="1032" spans="5:5">
      <c r="E1032" t="e">
        <f t="shared" si="17"/>
        <v>#N/A</v>
      </c>
    </row>
    <row r="1033" spans="5:5">
      <c r="E1033" t="e">
        <f t="shared" si="17"/>
        <v>#N/A</v>
      </c>
    </row>
    <row r="1034" spans="5:5">
      <c r="E1034" t="e">
        <f t="shared" si="17"/>
        <v>#N/A</v>
      </c>
    </row>
    <row r="1035" spans="5:5">
      <c r="E1035" t="e">
        <f t="shared" si="17"/>
        <v>#N/A</v>
      </c>
    </row>
    <row r="1036" spans="5:5">
      <c r="E1036" t="e">
        <f t="shared" si="17"/>
        <v>#N/A</v>
      </c>
    </row>
    <row r="1037" spans="5:5">
      <c r="E1037" t="e">
        <f t="shared" ref="E1037:E1100" si="18">VLOOKUP(B1037,$Q$13:$R$61,2,FALSE)</f>
        <v>#N/A</v>
      </c>
    </row>
    <row r="1038" spans="5:5">
      <c r="E1038" t="e">
        <f t="shared" si="18"/>
        <v>#N/A</v>
      </c>
    </row>
    <row r="1039" spans="5:5">
      <c r="E1039" t="e">
        <f t="shared" si="18"/>
        <v>#N/A</v>
      </c>
    </row>
    <row r="1040" spans="5:5">
      <c r="E1040" t="e">
        <f t="shared" si="18"/>
        <v>#N/A</v>
      </c>
    </row>
    <row r="1041" spans="5:5">
      <c r="E1041" t="e">
        <f t="shared" si="18"/>
        <v>#N/A</v>
      </c>
    </row>
    <row r="1042" spans="5:5">
      <c r="E1042" t="e">
        <f t="shared" si="18"/>
        <v>#N/A</v>
      </c>
    </row>
    <row r="1043" spans="5:5">
      <c r="E1043" t="e">
        <f t="shared" si="18"/>
        <v>#N/A</v>
      </c>
    </row>
    <row r="1044" spans="5:5">
      <c r="E1044" t="e">
        <f t="shared" si="18"/>
        <v>#N/A</v>
      </c>
    </row>
    <row r="1045" spans="5:5">
      <c r="E1045" t="e">
        <f t="shared" si="18"/>
        <v>#N/A</v>
      </c>
    </row>
    <row r="1046" spans="5:5">
      <c r="E1046" t="e">
        <f t="shared" si="18"/>
        <v>#N/A</v>
      </c>
    </row>
    <row r="1047" spans="5:5">
      <c r="E1047" t="e">
        <f t="shared" si="18"/>
        <v>#N/A</v>
      </c>
    </row>
    <row r="1048" spans="5:5">
      <c r="E1048" t="e">
        <f t="shared" si="18"/>
        <v>#N/A</v>
      </c>
    </row>
    <row r="1049" spans="5:5">
      <c r="E1049" t="e">
        <f t="shared" si="18"/>
        <v>#N/A</v>
      </c>
    </row>
    <row r="1050" spans="5:5">
      <c r="E1050" t="e">
        <f t="shared" si="18"/>
        <v>#N/A</v>
      </c>
    </row>
    <row r="1051" spans="5:5">
      <c r="E1051" t="e">
        <f t="shared" si="18"/>
        <v>#N/A</v>
      </c>
    </row>
    <row r="1052" spans="5:5">
      <c r="E1052" t="e">
        <f t="shared" si="18"/>
        <v>#N/A</v>
      </c>
    </row>
    <row r="1053" spans="5:5">
      <c r="E1053" t="e">
        <f t="shared" si="18"/>
        <v>#N/A</v>
      </c>
    </row>
    <row r="1054" spans="5:5">
      <c r="E1054" t="e">
        <f t="shared" si="18"/>
        <v>#N/A</v>
      </c>
    </row>
    <row r="1055" spans="5:5">
      <c r="E1055" t="e">
        <f t="shared" si="18"/>
        <v>#N/A</v>
      </c>
    </row>
    <row r="1056" spans="5:5">
      <c r="E1056" t="e">
        <f t="shared" si="18"/>
        <v>#N/A</v>
      </c>
    </row>
    <row r="1057" spans="5:5">
      <c r="E1057" t="e">
        <f t="shared" si="18"/>
        <v>#N/A</v>
      </c>
    </row>
    <row r="1058" spans="5:5">
      <c r="E1058" t="e">
        <f t="shared" si="18"/>
        <v>#N/A</v>
      </c>
    </row>
    <row r="1059" spans="5:5">
      <c r="E1059" t="e">
        <f t="shared" si="18"/>
        <v>#N/A</v>
      </c>
    </row>
    <row r="1060" spans="5:5">
      <c r="E1060" t="e">
        <f t="shared" si="18"/>
        <v>#N/A</v>
      </c>
    </row>
    <row r="1061" spans="5:5">
      <c r="E1061" t="e">
        <f t="shared" si="18"/>
        <v>#N/A</v>
      </c>
    </row>
    <row r="1062" spans="5:5">
      <c r="E1062" t="e">
        <f t="shared" si="18"/>
        <v>#N/A</v>
      </c>
    </row>
    <row r="1063" spans="5:5">
      <c r="E1063" t="e">
        <f t="shared" si="18"/>
        <v>#N/A</v>
      </c>
    </row>
    <row r="1064" spans="5:5">
      <c r="E1064" t="e">
        <f t="shared" si="18"/>
        <v>#N/A</v>
      </c>
    </row>
    <row r="1065" spans="5:5">
      <c r="E1065" t="e">
        <f t="shared" si="18"/>
        <v>#N/A</v>
      </c>
    </row>
    <row r="1066" spans="5:5">
      <c r="E1066" t="e">
        <f t="shared" si="18"/>
        <v>#N/A</v>
      </c>
    </row>
    <row r="1067" spans="5:5">
      <c r="E1067" t="e">
        <f t="shared" si="18"/>
        <v>#N/A</v>
      </c>
    </row>
    <row r="1068" spans="5:5">
      <c r="E1068" t="e">
        <f t="shared" si="18"/>
        <v>#N/A</v>
      </c>
    </row>
    <row r="1069" spans="5:5">
      <c r="E1069" t="e">
        <f t="shared" si="18"/>
        <v>#N/A</v>
      </c>
    </row>
    <row r="1070" spans="5:5">
      <c r="E1070" t="e">
        <f t="shared" si="18"/>
        <v>#N/A</v>
      </c>
    </row>
    <row r="1071" spans="5:5">
      <c r="E1071" t="e">
        <f t="shared" si="18"/>
        <v>#N/A</v>
      </c>
    </row>
    <row r="1072" spans="5:5">
      <c r="E1072" t="e">
        <f t="shared" si="18"/>
        <v>#N/A</v>
      </c>
    </row>
    <row r="1073" spans="5:5">
      <c r="E1073" t="e">
        <f t="shared" si="18"/>
        <v>#N/A</v>
      </c>
    </row>
    <row r="1074" spans="5:5">
      <c r="E1074" t="e">
        <f t="shared" si="18"/>
        <v>#N/A</v>
      </c>
    </row>
    <row r="1075" spans="5:5">
      <c r="E1075" t="e">
        <f t="shared" si="18"/>
        <v>#N/A</v>
      </c>
    </row>
    <row r="1076" spans="5:5">
      <c r="E1076" t="e">
        <f t="shared" si="18"/>
        <v>#N/A</v>
      </c>
    </row>
    <row r="1077" spans="5:5">
      <c r="E1077" t="e">
        <f t="shared" si="18"/>
        <v>#N/A</v>
      </c>
    </row>
    <row r="1078" spans="5:5">
      <c r="E1078" t="e">
        <f t="shared" si="18"/>
        <v>#N/A</v>
      </c>
    </row>
    <row r="1079" spans="5:5">
      <c r="E1079" t="e">
        <f t="shared" si="18"/>
        <v>#N/A</v>
      </c>
    </row>
    <row r="1080" spans="5:5">
      <c r="E1080" t="e">
        <f t="shared" si="18"/>
        <v>#N/A</v>
      </c>
    </row>
    <row r="1081" spans="5:5">
      <c r="E1081" t="e">
        <f t="shared" si="18"/>
        <v>#N/A</v>
      </c>
    </row>
    <row r="1082" spans="5:5">
      <c r="E1082" t="e">
        <f t="shared" si="18"/>
        <v>#N/A</v>
      </c>
    </row>
    <row r="1083" spans="5:5">
      <c r="E1083" t="e">
        <f t="shared" si="18"/>
        <v>#N/A</v>
      </c>
    </row>
    <row r="1084" spans="5:5">
      <c r="E1084" t="e">
        <f t="shared" si="18"/>
        <v>#N/A</v>
      </c>
    </row>
    <row r="1085" spans="5:5">
      <c r="E1085" t="e">
        <f t="shared" si="18"/>
        <v>#N/A</v>
      </c>
    </row>
    <row r="1086" spans="5:5">
      <c r="E1086" t="e">
        <f t="shared" si="18"/>
        <v>#N/A</v>
      </c>
    </row>
    <row r="1087" spans="5:5">
      <c r="E1087" t="e">
        <f t="shared" si="18"/>
        <v>#N/A</v>
      </c>
    </row>
    <row r="1088" spans="5:5">
      <c r="E1088" t="e">
        <f t="shared" si="18"/>
        <v>#N/A</v>
      </c>
    </row>
    <row r="1089" spans="5:5">
      <c r="E1089" t="e">
        <f t="shared" si="18"/>
        <v>#N/A</v>
      </c>
    </row>
    <row r="1090" spans="5:5">
      <c r="E1090" t="e">
        <f t="shared" si="18"/>
        <v>#N/A</v>
      </c>
    </row>
    <row r="1091" spans="5:5">
      <c r="E1091" t="e">
        <f t="shared" si="18"/>
        <v>#N/A</v>
      </c>
    </row>
    <row r="1092" spans="5:5">
      <c r="E1092" t="e">
        <f t="shared" si="18"/>
        <v>#N/A</v>
      </c>
    </row>
    <row r="1093" spans="5:5">
      <c r="E1093" t="e">
        <f t="shared" si="18"/>
        <v>#N/A</v>
      </c>
    </row>
    <row r="1094" spans="5:5">
      <c r="E1094" t="e">
        <f t="shared" si="18"/>
        <v>#N/A</v>
      </c>
    </row>
    <row r="1095" spans="5:5">
      <c r="E1095" t="e">
        <f t="shared" si="18"/>
        <v>#N/A</v>
      </c>
    </row>
    <row r="1096" spans="5:5">
      <c r="E1096" t="e">
        <f t="shared" si="18"/>
        <v>#N/A</v>
      </c>
    </row>
    <row r="1097" spans="5:5">
      <c r="E1097" t="e">
        <f t="shared" si="18"/>
        <v>#N/A</v>
      </c>
    </row>
    <row r="1098" spans="5:5">
      <c r="E1098" t="e">
        <f t="shared" si="18"/>
        <v>#N/A</v>
      </c>
    </row>
    <row r="1099" spans="5:5">
      <c r="E1099" t="e">
        <f t="shared" si="18"/>
        <v>#N/A</v>
      </c>
    </row>
    <row r="1100" spans="5:5">
      <c r="E1100" t="e">
        <f t="shared" si="18"/>
        <v>#N/A</v>
      </c>
    </row>
    <row r="1101" spans="5:5">
      <c r="E1101" t="e">
        <f t="shared" ref="E1101:E1164" si="19">VLOOKUP(B1101,$Q$13:$R$61,2,FALSE)</f>
        <v>#N/A</v>
      </c>
    </row>
    <row r="1102" spans="5:5">
      <c r="E1102" t="e">
        <f t="shared" si="19"/>
        <v>#N/A</v>
      </c>
    </row>
    <row r="1103" spans="5:5">
      <c r="E1103" t="e">
        <f t="shared" si="19"/>
        <v>#N/A</v>
      </c>
    </row>
    <row r="1104" spans="5:5">
      <c r="E1104" t="e">
        <f t="shared" si="19"/>
        <v>#N/A</v>
      </c>
    </row>
    <row r="1105" spans="5:5">
      <c r="E1105" t="e">
        <f t="shared" si="19"/>
        <v>#N/A</v>
      </c>
    </row>
    <row r="1106" spans="5:5">
      <c r="E1106" t="e">
        <f t="shared" si="19"/>
        <v>#N/A</v>
      </c>
    </row>
    <row r="1107" spans="5:5">
      <c r="E1107" t="e">
        <f t="shared" si="19"/>
        <v>#N/A</v>
      </c>
    </row>
    <row r="1108" spans="5:5">
      <c r="E1108" t="e">
        <f t="shared" si="19"/>
        <v>#N/A</v>
      </c>
    </row>
    <row r="1109" spans="5:5">
      <c r="E1109" t="e">
        <f t="shared" si="19"/>
        <v>#N/A</v>
      </c>
    </row>
    <row r="1110" spans="5:5">
      <c r="E1110" t="e">
        <f t="shared" si="19"/>
        <v>#N/A</v>
      </c>
    </row>
    <row r="1111" spans="5:5">
      <c r="E1111" t="e">
        <f t="shared" si="19"/>
        <v>#N/A</v>
      </c>
    </row>
    <row r="1112" spans="5:5">
      <c r="E1112" t="e">
        <f t="shared" si="19"/>
        <v>#N/A</v>
      </c>
    </row>
    <row r="1113" spans="5:5">
      <c r="E1113" t="e">
        <f t="shared" si="19"/>
        <v>#N/A</v>
      </c>
    </row>
    <row r="1114" spans="5:5">
      <c r="E1114" t="e">
        <f t="shared" si="19"/>
        <v>#N/A</v>
      </c>
    </row>
    <row r="1115" spans="5:5">
      <c r="E1115" t="e">
        <f t="shared" si="19"/>
        <v>#N/A</v>
      </c>
    </row>
    <row r="1116" spans="5:5">
      <c r="E1116" t="e">
        <f t="shared" si="19"/>
        <v>#N/A</v>
      </c>
    </row>
    <row r="1117" spans="5:5">
      <c r="E1117" t="e">
        <f t="shared" si="19"/>
        <v>#N/A</v>
      </c>
    </row>
    <row r="1118" spans="5:5">
      <c r="E1118" t="e">
        <f t="shared" si="19"/>
        <v>#N/A</v>
      </c>
    </row>
    <row r="1119" spans="5:5">
      <c r="E1119" t="e">
        <f t="shared" si="19"/>
        <v>#N/A</v>
      </c>
    </row>
    <row r="1120" spans="5:5">
      <c r="E1120" t="e">
        <f t="shared" si="19"/>
        <v>#N/A</v>
      </c>
    </row>
    <row r="1121" spans="5:5">
      <c r="E1121" t="e">
        <f t="shared" si="19"/>
        <v>#N/A</v>
      </c>
    </row>
    <row r="1122" spans="5:5">
      <c r="E1122" t="e">
        <f t="shared" si="19"/>
        <v>#N/A</v>
      </c>
    </row>
    <row r="1123" spans="5:5">
      <c r="E1123" t="e">
        <f t="shared" si="19"/>
        <v>#N/A</v>
      </c>
    </row>
    <row r="1124" spans="5:5">
      <c r="E1124" t="e">
        <f t="shared" si="19"/>
        <v>#N/A</v>
      </c>
    </row>
    <row r="1125" spans="5:5">
      <c r="E1125" t="e">
        <f t="shared" si="19"/>
        <v>#N/A</v>
      </c>
    </row>
    <row r="1126" spans="5:5">
      <c r="E1126" t="e">
        <f t="shared" si="19"/>
        <v>#N/A</v>
      </c>
    </row>
    <row r="1127" spans="5:5">
      <c r="E1127" t="e">
        <f t="shared" si="19"/>
        <v>#N/A</v>
      </c>
    </row>
    <row r="1128" spans="5:5">
      <c r="E1128" t="e">
        <f t="shared" si="19"/>
        <v>#N/A</v>
      </c>
    </row>
    <row r="1129" spans="5:5">
      <c r="E1129" t="e">
        <f t="shared" si="19"/>
        <v>#N/A</v>
      </c>
    </row>
    <row r="1130" spans="5:5">
      <c r="E1130" t="e">
        <f t="shared" si="19"/>
        <v>#N/A</v>
      </c>
    </row>
    <row r="1131" spans="5:5">
      <c r="E1131" t="e">
        <f t="shared" si="19"/>
        <v>#N/A</v>
      </c>
    </row>
    <row r="1132" spans="5:5">
      <c r="E1132" t="e">
        <f t="shared" si="19"/>
        <v>#N/A</v>
      </c>
    </row>
    <row r="1133" spans="5:5">
      <c r="E1133" t="e">
        <f t="shared" si="19"/>
        <v>#N/A</v>
      </c>
    </row>
    <row r="1134" spans="5:5">
      <c r="E1134" t="e">
        <f t="shared" si="19"/>
        <v>#N/A</v>
      </c>
    </row>
    <row r="1135" spans="5:5">
      <c r="E1135" t="e">
        <f t="shared" si="19"/>
        <v>#N/A</v>
      </c>
    </row>
    <row r="1136" spans="5:5">
      <c r="E1136" t="e">
        <f t="shared" si="19"/>
        <v>#N/A</v>
      </c>
    </row>
    <row r="1137" spans="5:5">
      <c r="E1137" t="e">
        <f t="shared" si="19"/>
        <v>#N/A</v>
      </c>
    </row>
    <row r="1138" spans="5:5">
      <c r="E1138" t="e">
        <f t="shared" si="19"/>
        <v>#N/A</v>
      </c>
    </row>
    <row r="1139" spans="5:5">
      <c r="E1139" t="e">
        <f t="shared" si="19"/>
        <v>#N/A</v>
      </c>
    </row>
    <row r="1140" spans="5:5">
      <c r="E1140" t="e">
        <f t="shared" si="19"/>
        <v>#N/A</v>
      </c>
    </row>
    <row r="1141" spans="5:5">
      <c r="E1141" t="e">
        <f t="shared" si="19"/>
        <v>#N/A</v>
      </c>
    </row>
    <row r="1142" spans="5:5">
      <c r="E1142" t="e">
        <f t="shared" si="19"/>
        <v>#N/A</v>
      </c>
    </row>
    <row r="1143" spans="5:5">
      <c r="E1143" t="e">
        <f t="shared" si="19"/>
        <v>#N/A</v>
      </c>
    </row>
    <row r="1144" spans="5:5">
      <c r="E1144" t="e">
        <f t="shared" si="19"/>
        <v>#N/A</v>
      </c>
    </row>
    <row r="1145" spans="5:5">
      <c r="E1145" t="e">
        <f t="shared" si="19"/>
        <v>#N/A</v>
      </c>
    </row>
    <row r="1146" spans="5:5">
      <c r="E1146" t="e">
        <f t="shared" si="19"/>
        <v>#N/A</v>
      </c>
    </row>
    <row r="1147" spans="5:5">
      <c r="E1147" t="e">
        <f t="shared" si="19"/>
        <v>#N/A</v>
      </c>
    </row>
    <row r="1148" spans="5:5">
      <c r="E1148" t="e">
        <f t="shared" si="19"/>
        <v>#N/A</v>
      </c>
    </row>
    <row r="1149" spans="5:5">
      <c r="E1149" t="e">
        <f t="shared" si="19"/>
        <v>#N/A</v>
      </c>
    </row>
    <row r="1150" spans="5:5">
      <c r="E1150" t="e">
        <f t="shared" si="19"/>
        <v>#N/A</v>
      </c>
    </row>
    <row r="1151" spans="5:5">
      <c r="E1151" t="e">
        <f t="shared" si="19"/>
        <v>#N/A</v>
      </c>
    </row>
    <row r="1152" spans="5:5">
      <c r="E1152" t="e">
        <f t="shared" si="19"/>
        <v>#N/A</v>
      </c>
    </row>
    <row r="1153" spans="5:5">
      <c r="E1153" t="e">
        <f t="shared" si="19"/>
        <v>#N/A</v>
      </c>
    </row>
    <row r="1154" spans="5:5">
      <c r="E1154" t="e">
        <f t="shared" si="19"/>
        <v>#N/A</v>
      </c>
    </row>
    <row r="1155" spans="5:5">
      <c r="E1155" t="e">
        <f t="shared" si="19"/>
        <v>#N/A</v>
      </c>
    </row>
    <row r="1156" spans="5:5">
      <c r="E1156" t="e">
        <f t="shared" si="19"/>
        <v>#N/A</v>
      </c>
    </row>
    <row r="1157" spans="5:5">
      <c r="E1157" t="e">
        <f t="shared" si="19"/>
        <v>#N/A</v>
      </c>
    </row>
    <row r="1158" spans="5:5">
      <c r="E1158" t="e">
        <f t="shared" si="19"/>
        <v>#N/A</v>
      </c>
    </row>
    <row r="1159" spans="5:5">
      <c r="E1159" t="e">
        <f t="shared" si="19"/>
        <v>#N/A</v>
      </c>
    </row>
    <row r="1160" spans="5:5">
      <c r="E1160" t="e">
        <f t="shared" si="19"/>
        <v>#N/A</v>
      </c>
    </row>
    <row r="1161" spans="5:5">
      <c r="E1161" t="e">
        <f t="shared" si="19"/>
        <v>#N/A</v>
      </c>
    </row>
    <row r="1162" spans="5:5">
      <c r="E1162" t="e">
        <f t="shared" si="19"/>
        <v>#N/A</v>
      </c>
    </row>
    <row r="1163" spans="5:5">
      <c r="E1163" t="e">
        <f t="shared" si="19"/>
        <v>#N/A</v>
      </c>
    </row>
    <row r="1164" spans="5:5">
      <c r="E1164" t="e">
        <f t="shared" si="19"/>
        <v>#N/A</v>
      </c>
    </row>
    <row r="1165" spans="5:5">
      <c r="E1165" t="e">
        <f t="shared" ref="E1165:E1228" si="20">VLOOKUP(B1165,$Q$13:$R$61,2,FALSE)</f>
        <v>#N/A</v>
      </c>
    </row>
    <row r="1166" spans="5:5">
      <c r="E1166" t="e">
        <f t="shared" si="20"/>
        <v>#N/A</v>
      </c>
    </row>
    <row r="1167" spans="5:5">
      <c r="E1167" t="e">
        <f t="shared" si="20"/>
        <v>#N/A</v>
      </c>
    </row>
    <row r="1168" spans="5:5">
      <c r="E1168" t="e">
        <f t="shared" si="20"/>
        <v>#N/A</v>
      </c>
    </row>
    <row r="1169" spans="5:5">
      <c r="E1169" t="e">
        <f t="shared" si="20"/>
        <v>#N/A</v>
      </c>
    </row>
    <row r="1170" spans="5:5">
      <c r="E1170" t="e">
        <f t="shared" si="20"/>
        <v>#N/A</v>
      </c>
    </row>
    <row r="1171" spans="5:5">
      <c r="E1171" t="e">
        <f t="shared" si="20"/>
        <v>#N/A</v>
      </c>
    </row>
    <row r="1172" spans="5:5">
      <c r="E1172" t="e">
        <f t="shared" si="20"/>
        <v>#N/A</v>
      </c>
    </row>
    <row r="1173" spans="5:5">
      <c r="E1173" t="e">
        <f t="shared" si="20"/>
        <v>#N/A</v>
      </c>
    </row>
    <row r="1174" spans="5:5">
      <c r="E1174" t="e">
        <f t="shared" si="20"/>
        <v>#N/A</v>
      </c>
    </row>
    <row r="1175" spans="5:5">
      <c r="E1175" t="e">
        <f t="shared" si="20"/>
        <v>#N/A</v>
      </c>
    </row>
    <row r="1176" spans="5:5">
      <c r="E1176" t="e">
        <f t="shared" si="20"/>
        <v>#N/A</v>
      </c>
    </row>
    <row r="1177" spans="5:5">
      <c r="E1177" t="e">
        <f t="shared" si="20"/>
        <v>#N/A</v>
      </c>
    </row>
    <row r="1178" spans="5:5">
      <c r="E1178" t="e">
        <f t="shared" si="20"/>
        <v>#N/A</v>
      </c>
    </row>
    <row r="1179" spans="5:5">
      <c r="E1179" t="e">
        <f t="shared" si="20"/>
        <v>#N/A</v>
      </c>
    </row>
    <row r="1180" spans="5:5">
      <c r="E1180" t="e">
        <f t="shared" si="20"/>
        <v>#N/A</v>
      </c>
    </row>
    <row r="1181" spans="5:5">
      <c r="E1181" t="e">
        <f t="shared" si="20"/>
        <v>#N/A</v>
      </c>
    </row>
    <row r="1182" spans="5:5">
      <c r="E1182" t="e">
        <f t="shared" si="20"/>
        <v>#N/A</v>
      </c>
    </row>
    <row r="1183" spans="5:5">
      <c r="E1183" t="e">
        <f t="shared" si="20"/>
        <v>#N/A</v>
      </c>
    </row>
    <row r="1184" spans="5:5">
      <c r="E1184" t="e">
        <f t="shared" si="20"/>
        <v>#N/A</v>
      </c>
    </row>
    <row r="1185" spans="5:5">
      <c r="E1185" t="e">
        <f t="shared" si="20"/>
        <v>#N/A</v>
      </c>
    </row>
    <row r="1186" spans="5:5">
      <c r="E1186" t="e">
        <f t="shared" si="20"/>
        <v>#N/A</v>
      </c>
    </row>
    <row r="1187" spans="5:5">
      <c r="E1187" t="e">
        <f t="shared" si="20"/>
        <v>#N/A</v>
      </c>
    </row>
    <row r="1188" spans="5:5">
      <c r="E1188" t="e">
        <f t="shared" si="20"/>
        <v>#N/A</v>
      </c>
    </row>
    <row r="1189" spans="5:5">
      <c r="E1189" t="e">
        <f t="shared" si="20"/>
        <v>#N/A</v>
      </c>
    </row>
    <row r="1190" spans="5:5">
      <c r="E1190" t="e">
        <f t="shared" si="20"/>
        <v>#N/A</v>
      </c>
    </row>
    <row r="1191" spans="5:5">
      <c r="E1191" t="e">
        <f t="shared" si="20"/>
        <v>#N/A</v>
      </c>
    </row>
    <row r="1192" spans="5:5">
      <c r="E1192" t="e">
        <f t="shared" si="20"/>
        <v>#N/A</v>
      </c>
    </row>
    <row r="1193" spans="5:5">
      <c r="E1193" t="e">
        <f t="shared" si="20"/>
        <v>#N/A</v>
      </c>
    </row>
    <row r="1194" spans="5:5">
      <c r="E1194" t="e">
        <f t="shared" si="20"/>
        <v>#N/A</v>
      </c>
    </row>
    <row r="1195" spans="5:5">
      <c r="E1195" t="e">
        <f t="shared" si="20"/>
        <v>#N/A</v>
      </c>
    </row>
    <row r="1196" spans="5:5">
      <c r="E1196" t="e">
        <f t="shared" si="20"/>
        <v>#N/A</v>
      </c>
    </row>
    <row r="1197" spans="5:5">
      <c r="E1197" t="e">
        <f t="shared" si="20"/>
        <v>#N/A</v>
      </c>
    </row>
    <row r="1198" spans="5:5">
      <c r="E1198" t="e">
        <f t="shared" si="20"/>
        <v>#N/A</v>
      </c>
    </row>
    <row r="1199" spans="5:5">
      <c r="E1199" t="e">
        <f t="shared" si="20"/>
        <v>#N/A</v>
      </c>
    </row>
    <row r="1200" spans="5:5">
      <c r="E1200" t="e">
        <f t="shared" si="20"/>
        <v>#N/A</v>
      </c>
    </row>
    <row r="1201" spans="5:5">
      <c r="E1201" t="e">
        <f t="shared" si="20"/>
        <v>#N/A</v>
      </c>
    </row>
    <row r="1202" spans="5:5">
      <c r="E1202" t="e">
        <f t="shared" si="20"/>
        <v>#N/A</v>
      </c>
    </row>
    <row r="1203" spans="5:5">
      <c r="E1203" t="e">
        <f t="shared" si="20"/>
        <v>#N/A</v>
      </c>
    </row>
    <row r="1204" spans="5:5">
      <c r="E1204" t="e">
        <f t="shared" si="20"/>
        <v>#N/A</v>
      </c>
    </row>
    <row r="1205" spans="5:5">
      <c r="E1205" t="e">
        <f t="shared" si="20"/>
        <v>#N/A</v>
      </c>
    </row>
    <row r="1206" spans="5:5">
      <c r="E1206" t="e">
        <f t="shared" si="20"/>
        <v>#N/A</v>
      </c>
    </row>
    <row r="1207" spans="5:5">
      <c r="E1207" t="e">
        <f t="shared" si="20"/>
        <v>#N/A</v>
      </c>
    </row>
    <row r="1208" spans="5:5">
      <c r="E1208" t="e">
        <f t="shared" si="20"/>
        <v>#N/A</v>
      </c>
    </row>
    <row r="1209" spans="5:5">
      <c r="E1209" t="e">
        <f t="shared" si="20"/>
        <v>#N/A</v>
      </c>
    </row>
    <row r="1210" spans="5:5">
      <c r="E1210" t="e">
        <f t="shared" si="20"/>
        <v>#N/A</v>
      </c>
    </row>
    <row r="1211" spans="5:5">
      <c r="E1211" t="e">
        <f t="shared" si="20"/>
        <v>#N/A</v>
      </c>
    </row>
    <row r="1212" spans="5:5">
      <c r="E1212" t="e">
        <f t="shared" si="20"/>
        <v>#N/A</v>
      </c>
    </row>
    <row r="1213" spans="5:5">
      <c r="E1213" t="e">
        <f t="shared" si="20"/>
        <v>#N/A</v>
      </c>
    </row>
    <row r="1214" spans="5:5">
      <c r="E1214" t="e">
        <f t="shared" si="20"/>
        <v>#N/A</v>
      </c>
    </row>
    <row r="1215" spans="5:5">
      <c r="E1215" t="e">
        <f t="shared" si="20"/>
        <v>#N/A</v>
      </c>
    </row>
    <row r="1216" spans="5:5">
      <c r="E1216" t="e">
        <f t="shared" si="20"/>
        <v>#N/A</v>
      </c>
    </row>
    <row r="1217" spans="5:5">
      <c r="E1217" t="e">
        <f t="shared" si="20"/>
        <v>#N/A</v>
      </c>
    </row>
    <row r="1218" spans="5:5">
      <c r="E1218" t="e">
        <f t="shared" si="20"/>
        <v>#N/A</v>
      </c>
    </row>
    <row r="1219" spans="5:5">
      <c r="E1219" t="e">
        <f t="shared" si="20"/>
        <v>#N/A</v>
      </c>
    </row>
    <row r="1220" spans="5:5">
      <c r="E1220" t="e">
        <f t="shared" si="20"/>
        <v>#N/A</v>
      </c>
    </row>
    <row r="1221" spans="5:5">
      <c r="E1221" t="e">
        <f t="shared" si="20"/>
        <v>#N/A</v>
      </c>
    </row>
    <row r="1222" spans="5:5">
      <c r="E1222" t="e">
        <f t="shared" si="20"/>
        <v>#N/A</v>
      </c>
    </row>
    <row r="1223" spans="5:5">
      <c r="E1223" t="e">
        <f t="shared" si="20"/>
        <v>#N/A</v>
      </c>
    </row>
    <row r="1224" spans="5:5">
      <c r="E1224" t="e">
        <f t="shared" si="20"/>
        <v>#N/A</v>
      </c>
    </row>
    <row r="1225" spans="5:5">
      <c r="E1225" t="e">
        <f t="shared" si="20"/>
        <v>#N/A</v>
      </c>
    </row>
    <row r="1226" spans="5:5">
      <c r="E1226" t="e">
        <f t="shared" si="20"/>
        <v>#N/A</v>
      </c>
    </row>
    <row r="1227" spans="5:5">
      <c r="E1227" t="e">
        <f t="shared" si="20"/>
        <v>#N/A</v>
      </c>
    </row>
    <row r="1228" spans="5:5">
      <c r="E1228" t="e">
        <f t="shared" si="20"/>
        <v>#N/A</v>
      </c>
    </row>
    <row r="1229" spans="5:5">
      <c r="E1229" t="e">
        <f t="shared" ref="E1229:E1292" si="21">VLOOKUP(B1229,$Q$13:$R$61,2,FALSE)</f>
        <v>#N/A</v>
      </c>
    </row>
    <row r="1230" spans="5:5">
      <c r="E1230" t="e">
        <f t="shared" si="21"/>
        <v>#N/A</v>
      </c>
    </row>
    <row r="1231" spans="5:5">
      <c r="E1231" t="e">
        <f t="shared" si="21"/>
        <v>#N/A</v>
      </c>
    </row>
    <row r="1232" spans="5:5">
      <c r="E1232" t="e">
        <f t="shared" si="21"/>
        <v>#N/A</v>
      </c>
    </row>
    <row r="1233" spans="5:5">
      <c r="E1233" t="e">
        <f t="shared" si="21"/>
        <v>#N/A</v>
      </c>
    </row>
    <row r="1234" spans="5:5">
      <c r="E1234" t="e">
        <f t="shared" si="21"/>
        <v>#N/A</v>
      </c>
    </row>
    <row r="1235" spans="5:5">
      <c r="E1235" t="e">
        <f t="shared" si="21"/>
        <v>#N/A</v>
      </c>
    </row>
    <row r="1236" spans="5:5">
      <c r="E1236" t="e">
        <f t="shared" si="21"/>
        <v>#N/A</v>
      </c>
    </row>
    <row r="1237" spans="5:5">
      <c r="E1237" t="e">
        <f t="shared" si="21"/>
        <v>#N/A</v>
      </c>
    </row>
    <row r="1238" spans="5:5">
      <c r="E1238" t="e">
        <f t="shared" si="21"/>
        <v>#N/A</v>
      </c>
    </row>
    <row r="1239" spans="5:5">
      <c r="E1239" t="e">
        <f t="shared" si="21"/>
        <v>#N/A</v>
      </c>
    </row>
    <row r="1240" spans="5:5">
      <c r="E1240" t="e">
        <f t="shared" si="21"/>
        <v>#N/A</v>
      </c>
    </row>
    <row r="1241" spans="5:5">
      <c r="E1241" t="e">
        <f t="shared" si="21"/>
        <v>#N/A</v>
      </c>
    </row>
    <row r="1242" spans="5:5">
      <c r="E1242" t="e">
        <f t="shared" si="21"/>
        <v>#N/A</v>
      </c>
    </row>
    <row r="1243" spans="5:5">
      <c r="E1243" t="e">
        <f t="shared" si="21"/>
        <v>#N/A</v>
      </c>
    </row>
    <row r="1244" spans="5:5">
      <c r="E1244" t="e">
        <f t="shared" si="21"/>
        <v>#N/A</v>
      </c>
    </row>
    <row r="1245" spans="5:5">
      <c r="E1245" t="e">
        <f t="shared" si="21"/>
        <v>#N/A</v>
      </c>
    </row>
    <row r="1246" spans="5:5">
      <c r="E1246" t="e">
        <f t="shared" si="21"/>
        <v>#N/A</v>
      </c>
    </row>
    <row r="1247" spans="5:5">
      <c r="E1247" t="e">
        <f t="shared" si="21"/>
        <v>#N/A</v>
      </c>
    </row>
    <row r="1248" spans="5:5">
      <c r="E1248" t="e">
        <f t="shared" si="21"/>
        <v>#N/A</v>
      </c>
    </row>
    <row r="1249" spans="5:5">
      <c r="E1249" t="e">
        <f t="shared" si="21"/>
        <v>#N/A</v>
      </c>
    </row>
    <row r="1250" spans="5:5">
      <c r="E1250" t="e">
        <f t="shared" si="21"/>
        <v>#N/A</v>
      </c>
    </row>
    <row r="1251" spans="5:5">
      <c r="E1251" t="e">
        <f t="shared" si="21"/>
        <v>#N/A</v>
      </c>
    </row>
    <row r="1252" spans="5:5">
      <c r="E1252" t="e">
        <f t="shared" si="21"/>
        <v>#N/A</v>
      </c>
    </row>
    <row r="1253" spans="5:5">
      <c r="E1253" t="e">
        <f t="shared" si="21"/>
        <v>#N/A</v>
      </c>
    </row>
    <row r="1254" spans="5:5">
      <c r="E1254" t="e">
        <f t="shared" si="21"/>
        <v>#N/A</v>
      </c>
    </row>
    <row r="1255" spans="5:5">
      <c r="E1255" t="e">
        <f t="shared" si="21"/>
        <v>#N/A</v>
      </c>
    </row>
    <row r="1256" spans="5:5">
      <c r="E1256" t="e">
        <f t="shared" si="21"/>
        <v>#N/A</v>
      </c>
    </row>
    <row r="1257" spans="5:5">
      <c r="E1257" t="e">
        <f t="shared" si="21"/>
        <v>#N/A</v>
      </c>
    </row>
    <row r="1258" spans="5:5">
      <c r="E1258" t="e">
        <f t="shared" si="21"/>
        <v>#N/A</v>
      </c>
    </row>
    <row r="1259" spans="5:5">
      <c r="E1259" t="e">
        <f t="shared" si="21"/>
        <v>#N/A</v>
      </c>
    </row>
    <row r="1260" spans="5:5">
      <c r="E1260" t="e">
        <f t="shared" si="21"/>
        <v>#N/A</v>
      </c>
    </row>
    <row r="1261" spans="5:5">
      <c r="E1261" t="e">
        <f t="shared" si="21"/>
        <v>#N/A</v>
      </c>
    </row>
    <row r="1262" spans="5:5">
      <c r="E1262" t="e">
        <f t="shared" si="21"/>
        <v>#N/A</v>
      </c>
    </row>
    <row r="1263" spans="5:5">
      <c r="E1263" t="e">
        <f t="shared" si="21"/>
        <v>#N/A</v>
      </c>
    </row>
    <row r="1264" spans="5:5">
      <c r="E1264" t="e">
        <f t="shared" si="21"/>
        <v>#N/A</v>
      </c>
    </row>
    <row r="1265" spans="5:5">
      <c r="E1265" t="e">
        <f t="shared" si="21"/>
        <v>#N/A</v>
      </c>
    </row>
    <row r="1266" spans="5:5">
      <c r="E1266" t="e">
        <f t="shared" si="21"/>
        <v>#N/A</v>
      </c>
    </row>
    <row r="1267" spans="5:5">
      <c r="E1267" t="e">
        <f t="shared" si="21"/>
        <v>#N/A</v>
      </c>
    </row>
    <row r="1268" spans="5:5">
      <c r="E1268" t="e">
        <f t="shared" si="21"/>
        <v>#N/A</v>
      </c>
    </row>
    <row r="1269" spans="5:5">
      <c r="E1269" t="e">
        <f t="shared" si="21"/>
        <v>#N/A</v>
      </c>
    </row>
    <row r="1270" spans="5:5">
      <c r="E1270" t="e">
        <f t="shared" si="21"/>
        <v>#N/A</v>
      </c>
    </row>
    <row r="1271" spans="5:5">
      <c r="E1271" t="e">
        <f t="shared" si="21"/>
        <v>#N/A</v>
      </c>
    </row>
    <row r="1272" spans="5:5">
      <c r="E1272" t="e">
        <f t="shared" si="21"/>
        <v>#N/A</v>
      </c>
    </row>
    <row r="1273" spans="5:5">
      <c r="E1273" t="e">
        <f t="shared" si="21"/>
        <v>#N/A</v>
      </c>
    </row>
    <row r="1274" spans="5:5">
      <c r="E1274" t="e">
        <f t="shared" si="21"/>
        <v>#N/A</v>
      </c>
    </row>
    <row r="1275" spans="5:5">
      <c r="E1275" t="e">
        <f t="shared" si="21"/>
        <v>#N/A</v>
      </c>
    </row>
    <row r="1276" spans="5:5">
      <c r="E1276" t="e">
        <f t="shared" si="21"/>
        <v>#N/A</v>
      </c>
    </row>
    <row r="1277" spans="5:5">
      <c r="E1277" t="e">
        <f t="shared" si="21"/>
        <v>#N/A</v>
      </c>
    </row>
    <row r="1278" spans="5:5">
      <c r="E1278" t="e">
        <f t="shared" si="21"/>
        <v>#N/A</v>
      </c>
    </row>
    <row r="1279" spans="5:5">
      <c r="E1279" t="e">
        <f t="shared" si="21"/>
        <v>#N/A</v>
      </c>
    </row>
    <row r="1280" spans="5:5">
      <c r="E1280" t="e">
        <f t="shared" si="21"/>
        <v>#N/A</v>
      </c>
    </row>
    <row r="1281" spans="5:5">
      <c r="E1281" t="e">
        <f t="shared" si="21"/>
        <v>#N/A</v>
      </c>
    </row>
    <row r="1282" spans="5:5">
      <c r="E1282" t="e">
        <f t="shared" si="21"/>
        <v>#N/A</v>
      </c>
    </row>
    <row r="1283" spans="5:5">
      <c r="E1283" t="e">
        <f t="shared" si="21"/>
        <v>#N/A</v>
      </c>
    </row>
    <row r="1284" spans="5:5">
      <c r="E1284" t="e">
        <f t="shared" si="21"/>
        <v>#N/A</v>
      </c>
    </row>
    <row r="1285" spans="5:5">
      <c r="E1285" t="e">
        <f t="shared" si="21"/>
        <v>#N/A</v>
      </c>
    </row>
    <row r="1286" spans="5:5">
      <c r="E1286" t="e">
        <f t="shared" si="21"/>
        <v>#N/A</v>
      </c>
    </row>
    <row r="1287" spans="5:5">
      <c r="E1287" t="e">
        <f t="shared" si="21"/>
        <v>#N/A</v>
      </c>
    </row>
    <row r="1288" spans="5:5">
      <c r="E1288" t="e">
        <f t="shared" si="21"/>
        <v>#N/A</v>
      </c>
    </row>
    <row r="1289" spans="5:5">
      <c r="E1289" t="e">
        <f t="shared" si="21"/>
        <v>#N/A</v>
      </c>
    </row>
    <row r="1290" spans="5:5">
      <c r="E1290" t="e">
        <f t="shared" si="21"/>
        <v>#N/A</v>
      </c>
    </row>
    <row r="1291" spans="5:5">
      <c r="E1291" t="e">
        <f t="shared" si="21"/>
        <v>#N/A</v>
      </c>
    </row>
    <row r="1292" spans="5:5">
      <c r="E1292" t="e">
        <f t="shared" si="21"/>
        <v>#N/A</v>
      </c>
    </row>
    <row r="1293" spans="5:5">
      <c r="E1293" t="e">
        <f t="shared" ref="E1293:E1356" si="22">VLOOKUP(B1293,$Q$13:$R$61,2,FALSE)</f>
        <v>#N/A</v>
      </c>
    </row>
    <row r="1294" spans="5:5">
      <c r="E1294" t="e">
        <f t="shared" si="22"/>
        <v>#N/A</v>
      </c>
    </row>
    <row r="1295" spans="5:5">
      <c r="E1295" t="e">
        <f t="shared" si="22"/>
        <v>#N/A</v>
      </c>
    </row>
    <row r="1296" spans="5:5">
      <c r="E1296" t="e">
        <f t="shared" si="22"/>
        <v>#N/A</v>
      </c>
    </row>
    <row r="1297" spans="5:5">
      <c r="E1297" t="e">
        <f t="shared" si="22"/>
        <v>#N/A</v>
      </c>
    </row>
    <row r="1298" spans="5:5">
      <c r="E1298" t="e">
        <f t="shared" si="22"/>
        <v>#N/A</v>
      </c>
    </row>
    <row r="1299" spans="5:5">
      <c r="E1299" t="e">
        <f t="shared" si="22"/>
        <v>#N/A</v>
      </c>
    </row>
    <row r="1300" spans="5:5">
      <c r="E1300" t="e">
        <f t="shared" si="22"/>
        <v>#N/A</v>
      </c>
    </row>
    <row r="1301" spans="5:5">
      <c r="E1301" t="e">
        <f t="shared" si="22"/>
        <v>#N/A</v>
      </c>
    </row>
    <row r="1302" spans="5:5">
      <c r="E1302" t="e">
        <f t="shared" si="22"/>
        <v>#N/A</v>
      </c>
    </row>
    <row r="1303" spans="5:5">
      <c r="E1303" t="e">
        <f t="shared" si="22"/>
        <v>#N/A</v>
      </c>
    </row>
    <row r="1304" spans="5:5">
      <c r="E1304" t="e">
        <f t="shared" si="22"/>
        <v>#N/A</v>
      </c>
    </row>
    <row r="1305" spans="5:5">
      <c r="E1305" t="e">
        <f t="shared" si="22"/>
        <v>#N/A</v>
      </c>
    </row>
    <row r="1306" spans="5:5">
      <c r="E1306" t="e">
        <f t="shared" si="22"/>
        <v>#N/A</v>
      </c>
    </row>
    <row r="1307" spans="5:5">
      <c r="E1307" t="e">
        <f t="shared" si="22"/>
        <v>#N/A</v>
      </c>
    </row>
    <row r="1308" spans="5:5">
      <c r="E1308" t="e">
        <f t="shared" si="22"/>
        <v>#N/A</v>
      </c>
    </row>
    <row r="1309" spans="5:5">
      <c r="E1309" t="e">
        <f t="shared" si="22"/>
        <v>#N/A</v>
      </c>
    </row>
    <row r="1310" spans="5:5">
      <c r="E1310" t="e">
        <f t="shared" si="22"/>
        <v>#N/A</v>
      </c>
    </row>
    <row r="1311" spans="5:5">
      <c r="E1311" t="e">
        <f t="shared" si="22"/>
        <v>#N/A</v>
      </c>
    </row>
    <row r="1312" spans="5:5">
      <c r="E1312" t="e">
        <f t="shared" si="22"/>
        <v>#N/A</v>
      </c>
    </row>
    <row r="1313" spans="5:5">
      <c r="E1313" t="e">
        <f t="shared" si="22"/>
        <v>#N/A</v>
      </c>
    </row>
    <row r="1314" spans="5:5">
      <c r="E1314" t="e">
        <f t="shared" si="22"/>
        <v>#N/A</v>
      </c>
    </row>
    <row r="1315" spans="5:5">
      <c r="E1315" t="e">
        <f t="shared" si="22"/>
        <v>#N/A</v>
      </c>
    </row>
    <row r="1316" spans="5:5">
      <c r="E1316" t="e">
        <f t="shared" si="22"/>
        <v>#N/A</v>
      </c>
    </row>
    <row r="1317" spans="5:5">
      <c r="E1317" t="e">
        <f t="shared" si="22"/>
        <v>#N/A</v>
      </c>
    </row>
    <row r="1318" spans="5:5">
      <c r="E1318" t="e">
        <f t="shared" si="22"/>
        <v>#N/A</v>
      </c>
    </row>
    <row r="1319" spans="5:5">
      <c r="E1319" t="e">
        <f t="shared" si="22"/>
        <v>#N/A</v>
      </c>
    </row>
    <row r="1320" spans="5:5">
      <c r="E1320" t="e">
        <f t="shared" si="22"/>
        <v>#N/A</v>
      </c>
    </row>
    <row r="1321" spans="5:5">
      <c r="E1321" t="e">
        <f t="shared" si="22"/>
        <v>#N/A</v>
      </c>
    </row>
    <row r="1322" spans="5:5">
      <c r="E1322" t="e">
        <f t="shared" si="22"/>
        <v>#N/A</v>
      </c>
    </row>
    <row r="1323" spans="5:5">
      <c r="E1323" t="e">
        <f t="shared" si="22"/>
        <v>#N/A</v>
      </c>
    </row>
    <row r="1324" spans="5:5">
      <c r="E1324" t="e">
        <f t="shared" si="22"/>
        <v>#N/A</v>
      </c>
    </row>
    <row r="1325" spans="5:5">
      <c r="E1325" t="e">
        <f t="shared" si="22"/>
        <v>#N/A</v>
      </c>
    </row>
    <row r="1326" spans="5:5">
      <c r="E1326" t="e">
        <f t="shared" si="22"/>
        <v>#N/A</v>
      </c>
    </row>
    <row r="1327" spans="5:5">
      <c r="E1327" t="e">
        <f t="shared" si="22"/>
        <v>#N/A</v>
      </c>
    </row>
    <row r="1328" spans="5:5">
      <c r="E1328" t="e">
        <f t="shared" si="22"/>
        <v>#N/A</v>
      </c>
    </row>
    <row r="1329" spans="5:5">
      <c r="E1329" t="e">
        <f t="shared" si="22"/>
        <v>#N/A</v>
      </c>
    </row>
    <row r="1330" spans="5:5">
      <c r="E1330" t="e">
        <f t="shared" si="22"/>
        <v>#N/A</v>
      </c>
    </row>
    <row r="1331" spans="5:5">
      <c r="E1331" t="e">
        <f t="shared" si="22"/>
        <v>#N/A</v>
      </c>
    </row>
    <row r="1332" spans="5:5">
      <c r="E1332" t="e">
        <f t="shared" si="22"/>
        <v>#N/A</v>
      </c>
    </row>
    <row r="1333" spans="5:5">
      <c r="E1333" t="e">
        <f t="shared" si="22"/>
        <v>#N/A</v>
      </c>
    </row>
    <row r="1334" spans="5:5">
      <c r="E1334" t="e">
        <f t="shared" si="22"/>
        <v>#N/A</v>
      </c>
    </row>
    <row r="1335" spans="5:5">
      <c r="E1335" t="e">
        <f t="shared" si="22"/>
        <v>#N/A</v>
      </c>
    </row>
    <row r="1336" spans="5:5">
      <c r="E1336" t="e">
        <f t="shared" si="22"/>
        <v>#N/A</v>
      </c>
    </row>
    <row r="1337" spans="5:5">
      <c r="E1337" t="e">
        <f t="shared" si="22"/>
        <v>#N/A</v>
      </c>
    </row>
    <row r="1338" spans="5:5">
      <c r="E1338" t="e">
        <f t="shared" si="22"/>
        <v>#N/A</v>
      </c>
    </row>
    <row r="1339" spans="5:5">
      <c r="E1339" t="e">
        <f t="shared" si="22"/>
        <v>#N/A</v>
      </c>
    </row>
    <row r="1340" spans="5:5">
      <c r="E1340" t="e">
        <f t="shared" si="22"/>
        <v>#N/A</v>
      </c>
    </row>
    <row r="1341" spans="5:5">
      <c r="E1341" t="e">
        <f t="shared" si="22"/>
        <v>#N/A</v>
      </c>
    </row>
    <row r="1342" spans="5:5">
      <c r="E1342" t="e">
        <f t="shared" si="22"/>
        <v>#N/A</v>
      </c>
    </row>
    <row r="1343" spans="5:5">
      <c r="E1343" t="e">
        <f t="shared" si="22"/>
        <v>#N/A</v>
      </c>
    </row>
    <row r="1344" spans="5:5">
      <c r="E1344" t="e">
        <f t="shared" si="22"/>
        <v>#N/A</v>
      </c>
    </row>
    <row r="1345" spans="5:5">
      <c r="E1345" t="e">
        <f t="shared" si="22"/>
        <v>#N/A</v>
      </c>
    </row>
    <row r="1346" spans="5:5">
      <c r="E1346" t="e">
        <f t="shared" si="22"/>
        <v>#N/A</v>
      </c>
    </row>
    <row r="1347" spans="5:5">
      <c r="E1347" t="e">
        <f t="shared" si="22"/>
        <v>#N/A</v>
      </c>
    </row>
    <row r="1348" spans="5:5">
      <c r="E1348" t="e">
        <f t="shared" si="22"/>
        <v>#N/A</v>
      </c>
    </row>
    <row r="1349" spans="5:5">
      <c r="E1349" t="e">
        <f t="shared" si="22"/>
        <v>#N/A</v>
      </c>
    </row>
    <row r="1350" spans="5:5">
      <c r="E1350" t="e">
        <f t="shared" si="22"/>
        <v>#N/A</v>
      </c>
    </row>
    <row r="1351" spans="5:5">
      <c r="E1351" t="e">
        <f t="shared" si="22"/>
        <v>#N/A</v>
      </c>
    </row>
    <row r="1352" spans="5:5">
      <c r="E1352" t="e">
        <f t="shared" si="22"/>
        <v>#N/A</v>
      </c>
    </row>
    <row r="1353" spans="5:5">
      <c r="E1353" t="e">
        <f t="shared" si="22"/>
        <v>#N/A</v>
      </c>
    </row>
    <row r="1354" spans="5:5">
      <c r="E1354" t="e">
        <f t="shared" si="22"/>
        <v>#N/A</v>
      </c>
    </row>
    <row r="1355" spans="5:5">
      <c r="E1355" t="e">
        <f t="shared" si="22"/>
        <v>#N/A</v>
      </c>
    </row>
    <row r="1356" spans="5:5">
      <c r="E1356" t="e">
        <f t="shared" si="22"/>
        <v>#N/A</v>
      </c>
    </row>
    <row r="1357" spans="5:5">
      <c r="E1357" t="e">
        <f t="shared" ref="E1357:E1420" si="23">VLOOKUP(B1357,$Q$13:$R$61,2,FALSE)</f>
        <v>#N/A</v>
      </c>
    </row>
    <row r="1358" spans="5:5">
      <c r="E1358" t="e">
        <f t="shared" si="23"/>
        <v>#N/A</v>
      </c>
    </row>
    <row r="1359" spans="5:5">
      <c r="E1359" t="e">
        <f t="shared" si="23"/>
        <v>#N/A</v>
      </c>
    </row>
    <row r="1360" spans="5:5">
      <c r="E1360" t="e">
        <f t="shared" si="23"/>
        <v>#N/A</v>
      </c>
    </row>
    <row r="1361" spans="5:5">
      <c r="E1361" t="e">
        <f t="shared" si="23"/>
        <v>#N/A</v>
      </c>
    </row>
    <row r="1362" spans="5:5">
      <c r="E1362" t="e">
        <f t="shared" si="23"/>
        <v>#N/A</v>
      </c>
    </row>
    <row r="1363" spans="5:5">
      <c r="E1363" t="e">
        <f t="shared" si="23"/>
        <v>#N/A</v>
      </c>
    </row>
    <row r="1364" spans="5:5">
      <c r="E1364" t="e">
        <f t="shared" si="23"/>
        <v>#N/A</v>
      </c>
    </row>
    <row r="1365" spans="5:5">
      <c r="E1365" t="e">
        <f t="shared" si="23"/>
        <v>#N/A</v>
      </c>
    </row>
    <row r="1366" spans="5:5">
      <c r="E1366" t="e">
        <f t="shared" si="23"/>
        <v>#N/A</v>
      </c>
    </row>
    <row r="1367" spans="5:5">
      <c r="E1367" t="e">
        <f t="shared" si="23"/>
        <v>#N/A</v>
      </c>
    </row>
    <row r="1368" spans="5:5">
      <c r="E1368" t="e">
        <f t="shared" si="23"/>
        <v>#N/A</v>
      </c>
    </row>
    <row r="1369" spans="5:5">
      <c r="E1369" t="e">
        <f t="shared" si="23"/>
        <v>#N/A</v>
      </c>
    </row>
    <row r="1370" spans="5:5">
      <c r="E1370" t="e">
        <f t="shared" si="23"/>
        <v>#N/A</v>
      </c>
    </row>
    <row r="1371" spans="5:5">
      <c r="E1371" t="e">
        <f t="shared" si="23"/>
        <v>#N/A</v>
      </c>
    </row>
    <row r="1372" spans="5:5">
      <c r="E1372" t="e">
        <f t="shared" si="23"/>
        <v>#N/A</v>
      </c>
    </row>
    <row r="1373" spans="5:5">
      <c r="E1373" t="e">
        <f t="shared" si="23"/>
        <v>#N/A</v>
      </c>
    </row>
    <row r="1374" spans="5:5">
      <c r="E1374" t="e">
        <f t="shared" si="23"/>
        <v>#N/A</v>
      </c>
    </row>
    <row r="1375" spans="5:5">
      <c r="E1375" t="e">
        <f t="shared" si="23"/>
        <v>#N/A</v>
      </c>
    </row>
    <row r="1376" spans="5:5">
      <c r="E1376" t="e">
        <f t="shared" si="23"/>
        <v>#N/A</v>
      </c>
    </row>
    <row r="1377" spans="5:5">
      <c r="E1377" t="e">
        <f t="shared" si="23"/>
        <v>#N/A</v>
      </c>
    </row>
    <row r="1378" spans="5:5">
      <c r="E1378" t="e">
        <f t="shared" si="23"/>
        <v>#N/A</v>
      </c>
    </row>
    <row r="1379" spans="5:5">
      <c r="E1379" t="e">
        <f t="shared" si="23"/>
        <v>#N/A</v>
      </c>
    </row>
    <row r="1380" spans="5:5">
      <c r="E1380" t="e">
        <f t="shared" si="23"/>
        <v>#N/A</v>
      </c>
    </row>
    <row r="1381" spans="5:5">
      <c r="E1381" t="e">
        <f t="shared" si="23"/>
        <v>#N/A</v>
      </c>
    </row>
    <row r="1382" spans="5:5">
      <c r="E1382" t="e">
        <f t="shared" si="23"/>
        <v>#N/A</v>
      </c>
    </row>
    <row r="1383" spans="5:5">
      <c r="E1383" t="e">
        <f t="shared" si="23"/>
        <v>#N/A</v>
      </c>
    </row>
    <row r="1384" spans="5:5">
      <c r="E1384" t="e">
        <f t="shared" si="23"/>
        <v>#N/A</v>
      </c>
    </row>
    <row r="1385" spans="5:5">
      <c r="E1385" t="e">
        <f t="shared" si="23"/>
        <v>#N/A</v>
      </c>
    </row>
    <row r="1386" spans="5:5">
      <c r="E1386" t="e">
        <f t="shared" si="23"/>
        <v>#N/A</v>
      </c>
    </row>
    <row r="1387" spans="5:5">
      <c r="E1387" t="e">
        <f t="shared" si="23"/>
        <v>#N/A</v>
      </c>
    </row>
    <row r="1388" spans="5:5">
      <c r="E1388" t="e">
        <f t="shared" si="23"/>
        <v>#N/A</v>
      </c>
    </row>
    <row r="1389" spans="5:5">
      <c r="E1389" t="e">
        <f t="shared" si="23"/>
        <v>#N/A</v>
      </c>
    </row>
    <row r="1390" spans="5:5">
      <c r="E1390" t="e">
        <f t="shared" si="23"/>
        <v>#N/A</v>
      </c>
    </row>
    <row r="1391" spans="5:5">
      <c r="E1391" t="e">
        <f t="shared" si="23"/>
        <v>#N/A</v>
      </c>
    </row>
    <row r="1392" spans="5:5">
      <c r="E1392" t="e">
        <f t="shared" si="23"/>
        <v>#N/A</v>
      </c>
    </row>
    <row r="1393" spans="5:5">
      <c r="E1393" t="e">
        <f t="shared" si="23"/>
        <v>#N/A</v>
      </c>
    </row>
    <row r="1394" spans="5:5">
      <c r="E1394" t="e">
        <f t="shared" si="23"/>
        <v>#N/A</v>
      </c>
    </row>
    <row r="1395" spans="5:5">
      <c r="E1395" t="e">
        <f t="shared" si="23"/>
        <v>#N/A</v>
      </c>
    </row>
    <row r="1396" spans="5:5">
      <c r="E1396" t="e">
        <f t="shared" si="23"/>
        <v>#N/A</v>
      </c>
    </row>
    <row r="1397" spans="5:5">
      <c r="E1397" t="e">
        <f t="shared" si="23"/>
        <v>#N/A</v>
      </c>
    </row>
    <row r="1398" spans="5:5">
      <c r="E1398" t="e">
        <f t="shared" si="23"/>
        <v>#N/A</v>
      </c>
    </row>
    <row r="1399" spans="5:5">
      <c r="E1399" t="e">
        <f t="shared" si="23"/>
        <v>#N/A</v>
      </c>
    </row>
    <row r="1400" spans="5:5">
      <c r="E1400" t="e">
        <f t="shared" si="23"/>
        <v>#N/A</v>
      </c>
    </row>
    <row r="1401" spans="5:5">
      <c r="E1401" t="e">
        <f t="shared" si="23"/>
        <v>#N/A</v>
      </c>
    </row>
    <row r="1402" spans="5:5">
      <c r="E1402" t="e">
        <f t="shared" si="23"/>
        <v>#N/A</v>
      </c>
    </row>
    <row r="1403" spans="5:5">
      <c r="E1403" t="e">
        <f t="shared" si="23"/>
        <v>#N/A</v>
      </c>
    </row>
    <row r="1404" spans="5:5">
      <c r="E1404" t="e">
        <f t="shared" si="23"/>
        <v>#N/A</v>
      </c>
    </row>
    <row r="1405" spans="5:5">
      <c r="E1405" t="e">
        <f t="shared" si="23"/>
        <v>#N/A</v>
      </c>
    </row>
    <row r="1406" spans="5:5">
      <c r="E1406" t="e">
        <f t="shared" si="23"/>
        <v>#N/A</v>
      </c>
    </row>
    <row r="1407" spans="5:5">
      <c r="E1407" t="e">
        <f t="shared" si="23"/>
        <v>#N/A</v>
      </c>
    </row>
    <row r="1408" spans="5:5">
      <c r="E1408" t="e">
        <f t="shared" si="23"/>
        <v>#N/A</v>
      </c>
    </row>
    <row r="1409" spans="5:5">
      <c r="E1409" t="e">
        <f t="shared" si="23"/>
        <v>#N/A</v>
      </c>
    </row>
    <row r="1410" spans="5:5">
      <c r="E1410" t="e">
        <f t="shared" si="23"/>
        <v>#N/A</v>
      </c>
    </row>
    <row r="1411" spans="5:5">
      <c r="E1411" t="e">
        <f t="shared" si="23"/>
        <v>#N/A</v>
      </c>
    </row>
    <row r="1412" spans="5:5">
      <c r="E1412" t="e">
        <f t="shared" si="23"/>
        <v>#N/A</v>
      </c>
    </row>
    <row r="1413" spans="5:5">
      <c r="E1413" t="e">
        <f t="shared" si="23"/>
        <v>#N/A</v>
      </c>
    </row>
    <row r="1414" spans="5:5">
      <c r="E1414" t="e">
        <f t="shared" si="23"/>
        <v>#N/A</v>
      </c>
    </row>
    <row r="1415" spans="5:5">
      <c r="E1415" t="e">
        <f t="shared" si="23"/>
        <v>#N/A</v>
      </c>
    </row>
    <row r="1416" spans="5:5">
      <c r="E1416" t="e">
        <f t="shared" si="23"/>
        <v>#N/A</v>
      </c>
    </row>
    <row r="1417" spans="5:5">
      <c r="E1417" t="e">
        <f t="shared" si="23"/>
        <v>#N/A</v>
      </c>
    </row>
    <row r="1418" spans="5:5">
      <c r="E1418" t="e">
        <f t="shared" si="23"/>
        <v>#N/A</v>
      </c>
    </row>
    <row r="1419" spans="5:5">
      <c r="E1419" t="e">
        <f t="shared" si="23"/>
        <v>#N/A</v>
      </c>
    </row>
    <row r="1420" spans="5:5">
      <c r="E1420" t="e">
        <f t="shared" si="23"/>
        <v>#N/A</v>
      </c>
    </row>
    <row r="1421" spans="5:5">
      <c r="E1421" t="e">
        <f t="shared" ref="E1421:E1484" si="24">VLOOKUP(B1421,$Q$13:$R$61,2,FALSE)</f>
        <v>#N/A</v>
      </c>
    </row>
    <row r="1422" spans="5:5">
      <c r="E1422" t="e">
        <f t="shared" si="24"/>
        <v>#N/A</v>
      </c>
    </row>
    <row r="1423" spans="5:5">
      <c r="E1423" t="e">
        <f t="shared" si="24"/>
        <v>#N/A</v>
      </c>
    </row>
    <row r="1424" spans="5:5">
      <c r="E1424" t="e">
        <f t="shared" si="24"/>
        <v>#N/A</v>
      </c>
    </row>
    <row r="1425" spans="5:5">
      <c r="E1425" t="e">
        <f t="shared" si="24"/>
        <v>#N/A</v>
      </c>
    </row>
    <row r="1426" spans="5:5">
      <c r="E1426" t="e">
        <f t="shared" si="24"/>
        <v>#N/A</v>
      </c>
    </row>
    <row r="1427" spans="5:5">
      <c r="E1427" t="e">
        <f t="shared" si="24"/>
        <v>#N/A</v>
      </c>
    </row>
    <row r="1428" spans="5:5">
      <c r="E1428" t="e">
        <f t="shared" si="24"/>
        <v>#N/A</v>
      </c>
    </row>
    <row r="1429" spans="5:5">
      <c r="E1429" t="e">
        <f t="shared" si="24"/>
        <v>#N/A</v>
      </c>
    </row>
    <row r="1430" spans="5:5">
      <c r="E1430" t="e">
        <f t="shared" si="24"/>
        <v>#N/A</v>
      </c>
    </row>
    <row r="1431" spans="5:5">
      <c r="E1431" t="e">
        <f t="shared" si="24"/>
        <v>#N/A</v>
      </c>
    </row>
    <row r="1432" spans="5:5">
      <c r="E1432" t="e">
        <f t="shared" si="24"/>
        <v>#N/A</v>
      </c>
    </row>
    <row r="1433" spans="5:5">
      <c r="E1433" t="e">
        <f t="shared" si="24"/>
        <v>#N/A</v>
      </c>
    </row>
    <row r="1434" spans="5:5">
      <c r="E1434" t="e">
        <f t="shared" si="24"/>
        <v>#N/A</v>
      </c>
    </row>
    <row r="1435" spans="5:5">
      <c r="E1435" t="e">
        <f t="shared" si="24"/>
        <v>#N/A</v>
      </c>
    </row>
    <row r="1436" spans="5:5">
      <c r="E1436" t="e">
        <f t="shared" si="24"/>
        <v>#N/A</v>
      </c>
    </row>
    <row r="1437" spans="5:5">
      <c r="E1437" t="e">
        <f t="shared" si="24"/>
        <v>#N/A</v>
      </c>
    </row>
    <row r="1438" spans="5:5">
      <c r="E1438" t="e">
        <f t="shared" si="24"/>
        <v>#N/A</v>
      </c>
    </row>
    <row r="1439" spans="5:5">
      <c r="E1439" t="e">
        <f t="shared" si="24"/>
        <v>#N/A</v>
      </c>
    </row>
    <row r="1440" spans="5:5">
      <c r="E1440" t="e">
        <f t="shared" si="24"/>
        <v>#N/A</v>
      </c>
    </row>
    <row r="1441" spans="5:5">
      <c r="E1441" t="e">
        <f t="shared" si="24"/>
        <v>#N/A</v>
      </c>
    </row>
    <row r="1442" spans="5:5">
      <c r="E1442" t="e">
        <f t="shared" si="24"/>
        <v>#N/A</v>
      </c>
    </row>
    <row r="1443" spans="5:5">
      <c r="E1443" t="e">
        <f t="shared" si="24"/>
        <v>#N/A</v>
      </c>
    </row>
    <row r="1444" spans="5:5">
      <c r="E1444" t="e">
        <f t="shared" si="24"/>
        <v>#N/A</v>
      </c>
    </row>
    <row r="1445" spans="5:5">
      <c r="E1445" t="e">
        <f t="shared" si="24"/>
        <v>#N/A</v>
      </c>
    </row>
    <row r="1446" spans="5:5">
      <c r="E1446" t="e">
        <f t="shared" si="24"/>
        <v>#N/A</v>
      </c>
    </row>
    <row r="1447" spans="5:5">
      <c r="E1447" t="e">
        <f t="shared" si="24"/>
        <v>#N/A</v>
      </c>
    </row>
    <row r="1448" spans="5:5">
      <c r="E1448" t="e">
        <f t="shared" si="24"/>
        <v>#N/A</v>
      </c>
    </row>
    <row r="1449" spans="5:5">
      <c r="E1449" t="e">
        <f t="shared" si="24"/>
        <v>#N/A</v>
      </c>
    </row>
    <row r="1450" spans="5:5">
      <c r="E1450" t="e">
        <f t="shared" si="24"/>
        <v>#N/A</v>
      </c>
    </row>
    <row r="1451" spans="5:5">
      <c r="E1451" t="e">
        <f t="shared" si="24"/>
        <v>#N/A</v>
      </c>
    </row>
    <row r="1452" spans="5:5">
      <c r="E1452" t="e">
        <f t="shared" si="24"/>
        <v>#N/A</v>
      </c>
    </row>
    <row r="1453" spans="5:5">
      <c r="E1453" t="e">
        <f t="shared" si="24"/>
        <v>#N/A</v>
      </c>
    </row>
    <row r="1454" spans="5:5">
      <c r="E1454" t="e">
        <f t="shared" si="24"/>
        <v>#N/A</v>
      </c>
    </row>
    <row r="1455" spans="5:5">
      <c r="E1455" t="e">
        <f t="shared" si="24"/>
        <v>#N/A</v>
      </c>
    </row>
    <row r="1456" spans="5:5">
      <c r="E1456" t="e">
        <f t="shared" si="24"/>
        <v>#N/A</v>
      </c>
    </row>
    <row r="1457" spans="5:5">
      <c r="E1457" t="e">
        <f t="shared" si="24"/>
        <v>#N/A</v>
      </c>
    </row>
    <row r="1458" spans="5:5">
      <c r="E1458" t="e">
        <f t="shared" si="24"/>
        <v>#N/A</v>
      </c>
    </row>
    <row r="1459" spans="5:5">
      <c r="E1459" t="e">
        <f t="shared" si="24"/>
        <v>#N/A</v>
      </c>
    </row>
    <row r="1460" spans="5:5">
      <c r="E1460" t="e">
        <f t="shared" si="24"/>
        <v>#N/A</v>
      </c>
    </row>
    <row r="1461" spans="5:5">
      <c r="E1461" t="e">
        <f t="shared" si="24"/>
        <v>#N/A</v>
      </c>
    </row>
    <row r="1462" spans="5:5">
      <c r="E1462" t="e">
        <f t="shared" si="24"/>
        <v>#N/A</v>
      </c>
    </row>
    <row r="1463" spans="5:5">
      <c r="E1463" t="e">
        <f t="shared" si="24"/>
        <v>#N/A</v>
      </c>
    </row>
    <row r="1464" spans="5:5">
      <c r="E1464" t="e">
        <f t="shared" si="24"/>
        <v>#N/A</v>
      </c>
    </row>
    <row r="1465" spans="5:5">
      <c r="E1465" t="e">
        <f t="shared" si="24"/>
        <v>#N/A</v>
      </c>
    </row>
    <row r="1466" spans="5:5">
      <c r="E1466" t="e">
        <f t="shared" si="24"/>
        <v>#N/A</v>
      </c>
    </row>
    <row r="1467" spans="5:5">
      <c r="E1467" t="e">
        <f t="shared" si="24"/>
        <v>#N/A</v>
      </c>
    </row>
    <row r="1468" spans="5:5">
      <c r="E1468" t="e">
        <f t="shared" si="24"/>
        <v>#N/A</v>
      </c>
    </row>
    <row r="1469" spans="5:5">
      <c r="E1469" t="e">
        <f t="shared" si="24"/>
        <v>#N/A</v>
      </c>
    </row>
    <row r="1470" spans="5:5">
      <c r="E1470" t="e">
        <f t="shared" si="24"/>
        <v>#N/A</v>
      </c>
    </row>
    <row r="1471" spans="5:5">
      <c r="E1471" t="e">
        <f t="shared" si="24"/>
        <v>#N/A</v>
      </c>
    </row>
    <row r="1472" spans="5:5">
      <c r="E1472" t="e">
        <f t="shared" si="24"/>
        <v>#N/A</v>
      </c>
    </row>
    <row r="1473" spans="5:5">
      <c r="E1473" t="e">
        <f t="shared" si="24"/>
        <v>#N/A</v>
      </c>
    </row>
    <row r="1474" spans="5:5">
      <c r="E1474" t="e">
        <f t="shared" si="24"/>
        <v>#N/A</v>
      </c>
    </row>
    <row r="1475" spans="5:5">
      <c r="E1475" t="e">
        <f t="shared" si="24"/>
        <v>#N/A</v>
      </c>
    </row>
    <row r="1476" spans="5:5">
      <c r="E1476" t="e">
        <f t="shared" si="24"/>
        <v>#N/A</v>
      </c>
    </row>
    <row r="1477" spans="5:5">
      <c r="E1477" t="e">
        <f t="shared" si="24"/>
        <v>#N/A</v>
      </c>
    </row>
    <row r="1478" spans="5:5">
      <c r="E1478" t="e">
        <f t="shared" si="24"/>
        <v>#N/A</v>
      </c>
    </row>
    <row r="1479" spans="5:5">
      <c r="E1479" t="e">
        <f t="shared" si="24"/>
        <v>#N/A</v>
      </c>
    </row>
    <row r="1480" spans="5:5">
      <c r="E1480" t="e">
        <f t="shared" si="24"/>
        <v>#N/A</v>
      </c>
    </row>
    <row r="1481" spans="5:5">
      <c r="E1481" t="e">
        <f t="shared" si="24"/>
        <v>#N/A</v>
      </c>
    </row>
    <row r="1482" spans="5:5">
      <c r="E1482" t="e">
        <f t="shared" si="24"/>
        <v>#N/A</v>
      </c>
    </row>
    <row r="1483" spans="5:5">
      <c r="E1483" t="e">
        <f t="shared" si="24"/>
        <v>#N/A</v>
      </c>
    </row>
    <row r="1484" spans="5:5">
      <c r="E1484" t="e">
        <f t="shared" si="24"/>
        <v>#N/A</v>
      </c>
    </row>
    <row r="1485" spans="5:5">
      <c r="E1485" t="e">
        <f t="shared" ref="E1485:E1548" si="25">VLOOKUP(B1485,$Q$13:$R$61,2,FALSE)</f>
        <v>#N/A</v>
      </c>
    </row>
    <row r="1486" spans="5:5">
      <c r="E1486" t="e">
        <f t="shared" si="25"/>
        <v>#N/A</v>
      </c>
    </row>
    <row r="1487" spans="5:5">
      <c r="E1487" t="e">
        <f t="shared" si="25"/>
        <v>#N/A</v>
      </c>
    </row>
    <row r="1488" spans="5:5">
      <c r="E1488" t="e">
        <f t="shared" si="25"/>
        <v>#N/A</v>
      </c>
    </row>
    <row r="1489" spans="5:5">
      <c r="E1489" t="e">
        <f t="shared" si="25"/>
        <v>#N/A</v>
      </c>
    </row>
    <row r="1490" spans="5:5">
      <c r="E1490" t="e">
        <f t="shared" si="25"/>
        <v>#N/A</v>
      </c>
    </row>
    <row r="1491" spans="5:5">
      <c r="E1491" t="e">
        <f t="shared" si="25"/>
        <v>#N/A</v>
      </c>
    </row>
    <row r="1492" spans="5:5">
      <c r="E1492" t="e">
        <f t="shared" si="25"/>
        <v>#N/A</v>
      </c>
    </row>
    <row r="1493" spans="5:5">
      <c r="E1493" t="e">
        <f t="shared" si="25"/>
        <v>#N/A</v>
      </c>
    </row>
    <row r="1494" spans="5:5">
      <c r="E1494" t="e">
        <f t="shared" si="25"/>
        <v>#N/A</v>
      </c>
    </row>
    <row r="1495" spans="5:5">
      <c r="E1495" t="e">
        <f t="shared" si="25"/>
        <v>#N/A</v>
      </c>
    </row>
    <row r="1496" spans="5:5">
      <c r="E1496" t="e">
        <f t="shared" si="25"/>
        <v>#N/A</v>
      </c>
    </row>
    <row r="1497" spans="5:5">
      <c r="E1497" t="e">
        <f t="shared" si="25"/>
        <v>#N/A</v>
      </c>
    </row>
    <row r="1498" spans="5:5">
      <c r="E1498" t="e">
        <f t="shared" si="25"/>
        <v>#N/A</v>
      </c>
    </row>
    <row r="1499" spans="5:5">
      <c r="E1499" t="e">
        <f t="shared" si="25"/>
        <v>#N/A</v>
      </c>
    </row>
    <row r="1500" spans="5:5">
      <c r="E1500" t="e">
        <f t="shared" si="25"/>
        <v>#N/A</v>
      </c>
    </row>
    <row r="1501" spans="5:5">
      <c r="E1501" t="e">
        <f t="shared" si="25"/>
        <v>#N/A</v>
      </c>
    </row>
    <row r="1502" spans="5:5">
      <c r="E1502" t="e">
        <f t="shared" si="25"/>
        <v>#N/A</v>
      </c>
    </row>
    <row r="1503" spans="5:5">
      <c r="E1503" t="e">
        <f t="shared" si="25"/>
        <v>#N/A</v>
      </c>
    </row>
    <row r="1504" spans="5:5">
      <c r="E1504" t="e">
        <f t="shared" si="25"/>
        <v>#N/A</v>
      </c>
    </row>
    <row r="1505" spans="5:5">
      <c r="E1505" t="e">
        <f t="shared" si="25"/>
        <v>#N/A</v>
      </c>
    </row>
    <row r="1506" spans="5:5">
      <c r="E1506" t="e">
        <f t="shared" si="25"/>
        <v>#N/A</v>
      </c>
    </row>
    <row r="1507" spans="5:5">
      <c r="E1507" t="e">
        <f t="shared" si="25"/>
        <v>#N/A</v>
      </c>
    </row>
    <row r="1508" spans="5:5">
      <c r="E1508" t="e">
        <f t="shared" si="25"/>
        <v>#N/A</v>
      </c>
    </row>
    <row r="1509" spans="5:5">
      <c r="E1509" t="e">
        <f t="shared" si="25"/>
        <v>#N/A</v>
      </c>
    </row>
    <row r="1510" spans="5:5">
      <c r="E1510" t="e">
        <f t="shared" si="25"/>
        <v>#N/A</v>
      </c>
    </row>
    <row r="1511" spans="5:5">
      <c r="E1511" t="e">
        <f t="shared" si="25"/>
        <v>#N/A</v>
      </c>
    </row>
    <row r="1512" spans="5:5">
      <c r="E1512" t="e">
        <f t="shared" si="25"/>
        <v>#N/A</v>
      </c>
    </row>
    <row r="1513" spans="5:5">
      <c r="E1513" t="e">
        <f t="shared" si="25"/>
        <v>#N/A</v>
      </c>
    </row>
    <row r="1514" spans="5:5">
      <c r="E1514" t="e">
        <f t="shared" si="25"/>
        <v>#N/A</v>
      </c>
    </row>
    <row r="1515" spans="5:5">
      <c r="E1515" t="e">
        <f t="shared" si="25"/>
        <v>#N/A</v>
      </c>
    </row>
    <row r="1516" spans="5:5">
      <c r="E1516" t="e">
        <f t="shared" si="25"/>
        <v>#N/A</v>
      </c>
    </row>
    <row r="1517" spans="5:5">
      <c r="E1517" t="e">
        <f t="shared" si="25"/>
        <v>#N/A</v>
      </c>
    </row>
    <row r="1518" spans="5:5">
      <c r="E1518" t="e">
        <f t="shared" si="25"/>
        <v>#N/A</v>
      </c>
    </row>
    <row r="1519" spans="5:5">
      <c r="E1519" t="e">
        <f t="shared" si="25"/>
        <v>#N/A</v>
      </c>
    </row>
    <row r="1520" spans="5:5">
      <c r="E1520" t="e">
        <f t="shared" si="25"/>
        <v>#N/A</v>
      </c>
    </row>
    <row r="1521" spans="5:5">
      <c r="E1521" t="e">
        <f t="shared" si="25"/>
        <v>#N/A</v>
      </c>
    </row>
    <row r="1522" spans="5:5">
      <c r="E1522" t="e">
        <f t="shared" si="25"/>
        <v>#N/A</v>
      </c>
    </row>
    <row r="1523" spans="5:5">
      <c r="E1523" t="e">
        <f t="shared" si="25"/>
        <v>#N/A</v>
      </c>
    </row>
    <row r="1524" spans="5:5">
      <c r="E1524" t="e">
        <f t="shared" si="25"/>
        <v>#N/A</v>
      </c>
    </row>
    <row r="1525" spans="5:5">
      <c r="E1525" t="e">
        <f t="shared" si="25"/>
        <v>#N/A</v>
      </c>
    </row>
    <row r="1526" spans="5:5">
      <c r="E1526" t="e">
        <f t="shared" si="25"/>
        <v>#N/A</v>
      </c>
    </row>
    <row r="1527" spans="5:5">
      <c r="E1527" t="e">
        <f t="shared" si="25"/>
        <v>#N/A</v>
      </c>
    </row>
    <row r="1528" spans="5:5">
      <c r="E1528" t="e">
        <f t="shared" si="25"/>
        <v>#N/A</v>
      </c>
    </row>
    <row r="1529" spans="5:5">
      <c r="E1529" t="e">
        <f t="shared" si="25"/>
        <v>#N/A</v>
      </c>
    </row>
    <row r="1530" spans="5:5">
      <c r="E1530" t="e">
        <f t="shared" si="25"/>
        <v>#N/A</v>
      </c>
    </row>
    <row r="1531" spans="5:5">
      <c r="E1531" t="e">
        <f t="shared" si="25"/>
        <v>#N/A</v>
      </c>
    </row>
    <row r="1532" spans="5:5">
      <c r="E1532" t="e">
        <f t="shared" si="25"/>
        <v>#N/A</v>
      </c>
    </row>
    <row r="1533" spans="5:5">
      <c r="E1533" t="e">
        <f t="shared" si="25"/>
        <v>#N/A</v>
      </c>
    </row>
    <row r="1534" spans="5:5">
      <c r="E1534" t="e">
        <f t="shared" si="25"/>
        <v>#N/A</v>
      </c>
    </row>
    <row r="1535" spans="5:5">
      <c r="E1535" t="e">
        <f t="shared" si="25"/>
        <v>#N/A</v>
      </c>
    </row>
    <row r="1536" spans="5:5">
      <c r="E1536" t="e">
        <f t="shared" si="25"/>
        <v>#N/A</v>
      </c>
    </row>
    <row r="1537" spans="5:5">
      <c r="E1537" t="e">
        <f t="shared" si="25"/>
        <v>#N/A</v>
      </c>
    </row>
    <row r="1538" spans="5:5">
      <c r="E1538" t="e">
        <f t="shared" si="25"/>
        <v>#N/A</v>
      </c>
    </row>
    <row r="1539" spans="5:5">
      <c r="E1539" t="e">
        <f t="shared" si="25"/>
        <v>#N/A</v>
      </c>
    </row>
    <row r="1540" spans="5:5">
      <c r="E1540" t="e">
        <f t="shared" si="25"/>
        <v>#N/A</v>
      </c>
    </row>
    <row r="1541" spans="5:5">
      <c r="E1541" t="e">
        <f t="shared" si="25"/>
        <v>#N/A</v>
      </c>
    </row>
    <row r="1542" spans="5:5">
      <c r="E1542" t="e">
        <f t="shared" si="25"/>
        <v>#N/A</v>
      </c>
    </row>
    <row r="1543" spans="5:5">
      <c r="E1543" t="e">
        <f t="shared" si="25"/>
        <v>#N/A</v>
      </c>
    </row>
    <row r="1544" spans="5:5">
      <c r="E1544" t="e">
        <f t="shared" si="25"/>
        <v>#N/A</v>
      </c>
    </row>
    <row r="1545" spans="5:5">
      <c r="E1545" t="e">
        <f t="shared" si="25"/>
        <v>#N/A</v>
      </c>
    </row>
    <row r="1546" spans="5:5">
      <c r="E1546" t="e">
        <f t="shared" si="25"/>
        <v>#N/A</v>
      </c>
    </row>
    <row r="1547" spans="5:5">
      <c r="E1547" t="e">
        <f t="shared" si="25"/>
        <v>#N/A</v>
      </c>
    </row>
    <row r="1548" spans="5:5">
      <c r="E1548" t="e">
        <f t="shared" si="25"/>
        <v>#N/A</v>
      </c>
    </row>
    <row r="1549" spans="5:5">
      <c r="E1549" t="e">
        <f t="shared" ref="E1549:E1612" si="26">VLOOKUP(B1549,$Q$13:$R$61,2,FALSE)</f>
        <v>#N/A</v>
      </c>
    </row>
    <row r="1550" spans="5:5">
      <c r="E1550" t="e">
        <f t="shared" si="26"/>
        <v>#N/A</v>
      </c>
    </row>
    <row r="1551" spans="5:5">
      <c r="E1551" t="e">
        <f t="shared" si="26"/>
        <v>#N/A</v>
      </c>
    </row>
    <row r="1552" spans="5:5">
      <c r="E1552" t="e">
        <f t="shared" si="26"/>
        <v>#N/A</v>
      </c>
    </row>
    <row r="1553" spans="5:5">
      <c r="E1553" t="e">
        <f t="shared" si="26"/>
        <v>#N/A</v>
      </c>
    </row>
    <row r="1554" spans="5:5">
      <c r="E1554" t="e">
        <f t="shared" si="26"/>
        <v>#N/A</v>
      </c>
    </row>
    <row r="1555" spans="5:5">
      <c r="E1555" t="e">
        <f t="shared" si="26"/>
        <v>#N/A</v>
      </c>
    </row>
    <row r="1556" spans="5:5">
      <c r="E1556" t="e">
        <f t="shared" si="26"/>
        <v>#N/A</v>
      </c>
    </row>
    <row r="1557" spans="5:5">
      <c r="E1557" t="e">
        <f t="shared" si="26"/>
        <v>#N/A</v>
      </c>
    </row>
    <row r="1558" spans="5:5">
      <c r="E1558" t="e">
        <f t="shared" si="26"/>
        <v>#N/A</v>
      </c>
    </row>
    <row r="1559" spans="5:5">
      <c r="E1559" t="e">
        <f t="shared" si="26"/>
        <v>#N/A</v>
      </c>
    </row>
    <row r="1560" spans="5:5">
      <c r="E1560" t="e">
        <f t="shared" si="26"/>
        <v>#N/A</v>
      </c>
    </row>
    <row r="1561" spans="5:5">
      <c r="E1561" t="e">
        <f t="shared" si="26"/>
        <v>#N/A</v>
      </c>
    </row>
    <row r="1562" spans="5:5">
      <c r="E1562" t="e">
        <f t="shared" si="26"/>
        <v>#N/A</v>
      </c>
    </row>
    <row r="1563" spans="5:5">
      <c r="E1563" t="e">
        <f t="shared" si="26"/>
        <v>#N/A</v>
      </c>
    </row>
    <row r="1564" spans="5:5">
      <c r="E1564" t="e">
        <f t="shared" si="26"/>
        <v>#N/A</v>
      </c>
    </row>
    <row r="1565" spans="5:5">
      <c r="E1565" t="e">
        <f t="shared" si="26"/>
        <v>#N/A</v>
      </c>
    </row>
    <row r="1566" spans="5:5">
      <c r="E1566" t="e">
        <f t="shared" si="26"/>
        <v>#N/A</v>
      </c>
    </row>
    <row r="1567" spans="5:5">
      <c r="E1567" t="e">
        <f t="shared" si="26"/>
        <v>#N/A</v>
      </c>
    </row>
    <row r="1568" spans="5:5">
      <c r="E1568" t="e">
        <f t="shared" si="26"/>
        <v>#N/A</v>
      </c>
    </row>
    <row r="1569" spans="5:5">
      <c r="E1569" t="e">
        <f t="shared" si="26"/>
        <v>#N/A</v>
      </c>
    </row>
    <row r="1570" spans="5:5">
      <c r="E1570" t="e">
        <f t="shared" si="26"/>
        <v>#N/A</v>
      </c>
    </row>
    <row r="1571" spans="5:5">
      <c r="E1571" t="e">
        <f t="shared" si="26"/>
        <v>#N/A</v>
      </c>
    </row>
    <row r="1572" spans="5:5">
      <c r="E1572" t="e">
        <f t="shared" si="26"/>
        <v>#N/A</v>
      </c>
    </row>
    <row r="1573" spans="5:5">
      <c r="E1573" t="e">
        <f t="shared" si="26"/>
        <v>#N/A</v>
      </c>
    </row>
    <row r="1574" spans="5:5">
      <c r="E1574" t="e">
        <f t="shared" si="26"/>
        <v>#N/A</v>
      </c>
    </row>
    <row r="1575" spans="5:5">
      <c r="E1575" t="e">
        <f t="shared" si="26"/>
        <v>#N/A</v>
      </c>
    </row>
    <row r="1576" spans="5:5">
      <c r="E1576" t="e">
        <f t="shared" si="26"/>
        <v>#N/A</v>
      </c>
    </row>
    <row r="1577" spans="5:5">
      <c r="E1577" t="e">
        <f t="shared" si="26"/>
        <v>#N/A</v>
      </c>
    </row>
    <row r="1578" spans="5:5">
      <c r="E1578" t="e">
        <f t="shared" si="26"/>
        <v>#N/A</v>
      </c>
    </row>
    <row r="1579" spans="5:5">
      <c r="E1579" t="e">
        <f t="shared" si="26"/>
        <v>#N/A</v>
      </c>
    </row>
    <row r="1580" spans="5:5">
      <c r="E1580" t="e">
        <f t="shared" si="26"/>
        <v>#N/A</v>
      </c>
    </row>
    <row r="1581" spans="5:5">
      <c r="E1581" t="e">
        <f t="shared" si="26"/>
        <v>#N/A</v>
      </c>
    </row>
    <row r="1582" spans="5:5">
      <c r="E1582" t="e">
        <f t="shared" si="26"/>
        <v>#N/A</v>
      </c>
    </row>
    <row r="1583" spans="5:5">
      <c r="E1583" t="e">
        <f t="shared" si="26"/>
        <v>#N/A</v>
      </c>
    </row>
    <row r="1584" spans="5:5">
      <c r="E1584" t="e">
        <f t="shared" si="26"/>
        <v>#N/A</v>
      </c>
    </row>
    <row r="1585" spans="5:5">
      <c r="E1585" t="e">
        <f t="shared" si="26"/>
        <v>#N/A</v>
      </c>
    </row>
    <row r="1586" spans="5:5">
      <c r="E1586" t="e">
        <f t="shared" si="26"/>
        <v>#N/A</v>
      </c>
    </row>
    <row r="1587" spans="5:5">
      <c r="E1587" t="e">
        <f t="shared" si="26"/>
        <v>#N/A</v>
      </c>
    </row>
    <row r="1588" spans="5:5">
      <c r="E1588" t="e">
        <f t="shared" si="26"/>
        <v>#N/A</v>
      </c>
    </row>
    <row r="1589" spans="5:5">
      <c r="E1589" t="e">
        <f t="shared" si="26"/>
        <v>#N/A</v>
      </c>
    </row>
    <row r="1590" spans="5:5">
      <c r="E1590" t="e">
        <f t="shared" si="26"/>
        <v>#N/A</v>
      </c>
    </row>
    <row r="1591" spans="5:5">
      <c r="E1591" t="e">
        <f t="shared" si="26"/>
        <v>#N/A</v>
      </c>
    </row>
    <row r="1592" spans="5:5">
      <c r="E1592" t="e">
        <f t="shared" si="26"/>
        <v>#N/A</v>
      </c>
    </row>
    <row r="1593" spans="5:5">
      <c r="E1593" t="e">
        <f t="shared" si="26"/>
        <v>#N/A</v>
      </c>
    </row>
    <row r="1594" spans="5:5">
      <c r="E1594" t="e">
        <f t="shared" si="26"/>
        <v>#N/A</v>
      </c>
    </row>
    <row r="1595" spans="5:5">
      <c r="E1595" t="e">
        <f t="shared" si="26"/>
        <v>#N/A</v>
      </c>
    </row>
    <row r="1596" spans="5:5">
      <c r="E1596" t="e">
        <f t="shared" si="26"/>
        <v>#N/A</v>
      </c>
    </row>
    <row r="1597" spans="5:5">
      <c r="E1597" t="e">
        <f t="shared" si="26"/>
        <v>#N/A</v>
      </c>
    </row>
    <row r="1598" spans="5:5">
      <c r="E1598" t="e">
        <f t="shared" si="26"/>
        <v>#N/A</v>
      </c>
    </row>
    <row r="1599" spans="5:5">
      <c r="E1599" t="e">
        <f t="shared" si="26"/>
        <v>#N/A</v>
      </c>
    </row>
    <row r="1600" spans="5:5">
      <c r="E1600" t="e">
        <f t="shared" si="26"/>
        <v>#N/A</v>
      </c>
    </row>
    <row r="1601" spans="5:5">
      <c r="E1601" t="e">
        <f t="shared" si="26"/>
        <v>#N/A</v>
      </c>
    </row>
    <row r="1602" spans="5:5">
      <c r="E1602" t="e">
        <f t="shared" si="26"/>
        <v>#N/A</v>
      </c>
    </row>
    <row r="1603" spans="5:5">
      <c r="E1603" t="e">
        <f t="shared" si="26"/>
        <v>#N/A</v>
      </c>
    </row>
    <row r="1604" spans="5:5">
      <c r="E1604" t="e">
        <f t="shared" si="26"/>
        <v>#N/A</v>
      </c>
    </row>
    <row r="1605" spans="5:5">
      <c r="E1605" t="e">
        <f t="shared" si="26"/>
        <v>#N/A</v>
      </c>
    </row>
    <row r="1606" spans="5:5">
      <c r="E1606" t="e">
        <f t="shared" si="26"/>
        <v>#N/A</v>
      </c>
    </row>
    <row r="1607" spans="5:5">
      <c r="E1607" t="e">
        <f t="shared" si="26"/>
        <v>#N/A</v>
      </c>
    </row>
    <row r="1608" spans="5:5">
      <c r="E1608" t="e">
        <f t="shared" si="26"/>
        <v>#N/A</v>
      </c>
    </row>
    <row r="1609" spans="5:5">
      <c r="E1609" t="e">
        <f t="shared" si="26"/>
        <v>#N/A</v>
      </c>
    </row>
    <row r="1610" spans="5:5">
      <c r="E1610" t="e">
        <f t="shared" si="26"/>
        <v>#N/A</v>
      </c>
    </row>
    <row r="1611" spans="5:5">
      <c r="E1611" t="e">
        <f t="shared" si="26"/>
        <v>#N/A</v>
      </c>
    </row>
    <row r="1612" spans="5:5">
      <c r="E1612" t="e">
        <f t="shared" si="26"/>
        <v>#N/A</v>
      </c>
    </row>
    <row r="1613" spans="5:5">
      <c r="E1613" t="e">
        <f t="shared" ref="E1613:E1676" si="27">VLOOKUP(B1613,$Q$13:$R$61,2,FALSE)</f>
        <v>#N/A</v>
      </c>
    </row>
    <row r="1614" spans="5:5">
      <c r="E1614" t="e">
        <f t="shared" si="27"/>
        <v>#N/A</v>
      </c>
    </row>
    <row r="1615" spans="5:5">
      <c r="E1615" t="e">
        <f t="shared" si="27"/>
        <v>#N/A</v>
      </c>
    </row>
    <row r="1616" spans="5:5">
      <c r="E1616" t="e">
        <f t="shared" si="27"/>
        <v>#N/A</v>
      </c>
    </row>
    <row r="1617" spans="5:5">
      <c r="E1617" t="e">
        <f t="shared" si="27"/>
        <v>#N/A</v>
      </c>
    </row>
    <row r="1618" spans="5:5">
      <c r="E1618" t="e">
        <f t="shared" si="27"/>
        <v>#N/A</v>
      </c>
    </row>
    <row r="1619" spans="5:5">
      <c r="E1619" t="e">
        <f t="shared" si="27"/>
        <v>#N/A</v>
      </c>
    </row>
    <row r="1620" spans="5:5">
      <c r="E1620" t="e">
        <f t="shared" si="27"/>
        <v>#N/A</v>
      </c>
    </row>
    <row r="1621" spans="5:5">
      <c r="E1621" t="e">
        <f t="shared" si="27"/>
        <v>#N/A</v>
      </c>
    </row>
    <row r="1622" spans="5:5">
      <c r="E1622" t="e">
        <f t="shared" si="27"/>
        <v>#N/A</v>
      </c>
    </row>
    <row r="1623" spans="5:5">
      <c r="E1623" t="e">
        <f t="shared" si="27"/>
        <v>#N/A</v>
      </c>
    </row>
    <row r="1624" spans="5:5">
      <c r="E1624" t="e">
        <f t="shared" si="27"/>
        <v>#N/A</v>
      </c>
    </row>
    <row r="1625" spans="5:5">
      <c r="E1625" t="e">
        <f t="shared" si="27"/>
        <v>#N/A</v>
      </c>
    </row>
    <row r="1626" spans="5:5">
      <c r="E1626" t="e">
        <f t="shared" si="27"/>
        <v>#N/A</v>
      </c>
    </row>
    <row r="1627" spans="5:5">
      <c r="E1627" t="e">
        <f t="shared" si="27"/>
        <v>#N/A</v>
      </c>
    </row>
    <row r="1628" spans="5:5">
      <c r="E1628" t="e">
        <f t="shared" si="27"/>
        <v>#N/A</v>
      </c>
    </row>
    <row r="1629" spans="5:5">
      <c r="E1629" t="e">
        <f t="shared" si="27"/>
        <v>#N/A</v>
      </c>
    </row>
    <row r="1630" spans="5:5">
      <c r="E1630" t="e">
        <f t="shared" si="27"/>
        <v>#N/A</v>
      </c>
    </row>
    <row r="1631" spans="5:5">
      <c r="E1631" t="e">
        <f t="shared" si="27"/>
        <v>#N/A</v>
      </c>
    </row>
    <row r="1632" spans="5:5">
      <c r="E1632" t="e">
        <f t="shared" si="27"/>
        <v>#N/A</v>
      </c>
    </row>
    <row r="1633" spans="5:5">
      <c r="E1633" t="e">
        <f t="shared" si="27"/>
        <v>#N/A</v>
      </c>
    </row>
    <row r="1634" spans="5:5">
      <c r="E1634" t="e">
        <f t="shared" si="27"/>
        <v>#N/A</v>
      </c>
    </row>
    <row r="1635" spans="5:5">
      <c r="E1635" t="e">
        <f t="shared" si="27"/>
        <v>#N/A</v>
      </c>
    </row>
    <row r="1636" spans="5:5">
      <c r="E1636" t="e">
        <f t="shared" si="27"/>
        <v>#N/A</v>
      </c>
    </row>
    <row r="1637" spans="5:5">
      <c r="E1637" t="e">
        <f t="shared" si="27"/>
        <v>#N/A</v>
      </c>
    </row>
    <row r="1638" spans="5:5">
      <c r="E1638" t="e">
        <f t="shared" si="27"/>
        <v>#N/A</v>
      </c>
    </row>
    <row r="1639" spans="5:5">
      <c r="E1639" t="e">
        <f t="shared" si="27"/>
        <v>#N/A</v>
      </c>
    </row>
    <row r="1640" spans="5:5">
      <c r="E1640" t="e">
        <f t="shared" si="27"/>
        <v>#N/A</v>
      </c>
    </row>
    <row r="1641" spans="5:5">
      <c r="E1641" t="e">
        <f t="shared" si="27"/>
        <v>#N/A</v>
      </c>
    </row>
    <row r="1642" spans="5:5">
      <c r="E1642" t="e">
        <f t="shared" si="27"/>
        <v>#N/A</v>
      </c>
    </row>
    <row r="1643" spans="5:5">
      <c r="E1643" t="e">
        <f t="shared" si="27"/>
        <v>#N/A</v>
      </c>
    </row>
    <row r="1644" spans="5:5">
      <c r="E1644" t="e">
        <f t="shared" si="27"/>
        <v>#N/A</v>
      </c>
    </row>
    <row r="1645" spans="5:5">
      <c r="E1645" t="e">
        <f t="shared" si="27"/>
        <v>#N/A</v>
      </c>
    </row>
    <row r="1646" spans="5:5">
      <c r="E1646" t="e">
        <f t="shared" si="27"/>
        <v>#N/A</v>
      </c>
    </row>
    <row r="1647" spans="5:5">
      <c r="E1647" t="e">
        <f t="shared" si="27"/>
        <v>#N/A</v>
      </c>
    </row>
    <row r="1648" spans="5:5">
      <c r="E1648" t="e">
        <f t="shared" si="27"/>
        <v>#N/A</v>
      </c>
    </row>
    <row r="1649" spans="5:5">
      <c r="E1649" t="e">
        <f t="shared" si="27"/>
        <v>#N/A</v>
      </c>
    </row>
    <row r="1650" spans="5:5">
      <c r="E1650" t="e">
        <f t="shared" si="27"/>
        <v>#N/A</v>
      </c>
    </row>
    <row r="1651" spans="5:5">
      <c r="E1651" t="e">
        <f t="shared" si="27"/>
        <v>#N/A</v>
      </c>
    </row>
    <row r="1652" spans="5:5">
      <c r="E1652" t="e">
        <f t="shared" si="27"/>
        <v>#N/A</v>
      </c>
    </row>
    <row r="1653" spans="5:5">
      <c r="E1653" t="e">
        <f t="shared" si="27"/>
        <v>#N/A</v>
      </c>
    </row>
    <row r="1654" spans="5:5">
      <c r="E1654" t="e">
        <f t="shared" si="27"/>
        <v>#N/A</v>
      </c>
    </row>
    <row r="1655" spans="5:5">
      <c r="E1655" t="e">
        <f t="shared" si="27"/>
        <v>#N/A</v>
      </c>
    </row>
    <row r="1656" spans="5:5">
      <c r="E1656" t="e">
        <f t="shared" si="27"/>
        <v>#N/A</v>
      </c>
    </row>
    <row r="1657" spans="5:5">
      <c r="E1657" t="e">
        <f t="shared" si="27"/>
        <v>#N/A</v>
      </c>
    </row>
    <row r="1658" spans="5:5">
      <c r="E1658" t="e">
        <f t="shared" si="27"/>
        <v>#N/A</v>
      </c>
    </row>
    <row r="1659" spans="5:5">
      <c r="E1659" t="e">
        <f t="shared" si="27"/>
        <v>#N/A</v>
      </c>
    </row>
    <row r="1660" spans="5:5">
      <c r="E1660" t="e">
        <f t="shared" si="27"/>
        <v>#N/A</v>
      </c>
    </row>
    <row r="1661" spans="5:5">
      <c r="E1661" t="e">
        <f t="shared" si="27"/>
        <v>#N/A</v>
      </c>
    </row>
    <row r="1662" spans="5:5">
      <c r="E1662" t="e">
        <f t="shared" si="27"/>
        <v>#N/A</v>
      </c>
    </row>
    <row r="1663" spans="5:5">
      <c r="E1663" t="e">
        <f t="shared" si="27"/>
        <v>#N/A</v>
      </c>
    </row>
    <row r="1664" spans="5:5">
      <c r="E1664" t="e">
        <f t="shared" si="27"/>
        <v>#N/A</v>
      </c>
    </row>
    <row r="1665" spans="5:5">
      <c r="E1665" t="e">
        <f t="shared" si="27"/>
        <v>#N/A</v>
      </c>
    </row>
    <row r="1666" spans="5:5">
      <c r="E1666" t="e">
        <f t="shared" si="27"/>
        <v>#N/A</v>
      </c>
    </row>
    <row r="1667" spans="5:5">
      <c r="E1667" t="e">
        <f t="shared" si="27"/>
        <v>#N/A</v>
      </c>
    </row>
    <row r="1668" spans="5:5">
      <c r="E1668" t="e">
        <f t="shared" si="27"/>
        <v>#N/A</v>
      </c>
    </row>
    <row r="1669" spans="5:5">
      <c r="E1669" t="e">
        <f t="shared" si="27"/>
        <v>#N/A</v>
      </c>
    </row>
    <row r="1670" spans="5:5">
      <c r="E1670" t="e">
        <f t="shared" si="27"/>
        <v>#N/A</v>
      </c>
    </row>
    <row r="1671" spans="5:5">
      <c r="E1671" t="e">
        <f t="shared" si="27"/>
        <v>#N/A</v>
      </c>
    </row>
    <row r="1672" spans="5:5">
      <c r="E1672" t="e">
        <f t="shared" si="27"/>
        <v>#N/A</v>
      </c>
    </row>
    <row r="1673" spans="5:5">
      <c r="E1673" t="e">
        <f t="shared" si="27"/>
        <v>#N/A</v>
      </c>
    </row>
    <row r="1674" spans="5:5">
      <c r="E1674" t="e">
        <f t="shared" si="27"/>
        <v>#N/A</v>
      </c>
    </row>
    <row r="1675" spans="5:5">
      <c r="E1675" t="e">
        <f t="shared" si="27"/>
        <v>#N/A</v>
      </c>
    </row>
    <row r="1676" spans="5:5">
      <c r="E1676" t="e">
        <f t="shared" si="27"/>
        <v>#N/A</v>
      </c>
    </row>
    <row r="1677" spans="5:5">
      <c r="E1677" t="e">
        <f t="shared" ref="E1677:E1740" si="28">VLOOKUP(B1677,$Q$13:$R$61,2,FALSE)</f>
        <v>#N/A</v>
      </c>
    </row>
    <row r="1678" spans="5:5">
      <c r="E1678" t="e">
        <f t="shared" si="28"/>
        <v>#N/A</v>
      </c>
    </row>
    <row r="1679" spans="5:5">
      <c r="E1679" t="e">
        <f t="shared" si="28"/>
        <v>#N/A</v>
      </c>
    </row>
    <row r="1680" spans="5:5">
      <c r="E1680" t="e">
        <f t="shared" si="28"/>
        <v>#N/A</v>
      </c>
    </row>
    <row r="1681" spans="5:5">
      <c r="E1681" t="e">
        <f t="shared" si="28"/>
        <v>#N/A</v>
      </c>
    </row>
    <row r="1682" spans="5:5">
      <c r="E1682" t="e">
        <f t="shared" si="28"/>
        <v>#N/A</v>
      </c>
    </row>
    <row r="1683" spans="5:5">
      <c r="E1683" t="e">
        <f t="shared" si="28"/>
        <v>#N/A</v>
      </c>
    </row>
    <row r="1684" spans="5:5">
      <c r="E1684" t="e">
        <f t="shared" si="28"/>
        <v>#N/A</v>
      </c>
    </row>
    <row r="1685" spans="5:5">
      <c r="E1685" t="e">
        <f t="shared" si="28"/>
        <v>#N/A</v>
      </c>
    </row>
    <row r="1686" spans="5:5">
      <c r="E1686" t="e">
        <f t="shared" si="28"/>
        <v>#N/A</v>
      </c>
    </row>
    <row r="1687" spans="5:5">
      <c r="E1687" t="e">
        <f t="shared" si="28"/>
        <v>#N/A</v>
      </c>
    </row>
    <row r="1688" spans="5:5">
      <c r="E1688" t="e">
        <f t="shared" si="28"/>
        <v>#N/A</v>
      </c>
    </row>
    <row r="1689" spans="5:5">
      <c r="E1689" t="e">
        <f t="shared" si="28"/>
        <v>#N/A</v>
      </c>
    </row>
    <row r="1690" spans="5:5">
      <c r="E1690" t="e">
        <f t="shared" si="28"/>
        <v>#N/A</v>
      </c>
    </row>
    <row r="1691" spans="5:5">
      <c r="E1691" t="e">
        <f t="shared" si="28"/>
        <v>#N/A</v>
      </c>
    </row>
    <row r="1692" spans="5:5">
      <c r="E1692" t="e">
        <f t="shared" si="28"/>
        <v>#N/A</v>
      </c>
    </row>
    <row r="1693" spans="5:5">
      <c r="E1693" t="e">
        <f t="shared" si="28"/>
        <v>#N/A</v>
      </c>
    </row>
    <row r="1694" spans="5:5">
      <c r="E1694" t="e">
        <f t="shared" si="28"/>
        <v>#N/A</v>
      </c>
    </row>
    <row r="1695" spans="5:5">
      <c r="E1695" t="e">
        <f t="shared" si="28"/>
        <v>#N/A</v>
      </c>
    </row>
    <row r="1696" spans="5:5">
      <c r="E1696" t="e">
        <f t="shared" si="28"/>
        <v>#N/A</v>
      </c>
    </row>
    <row r="1697" spans="5:5">
      <c r="E1697" t="e">
        <f t="shared" si="28"/>
        <v>#N/A</v>
      </c>
    </row>
    <row r="1698" spans="5:5">
      <c r="E1698" t="e">
        <f t="shared" si="28"/>
        <v>#N/A</v>
      </c>
    </row>
    <row r="1699" spans="5:5">
      <c r="E1699" t="e">
        <f t="shared" si="28"/>
        <v>#N/A</v>
      </c>
    </row>
    <row r="1700" spans="5:5">
      <c r="E1700" t="e">
        <f t="shared" si="28"/>
        <v>#N/A</v>
      </c>
    </row>
    <row r="1701" spans="5:5">
      <c r="E1701" t="e">
        <f t="shared" si="28"/>
        <v>#N/A</v>
      </c>
    </row>
    <row r="1702" spans="5:5">
      <c r="E1702" t="e">
        <f t="shared" si="28"/>
        <v>#N/A</v>
      </c>
    </row>
    <row r="1703" spans="5:5">
      <c r="E1703" t="e">
        <f t="shared" si="28"/>
        <v>#N/A</v>
      </c>
    </row>
    <row r="1704" spans="5:5">
      <c r="E1704" t="e">
        <f t="shared" si="28"/>
        <v>#N/A</v>
      </c>
    </row>
    <row r="1705" spans="5:5">
      <c r="E1705" t="e">
        <f t="shared" si="28"/>
        <v>#N/A</v>
      </c>
    </row>
    <row r="1706" spans="5:5">
      <c r="E1706" t="e">
        <f t="shared" si="28"/>
        <v>#N/A</v>
      </c>
    </row>
    <row r="1707" spans="5:5">
      <c r="E1707" t="e">
        <f t="shared" si="28"/>
        <v>#N/A</v>
      </c>
    </row>
    <row r="1708" spans="5:5">
      <c r="E1708" t="e">
        <f t="shared" si="28"/>
        <v>#N/A</v>
      </c>
    </row>
    <row r="1709" spans="5:5">
      <c r="E1709" t="e">
        <f t="shared" si="28"/>
        <v>#N/A</v>
      </c>
    </row>
    <row r="1710" spans="5:5">
      <c r="E1710" t="e">
        <f t="shared" si="28"/>
        <v>#N/A</v>
      </c>
    </row>
    <row r="1711" spans="5:5">
      <c r="E1711" t="e">
        <f t="shared" si="28"/>
        <v>#N/A</v>
      </c>
    </row>
    <row r="1712" spans="5:5">
      <c r="E1712" t="e">
        <f t="shared" si="28"/>
        <v>#N/A</v>
      </c>
    </row>
    <row r="1713" spans="5:5">
      <c r="E1713" t="e">
        <f t="shared" si="28"/>
        <v>#N/A</v>
      </c>
    </row>
    <row r="1714" spans="5:5">
      <c r="E1714" t="e">
        <f t="shared" si="28"/>
        <v>#N/A</v>
      </c>
    </row>
    <row r="1715" spans="5:5">
      <c r="E1715" t="e">
        <f t="shared" si="28"/>
        <v>#N/A</v>
      </c>
    </row>
    <row r="1716" spans="5:5">
      <c r="E1716" t="e">
        <f t="shared" si="28"/>
        <v>#N/A</v>
      </c>
    </row>
    <row r="1717" spans="5:5">
      <c r="E1717" t="e">
        <f t="shared" si="28"/>
        <v>#N/A</v>
      </c>
    </row>
    <row r="1718" spans="5:5">
      <c r="E1718" t="e">
        <f t="shared" si="28"/>
        <v>#N/A</v>
      </c>
    </row>
    <row r="1719" spans="5:5">
      <c r="E1719" t="e">
        <f t="shared" si="28"/>
        <v>#N/A</v>
      </c>
    </row>
    <row r="1720" spans="5:5">
      <c r="E1720" t="e">
        <f t="shared" si="28"/>
        <v>#N/A</v>
      </c>
    </row>
    <row r="1721" spans="5:5">
      <c r="E1721" t="e">
        <f t="shared" si="28"/>
        <v>#N/A</v>
      </c>
    </row>
    <row r="1722" spans="5:5">
      <c r="E1722" t="e">
        <f t="shared" si="28"/>
        <v>#N/A</v>
      </c>
    </row>
    <row r="1723" spans="5:5">
      <c r="E1723" t="e">
        <f t="shared" si="28"/>
        <v>#N/A</v>
      </c>
    </row>
    <row r="1724" spans="5:5">
      <c r="E1724" t="e">
        <f t="shared" si="28"/>
        <v>#N/A</v>
      </c>
    </row>
    <row r="1725" spans="5:5">
      <c r="E1725" t="e">
        <f t="shared" si="28"/>
        <v>#N/A</v>
      </c>
    </row>
    <row r="1726" spans="5:5">
      <c r="E1726" t="e">
        <f t="shared" si="28"/>
        <v>#N/A</v>
      </c>
    </row>
    <row r="1727" spans="5:5">
      <c r="E1727" t="e">
        <f t="shared" si="28"/>
        <v>#N/A</v>
      </c>
    </row>
    <row r="1728" spans="5:5">
      <c r="E1728" t="e">
        <f t="shared" si="28"/>
        <v>#N/A</v>
      </c>
    </row>
    <row r="1729" spans="5:5">
      <c r="E1729" t="e">
        <f t="shared" si="28"/>
        <v>#N/A</v>
      </c>
    </row>
    <row r="1730" spans="5:5">
      <c r="E1730" t="e">
        <f t="shared" si="28"/>
        <v>#N/A</v>
      </c>
    </row>
    <row r="1731" spans="5:5">
      <c r="E1731" t="e">
        <f t="shared" si="28"/>
        <v>#N/A</v>
      </c>
    </row>
    <row r="1732" spans="5:5">
      <c r="E1732" t="e">
        <f t="shared" si="28"/>
        <v>#N/A</v>
      </c>
    </row>
    <row r="1733" spans="5:5">
      <c r="E1733" t="e">
        <f t="shared" si="28"/>
        <v>#N/A</v>
      </c>
    </row>
    <row r="1734" spans="5:5">
      <c r="E1734" t="e">
        <f t="shared" si="28"/>
        <v>#N/A</v>
      </c>
    </row>
    <row r="1735" spans="5:5">
      <c r="E1735" t="e">
        <f t="shared" si="28"/>
        <v>#N/A</v>
      </c>
    </row>
    <row r="1736" spans="5:5">
      <c r="E1736" t="e">
        <f t="shared" si="28"/>
        <v>#N/A</v>
      </c>
    </row>
    <row r="1737" spans="5:5">
      <c r="E1737" t="e">
        <f t="shared" si="28"/>
        <v>#N/A</v>
      </c>
    </row>
    <row r="1738" spans="5:5">
      <c r="E1738" t="e">
        <f t="shared" si="28"/>
        <v>#N/A</v>
      </c>
    </row>
    <row r="1739" spans="5:5">
      <c r="E1739" t="e">
        <f t="shared" si="28"/>
        <v>#N/A</v>
      </c>
    </row>
    <row r="1740" spans="5:5">
      <c r="E1740" t="e">
        <f t="shared" si="28"/>
        <v>#N/A</v>
      </c>
    </row>
    <row r="1741" spans="5:5">
      <c r="E1741" t="e">
        <f t="shared" ref="E1741:E1804" si="29">VLOOKUP(B1741,$Q$13:$R$61,2,FALSE)</f>
        <v>#N/A</v>
      </c>
    </row>
    <row r="1742" spans="5:5">
      <c r="E1742" t="e">
        <f t="shared" si="29"/>
        <v>#N/A</v>
      </c>
    </row>
    <row r="1743" spans="5:5">
      <c r="E1743" t="e">
        <f t="shared" si="29"/>
        <v>#N/A</v>
      </c>
    </row>
    <row r="1744" spans="5:5">
      <c r="E1744" t="e">
        <f t="shared" si="29"/>
        <v>#N/A</v>
      </c>
    </row>
    <row r="1745" spans="5:5">
      <c r="E1745" t="e">
        <f t="shared" si="29"/>
        <v>#N/A</v>
      </c>
    </row>
    <row r="1746" spans="5:5">
      <c r="E1746" t="e">
        <f t="shared" si="29"/>
        <v>#N/A</v>
      </c>
    </row>
    <row r="1747" spans="5:5">
      <c r="E1747" t="e">
        <f t="shared" si="29"/>
        <v>#N/A</v>
      </c>
    </row>
    <row r="1748" spans="5:5">
      <c r="E1748" t="e">
        <f t="shared" si="29"/>
        <v>#N/A</v>
      </c>
    </row>
    <row r="1749" spans="5:5">
      <c r="E1749" t="e">
        <f t="shared" si="29"/>
        <v>#N/A</v>
      </c>
    </row>
    <row r="1750" spans="5:5">
      <c r="E1750" t="e">
        <f t="shared" si="29"/>
        <v>#N/A</v>
      </c>
    </row>
    <row r="1751" spans="5:5">
      <c r="E1751" t="e">
        <f t="shared" si="29"/>
        <v>#N/A</v>
      </c>
    </row>
    <row r="1752" spans="5:5">
      <c r="E1752" t="e">
        <f t="shared" si="29"/>
        <v>#N/A</v>
      </c>
    </row>
    <row r="1753" spans="5:5">
      <c r="E1753" t="e">
        <f t="shared" si="29"/>
        <v>#N/A</v>
      </c>
    </row>
    <row r="1754" spans="5:5">
      <c r="E1754" t="e">
        <f t="shared" si="29"/>
        <v>#N/A</v>
      </c>
    </row>
    <row r="1755" spans="5:5">
      <c r="E1755" t="e">
        <f t="shared" si="29"/>
        <v>#N/A</v>
      </c>
    </row>
    <row r="1756" spans="5:5">
      <c r="E1756" t="e">
        <f t="shared" si="29"/>
        <v>#N/A</v>
      </c>
    </row>
    <row r="1757" spans="5:5">
      <c r="E1757" t="e">
        <f t="shared" si="29"/>
        <v>#N/A</v>
      </c>
    </row>
    <row r="1758" spans="5:5">
      <c r="E1758" t="e">
        <f t="shared" si="29"/>
        <v>#N/A</v>
      </c>
    </row>
    <row r="1759" spans="5:5">
      <c r="E1759" t="e">
        <f t="shared" si="29"/>
        <v>#N/A</v>
      </c>
    </row>
    <row r="1760" spans="5:5">
      <c r="E1760" t="e">
        <f t="shared" si="29"/>
        <v>#N/A</v>
      </c>
    </row>
    <row r="1761" spans="5:5">
      <c r="E1761" t="e">
        <f t="shared" si="29"/>
        <v>#N/A</v>
      </c>
    </row>
    <row r="1762" spans="5:5">
      <c r="E1762" t="e">
        <f t="shared" si="29"/>
        <v>#N/A</v>
      </c>
    </row>
    <row r="1763" spans="5:5">
      <c r="E1763" t="e">
        <f t="shared" si="29"/>
        <v>#N/A</v>
      </c>
    </row>
    <row r="1764" spans="5:5">
      <c r="E1764" t="e">
        <f t="shared" si="29"/>
        <v>#N/A</v>
      </c>
    </row>
    <row r="1765" spans="5:5">
      <c r="E1765" t="e">
        <f t="shared" si="29"/>
        <v>#N/A</v>
      </c>
    </row>
    <row r="1766" spans="5:5">
      <c r="E1766" t="e">
        <f t="shared" si="29"/>
        <v>#N/A</v>
      </c>
    </row>
    <row r="1767" spans="5:5">
      <c r="E1767" t="e">
        <f t="shared" si="29"/>
        <v>#N/A</v>
      </c>
    </row>
    <row r="1768" spans="5:5">
      <c r="E1768" t="e">
        <f t="shared" si="29"/>
        <v>#N/A</v>
      </c>
    </row>
    <row r="1769" spans="5:5">
      <c r="E1769" t="e">
        <f t="shared" si="29"/>
        <v>#N/A</v>
      </c>
    </row>
    <row r="1770" spans="5:5">
      <c r="E1770" t="e">
        <f t="shared" si="29"/>
        <v>#N/A</v>
      </c>
    </row>
    <row r="1771" spans="5:5">
      <c r="E1771" t="e">
        <f t="shared" si="29"/>
        <v>#N/A</v>
      </c>
    </row>
    <row r="1772" spans="5:5">
      <c r="E1772" t="e">
        <f t="shared" si="29"/>
        <v>#N/A</v>
      </c>
    </row>
    <row r="1773" spans="5:5">
      <c r="E1773" t="e">
        <f t="shared" si="29"/>
        <v>#N/A</v>
      </c>
    </row>
    <row r="1774" spans="5:5">
      <c r="E1774" t="e">
        <f t="shared" si="29"/>
        <v>#N/A</v>
      </c>
    </row>
    <row r="1775" spans="5:5">
      <c r="E1775" t="e">
        <f t="shared" si="29"/>
        <v>#N/A</v>
      </c>
    </row>
    <row r="1776" spans="5:5">
      <c r="E1776" t="e">
        <f t="shared" si="29"/>
        <v>#N/A</v>
      </c>
    </row>
    <row r="1777" spans="5:5">
      <c r="E1777" t="e">
        <f t="shared" si="29"/>
        <v>#N/A</v>
      </c>
    </row>
    <row r="1778" spans="5:5">
      <c r="E1778" t="e">
        <f t="shared" si="29"/>
        <v>#N/A</v>
      </c>
    </row>
    <row r="1779" spans="5:5">
      <c r="E1779" t="e">
        <f t="shared" si="29"/>
        <v>#N/A</v>
      </c>
    </row>
    <row r="1780" spans="5:5">
      <c r="E1780" t="e">
        <f t="shared" si="29"/>
        <v>#N/A</v>
      </c>
    </row>
    <row r="1781" spans="5:5">
      <c r="E1781" t="e">
        <f t="shared" si="29"/>
        <v>#N/A</v>
      </c>
    </row>
    <row r="1782" spans="5:5">
      <c r="E1782" t="e">
        <f t="shared" si="29"/>
        <v>#N/A</v>
      </c>
    </row>
    <row r="1783" spans="5:5">
      <c r="E1783" t="e">
        <f t="shared" si="29"/>
        <v>#N/A</v>
      </c>
    </row>
    <row r="1784" spans="5:5">
      <c r="E1784" t="e">
        <f t="shared" si="29"/>
        <v>#N/A</v>
      </c>
    </row>
    <row r="1785" spans="5:5">
      <c r="E1785" t="e">
        <f t="shared" si="29"/>
        <v>#N/A</v>
      </c>
    </row>
    <row r="1786" spans="5:5">
      <c r="E1786" t="e">
        <f t="shared" si="29"/>
        <v>#N/A</v>
      </c>
    </row>
    <row r="1787" spans="5:5">
      <c r="E1787" t="e">
        <f t="shared" si="29"/>
        <v>#N/A</v>
      </c>
    </row>
    <row r="1788" spans="5:5">
      <c r="E1788" t="e">
        <f t="shared" si="29"/>
        <v>#N/A</v>
      </c>
    </row>
    <row r="1789" spans="5:5">
      <c r="E1789" t="e">
        <f t="shared" si="29"/>
        <v>#N/A</v>
      </c>
    </row>
    <row r="1790" spans="5:5">
      <c r="E1790" t="e">
        <f t="shared" si="29"/>
        <v>#N/A</v>
      </c>
    </row>
    <row r="1791" spans="5:5">
      <c r="E1791" t="e">
        <f t="shared" si="29"/>
        <v>#N/A</v>
      </c>
    </row>
    <row r="1792" spans="5:5">
      <c r="E1792" t="e">
        <f t="shared" si="29"/>
        <v>#N/A</v>
      </c>
    </row>
    <row r="1793" spans="5:5">
      <c r="E1793" t="e">
        <f t="shared" si="29"/>
        <v>#N/A</v>
      </c>
    </row>
    <row r="1794" spans="5:5">
      <c r="E1794" t="e">
        <f t="shared" si="29"/>
        <v>#N/A</v>
      </c>
    </row>
    <row r="1795" spans="5:5">
      <c r="E1795" t="e">
        <f t="shared" si="29"/>
        <v>#N/A</v>
      </c>
    </row>
    <row r="1796" spans="5:5">
      <c r="E1796" t="e">
        <f t="shared" si="29"/>
        <v>#N/A</v>
      </c>
    </row>
    <row r="1797" spans="5:5">
      <c r="E1797" t="e">
        <f t="shared" si="29"/>
        <v>#N/A</v>
      </c>
    </row>
    <row r="1798" spans="5:5">
      <c r="E1798" t="e">
        <f t="shared" si="29"/>
        <v>#N/A</v>
      </c>
    </row>
    <row r="1799" spans="5:5">
      <c r="E1799" t="e">
        <f t="shared" si="29"/>
        <v>#N/A</v>
      </c>
    </row>
    <row r="1800" spans="5:5">
      <c r="E1800" t="e">
        <f t="shared" si="29"/>
        <v>#N/A</v>
      </c>
    </row>
    <row r="1801" spans="5:5">
      <c r="E1801" t="e">
        <f t="shared" si="29"/>
        <v>#N/A</v>
      </c>
    </row>
    <row r="1802" spans="5:5">
      <c r="E1802" t="e">
        <f t="shared" si="29"/>
        <v>#N/A</v>
      </c>
    </row>
    <row r="1803" spans="5:5">
      <c r="E1803" t="e">
        <f t="shared" si="29"/>
        <v>#N/A</v>
      </c>
    </row>
    <row r="1804" spans="5:5">
      <c r="E1804" t="e">
        <f t="shared" si="29"/>
        <v>#N/A</v>
      </c>
    </row>
    <row r="1805" spans="5:5">
      <c r="E1805" t="e">
        <f t="shared" ref="E1805:E1868" si="30">VLOOKUP(B1805,$Q$13:$R$61,2,FALSE)</f>
        <v>#N/A</v>
      </c>
    </row>
    <row r="1806" spans="5:5">
      <c r="E1806" t="e">
        <f t="shared" si="30"/>
        <v>#N/A</v>
      </c>
    </row>
    <row r="1807" spans="5:5">
      <c r="E1807" t="e">
        <f t="shared" si="30"/>
        <v>#N/A</v>
      </c>
    </row>
    <row r="1808" spans="5:5">
      <c r="E1808" t="e">
        <f t="shared" si="30"/>
        <v>#N/A</v>
      </c>
    </row>
    <row r="1809" spans="5:5">
      <c r="E1809" t="e">
        <f t="shared" si="30"/>
        <v>#N/A</v>
      </c>
    </row>
    <row r="1810" spans="5:5">
      <c r="E1810" t="e">
        <f t="shared" si="30"/>
        <v>#N/A</v>
      </c>
    </row>
    <row r="1811" spans="5:5">
      <c r="E1811" t="e">
        <f t="shared" si="30"/>
        <v>#N/A</v>
      </c>
    </row>
    <row r="1812" spans="5:5">
      <c r="E1812" t="e">
        <f t="shared" si="30"/>
        <v>#N/A</v>
      </c>
    </row>
    <row r="1813" spans="5:5">
      <c r="E1813" t="e">
        <f t="shared" si="30"/>
        <v>#N/A</v>
      </c>
    </row>
    <row r="1814" spans="5:5">
      <c r="E1814" t="e">
        <f t="shared" si="30"/>
        <v>#N/A</v>
      </c>
    </row>
    <row r="1815" spans="5:5">
      <c r="E1815" t="e">
        <f t="shared" si="30"/>
        <v>#N/A</v>
      </c>
    </row>
    <row r="1816" spans="5:5">
      <c r="E1816" t="e">
        <f t="shared" si="30"/>
        <v>#N/A</v>
      </c>
    </row>
    <row r="1817" spans="5:5">
      <c r="E1817" t="e">
        <f t="shared" si="30"/>
        <v>#N/A</v>
      </c>
    </row>
    <row r="1818" spans="5:5">
      <c r="E1818" t="e">
        <f t="shared" si="30"/>
        <v>#N/A</v>
      </c>
    </row>
    <row r="1819" spans="5:5">
      <c r="E1819" t="e">
        <f t="shared" si="30"/>
        <v>#N/A</v>
      </c>
    </row>
    <row r="1820" spans="5:5">
      <c r="E1820" t="e">
        <f t="shared" si="30"/>
        <v>#N/A</v>
      </c>
    </row>
    <row r="1821" spans="5:5">
      <c r="E1821" t="e">
        <f t="shared" si="30"/>
        <v>#N/A</v>
      </c>
    </row>
    <row r="1822" spans="5:5">
      <c r="E1822" t="e">
        <f t="shared" si="30"/>
        <v>#N/A</v>
      </c>
    </row>
    <row r="1823" spans="5:5">
      <c r="E1823" t="e">
        <f t="shared" si="30"/>
        <v>#N/A</v>
      </c>
    </row>
    <row r="1824" spans="5:5">
      <c r="E1824" t="e">
        <f t="shared" si="30"/>
        <v>#N/A</v>
      </c>
    </row>
    <row r="1825" spans="5:5">
      <c r="E1825" t="e">
        <f t="shared" si="30"/>
        <v>#N/A</v>
      </c>
    </row>
    <row r="1826" spans="5:5">
      <c r="E1826" t="e">
        <f t="shared" si="30"/>
        <v>#N/A</v>
      </c>
    </row>
    <row r="1827" spans="5:5">
      <c r="E1827" t="e">
        <f t="shared" si="30"/>
        <v>#N/A</v>
      </c>
    </row>
    <row r="1828" spans="5:5">
      <c r="E1828" t="e">
        <f t="shared" si="30"/>
        <v>#N/A</v>
      </c>
    </row>
    <row r="1829" spans="5:5">
      <c r="E1829" t="e">
        <f t="shared" si="30"/>
        <v>#N/A</v>
      </c>
    </row>
    <row r="1830" spans="5:5">
      <c r="E1830" t="e">
        <f t="shared" si="30"/>
        <v>#N/A</v>
      </c>
    </row>
    <row r="1831" spans="5:5">
      <c r="E1831" t="e">
        <f t="shared" si="30"/>
        <v>#N/A</v>
      </c>
    </row>
    <row r="1832" spans="5:5">
      <c r="E1832" t="e">
        <f t="shared" si="30"/>
        <v>#N/A</v>
      </c>
    </row>
    <row r="1833" spans="5:5">
      <c r="E1833" t="e">
        <f t="shared" si="30"/>
        <v>#N/A</v>
      </c>
    </row>
    <row r="1834" spans="5:5">
      <c r="E1834" t="e">
        <f t="shared" si="30"/>
        <v>#N/A</v>
      </c>
    </row>
    <row r="1835" spans="5:5">
      <c r="E1835" t="e">
        <f t="shared" si="30"/>
        <v>#N/A</v>
      </c>
    </row>
    <row r="1836" spans="5:5">
      <c r="E1836" t="e">
        <f t="shared" si="30"/>
        <v>#N/A</v>
      </c>
    </row>
    <row r="1837" spans="5:5">
      <c r="E1837" t="e">
        <f t="shared" si="30"/>
        <v>#N/A</v>
      </c>
    </row>
    <row r="1838" spans="5:5">
      <c r="E1838" t="e">
        <f t="shared" si="30"/>
        <v>#N/A</v>
      </c>
    </row>
    <row r="1839" spans="5:5">
      <c r="E1839" t="e">
        <f t="shared" si="30"/>
        <v>#N/A</v>
      </c>
    </row>
    <row r="1840" spans="5:5">
      <c r="E1840" t="e">
        <f t="shared" si="30"/>
        <v>#N/A</v>
      </c>
    </row>
    <row r="1841" spans="5:5">
      <c r="E1841" t="e">
        <f t="shared" si="30"/>
        <v>#N/A</v>
      </c>
    </row>
    <row r="1842" spans="5:5">
      <c r="E1842" t="e">
        <f t="shared" si="30"/>
        <v>#N/A</v>
      </c>
    </row>
    <row r="1843" spans="5:5">
      <c r="E1843" t="e">
        <f t="shared" si="30"/>
        <v>#N/A</v>
      </c>
    </row>
    <row r="1844" spans="5:5">
      <c r="E1844" t="e">
        <f t="shared" si="30"/>
        <v>#N/A</v>
      </c>
    </row>
    <row r="1845" spans="5:5">
      <c r="E1845" t="e">
        <f t="shared" si="30"/>
        <v>#N/A</v>
      </c>
    </row>
    <row r="1846" spans="5:5">
      <c r="E1846" t="e">
        <f t="shared" si="30"/>
        <v>#N/A</v>
      </c>
    </row>
    <row r="1847" spans="5:5">
      <c r="E1847" t="e">
        <f t="shared" si="30"/>
        <v>#N/A</v>
      </c>
    </row>
    <row r="1848" spans="5:5">
      <c r="E1848" t="e">
        <f t="shared" si="30"/>
        <v>#N/A</v>
      </c>
    </row>
    <row r="1849" spans="5:5">
      <c r="E1849" t="e">
        <f t="shared" si="30"/>
        <v>#N/A</v>
      </c>
    </row>
    <row r="1850" spans="5:5">
      <c r="E1850" t="e">
        <f t="shared" si="30"/>
        <v>#N/A</v>
      </c>
    </row>
    <row r="1851" spans="5:5">
      <c r="E1851" t="e">
        <f t="shared" si="30"/>
        <v>#N/A</v>
      </c>
    </row>
    <row r="1852" spans="5:5">
      <c r="E1852" t="e">
        <f t="shared" si="30"/>
        <v>#N/A</v>
      </c>
    </row>
    <row r="1853" spans="5:5">
      <c r="E1853" t="e">
        <f t="shared" si="30"/>
        <v>#N/A</v>
      </c>
    </row>
    <row r="1854" spans="5:5">
      <c r="E1854" t="e">
        <f t="shared" si="30"/>
        <v>#N/A</v>
      </c>
    </row>
    <row r="1855" spans="5:5">
      <c r="E1855" t="e">
        <f t="shared" si="30"/>
        <v>#N/A</v>
      </c>
    </row>
    <row r="1856" spans="5:5">
      <c r="E1856" t="e">
        <f t="shared" si="30"/>
        <v>#N/A</v>
      </c>
    </row>
    <row r="1857" spans="5:5">
      <c r="E1857" t="e">
        <f t="shared" si="30"/>
        <v>#N/A</v>
      </c>
    </row>
    <row r="1858" spans="5:5">
      <c r="E1858" t="e">
        <f t="shared" si="30"/>
        <v>#N/A</v>
      </c>
    </row>
    <row r="1859" spans="5:5">
      <c r="E1859" t="e">
        <f t="shared" si="30"/>
        <v>#N/A</v>
      </c>
    </row>
    <row r="1860" spans="5:5">
      <c r="E1860" t="e">
        <f t="shared" si="30"/>
        <v>#N/A</v>
      </c>
    </row>
    <row r="1861" spans="5:5">
      <c r="E1861" t="e">
        <f t="shared" si="30"/>
        <v>#N/A</v>
      </c>
    </row>
    <row r="1862" spans="5:5">
      <c r="E1862" t="e">
        <f t="shared" si="30"/>
        <v>#N/A</v>
      </c>
    </row>
    <row r="1863" spans="5:5">
      <c r="E1863" t="e">
        <f t="shared" si="30"/>
        <v>#N/A</v>
      </c>
    </row>
    <row r="1864" spans="5:5">
      <c r="E1864" t="e">
        <f t="shared" si="30"/>
        <v>#N/A</v>
      </c>
    </row>
    <row r="1865" spans="5:5">
      <c r="E1865" t="e">
        <f t="shared" si="30"/>
        <v>#N/A</v>
      </c>
    </row>
    <row r="1866" spans="5:5">
      <c r="E1866" t="e">
        <f t="shared" si="30"/>
        <v>#N/A</v>
      </c>
    </row>
    <row r="1867" spans="5:5">
      <c r="E1867" t="e">
        <f t="shared" si="30"/>
        <v>#N/A</v>
      </c>
    </row>
    <row r="1868" spans="5:5">
      <c r="E1868" t="e">
        <f t="shared" si="30"/>
        <v>#N/A</v>
      </c>
    </row>
    <row r="1869" spans="5:5">
      <c r="E1869" t="e">
        <f t="shared" ref="E1869:E1932" si="31">VLOOKUP(B1869,$Q$13:$R$61,2,FALSE)</f>
        <v>#N/A</v>
      </c>
    </row>
    <row r="1870" spans="5:5">
      <c r="E1870" t="e">
        <f t="shared" si="31"/>
        <v>#N/A</v>
      </c>
    </row>
    <row r="1871" spans="5:5">
      <c r="E1871" t="e">
        <f t="shared" si="31"/>
        <v>#N/A</v>
      </c>
    </row>
    <row r="1872" spans="5:5">
      <c r="E1872" t="e">
        <f t="shared" si="31"/>
        <v>#N/A</v>
      </c>
    </row>
    <row r="1873" spans="5:5">
      <c r="E1873" t="e">
        <f t="shared" si="31"/>
        <v>#N/A</v>
      </c>
    </row>
    <row r="1874" spans="5:5">
      <c r="E1874" t="e">
        <f t="shared" si="31"/>
        <v>#N/A</v>
      </c>
    </row>
    <row r="1875" spans="5:5">
      <c r="E1875" t="e">
        <f t="shared" si="31"/>
        <v>#N/A</v>
      </c>
    </row>
    <row r="1876" spans="5:5">
      <c r="E1876" t="e">
        <f t="shared" si="31"/>
        <v>#N/A</v>
      </c>
    </row>
    <row r="1877" spans="5:5">
      <c r="E1877" t="e">
        <f t="shared" si="31"/>
        <v>#N/A</v>
      </c>
    </row>
    <row r="1878" spans="5:5">
      <c r="E1878" t="e">
        <f t="shared" si="31"/>
        <v>#N/A</v>
      </c>
    </row>
    <row r="1879" spans="5:5">
      <c r="E1879" t="e">
        <f t="shared" si="31"/>
        <v>#N/A</v>
      </c>
    </row>
    <row r="1880" spans="5:5">
      <c r="E1880" t="e">
        <f t="shared" si="31"/>
        <v>#N/A</v>
      </c>
    </row>
    <row r="1881" spans="5:5">
      <c r="E1881" t="e">
        <f t="shared" si="31"/>
        <v>#N/A</v>
      </c>
    </row>
    <row r="1882" spans="5:5">
      <c r="E1882" t="e">
        <f t="shared" si="31"/>
        <v>#N/A</v>
      </c>
    </row>
    <row r="1883" spans="5:5">
      <c r="E1883" t="e">
        <f t="shared" si="31"/>
        <v>#N/A</v>
      </c>
    </row>
    <row r="1884" spans="5:5">
      <c r="E1884" t="e">
        <f t="shared" si="31"/>
        <v>#N/A</v>
      </c>
    </row>
    <row r="1885" spans="5:5">
      <c r="E1885" t="e">
        <f t="shared" si="31"/>
        <v>#N/A</v>
      </c>
    </row>
    <row r="1886" spans="5:5">
      <c r="E1886" t="e">
        <f t="shared" si="31"/>
        <v>#N/A</v>
      </c>
    </row>
    <row r="1887" spans="5:5">
      <c r="E1887" t="e">
        <f t="shared" si="31"/>
        <v>#N/A</v>
      </c>
    </row>
    <row r="1888" spans="5:5">
      <c r="E1888" t="e">
        <f t="shared" si="31"/>
        <v>#N/A</v>
      </c>
    </row>
    <row r="1889" spans="5:5">
      <c r="E1889" t="e">
        <f t="shared" si="31"/>
        <v>#N/A</v>
      </c>
    </row>
    <row r="1890" spans="5:5">
      <c r="E1890" t="e">
        <f t="shared" si="31"/>
        <v>#N/A</v>
      </c>
    </row>
    <row r="1891" spans="5:5">
      <c r="E1891" t="e">
        <f t="shared" si="31"/>
        <v>#N/A</v>
      </c>
    </row>
    <row r="1892" spans="5:5">
      <c r="E1892" t="e">
        <f t="shared" si="31"/>
        <v>#N/A</v>
      </c>
    </row>
    <row r="1893" spans="5:5">
      <c r="E1893" t="e">
        <f t="shared" si="31"/>
        <v>#N/A</v>
      </c>
    </row>
    <row r="1894" spans="5:5">
      <c r="E1894" t="e">
        <f t="shared" si="31"/>
        <v>#N/A</v>
      </c>
    </row>
    <row r="1895" spans="5:5">
      <c r="E1895" t="e">
        <f t="shared" si="31"/>
        <v>#N/A</v>
      </c>
    </row>
    <row r="1896" spans="5:5">
      <c r="E1896" t="e">
        <f t="shared" si="31"/>
        <v>#N/A</v>
      </c>
    </row>
    <row r="1897" spans="5:5">
      <c r="E1897" t="e">
        <f t="shared" si="31"/>
        <v>#N/A</v>
      </c>
    </row>
    <row r="1898" spans="5:5">
      <c r="E1898" t="e">
        <f t="shared" si="31"/>
        <v>#N/A</v>
      </c>
    </row>
    <row r="1899" spans="5:5">
      <c r="E1899" t="e">
        <f t="shared" si="31"/>
        <v>#N/A</v>
      </c>
    </row>
    <row r="1900" spans="5:5">
      <c r="E1900" t="e">
        <f t="shared" si="31"/>
        <v>#N/A</v>
      </c>
    </row>
    <row r="1901" spans="5:5">
      <c r="E1901" t="e">
        <f t="shared" si="31"/>
        <v>#N/A</v>
      </c>
    </row>
    <row r="1902" spans="5:5">
      <c r="E1902" t="e">
        <f t="shared" si="31"/>
        <v>#N/A</v>
      </c>
    </row>
    <row r="1903" spans="5:5">
      <c r="E1903" t="e">
        <f t="shared" si="31"/>
        <v>#N/A</v>
      </c>
    </row>
    <row r="1904" spans="5:5">
      <c r="E1904" t="e">
        <f t="shared" si="31"/>
        <v>#N/A</v>
      </c>
    </row>
    <row r="1905" spans="5:5">
      <c r="E1905" t="e">
        <f t="shared" si="31"/>
        <v>#N/A</v>
      </c>
    </row>
    <row r="1906" spans="5:5">
      <c r="E1906" t="e">
        <f t="shared" si="31"/>
        <v>#N/A</v>
      </c>
    </row>
    <row r="1907" spans="5:5">
      <c r="E1907" t="e">
        <f t="shared" si="31"/>
        <v>#N/A</v>
      </c>
    </row>
    <row r="1908" spans="5:5">
      <c r="E1908" t="e">
        <f t="shared" si="31"/>
        <v>#N/A</v>
      </c>
    </row>
    <row r="1909" spans="5:5">
      <c r="E1909" t="e">
        <f t="shared" si="31"/>
        <v>#N/A</v>
      </c>
    </row>
    <row r="1910" spans="5:5">
      <c r="E1910" t="e">
        <f t="shared" si="31"/>
        <v>#N/A</v>
      </c>
    </row>
    <row r="1911" spans="5:5">
      <c r="E1911" t="e">
        <f t="shared" si="31"/>
        <v>#N/A</v>
      </c>
    </row>
    <row r="1912" spans="5:5">
      <c r="E1912" t="e">
        <f t="shared" si="31"/>
        <v>#N/A</v>
      </c>
    </row>
    <row r="1913" spans="5:5">
      <c r="E1913" t="e">
        <f t="shared" si="31"/>
        <v>#N/A</v>
      </c>
    </row>
    <row r="1914" spans="5:5">
      <c r="E1914" t="e">
        <f t="shared" si="31"/>
        <v>#N/A</v>
      </c>
    </row>
    <row r="1915" spans="5:5">
      <c r="E1915" t="e">
        <f t="shared" si="31"/>
        <v>#N/A</v>
      </c>
    </row>
    <row r="1916" spans="5:5">
      <c r="E1916" t="e">
        <f t="shared" si="31"/>
        <v>#N/A</v>
      </c>
    </row>
    <row r="1917" spans="5:5">
      <c r="E1917" t="e">
        <f t="shared" si="31"/>
        <v>#N/A</v>
      </c>
    </row>
    <row r="1918" spans="5:5">
      <c r="E1918" t="e">
        <f t="shared" si="31"/>
        <v>#N/A</v>
      </c>
    </row>
    <row r="1919" spans="5:5">
      <c r="E1919" t="e">
        <f t="shared" si="31"/>
        <v>#N/A</v>
      </c>
    </row>
    <row r="1920" spans="5:5">
      <c r="E1920" t="e">
        <f t="shared" si="31"/>
        <v>#N/A</v>
      </c>
    </row>
    <row r="1921" spans="5:5">
      <c r="E1921" t="e">
        <f t="shared" si="31"/>
        <v>#N/A</v>
      </c>
    </row>
    <row r="1922" spans="5:5">
      <c r="E1922" t="e">
        <f t="shared" si="31"/>
        <v>#N/A</v>
      </c>
    </row>
    <row r="1923" spans="5:5">
      <c r="E1923" t="e">
        <f t="shared" si="31"/>
        <v>#N/A</v>
      </c>
    </row>
    <row r="1924" spans="5:5">
      <c r="E1924" t="e">
        <f t="shared" si="31"/>
        <v>#N/A</v>
      </c>
    </row>
    <row r="1925" spans="5:5">
      <c r="E1925" t="e">
        <f t="shared" si="31"/>
        <v>#N/A</v>
      </c>
    </row>
    <row r="1926" spans="5:5">
      <c r="E1926" t="e">
        <f t="shared" si="31"/>
        <v>#N/A</v>
      </c>
    </row>
    <row r="1927" spans="5:5">
      <c r="E1927" t="e">
        <f t="shared" si="31"/>
        <v>#N/A</v>
      </c>
    </row>
    <row r="1928" spans="5:5">
      <c r="E1928" t="e">
        <f t="shared" si="31"/>
        <v>#N/A</v>
      </c>
    </row>
    <row r="1929" spans="5:5">
      <c r="E1929" t="e">
        <f t="shared" si="31"/>
        <v>#N/A</v>
      </c>
    </row>
    <row r="1930" spans="5:5">
      <c r="E1930" t="e">
        <f t="shared" si="31"/>
        <v>#N/A</v>
      </c>
    </row>
    <row r="1931" spans="5:5">
      <c r="E1931" t="e">
        <f t="shared" si="31"/>
        <v>#N/A</v>
      </c>
    </row>
    <row r="1932" spans="5:5">
      <c r="E1932" t="e">
        <f t="shared" si="31"/>
        <v>#N/A</v>
      </c>
    </row>
    <row r="1933" spans="5:5">
      <c r="E1933" t="e">
        <f t="shared" ref="E1933:E1996" si="32">VLOOKUP(B1933,$Q$13:$R$61,2,FALSE)</f>
        <v>#N/A</v>
      </c>
    </row>
    <row r="1934" spans="5:5">
      <c r="E1934" t="e">
        <f t="shared" si="32"/>
        <v>#N/A</v>
      </c>
    </row>
    <row r="1935" spans="5:5">
      <c r="E1935" t="e">
        <f t="shared" si="32"/>
        <v>#N/A</v>
      </c>
    </row>
    <row r="1936" spans="5:5">
      <c r="E1936" t="e">
        <f t="shared" si="32"/>
        <v>#N/A</v>
      </c>
    </row>
    <row r="1937" spans="5:5">
      <c r="E1937" t="e">
        <f t="shared" si="32"/>
        <v>#N/A</v>
      </c>
    </row>
    <row r="1938" spans="5:5">
      <c r="E1938" t="e">
        <f t="shared" si="32"/>
        <v>#N/A</v>
      </c>
    </row>
    <row r="1939" spans="5:5">
      <c r="E1939" t="e">
        <f t="shared" si="32"/>
        <v>#N/A</v>
      </c>
    </row>
    <row r="1940" spans="5:5">
      <c r="E1940" t="e">
        <f t="shared" si="32"/>
        <v>#N/A</v>
      </c>
    </row>
    <row r="1941" spans="5:5">
      <c r="E1941" t="e">
        <f t="shared" si="32"/>
        <v>#N/A</v>
      </c>
    </row>
    <row r="1942" spans="5:5">
      <c r="E1942" t="e">
        <f t="shared" si="32"/>
        <v>#N/A</v>
      </c>
    </row>
    <row r="1943" spans="5:5">
      <c r="E1943" t="e">
        <f t="shared" si="32"/>
        <v>#N/A</v>
      </c>
    </row>
    <row r="1944" spans="5:5">
      <c r="E1944" t="e">
        <f t="shared" si="32"/>
        <v>#N/A</v>
      </c>
    </row>
    <row r="1945" spans="5:5">
      <c r="E1945" t="e">
        <f t="shared" si="32"/>
        <v>#N/A</v>
      </c>
    </row>
    <row r="1946" spans="5:5">
      <c r="E1946" t="e">
        <f t="shared" si="32"/>
        <v>#N/A</v>
      </c>
    </row>
    <row r="1947" spans="5:5">
      <c r="E1947" t="e">
        <f t="shared" si="32"/>
        <v>#N/A</v>
      </c>
    </row>
    <row r="1948" spans="5:5">
      <c r="E1948" t="e">
        <f t="shared" si="32"/>
        <v>#N/A</v>
      </c>
    </row>
    <row r="1949" spans="5:5">
      <c r="E1949" t="e">
        <f t="shared" si="32"/>
        <v>#N/A</v>
      </c>
    </row>
    <row r="1950" spans="5:5">
      <c r="E1950" t="e">
        <f t="shared" si="32"/>
        <v>#N/A</v>
      </c>
    </row>
    <row r="1951" spans="5:5">
      <c r="E1951" t="e">
        <f t="shared" si="32"/>
        <v>#N/A</v>
      </c>
    </row>
    <row r="1952" spans="5:5">
      <c r="E1952" t="e">
        <f t="shared" si="32"/>
        <v>#N/A</v>
      </c>
    </row>
    <row r="1953" spans="5:5">
      <c r="E1953" t="e">
        <f t="shared" si="32"/>
        <v>#N/A</v>
      </c>
    </row>
    <row r="1954" spans="5:5">
      <c r="E1954" t="e">
        <f t="shared" si="32"/>
        <v>#N/A</v>
      </c>
    </row>
    <row r="1955" spans="5:5">
      <c r="E1955" t="e">
        <f t="shared" si="32"/>
        <v>#N/A</v>
      </c>
    </row>
    <row r="1956" spans="5:5">
      <c r="E1956" t="e">
        <f t="shared" si="32"/>
        <v>#N/A</v>
      </c>
    </row>
    <row r="1957" spans="5:5">
      <c r="E1957" t="e">
        <f t="shared" si="32"/>
        <v>#N/A</v>
      </c>
    </row>
    <row r="1958" spans="5:5">
      <c r="E1958" t="e">
        <f t="shared" si="32"/>
        <v>#N/A</v>
      </c>
    </row>
    <row r="1959" spans="5:5">
      <c r="E1959" t="e">
        <f t="shared" si="32"/>
        <v>#N/A</v>
      </c>
    </row>
    <row r="1960" spans="5:5">
      <c r="E1960" t="e">
        <f t="shared" si="32"/>
        <v>#N/A</v>
      </c>
    </row>
    <row r="1961" spans="5:5">
      <c r="E1961" t="e">
        <f t="shared" si="32"/>
        <v>#N/A</v>
      </c>
    </row>
    <row r="1962" spans="5:5">
      <c r="E1962" t="e">
        <f t="shared" si="32"/>
        <v>#N/A</v>
      </c>
    </row>
    <row r="1963" spans="5:5">
      <c r="E1963" t="e">
        <f t="shared" si="32"/>
        <v>#N/A</v>
      </c>
    </row>
    <row r="1964" spans="5:5">
      <c r="E1964" t="e">
        <f t="shared" si="32"/>
        <v>#N/A</v>
      </c>
    </row>
    <row r="1965" spans="5:5">
      <c r="E1965" t="e">
        <f t="shared" si="32"/>
        <v>#N/A</v>
      </c>
    </row>
    <row r="1966" spans="5:5">
      <c r="E1966" t="e">
        <f t="shared" si="32"/>
        <v>#N/A</v>
      </c>
    </row>
    <row r="1967" spans="5:5">
      <c r="E1967" t="e">
        <f t="shared" si="32"/>
        <v>#N/A</v>
      </c>
    </row>
    <row r="1968" spans="5:5">
      <c r="E1968" t="e">
        <f t="shared" si="32"/>
        <v>#N/A</v>
      </c>
    </row>
    <row r="1969" spans="5:5">
      <c r="E1969" t="e">
        <f t="shared" si="32"/>
        <v>#N/A</v>
      </c>
    </row>
    <row r="1970" spans="5:5">
      <c r="E1970" t="e">
        <f t="shared" si="32"/>
        <v>#N/A</v>
      </c>
    </row>
    <row r="1971" spans="5:5">
      <c r="E1971" t="e">
        <f t="shared" si="32"/>
        <v>#N/A</v>
      </c>
    </row>
    <row r="1972" spans="5:5">
      <c r="E1972" t="e">
        <f t="shared" si="32"/>
        <v>#N/A</v>
      </c>
    </row>
    <row r="1973" spans="5:5">
      <c r="E1973" t="e">
        <f t="shared" si="32"/>
        <v>#N/A</v>
      </c>
    </row>
    <row r="1974" spans="5:5">
      <c r="E1974" t="e">
        <f t="shared" si="32"/>
        <v>#N/A</v>
      </c>
    </row>
    <row r="1975" spans="5:5">
      <c r="E1975" t="e">
        <f t="shared" si="32"/>
        <v>#N/A</v>
      </c>
    </row>
    <row r="1976" spans="5:5">
      <c r="E1976" t="e">
        <f t="shared" si="32"/>
        <v>#N/A</v>
      </c>
    </row>
    <row r="1977" spans="5:5">
      <c r="E1977" t="e">
        <f t="shared" si="32"/>
        <v>#N/A</v>
      </c>
    </row>
    <row r="1978" spans="5:5">
      <c r="E1978" t="e">
        <f t="shared" si="32"/>
        <v>#N/A</v>
      </c>
    </row>
    <row r="1979" spans="5:5">
      <c r="E1979" t="e">
        <f t="shared" si="32"/>
        <v>#N/A</v>
      </c>
    </row>
    <row r="1980" spans="5:5">
      <c r="E1980" t="e">
        <f t="shared" si="32"/>
        <v>#N/A</v>
      </c>
    </row>
    <row r="1981" spans="5:5">
      <c r="E1981" t="e">
        <f t="shared" si="32"/>
        <v>#N/A</v>
      </c>
    </row>
    <row r="1982" spans="5:5">
      <c r="E1982" t="e">
        <f t="shared" si="32"/>
        <v>#N/A</v>
      </c>
    </row>
    <row r="1983" spans="5:5">
      <c r="E1983" t="e">
        <f t="shared" si="32"/>
        <v>#N/A</v>
      </c>
    </row>
    <row r="1984" spans="5:5">
      <c r="E1984" t="e">
        <f t="shared" si="32"/>
        <v>#N/A</v>
      </c>
    </row>
    <row r="1985" spans="5:5">
      <c r="E1985" t="e">
        <f t="shared" si="32"/>
        <v>#N/A</v>
      </c>
    </row>
    <row r="1986" spans="5:5">
      <c r="E1986" t="e">
        <f t="shared" si="32"/>
        <v>#N/A</v>
      </c>
    </row>
    <row r="1987" spans="5:5">
      <c r="E1987" t="e">
        <f t="shared" si="32"/>
        <v>#N/A</v>
      </c>
    </row>
    <row r="1988" spans="5:5">
      <c r="E1988" t="e">
        <f t="shared" si="32"/>
        <v>#N/A</v>
      </c>
    </row>
    <row r="1989" spans="5:5">
      <c r="E1989" t="e">
        <f t="shared" si="32"/>
        <v>#N/A</v>
      </c>
    </row>
    <row r="1990" spans="5:5">
      <c r="E1990" t="e">
        <f t="shared" si="32"/>
        <v>#N/A</v>
      </c>
    </row>
    <row r="1991" spans="5:5">
      <c r="E1991" t="e">
        <f t="shared" si="32"/>
        <v>#N/A</v>
      </c>
    </row>
    <row r="1992" spans="5:5">
      <c r="E1992" t="e">
        <f t="shared" si="32"/>
        <v>#N/A</v>
      </c>
    </row>
    <row r="1993" spans="5:5">
      <c r="E1993" t="e">
        <f t="shared" si="32"/>
        <v>#N/A</v>
      </c>
    </row>
    <row r="1994" spans="5:5">
      <c r="E1994" t="e">
        <f t="shared" si="32"/>
        <v>#N/A</v>
      </c>
    </row>
    <row r="1995" spans="5:5">
      <c r="E1995" t="e">
        <f t="shared" si="32"/>
        <v>#N/A</v>
      </c>
    </row>
    <row r="1996" spans="5:5">
      <c r="E1996" t="e">
        <f t="shared" si="32"/>
        <v>#N/A</v>
      </c>
    </row>
    <row r="1997" spans="5:5">
      <c r="E1997" t="e">
        <f t="shared" ref="E1997:E2060" si="33">VLOOKUP(B1997,$Q$13:$R$61,2,FALSE)</f>
        <v>#N/A</v>
      </c>
    </row>
    <row r="1998" spans="5:5">
      <c r="E1998" t="e">
        <f t="shared" si="33"/>
        <v>#N/A</v>
      </c>
    </row>
    <row r="1999" spans="5:5">
      <c r="E1999" t="e">
        <f t="shared" si="33"/>
        <v>#N/A</v>
      </c>
    </row>
    <row r="2000" spans="5:5">
      <c r="E2000" t="e">
        <f t="shared" si="33"/>
        <v>#N/A</v>
      </c>
    </row>
    <row r="2001" spans="5:5">
      <c r="E2001" t="e">
        <f t="shared" si="33"/>
        <v>#N/A</v>
      </c>
    </row>
    <row r="2002" spans="5:5">
      <c r="E2002" t="e">
        <f t="shared" si="33"/>
        <v>#N/A</v>
      </c>
    </row>
    <row r="2003" spans="5:5">
      <c r="E2003" t="e">
        <f t="shared" si="33"/>
        <v>#N/A</v>
      </c>
    </row>
    <row r="2004" spans="5:5">
      <c r="E2004" t="e">
        <f t="shared" si="33"/>
        <v>#N/A</v>
      </c>
    </row>
    <row r="2005" spans="5:5">
      <c r="E2005" t="e">
        <f t="shared" si="33"/>
        <v>#N/A</v>
      </c>
    </row>
    <row r="2006" spans="5:5">
      <c r="E2006" t="e">
        <f t="shared" si="33"/>
        <v>#N/A</v>
      </c>
    </row>
    <row r="2007" spans="5:5">
      <c r="E2007" t="e">
        <f t="shared" si="33"/>
        <v>#N/A</v>
      </c>
    </row>
    <row r="2008" spans="5:5">
      <c r="E2008" t="e">
        <f t="shared" si="33"/>
        <v>#N/A</v>
      </c>
    </row>
    <row r="2009" spans="5:5">
      <c r="E2009" t="e">
        <f t="shared" si="33"/>
        <v>#N/A</v>
      </c>
    </row>
    <row r="2010" spans="5:5">
      <c r="E2010" t="e">
        <f t="shared" si="33"/>
        <v>#N/A</v>
      </c>
    </row>
    <row r="2011" spans="5:5">
      <c r="E2011" t="e">
        <f t="shared" si="33"/>
        <v>#N/A</v>
      </c>
    </row>
    <row r="2012" spans="5:5">
      <c r="E2012" t="e">
        <f t="shared" si="33"/>
        <v>#N/A</v>
      </c>
    </row>
    <row r="2013" spans="5:5">
      <c r="E2013" t="e">
        <f t="shared" si="33"/>
        <v>#N/A</v>
      </c>
    </row>
    <row r="2014" spans="5:5">
      <c r="E2014" t="e">
        <f t="shared" si="33"/>
        <v>#N/A</v>
      </c>
    </row>
    <row r="2015" spans="5:5">
      <c r="E2015" t="e">
        <f t="shared" si="33"/>
        <v>#N/A</v>
      </c>
    </row>
    <row r="2016" spans="5:5">
      <c r="E2016" t="e">
        <f t="shared" si="33"/>
        <v>#N/A</v>
      </c>
    </row>
    <row r="2017" spans="5:5">
      <c r="E2017" t="e">
        <f t="shared" si="33"/>
        <v>#N/A</v>
      </c>
    </row>
    <row r="2018" spans="5:5">
      <c r="E2018" t="e">
        <f t="shared" si="33"/>
        <v>#N/A</v>
      </c>
    </row>
    <row r="2019" spans="5:5">
      <c r="E2019" t="e">
        <f t="shared" si="33"/>
        <v>#N/A</v>
      </c>
    </row>
    <row r="2020" spans="5:5">
      <c r="E2020" t="e">
        <f t="shared" si="33"/>
        <v>#N/A</v>
      </c>
    </row>
    <row r="2021" spans="5:5">
      <c r="E2021" t="e">
        <f t="shared" si="33"/>
        <v>#N/A</v>
      </c>
    </row>
    <row r="2022" spans="5:5">
      <c r="E2022" t="e">
        <f t="shared" si="33"/>
        <v>#N/A</v>
      </c>
    </row>
    <row r="2023" spans="5:5">
      <c r="E2023" t="e">
        <f t="shared" si="33"/>
        <v>#N/A</v>
      </c>
    </row>
    <row r="2024" spans="5:5">
      <c r="E2024" t="e">
        <f t="shared" si="33"/>
        <v>#N/A</v>
      </c>
    </row>
    <row r="2025" spans="5:5">
      <c r="E2025" t="e">
        <f t="shared" si="33"/>
        <v>#N/A</v>
      </c>
    </row>
    <row r="2026" spans="5:5">
      <c r="E2026" t="e">
        <f t="shared" si="33"/>
        <v>#N/A</v>
      </c>
    </row>
    <row r="2027" spans="5:5">
      <c r="E2027" t="e">
        <f t="shared" si="33"/>
        <v>#N/A</v>
      </c>
    </row>
    <row r="2028" spans="5:5">
      <c r="E2028" t="e">
        <f t="shared" si="33"/>
        <v>#N/A</v>
      </c>
    </row>
    <row r="2029" spans="5:5">
      <c r="E2029" t="e">
        <f t="shared" si="33"/>
        <v>#N/A</v>
      </c>
    </row>
    <row r="2030" spans="5:5">
      <c r="E2030" t="e">
        <f t="shared" si="33"/>
        <v>#N/A</v>
      </c>
    </row>
    <row r="2031" spans="5:5">
      <c r="E2031" t="e">
        <f t="shared" si="33"/>
        <v>#N/A</v>
      </c>
    </row>
    <row r="2032" spans="5:5">
      <c r="E2032" t="e">
        <f t="shared" si="33"/>
        <v>#N/A</v>
      </c>
    </row>
    <row r="2033" spans="5:5">
      <c r="E2033" t="e">
        <f t="shared" si="33"/>
        <v>#N/A</v>
      </c>
    </row>
    <row r="2034" spans="5:5">
      <c r="E2034" t="e">
        <f t="shared" si="33"/>
        <v>#N/A</v>
      </c>
    </row>
    <row r="2035" spans="5:5">
      <c r="E2035" t="e">
        <f t="shared" si="33"/>
        <v>#N/A</v>
      </c>
    </row>
    <row r="2036" spans="5:5">
      <c r="E2036" t="e">
        <f t="shared" si="33"/>
        <v>#N/A</v>
      </c>
    </row>
    <row r="2037" spans="5:5">
      <c r="E2037" t="e">
        <f t="shared" si="33"/>
        <v>#N/A</v>
      </c>
    </row>
    <row r="2038" spans="5:5">
      <c r="E2038" t="e">
        <f t="shared" si="33"/>
        <v>#N/A</v>
      </c>
    </row>
    <row r="2039" spans="5:5">
      <c r="E2039" t="e">
        <f t="shared" si="33"/>
        <v>#N/A</v>
      </c>
    </row>
    <row r="2040" spans="5:5">
      <c r="E2040" t="e">
        <f t="shared" si="33"/>
        <v>#N/A</v>
      </c>
    </row>
    <row r="2041" spans="5:5">
      <c r="E2041" t="e">
        <f t="shared" si="33"/>
        <v>#N/A</v>
      </c>
    </row>
    <row r="2042" spans="5:5">
      <c r="E2042" t="e">
        <f t="shared" si="33"/>
        <v>#N/A</v>
      </c>
    </row>
    <row r="2043" spans="5:5">
      <c r="E2043" t="e">
        <f t="shared" si="33"/>
        <v>#N/A</v>
      </c>
    </row>
    <row r="2044" spans="5:5">
      <c r="E2044" t="e">
        <f t="shared" si="33"/>
        <v>#N/A</v>
      </c>
    </row>
    <row r="2045" spans="5:5">
      <c r="E2045" t="e">
        <f t="shared" si="33"/>
        <v>#N/A</v>
      </c>
    </row>
    <row r="2046" spans="5:5">
      <c r="E2046" t="e">
        <f t="shared" si="33"/>
        <v>#N/A</v>
      </c>
    </row>
    <row r="2047" spans="5:5">
      <c r="E2047" t="e">
        <f t="shared" si="33"/>
        <v>#N/A</v>
      </c>
    </row>
    <row r="2048" spans="5:5">
      <c r="E2048" t="e">
        <f t="shared" si="33"/>
        <v>#N/A</v>
      </c>
    </row>
    <row r="2049" spans="5:5">
      <c r="E2049" t="e">
        <f t="shared" si="33"/>
        <v>#N/A</v>
      </c>
    </row>
    <row r="2050" spans="5:5">
      <c r="E2050" t="e">
        <f t="shared" si="33"/>
        <v>#N/A</v>
      </c>
    </row>
    <row r="2051" spans="5:5">
      <c r="E2051" t="e">
        <f t="shared" si="33"/>
        <v>#N/A</v>
      </c>
    </row>
    <row r="2052" spans="5:5">
      <c r="E2052" t="e">
        <f t="shared" si="33"/>
        <v>#N/A</v>
      </c>
    </row>
    <row r="2053" spans="5:5">
      <c r="E2053" t="e">
        <f t="shared" si="33"/>
        <v>#N/A</v>
      </c>
    </row>
    <row r="2054" spans="5:5">
      <c r="E2054" t="e">
        <f t="shared" si="33"/>
        <v>#N/A</v>
      </c>
    </row>
    <row r="2055" spans="5:5">
      <c r="E2055" t="e">
        <f t="shared" si="33"/>
        <v>#N/A</v>
      </c>
    </row>
    <row r="2056" spans="5:5">
      <c r="E2056" t="e">
        <f t="shared" si="33"/>
        <v>#N/A</v>
      </c>
    </row>
    <row r="2057" spans="5:5">
      <c r="E2057" t="e">
        <f t="shared" si="33"/>
        <v>#N/A</v>
      </c>
    </row>
    <row r="2058" spans="5:5">
      <c r="E2058" t="e">
        <f t="shared" si="33"/>
        <v>#N/A</v>
      </c>
    </row>
    <row r="2059" spans="5:5">
      <c r="E2059" t="e">
        <f t="shared" si="33"/>
        <v>#N/A</v>
      </c>
    </row>
    <row r="2060" spans="5:5">
      <c r="E2060" t="e">
        <f t="shared" si="33"/>
        <v>#N/A</v>
      </c>
    </row>
    <row r="2061" spans="5:5">
      <c r="E2061" t="e">
        <f t="shared" ref="E2061:E2124" si="34">VLOOKUP(B2061,$Q$13:$R$61,2,FALSE)</f>
        <v>#N/A</v>
      </c>
    </row>
    <row r="2062" spans="5:5">
      <c r="E2062" t="e">
        <f t="shared" si="34"/>
        <v>#N/A</v>
      </c>
    </row>
    <row r="2063" spans="5:5">
      <c r="E2063" t="e">
        <f t="shared" si="34"/>
        <v>#N/A</v>
      </c>
    </row>
    <row r="2064" spans="5:5">
      <c r="E2064" t="e">
        <f t="shared" si="34"/>
        <v>#N/A</v>
      </c>
    </row>
    <row r="2065" spans="5:5">
      <c r="E2065" t="e">
        <f t="shared" si="34"/>
        <v>#N/A</v>
      </c>
    </row>
    <row r="2066" spans="5:5">
      <c r="E2066" t="e">
        <f t="shared" si="34"/>
        <v>#N/A</v>
      </c>
    </row>
    <row r="2067" spans="5:5">
      <c r="E2067" t="e">
        <f t="shared" si="34"/>
        <v>#N/A</v>
      </c>
    </row>
    <row r="2068" spans="5:5">
      <c r="E2068" t="e">
        <f t="shared" si="34"/>
        <v>#N/A</v>
      </c>
    </row>
    <row r="2069" spans="5:5">
      <c r="E2069" t="e">
        <f t="shared" si="34"/>
        <v>#N/A</v>
      </c>
    </row>
    <row r="2070" spans="5:5">
      <c r="E2070" t="e">
        <f t="shared" si="34"/>
        <v>#N/A</v>
      </c>
    </row>
    <row r="2071" spans="5:5">
      <c r="E2071" t="e">
        <f t="shared" si="34"/>
        <v>#N/A</v>
      </c>
    </row>
    <row r="2072" spans="5:5">
      <c r="E2072" t="e">
        <f t="shared" si="34"/>
        <v>#N/A</v>
      </c>
    </row>
    <row r="2073" spans="5:5">
      <c r="E2073" t="e">
        <f t="shared" si="34"/>
        <v>#N/A</v>
      </c>
    </row>
    <row r="2074" spans="5:5">
      <c r="E2074" t="e">
        <f t="shared" si="34"/>
        <v>#N/A</v>
      </c>
    </row>
    <row r="2075" spans="5:5">
      <c r="E2075" t="e">
        <f t="shared" si="34"/>
        <v>#N/A</v>
      </c>
    </row>
    <row r="2076" spans="5:5">
      <c r="E2076" t="e">
        <f t="shared" si="34"/>
        <v>#N/A</v>
      </c>
    </row>
    <row r="2077" spans="5:5">
      <c r="E2077" t="e">
        <f t="shared" si="34"/>
        <v>#N/A</v>
      </c>
    </row>
    <row r="2078" spans="5:5">
      <c r="E2078" t="e">
        <f t="shared" si="34"/>
        <v>#N/A</v>
      </c>
    </row>
    <row r="2079" spans="5:5">
      <c r="E2079" t="e">
        <f t="shared" si="34"/>
        <v>#N/A</v>
      </c>
    </row>
    <row r="2080" spans="5:5">
      <c r="E2080" t="e">
        <f t="shared" si="34"/>
        <v>#N/A</v>
      </c>
    </row>
    <row r="2081" spans="5:5">
      <c r="E2081" t="e">
        <f t="shared" si="34"/>
        <v>#N/A</v>
      </c>
    </row>
    <row r="2082" spans="5:5">
      <c r="E2082" t="e">
        <f t="shared" si="34"/>
        <v>#N/A</v>
      </c>
    </row>
    <row r="2083" spans="5:5">
      <c r="E2083" t="e">
        <f t="shared" si="34"/>
        <v>#N/A</v>
      </c>
    </row>
    <row r="2084" spans="5:5">
      <c r="E2084" t="e">
        <f t="shared" si="34"/>
        <v>#N/A</v>
      </c>
    </row>
    <row r="2085" spans="5:5">
      <c r="E2085" t="e">
        <f t="shared" si="34"/>
        <v>#N/A</v>
      </c>
    </row>
    <row r="2086" spans="5:5">
      <c r="E2086" t="e">
        <f t="shared" si="34"/>
        <v>#N/A</v>
      </c>
    </row>
    <row r="2087" spans="5:5">
      <c r="E2087" t="e">
        <f t="shared" si="34"/>
        <v>#N/A</v>
      </c>
    </row>
    <row r="2088" spans="5:5">
      <c r="E2088" t="e">
        <f t="shared" si="34"/>
        <v>#N/A</v>
      </c>
    </row>
    <row r="2089" spans="5:5">
      <c r="E2089" t="e">
        <f t="shared" si="34"/>
        <v>#N/A</v>
      </c>
    </row>
    <row r="2090" spans="5:5">
      <c r="E2090" t="e">
        <f t="shared" si="34"/>
        <v>#N/A</v>
      </c>
    </row>
    <row r="2091" spans="5:5">
      <c r="E2091" t="e">
        <f t="shared" si="34"/>
        <v>#N/A</v>
      </c>
    </row>
    <row r="2092" spans="5:5">
      <c r="E2092" t="e">
        <f t="shared" si="34"/>
        <v>#N/A</v>
      </c>
    </row>
    <row r="2093" spans="5:5">
      <c r="E2093" t="e">
        <f t="shared" si="34"/>
        <v>#N/A</v>
      </c>
    </row>
    <row r="2094" spans="5:5">
      <c r="E2094" t="e">
        <f t="shared" si="34"/>
        <v>#N/A</v>
      </c>
    </row>
    <row r="2095" spans="5:5">
      <c r="E2095" t="e">
        <f t="shared" si="34"/>
        <v>#N/A</v>
      </c>
    </row>
    <row r="2096" spans="5:5">
      <c r="E2096" t="e">
        <f t="shared" si="34"/>
        <v>#N/A</v>
      </c>
    </row>
    <row r="2097" spans="5:5">
      <c r="E2097" t="e">
        <f t="shared" si="34"/>
        <v>#N/A</v>
      </c>
    </row>
    <row r="2098" spans="5:5">
      <c r="E2098" t="e">
        <f t="shared" si="34"/>
        <v>#N/A</v>
      </c>
    </row>
    <row r="2099" spans="5:5">
      <c r="E2099" t="e">
        <f t="shared" si="34"/>
        <v>#N/A</v>
      </c>
    </row>
    <row r="2100" spans="5:5">
      <c r="E2100" t="e">
        <f t="shared" si="34"/>
        <v>#N/A</v>
      </c>
    </row>
    <row r="2101" spans="5:5">
      <c r="E2101" t="e">
        <f t="shared" si="34"/>
        <v>#N/A</v>
      </c>
    </row>
    <row r="2102" spans="5:5">
      <c r="E2102" t="e">
        <f t="shared" si="34"/>
        <v>#N/A</v>
      </c>
    </row>
    <row r="2103" spans="5:5">
      <c r="E2103" t="e">
        <f t="shared" si="34"/>
        <v>#N/A</v>
      </c>
    </row>
    <row r="2104" spans="5:5">
      <c r="E2104" t="e">
        <f t="shared" si="34"/>
        <v>#N/A</v>
      </c>
    </row>
    <row r="2105" spans="5:5">
      <c r="E2105" t="e">
        <f t="shared" si="34"/>
        <v>#N/A</v>
      </c>
    </row>
    <row r="2106" spans="5:5">
      <c r="E2106" t="e">
        <f t="shared" si="34"/>
        <v>#N/A</v>
      </c>
    </row>
    <row r="2107" spans="5:5">
      <c r="E2107" t="e">
        <f t="shared" si="34"/>
        <v>#N/A</v>
      </c>
    </row>
    <row r="2108" spans="5:5">
      <c r="E2108" t="e">
        <f t="shared" si="34"/>
        <v>#N/A</v>
      </c>
    </row>
    <row r="2109" spans="5:5">
      <c r="E2109" t="e">
        <f t="shared" si="34"/>
        <v>#N/A</v>
      </c>
    </row>
    <row r="2110" spans="5:5">
      <c r="E2110" t="e">
        <f t="shared" si="34"/>
        <v>#N/A</v>
      </c>
    </row>
    <row r="2111" spans="5:5">
      <c r="E2111" t="e">
        <f t="shared" si="34"/>
        <v>#N/A</v>
      </c>
    </row>
    <row r="2112" spans="5:5">
      <c r="E2112" t="e">
        <f t="shared" si="34"/>
        <v>#N/A</v>
      </c>
    </row>
    <row r="2113" spans="5:5">
      <c r="E2113" t="e">
        <f t="shared" si="34"/>
        <v>#N/A</v>
      </c>
    </row>
    <row r="2114" spans="5:5">
      <c r="E2114" t="e">
        <f t="shared" si="34"/>
        <v>#N/A</v>
      </c>
    </row>
    <row r="2115" spans="5:5">
      <c r="E2115" t="e">
        <f t="shared" si="34"/>
        <v>#N/A</v>
      </c>
    </row>
    <row r="2116" spans="5:5">
      <c r="E2116" t="e">
        <f t="shared" si="34"/>
        <v>#N/A</v>
      </c>
    </row>
    <row r="2117" spans="5:5">
      <c r="E2117" t="e">
        <f t="shared" si="34"/>
        <v>#N/A</v>
      </c>
    </row>
    <row r="2118" spans="5:5">
      <c r="E2118" t="e">
        <f t="shared" si="34"/>
        <v>#N/A</v>
      </c>
    </row>
    <row r="2119" spans="5:5">
      <c r="E2119" t="e">
        <f t="shared" si="34"/>
        <v>#N/A</v>
      </c>
    </row>
    <row r="2120" spans="5:5">
      <c r="E2120" t="e">
        <f t="shared" si="34"/>
        <v>#N/A</v>
      </c>
    </row>
    <row r="2121" spans="5:5">
      <c r="E2121" t="e">
        <f t="shared" si="34"/>
        <v>#N/A</v>
      </c>
    </row>
    <row r="2122" spans="5:5">
      <c r="E2122" t="e">
        <f t="shared" si="34"/>
        <v>#N/A</v>
      </c>
    </row>
    <row r="2123" spans="5:5">
      <c r="E2123" t="e">
        <f t="shared" si="34"/>
        <v>#N/A</v>
      </c>
    </row>
    <row r="2124" spans="5:5">
      <c r="E2124" t="e">
        <f t="shared" si="34"/>
        <v>#N/A</v>
      </c>
    </row>
    <row r="2125" spans="5:5">
      <c r="E2125" t="e">
        <f t="shared" ref="E2125:E2188" si="35">VLOOKUP(B2125,$Q$13:$R$61,2,FALSE)</f>
        <v>#N/A</v>
      </c>
    </row>
    <row r="2126" spans="5:5">
      <c r="E2126" t="e">
        <f t="shared" si="35"/>
        <v>#N/A</v>
      </c>
    </row>
    <row r="2127" spans="5:5">
      <c r="E2127" t="e">
        <f t="shared" si="35"/>
        <v>#N/A</v>
      </c>
    </row>
    <row r="2128" spans="5:5">
      <c r="E2128" t="e">
        <f t="shared" si="35"/>
        <v>#N/A</v>
      </c>
    </row>
    <row r="2129" spans="5:5">
      <c r="E2129" t="e">
        <f t="shared" si="35"/>
        <v>#N/A</v>
      </c>
    </row>
    <row r="2130" spans="5:5">
      <c r="E2130" t="e">
        <f t="shared" si="35"/>
        <v>#N/A</v>
      </c>
    </row>
    <row r="2131" spans="5:5">
      <c r="E2131" t="e">
        <f t="shared" si="35"/>
        <v>#N/A</v>
      </c>
    </row>
    <row r="2132" spans="5:5">
      <c r="E2132" t="e">
        <f t="shared" si="35"/>
        <v>#N/A</v>
      </c>
    </row>
    <row r="2133" spans="5:5">
      <c r="E2133" t="e">
        <f t="shared" si="35"/>
        <v>#N/A</v>
      </c>
    </row>
    <row r="2134" spans="5:5">
      <c r="E2134" t="e">
        <f t="shared" si="35"/>
        <v>#N/A</v>
      </c>
    </row>
    <row r="2135" spans="5:5">
      <c r="E2135" t="e">
        <f t="shared" si="35"/>
        <v>#N/A</v>
      </c>
    </row>
    <row r="2136" spans="5:5">
      <c r="E2136" t="e">
        <f t="shared" si="35"/>
        <v>#N/A</v>
      </c>
    </row>
    <row r="2137" spans="5:5">
      <c r="E2137" t="e">
        <f t="shared" si="35"/>
        <v>#N/A</v>
      </c>
    </row>
    <row r="2138" spans="5:5">
      <c r="E2138" t="e">
        <f t="shared" si="35"/>
        <v>#N/A</v>
      </c>
    </row>
    <row r="2139" spans="5:5">
      <c r="E2139" t="e">
        <f t="shared" si="35"/>
        <v>#N/A</v>
      </c>
    </row>
    <row r="2140" spans="5:5">
      <c r="E2140" t="e">
        <f t="shared" si="35"/>
        <v>#N/A</v>
      </c>
    </row>
    <row r="2141" spans="5:5">
      <c r="E2141" t="e">
        <f t="shared" si="35"/>
        <v>#N/A</v>
      </c>
    </row>
    <row r="2142" spans="5:5">
      <c r="E2142" t="e">
        <f t="shared" si="35"/>
        <v>#N/A</v>
      </c>
    </row>
    <row r="2143" spans="5:5">
      <c r="E2143" t="e">
        <f t="shared" si="35"/>
        <v>#N/A</v>
      </c>
    </row>
    <row r="2144" spans="5:5">
      <c r="E2144" t="e">
        <f t="shared" si="35"/>
        <v>#N/A</v>
      </c>
    </row>
    <row r="2145" spans="5:5">
      <c r="E2145" t="e">
        <f t="shared" si="35"/>
        <v>#N/A</v>
      </c>
    </row>
    <row r="2146" spans="5:5">
      <c r="E2146" t="e">
        <f t="shared" si="35"/>
        <v>#N/A</v>
      </c>
    </row>
    <row r="2147" spans="5:5">
      <c r="E2147" t="e">
        <f t="shared" si="35"/>
        <v>#N/A</v>
      </c>
    </row>
    <row r="2148" spans="5:5">
      <c r="E2148" t="e">
        <f t="shared" si="35"/>
        <v>#N/A</v>
      </c>
    </row>
    <row r="2149" spans="5:5">
      <c r="E2149" t="e">
        <f t="shared" si="35"/>
        <v>#N/A</v>
      </c>
    </row>
    <row r="2150" spans="5:5">
      <c r="E2150" t="e">
        <f t="shared" si="35"/>
        <v>#N/A</v>
      </c>
    </row>
    <row r="2151" spans="5:5">
      <c r="E2151" t="e">
        <f t="shared" si="35"/>
        <v>#N/A</v>
      </c>
    </row>
    <row r="2152" spans="5:5">
      <c r="E2152" t="e">
        <f t="shared" si="35"/>
        <v>#N/A</v>
      </c>
    </row>
    <row r="2153" spans="5:5">
      <c r="E2153" t="e">
        <f t="shared" si="35"/>
        <v>#N/A</v>
      </c>
    </row>
    <row r="2154" spans="5:5">
      <c r="E2154" t="e">
        <f t="shared" si="35"/>
        <v>#N/A</v>
      </c>
    </row>
    <row r="2155" spans="5:5">
      <c r="E2155" t="e">
        <f t="shared" si="35"/>
        <v>#N/A</v>
      </c>
    </row>
    <row r="2156" spans="5:5">
      <c r="E2156" t="e">
        <f t="shared" si="35"/>
        <v>#N/A</v>
      </c>
    </row>
    <row r="2157" spans="5:5">
      <c r="E2157" t="e">
        <f t="shared" si="35"/>
        <v>#N/A</v>
      </c>
    </row>
    <row r="2158" spans="5:5">
      <c r="E2158" t="e">
        <f t="shared" si="35"/>
        <v>#N/A</v>
      </c>
    </row>
    <row r="2159" spans="5:5">
      <c r="E2159" t="e">
        <f t="shared" si="35"/>
        <v>#N/A</v>
      </c>
    </row>
    <row r="2160" spans="5:5">
      <c r="E2160" t="e">
        <f t="shared" si="35"/>
        <v>#N/A</v>
      </c>
    </row>
    <row r="2161" spans="5:5">
      <c r="E2161" t="e">
        <f t="shared" si="35"/>
        <v>#N/A</v>
      </c>
    </row>
    <row r="2162" spans="5:5">
      <c r="E2162" t="e">
        <f t="shared" si="35"/>
        <v>#N/A</v>
      </c>
    </row>
    <row r="2163" spans="5:5">
      <c r="E2163" t="e">
        <f t="shared" si="35"/>
        <v>#N/A</v>
      </c>
    </row>
    <row r="2164" spans="5:5">
      <c r="E2164" t="e">
        <f t="shared" si="35"/>
        <v>#N/A</v>
      </c>
    </row>
    <row r="2165" spans="5:5">
      <c r="E2165" t="e">
        <f t="shared" si="35"/>
        <v>#N/A</v>
      </c>
    </row>
    <row r="2166" spans="5:5">
      <c r="E2166" t="e">
        <f t="shared" si="35"/>
        <v>#N/A</v>
      </c>
    </row>
    <row r="2167" spans="5:5">
      <c r="E2167" t="e">
        <f t="shared" si="35"/>
        <v>#N/A</v>
      </c>
    </row>
    <row r="2168" spans="5:5">
      <c r="E2168" t="e">
        <f t="shared" si="35"/>
        <v>#N/A</v>
      </c>
    </row>
    <row r="2169" spans="5:5">
      <c r="E2169" t="e">
        <f t="shared" si="35"/>
        <v>#N/A</v>
      </c>
    </row>
    <row r="2170" spans="5:5">
      <c r="E2170" t="e">
        <f t="shared" si="35"/>
        <v>#N/A</v>
      </c>
    </row>
    <row r="2171" spans="5:5">
      <c r="E2171" t="e">
        <f t="shared" si="35"/>
        <v>#N/A</v>
      </c>
    </row>
    <row r="2172" spans="5:5">
      <c r="E2172" t="e">
        <f t="shared" si="35"/>
        <v>#N/A</v>
      </c>
    </row>
    <row r="2173" spans="5:5">
      <c r="E2173" t="e">
        <f t="shared" si="35"/>
        <v>#N/A</v>
      </c>
    </row>
    <row r="2174" spans="5:5">
      <c r="E2174" t="e">
        <f t="shared" si="35"/>
        <v>#N/A</v>
      </c>
    </row>
    <row r="2175" spans="5:5">
      <c r="E2175" t="e">
        <f t="shared" si="35"/>
        <v>#N/A</v>
      </c>
    </row>
    <row r="2176" spans="5:5">
      <c r="E2176" t="e">
        <f t="shared" si="35"/>
        <v>#N/A</v>
      </c>
    </row>
    <row r="2177" spans="5:5">
      <c r="E2177" t="e">
        <f t="shared" si="35"/>
        <v>#N/A</v>
      </c>
    </row>
    <row r="2178" spans="5:5">
      <c r="E2178" t="e">
        <f t="shared" si="35"/>
        <v>#N/A</v>
      </c>
    </row>
    <row r="2179" spans="5:5">
      <c r="E2179" t="e">
        <f t="shared" si="35"/>
        <v>#N/A</v>
      </c>
    </row>
    <row r="2180" spans="5:5">
      <c r="E2180" t="e">
        <f t="shared" si="35"/>
        <v>#N/A</v>
      </c>
    </row>
    <row r="2181" spans="5:5">
      <c r="E2181" t="e">
        <f t="shared" si="35"/>
        <v>#N/A</v>
      </c>
    </row>
    <row r="2182" spans="5:5">
      <c r="E2182" t="e">
        <f t="shared" si="35"/>
        <v>#N/A</v>
      </c>
    </row>
    <row r="2183" spans="5:5">
      <c r="E2183" t="e">
        <f t="shared" si="35"/>
        <v>#N/A</v>
      </c>
    </row>
    <row r="2184" spans="5:5">
      <c r="E2184" t="e">
        <f t="shared" si="35"/>
        <v>#N/A</v>
      </c>
    </row>
    <row r="2185" spans="5:5">
      <c r="E2185" t="e">
        <f t="shared" si="35"/>
        <v>#N/A</v>
      </c>
    </row>
    <row r="2186" spans="5:5">
      <c r="E2186" t="e">
        <f t="shared" si="35"/>
        <v>#N/A</v>
      </c>
    </row>
    <row r="2187" spans="5:5">
      <c r="E2187" t="e">
        <f t="shared" si="35"/>
        <v>#N/A</v>
      </c>
    </row>
    <row r="2188" spans="5:5">
      <c r="E2188" t="e">
        <f t="shared" si="35"/>
        <v>#N/A</v>
      </c>
    </row>
    <row r="2189" spans="5:5">
      <c r="E2189" t="e">
        <f t="shared" ref="E2189:E2252" si="36">VLOOKUP(B2189,$Q$13:$R$61,2,FALSE)</f>
        <v>#N/A</v>
      </c>
    </row>
    <row r="2190" spans="5:5">
      <c r="E2190" t="e">
        <f t="shared" si="36"/>
        <v>#N/A</v>
      </c>
    </row>
    <row r="2191" spans="5:5">
      <c r="E2191" t="e">
        <f t="shared" si="36"/>
        <v>#N/A</v>
      </c>
    </row>
    <row r="2192" spans="5:5">
      <c r="E2192" t="e">
        <f t="shared" si="36"/>
        <v>#N/A</v>
      </c>
    </row>
    <row r="2193" spans="5:5">
      <c r="E2193" t="e">
        <f t="shared" si="36"/>
        <v>#N/A</v>
      </c>
    </row>
    <row r="2194" spans="5:5">
      <c r="E2194" t="e">
        <f t="shared" si="36"/>
        <v>#N/A</v>
      </c>
    </row>
    <row r="2195" spans="5:5">
      <c r="E2195" t="e">
        <f t="shared" si="36"/>
        <v>#N/A</v>
      </c>
    </row>
    <row r="2196" spans="5:5">
      <c r="E2196" t="e">
        <f t="shared" si="36"/>
        <v>#N/A</v>
      </c>
    </row>
    <row r="2197" spans="5:5">
      <c r="E2197" t="e">
        <f t="shared" si="36"/>
        <v>#N/A</v>
      </c>
    </row>
    <row r="2198" spans="5:5">
      <c r="E2198" t="e">
        <f t="shared" si="36"/>
        <v>#N/A</v>
      </c>
    </row>
    <row r="2199" spans="5:5">
      <c r="E2199" t="e">
        <f t="shared" si="36"/>
        <v>#N/A</v>
      </c>
    </row>
    <row r="2200" spans="5:5">
      <c r="E2200" t="e">
        <f t="shared" si="36"/>
        <v>#N/A</v>
      </c>
    </row>
    <row r="2201" spans="5:5">
      <c r="E2201" t="e">
        <f t="shared" si="36"/>
        <v>#N/A</v>
      </c>
    </row>
    <row r="2202" spans="5:5">
      <c r="E2202" t="e">
        <f t="shared" si="36"/>
        <v>#N/A</v>
      </c>
    </row>
    <row r="2203" spans="5:5">
      <c r="E2203" t="e">
        <f t="shared" si="36"/>
        <v>#N/A</v>
      </c>
    </row>
    <row r="2204" spans="5:5">
      <c r="E2204" t="e">
        <f t="shared" si="36"/>
        <v>#N/A</v>
      </c>
    </row>
    <row r="2205" spans="5:5">
      <c r="E2205" t="e">
        <f t="shared" si="36"/>
        <v>#N/A</v>
      </c>
    </row>
    <row r="2206" spans="5:5">
      <c r="E2206" t="e">
        <f t="shared" si="36"/>
        <v>#N/A</v>
      </c>
    </row>
    <row r="2207" spans="5:5">
      <c r="E2207" t="e">
        <f t="shared" si="36"/>
        <v>#N/A</v>
      </c>
    </row>
    <row r="2208" spans="5:5">
      <c r="E2208" t="e">
        <f t="shared" si="36"/>
        <v>#N/A</v>
      </c>
    </row>
    <row r="2209" spans="5:5">
      <c r="E2209" t="e">
        <f t="shared" si="36"/>
        <v>#N/A</v>
      </c>
    </row>
    <row r="2210" spans="5:5">
      <c r="E2210" t="e">
        <f t="shared" si="36"/>
        <v>#N/A</v>
      </c>
    </row>
    <row r="2211" spans="5:5">
      <c r="E2211" t="e">
        <f t="shared" si="36"/>
        <v>#N/A</v>
      </c>
    </row>
    <row r="2212" spans="5:5">
      <c r="E2212" t="e">
        <f t="shared" si="36"/>
        <v>#N/A</v>
      </c>
    </row>
    <row r="2213" spans="5:5">
      <c r="E2213" t="e">
        <f t="shared" si="36"/>
        <v>#N/A</v>
      </c>
    </row>
    <row r="2214" spans="5:5">
      <c r="E2214" t="e">
        <f t="shared" si="36"/>
        <v>#N/A</v>
      </c>
    </row>
    <row r="2215" spans="5:5">
      <c r="E2215" t="e">
        <f t="shared" si="36"/>
        <v>#N/A</v>
      </c>
    </row>
    <row r="2216" spans="5:5">
      <c r="E2216" t="e">
        <f t="shared" si="36"/>
        <v>#N/A</v>
      </c>
    </row>
    <row r="2217" spans="5:5">
      <c r="E2217" t="e">
        <f t="shared" si="36"/>
        <v>#N/A</v>
      </c>
    </row>
    <row r="2218" spans="5:5">
      <c r="E2218" t="e">
        <f t="shared" si="36"/>
        <v>#N/A</v>
      </c>
    </row>
    <row r="2219" spans="5:5">
      <c r="E2219" t="e">
        <f t="shared" si="36"/>
        <v>#N/A</v>
      </c>
    </row>
    <row r="2220" spans="5:5">
      <c r="E2220" t="e">
        <f t="shared" si="36"/>
        <v>#N/A</v>
      </c>
    </row>
    <row r="2221" spans="5:5">
      <c r="E2221" t="e">
        <f t="shared" si="36"/>
        <v>#N/A</v>
      </c>
    </row>
    <row r="2222" spans="5:5">
      <c r="E2222" t="e">
        <f t="shared" si="36"/>
        <v>#N/A</v>
      </c>
    </row>
    <row r="2223" spans="5:5">
      <c r="E2223" t="e">
        <f t="shared" si="36"/>
        <v>#N/A</v>
      </c>
    </row>
    <row r="2224" spans="5:5">
      <c r="E2224" t="e">
        <f t="shared" si="36"/>
        <v>#N/A</v>
      </c>
    </row>
    <row r="2225" spans="5:5">
      <c r="E2225" t="e">
        <f t="shared" si="36"/>
        <v>#N/A</v>
      </c>
    </row>
    <row r="2226" spans="5:5">
      <c r="E2226" t="e">
        <f t="shared" si="36"/>
        <v>#N/A</v>
      </c>
    </row>
    <row r="2227" spans="5:5">
      <c r="E2227" t="e">
        <f t="shared" si="36"/>
        <v>#N/A</v>
      </c>
    </row>
    <row r="2228" spans="5:5">
      <c r="E2228" t="e">
        <f t="shared" si="36"/>
        <v>#N/A</v>
      </c>
    </row>
    <row r="2229" spans="5:5">
      <c r="E2229" t="e">
        <f t="shared" si="36"/>
        <v>#N/A</v>
      </c>
    </row>
    <row r="2230" spans="5:5">
      <c r="E2230" t="e">
        <f t="shared" si="36"/>
        <v>#N/A</v>
      </c>
    </row>
    <row r="2231" spans="5:5">
      <c r="E2231" t="e">
        <f t="shared" si="36"/>
        <v>#N/A</v>
      </c>
    </row>
    <row r="2232" spans="5:5">
      <c r="E2232" t="e">
        <f t="shared" si="36"/>
        <v>#N/A</v>
      </c>
    </row>
    <row r="2233" spans="5:5">
      <c r="E2233" t="e">
        <f t="shared" si="36"/>
        <v>#N/A</v>
      </c>
    </row>
    <row r="2234" spans="5:5">
      <c r="E2234" t="e">
        <f t="shared" si="36"/>
        <v>#N/A</v>
      </c>
    </row>
    <row r="2235" spans="5:5">
      <c r="E2235" t="e">
        <f t="shared" si="36"/>
        <v>#N/A</v>
      </c>
    </row>
    <row r="2236" spans="5:5">
      <c r="E2236" t="e">
        <f t="shared" si="36"/>
        <v>#N/A</v>
      </c>
    </row>
    <row r="2237" spans="5:5">
      <c r="E2237" t="e">
        <f t="shared" si="36"/>
        <v>#N/A</v>
      </c>
    </row>
    <row r="2238" spans="5:5">
      <c r="E2238" t="e">
        <f t="shared" si="36"/>
        <v>#N/A</v>
      </c>
    </row>
    <row r="2239" spans="5:5">
      <c r="E2239" t="e">
        <f t="shared" si="36"/>
        <v>#N/A</v>
      </c>
    </row>
    <row r="2240" spans="5:5">
      <c r="E2240" t="e">
        <f t="shared" si="36"/>
        <v>#N/A</v>
      </c>
    </row>
    <row r="2241" spans="5:5">
      <c r="E2241" t="e">
        <f t="shared" si="36"/>
        <v>#N/A</v>
      </c>
    </row>
    <row r="2242" spans="5:5">
      <c r="E2242" t="e">
        <f t="shared" si="36"/>
        <v>#N/A</v>
      </c>
    </row>
    <row r="2243" spans="5:5">
      <c r="E2243" t="e">
        <f t="shared" si="36"/>
        <v>#N/A</v>
      </c>
    </row>
    <row r="2244" spans="5:5">
      <c r="E2244" t="e">
        <f t="shared" si="36"/>
        <v>#N/A</v>
      </c>
    </row>
    <row r="2245" spans="5:5">
      <c r="E2245" t="e">
        <f t="shared" si="36"/>
        <v>#N/A</v>
      </c>
    </row>
    <row r="2246" spans="5:5">
      <c r="E2246" t="e">
        <f t="shared" si="36"/>
        <v>#N/A</v>
      </c>
    </row>
    <row r="2247" spans="5:5">
      <c r="E2247" t="e">
        <f t="shared" si="36"/>
        <v>#N/A</v>
      </c>
    </row>
    <row r="2248" spans="5:5">
      <c r="E2248" t="e">
        <f t="shared" si="36"/>
        <v>#N/A</v>
      </c>
    </row>
    <row r="2249" spans="5:5">
      <c r="E2249" t="e">
        <f t="shared" si="36"/>
        <v>#N/A</v>
      </c>
    </row>
    <row r="2250" spans="5:5">
      <c r="E2250" t="e">
        <f t="shared" si="36"/>
        <v>#N/A</v>
      </c>
    </row>
    <row r="2251" spans="5:5">
      <c r="E2251" t="e">
        <f t="shared" si="36"/>
        <v>#N/A</v>
      </c>
    </row>
    <row r="2252" spans="5:5">
      <c r="E2252" t="e">
        <f t="shared" si="36"/>
        <v>#N/A</v>
      </c>
    </row>
    <row r="2253" spans="5:5">
      <c r="E2253" t="e">
        <f t="shared" ref="E2253:E2316" si="37">VLOOKUP(B2253,$Q$13:$R$61,2,FALSE)</f>
        <v>#N/A</v>
      </c>
    </row>
    <row r="2254" spans="5:5">
      <c r="E2254" t="e">
        <f t="shared" si="37"/>
        <v>#N/A</v>
      </c>
    </row>
    <row r="2255" spans="5:5">
      <c r="E2255" t="e">
        <f t="shared" si="37"/>
        <v>#N/A</v>
      </c>
    </row>
    <row r="2256" spans="5:5">
      <c r="E2256" t="e">
        <f t="shared" si="37"/>
        <v>#N/A</v>
      </c>
    </row>
    <row r="2257" spans="5:5">
      <c r="E2257" t="e">
        <f t="shared" si="37"/>
        <v>#N/A</v>
      </c>
    </row>
    <row r="2258" spans="5:5">
      <c r="E2258" t="e">
        <f t="shared" si="37"/>
        <v>#N/A</v>
      </c>
    </row>
    <row r="2259" spans="5:5">
      <c r="E2259" t="e">
        <f t="shared" si="37"/>
        <v>#N/A</v>
      </c>
    </row>
    <row r="2260" spans="5:5">
      <c r="E2260" t="e">
        <f t="shared" si="37"/>
        <v>#N/A</v>
      </c>
    </row>
    <row r="2261" spans="5:5">
      <c r="E2261" t="e">
        <f t="shared" si="37"/>
        <v>#N/A</v>
      </c>
    </row>
    <row r="2262" spans="5:5">
      <c r="E2262" t="e">
        <f t="shared" si="37"/>
        <v>#N/A</v>
      </c>
    </row>
    <row r="2263" spans="5:5">
      <c r="E2263" t="e">
        <f t="shared" si="37"/>
        <v>#N/A</v>
      </c>
    </row>
    <row r="2264" spans="5:5">
      <c r="E2264" t="e">
        <f t="shared" si="37"/>
        <v>#N/A</v>
      </c>
    </row>
    <row r="2265" spans="5:5">
      <c r="E2265" t="e">
        <f t="shared" si="37"/>
        <v>#N/A</v>
      </c>
    </row>
    <row r="2266" spans="5:5">
      <c r="E2266" t="e">
        <f t="shared" si="37"/>
        <v>#N/A</v>
      </c>
    </row>
    <row r="2267" spans="5:5">
      <c r="E2267" t="e">
        <f t="shared" si="37"/>
        <v>#N/A</v>
      </c>
    </row>
    <row r="2268" spans="5:5">
      <c r="E2268" t="e">
        <f t="shared" si="37"/>
        <v>#N/A</v>
      </c>
    </row>
    <row r="2269" spans="5:5">
      <c r="E2269" t="e">
        <f t="shared" si="37"/>
        <v>#N/A</v>
      </c>
    </row>
    <row r="2270" spans="5:5">
      <c r="E2270" t="e">
        <f t="shared" si="37"/>
        <v>#N/A</v>
      </c>
    </row>
    <row r="2271" spans="5:5">
      <c r="E2271" t="e">
        <f t="shared" si="37"/>
        <v>#N/A</v>
      </c>
    </row>
    <row r="2272" spans="5:5">
      <c r="E2272" t="e">
        <f t="shared" si="37"/>
        <v>#N/A</v>
      </c>
    </row>
    <row r="2273" spans="5:5">
      <c r="E2273" t="e">
        <f t="shared" si="37"/>
        <v>#N/A</v>
      </c>
    </row>
    <row r="2274" spans="5:5">
      <c r="E2274" t="e">
        <f t="shared" si="37"/>
        <v>#N/A</v>
      </c>
    </row>
    <row r="2275" spans="5:5">
      <c r="E2275" t="e">
        <f t="shared" si="37"/>
        <v>#N/A</v>
      </c>
    </row>
    <row r="2276" spans="5:5">
      <c r="E2276" t="e">
        <f t="shared" si="37"/>
        <v>#N/A</v>
      </c>
    </row>
    <row r="2277" spans="5:5">
      <c r="E2277" t="e">
        <f t="shared" si="37"/>
        <v>#N/A</v>
      </c>
    </row>
    <row r="2278" spans="5:5">
      <c r="E2278" t="e">
        <f t="shared" si="37"/>
        <v>#N/A</v>
      </c>
    </row>
    <row r="2279" spans="5:5">
      <c r="E2279" t="e">
        <f t="shared" si="37"/>
        <v>#N/A</v>
      </c>
    </row>
    <row r="2280" spans="5:5">
      <c r="E2280" t="e">
        <f t="shared" si="37"/>
        <v>#N/A</v>
      </c>
    </row>
    <row r="2281" spans="5:5">
      <c r="E2281" t="e">
        <f t="shared" si="37"/>
        <v>#N/A</v>
      </c>
    </row>
    <row r="2282" spans="5:5">
      <c r="E2282" t="e">
        <f t="shared" si="37"/>
        <v>#N/A</v>
      </c>
    </row>
    <row r="2283" spans="5:5">
      <c r="E2283" t="e">
        <f t="shared" si="37"/>
        <v>#N/A</v>
      </c>
    </row>
    <row r="2284" spans="5:5">
      <c r="E2284" t="e">
        <f t="shared" si="37"/>
        <v>#N/A</v>
      </c>
    </row>
    <row r="2285" spans="5:5">
      <c r="E2285" t="e">
        <f t="shared" si="37"/>
        <v>#N/A</v>
      </c>
    </row>
    <row r="2286" spans="5:5">
      <c r="E2286" t="e">
        <f t="shared" si="37"/>
        <v>#N/A</v>
      </c>
    </row>
    <row r="2287" spans="5:5">
      <c r="E2287" t="e">
        <f t="shared" si="37"/>
        <v>#N/A</v>
      </c>
    </row>
    <row r="2288" spans="5:5">
      <c r="E2288" t="e">
        <f t="shared" si="37"/>
        <v>#N/A</v>
      </c>
    </row>
    <row r="2289" spans="5:5">
      <c r="E2289" t="e">
        <f t="shared" si="37"/>
        <v>#N/A</v>
      </c>
    </row>
    <row r="2290" spans="5:5">
      <c r="E2290" t="e">
        <f t="shared" si="37"/>
        <v>#N/A</v>
      </c>
    </row>
    <row r="2291" spans="5:5">
      <c r="E2291" t="e">
        <f t="shared" si="37"/>
        <v>#N/A</v>
      </c>
    </row>
    <row r="2292" spans="5:5">
      <c r="E2292" t="e">
        <f t="shared" si="37"/>
        <v>#N/A</v>
      </c>
    </row>
    <row r="2293" spans="5:5">
      <c r="E2293" t="e">
        <f t="shared" si="37"/>
        <v>#N/A</v>
      </c>
    </row>
    <row r="2294" spans="5:5">
      <c r="E2294" t="e">
        <f t="shared" si="37"/>
        <v>#N/A</v>
      </c>
    </row>
    <row r="2295" spans="5:5">
      <c r="E2295" t="e">
        <f t="shared" si="37"/>
        <v>#N/A</v>
      </c>
    </row>
    <row r="2296" spans="5:5">
      <c r="E2296" t="e">
        <f t="shared" si="37"/>
        <v>#N/A</v>
      </c>
    </row>
    <row r="2297" spans="5:5">
      <c r="E2297" t="e">
        <f t="shared" si="37"/>
        <v>#N/A</v>
      </c>
    </row>
    <row r="2298" spans="5:5">
      <c r="E2298" t="e">
        <f t="shared" si="37"/>
        <v>#N/A</v>
      </c>
    </row>
    <row r="2299" spans="5:5">
      <c r="E2299" t="e">
        <f t="shared" si="37"/>
        <v>#N/A</v>
      </c>
    </row>
    <row r="2300" spans="5:5">
      <c r="E2300" t="e">
        <f t="shared" si="37"/>
        <v>#N/A</v>
      </c>
    </row>
    <row r="2301" spans="5:5">
      <c r="E2301" t="e">
        <f t="shared" si="37"/>
        <v>#N/A</v>
      </c>
    </row>
    <row r="2302" spans="5:5">
      <c r="E2302" t="e">
        <f t="shared" si="37"/>
        <v>#N/A</v>
      </c>
    </row>
    <row r="2303" spans="5:5">
      <c r="E2303" t="e">
        <f t="shared" si="37"/>
        <v>#N/A</v>
      </c>
    </row>
    <row r="2304" spans="5:5">
      <c r="E2304" t="e">
        <f t="shared" si="37"/>
        <v>#N/A</v>
      </c>
    </row>
    <row r="2305" spans="5:5">
      <c r="E2305" t="e">
        <f t="shared" si="37"/>
        <v>#N/A</v>
      </c>
    </row>
    <row r="2306" spans="5:5">
      <c r="E2306" t="e">
        <f t="shared" si="37"/>
        <v>#N/A</v>
      </c>
    </row>
    <row r="2307" spans="5:5">
      <c r="E2307" t="e">
        <f t="shared" si="37"/>
        <v>#N/A</v>
      </c>
    </row>
    <row r="2308" spans="5:5">
      <c r="E2308" t="e">
        <f t="shared" si="37"/>
        <v>#N/A</v>
      </c>
    </row>
    <row r="2309" spans="5:5">
      <c r="E2309" t="e">
        <f t="shared" si="37"/>
        <v>#N/A</v>
      </c>
    </row>
    <row r="2310" spans="5:5">
      <c r="E2310" t="e">
        <f t="shared" si="37"/>
        <v>#N/A</v>
      </c>
    </row>
    <row r="2311" spans="5:5">
      <c r="E2311" t="e">
        <f t="shared" si="37"/>
        <v>#N/A</v>
      </c>
    </row>
    <row r="2312" spans="5:5">
      <c r="E2312" t="e">
        <f t="shared" si="37"/>
        <v>#N/A</v>
      </c>
    </row>
    <row r="2313" spans="5:5">
      <c r="E2313" t="e">
        <f t="shared" si="37"/>
        <v>#N/A</v>
      </c>
    </row>
    <row r="2314" spans="5:5">
      <c r="E2314" t="e">
        <f t="shared" si="37"/>
        <v>#N/A</v>
      </c>
    </row>
    <row r="2315" spans="5:5">
      <c r="E2315" t="e">
        <f t="shared" si="37"/>
        <v>#N/A</v>
      </c>
    </row>
    <row r="2316" spans="5:5">
      <c r="E2316" t="e">
        <f t="shared" si="37"/>
        <v>#N/A</v>
      </c>
    </row>
    <row r="2317" spans="5:5">
      <c r="E2317" t="e">
        <f t="shared" ref="E2317:E2380" si="38">VLOOKUP(B2317,$Q$13:$R$61,2,FALSE)</f>
        <v>#N/A</v>
      </c>
    </row>
    <row r="2318" spans="5:5">
      <c r="E2318" t="e">
        <f t="shared" si="38"/>
        <v>#N/A</v>
      </c>
    </row>
    <row r="2319" spans="5:5">
      <c r="E2319" t="e">
        <f t="shared" si="38"/>
        <v>#N/A</v>
      </c>
    </row>
    <row r="2320" spans="5:5">
      <c r="E2320" t="e">
        <f t="shared" si="38"/>
        <v>#N/A</v>
      </c>
    </row>
    <row r="2321" spans="5:5">
      <c r="E2321" t="e">
        <f t="shared" si="38"/>
        <v>#N/A</v>
      </c>
    </row>
    <row r="2322" spans="5:5">
      <c r="E2322" t="e">
        <f t="shared" si="38"/>
        <v>#N/A</v>
      </c>
    </row>
    <row r="2323" spans="5:5">
      <c r="E2323" t="e">
        <f t="shared" si="38"/>
        <v>#N/A</v>
      </c>
    </row>
    <row r="2324" spans="5:5">
      <c r="E2324" t="e">
        <f t="shared" si="38"/>
        <v>#N/A</v>
      </c>
    </row>
    <row r="2325" spans="5:5">
      <c r="E2325" t="e">
        <f t="shared" si="38"/>
        <v>#N/A</v>
      </c>
    </row>
    <row r="2326" spans="5:5">
      <c r="E2326" t="e">
        <f t="shared" si="38"/>
        <v>#N/A</v>
      </c>
    </row>
    <row r="2327" spans="5:5">
      <c r="E2327" t="e">
        <f t="shared" si="38"/>
        <v>#N/A</v>
      </c>
    </row>
    <row r="2328" spans="5:5">
      <c r="E2328" t="e">
        <f t="shared" si="38"/>
        <v>#N/A</v>
      </c>
    </row>
    <row r="2329" spans="5:5">
      <c r="E2329" t="e">
        <f t="shared" si="38"/>
        <v>#N/A</v>
      </c>
    </row>
    <row r="2330" spans="5:5">
      <c r="E2330" t="e">
        <f t="shared" si="38"/>
        <v>#N/A</v>
      </c>
    </row>
    <row r="2331" spans="5:5">
      <c r="E2331" t="e">
        <f t="shared" si="38"/>
        <v>#N/A</v>
      </c>
    </row>
    <row r="2332" spans="5:5">
      <c r="E2332" t="e">
        <f t="shared" si="38"/>
        <v>#N/A</v>
      </c>
    </row>
    <row r="2333" spans="5:5">
      <c r="E2333" t="e">
        <f t="shared" si="38"/>
        <v>#N/A</v>
      </c>
    </row>
    <row r="2334" spans="5:5">
      <c r="E2334" t="e">
        <f t="shared" si="38"/>
        <v>#N/A</v>
      </c>
    </row>
    <row r="2335" spans="5:5">
      <c r="E2335" t="e">
        <f t="shared" si="38"/>
        <v>#N/A</v>
      </c>
    </row>
    <row r="2336" spans="5:5">
      <c r="E2336" t="e">
        <f t="shared" si="38"/>
        <v>#N/A</v>
      </c>
    </row>
    <row r="2337" spans="5:5">
      <c r="E2337" t="e">
        <f t="shared" si="38"/>
        <v>#N/A</v>
      </c>
    </row>
    <row r="2338" spans="5:5">
      <c r="E2338" t="e">
        <f t="shared" si="38"/>
        <v>#N/A</v>
      </c>
    </row>
    <row r="2339" spans="5:5">
      <c r="E2339" t="e">
        <f t="shared" si="38"/>
        <v>#N/A</v>
      </c>
    </row>
    <row r="2340" spans="5:5">
      <c r="E2340" t="e">
        <f t="shared" si="38"/>
        <v>#N/A</v>
      </c>
    </row>
    <row r="2341" spans="5:5">
      <c r="E2341" t="e">
        <f t="shared" si="38"/>
        <v>#N/A</v>
      </c>
    </row>
    <row r="2342" spans="5:5">
      <c r="E2342" t="e">
        <f t="shared" si="38"/>
        <v>#N/A</v>
      </c>
    </row>
    <row r="2343" spans="5:5">
      <c r="E2343" t="e">
        <f t="shared" si="38"/>
        <v>#N/A</v>
      </c>
    </row>
    <row r="2344" spans="5:5">
      <c r="E2344" t="e">
        <f t="shared" si="38"/>
        <v>#N/A</v>
      </c>
    </row>
    <row r="2345" spans="5:5">
      <c r="E2345" t="e">
        <f t="shared" si="38"/>
        <v>#N/A</v>
      </c>
    </row>
    <row r="2346" spans="5:5">
      <c r="E2346" t="e">
        <f t="shared" si="38"/>
        <v>#N/A</v>
      </c>
    </row>
    <row r="2347" spans="5:5">
      <c r="E2347" t="e">
        <f t="shared" si="38"/>
        <v>#N/A</v>
      </c>
    </row>
    <row r="2348" spans="5:5">
      <c r="E2348" t="e">
        <f t="shared" si="38"/>
        <v>#N/A</v>
      </c>
    </row>
    <row r="2349" spans="5:5">
      <c r="E2349" t="e">
        <f t="shared" si="38"/>
        <v>#N/A</v>
      </c>
    </row>
    <row r="2350" spans="5:5">
      <c r="E2350" t="e">
        <f t="shared" si="38"/>
        <v>#N/A</v>
      </c>
    </row>
    <row r="2351" spans="5:5">
      <c r="E2351" t="e">
        <f t="shared" si="38"/>
        <v>#N/A</v>
      </c>
    </row>
    <row r="2352" spans="5:5">
      <c r="E2352" t="e">
        <f t="shared" si="38"/>
        <v>#N/A</v>
      </c>
    </row>
    <row r="2353" spans="5:5">
      <c r="E2353" t="e">
        <f t="shared" si="38"/>
        <v>#N/A</v>
      </c>
    </row>
    <row r="2354" spans="5:5">
      <c r="E2354" t="e">
        <f t="shared" si="38"/>
        <v>#N/A</v>
      </c>
    </row>
    <row r="2355" spans="5:5">
      <c r="E2355" t="e">
        <f t="shared" si="38"/>
        <v>#N/A</v>
      </c>
    </row>
    <row r="2356" spans="5:5">
      <c r="E2356" t="e">
        <f t="shared" si="38"/>
        <v>#N/A</v>
      </c>
    </row>
    <row r="2357" spans="5:5">
      <c r="E2357" t="e">
        <f t="shared" si="38"/>
        <v>#N/A</v>
      </c>
    </row>
    <row r="2358" spans="5:5">
      <c r="E2358" t="e">
        <f t="shared" si="38"/>
        <v>#N/A</v>
      </c>
    </row>
    <row r="2359" spans="5:5">
      <c r="E2359" t="e">
        <f t="shared" si="38"/>
        <v>#N/A</v>
      </c>
    </row>
    <row r="2360" spans="5:5">
      <c r="E2360" t="e">
        <f t="shared" si="38"/>
        <v>#N/A</v>
      </c>
    </row>
    <row r="2361" spans="5:5">
      <c r="E2361" t="e">
        <f t="shared" si="38"/>
        <v>#N/A</v>
      </c>
    </row>
    <row r="2362" spans="5:5">
      <c r="E2362" t="e">
        <f t="shared" si="38"/>
        <v>#N/A</v>
      </c>
    </row>
    <row r="2363" spans="5:5">
      <c r="E2363" t="e">
        <f t="shared" si="38"/>
        <v>#N/A</v>
      </c>
    </row>
    <row r="2364" spans="5:5">
      <c r="E2364" t="e">
        <f t="shared" si="38"/>
        <v>#N/A</v>
      </c>
    </row>
    <row r="2365" spans="5:5">
      <c r="E2365" t="e">
        <f t="shared" si="38"/>
        <v>#N/A</v>
      </c>
    </row>
    <row r="2366" spans="5:5">
      <c r="E2366" t="e">
        <f t="shared" si="38"/>
        <v>#N/A</v>
      </c>
    </row>
    <row r="2367" spans="5:5">
      <c r="E2367" t="e">
        <f t="shared" si="38"/>
        <v>#N/A</v>
      </c>
    </row>
    <row r="2368" spans="5:5">
      <c r="E2368" t="e">
        <f t="shared" si="38"/>
        <v>#N/A</v>
      </c>
    </row>
    <row r="2369" spans="1:5">
      <c r="E2369" t="e">
        <f t="shared" si="38"/>
        <v>#N/A</v>
      </c>
    </row>
    <row r="2370" spans="1:5">
      <c r="E2370" t="e">
        <f t="shared" si="38"/>
        <v>#N/A</v>
      </c>
    </row>
    <row r="2371" spans="1:5">
      <c r="E2371" t="e">
        <f t="shared" si="38"/>
        <v>#N/A</v>
      </c>
    </row>
    <row r="2372" spans="1:5">
      <c r="E2372" t="e">
        <f t="shared" si="38"/>
        <v>#N/A</v>
      </c>
    </row>
    <row r="2373" spans="1:5">
      <c r="E2373" t="e">
        <f t="shared" si="38"/>
        <v>#N/A</v>
      </c>
    </row>
    <row r="2374" spans="1:5">
      <c r="E2374" t="e">
        <f t="shared" si="38"/>
        <v>#N/A</v>
      </c>
    </row>
    <row r="2375" spans="1:5">
      <c r="E2375" t="e">
        <f t="shared" si="38"/>
        <v>#N/A</v>
      </c>
    </row>
    <row r="2376" spans="1:5">
      <c r="E2376" t="e">
        <f t="shared" si="38"/>
        <v>#N/A</v>
      </c>
    </row>
    <row r="2377" spans="1:5">
      <c r="E2377" t="e">
        <f t="shared" si="38"/>
        <v>#N/A</v>
      </c>
    </row>
    <row r="2378" spans="1:5">
      <c r="E2378" t="e">
        <f t="shared" si="38"/>
        <v>#N/A</v>
      </c>
    </row>
    <row r="2379" spans="1:5">
      <c r="E2379" t="e">
        <f t="shared" si="38"/>
        <v>#N/A</v>
      </c>
    </row>
    <row r="2380" spans="1:5">
      <c r="E2380" t="e">
        <f t="shared" si="38"/>
        <v>#N/A</v>
      </c>
    </row>
    <row r="2381" spans="1:5">
      <c r="E2381" t="e">
        <f t="shared" ref="E2381:E2444" si="39">VLOOKUP(B2381,$Q$13:$R$61,2,FALSE)</f>
        <v>#N/A</v>
      </c>
    </row>
    <row r="2382" spans="1:5">
      <c r="E2382" t="e">
        <f t="shared" si="39"/>
        <v>#N/A</v>
      </c>
    </row>
    <row r="2383" spans="1:5">
      <c r="A2383" s="62"/>
      <c r="E2383" t="e">
        <f t="shared" si="39"/>
        <v>#N/A</v>
      </c>
    </row>
    <row r="2384" spans="1:5">
      <c r="E2384" t="e">
        <f t="shared" si="39"/>
        <v>#N/A</v>
      </c>
    </row>
    <row r="2385" spans="5:5">
      <c r="E2385" t="e">
        <f t="shared" si="39"/>
        <v>#N/A</v>
      </c>
    </row>
    <row r="2386" spans="5:5">
      <c r="E2386" t="e">
        <f t="shared" si="39"/>
        <v>#N/A</v>
      </c>
    </row>
    <row r="2387" spans="5:5">
      <c r="E2387" t="e">
        <f t="shared" si="39"/>
        <v>#N/A</v>
      </c>
    </row>
    <row r="2388" spans="5:5">
      <c r="E2388" t="e">
        <f t="shared" si="39"/>
        <v>#N/A</v>
      </c>
    </row>
    <row r="2389" spans="5:5">
      <c r="E2389" t="e">
        <f t="shared" si="39"/>
        <v>#N/A</v>
      </c>
    </row>
    <row r="2390" spans="5:5">
      <c r="E2390" t="e">
        <f t="shared" si="39"/>
        <v>#N/A</v>
      </c>
    </row>
    <row r="2391" spans="5:5">
      <c r="E2391" t="e">
        <f t="shared" si="39"/>
        <v>#N/A</v>
      </c>
    </row>
    <row r="2392" spans="5:5">
      <c r="E2392" t="e">
        <f t="shared" si="39"/>
        <v>#N/A</v>
      </c>
    </row>
    <row r="2393" spans="5:5">
      <c r="E2393" t="e">
        <f t="shared" si="39"/>
        <v>#N/A</v>
      </c>
    </row>
    <row r="2394" spans="5:5">
      <c r="E2394" t="e">
        <f t="shared" si="39"/>
        <v>#N/A</v>
      </c>
    </row>
    <row r="2395" spans="5:5">
      <c r="E2395" t="e">
        <f t="shared" si="39"/>
        <v>#N/A</v>
      </c>
    </row>
    <row r="2396" spans="5:5">
      <c r="E2396" t="e">
        <f t="shared" si="39"/>
        <v>#N/A</v>
      </c>
    </row>
    <row r="2397" spans="5:5">
      <c r="E2397" t="e">
        <f t="shared" si="39"/>
        <v>#N/A</v>
      </c>
    </row>
    <row r="2398" spans="5:5">
      <c r="E2398" t="e">
        <f t="shared" si="39"/>
        <v>#N/A</v>
      </c>
    </row>
    <row r="2399" spans="5:5">
      <c r="E2399" t="e">
        <f t="shared" si="39"/>
        <v>#N/A</v>
      </c>
    </row>
    <row r="2400" spans="5:5">
      <c r="E2400" t="e">
        <f t="shared" si="39"/>
        <v>#N/A</v>
      </c>
    </row>
    <row r="2401" spans="5:5">
      <c r="E2401" t="e">
        <f t="shared" si="39"/>
        <v>#N/A</v>
      </c>
    </row>
    <row r="2402" spans="5:5">
      <c r="E2402" t="e">
        <f t="shared" si="39"/>
        <v>#N/A</v>
      </c>
    </row>
    <row r="2403" spans="5:5">
      <c r="E2403" t="e">
        <f t="shared" si="39"/>
        <v>#N/A</v>
      </c>
    </row>
    <row r="2404" spans="5:5">
      <c r="E2404" t="e">
        <f t="shared" si="39"/>
        <v>#N/A</v>
      </c>
    </row>
    <row r="2405" spans="5:5">
      <c r="E2405" t="e">
        <f t="shared" si="39"/>
        <v>#N/A</v>
      </c>
    </row>
    <row r="2406" spans="5:5">
      <c r="E2406" t="e">
        <f t="shared" si="39"/>
        <v>#N/A</v>
      </c>
    </row>
    <row r="2407" spans="5:5">
      <c r="E2407" t="e">
        <f t="shared" si="39"/>
        <v>#N/A</v>
      </c>
    </row>
    <row r="2408" spans="5:5">
      <c r="E2408" t="e">
        <f t="shared" si="39"/>
        <v>#N/A</v>
      </c>
    </row>
    <row r="2409" spans="5:5">
      <c r="E2409" t="e">
        <f t="shared" si="39"/>
        <v>#N/A</v>
      </c>
    </row>
    <row r="2410" spans="5:5">
      <c r="E2410" t="e">
        <f t="shared" si="39"/>
        <v>#N/A</v>
      </c>
    </row>
    <row r="2411" spans="5:5">
      <c r="E2411" t="e">
        <f t="shared" si="39"/>
        <v>#N/A</v>
      </c>
    </row>
    <row r="2412" spans="5:5">
      <c r="E2412" t="e">
        <f t="shared" si="39"/>
        <v>#N/A</v>
      </c>
    </row>
    <row r="2413" spans="5:5">
      <c r="E2413" t="e">
        <f t="shared" si="39"/>
        <v>#N/A</v>
      </c>
    </row>
    <row r="2414" spans="5:5">
      <c r="E2414" t="e">
        <f t="shared" si="39"/>
        <v>#N/A</v>
      </c>
    </row>
    <row r="2415" spans="5:5">
      <c r="E2415" t="e">
        <f t="shared" si="39"/>
        <v>#N/A</v>
      </c>
    </row>
    <row r="2416" spans="5:5">
      <c r="E2416" t="e">
        <f t="shared" si="39"/>
        <v>#N/A</v>
      </c>
    </row>
    <row r="2417" spans="5:5">
      <c r="E2417" t="e">
        <f t="shared" si="39"/>
        <v>#N/A</v>
      </c>
    </row>
    <row r="2418" spans="5:5">
      <c r="E2418" t="e">
        <f t="shared" si="39"/>
        <v>#N/A</v>
      </c>
    </row>
    <row r="2419" spans="5:5">
      <c r="E2419" t="e">
        <f t="shared" si="39"/>
        <v>#N/A</v>
      </c>
    </row>
    <row r="2420" spans="5:5">
      <c r="E2420" t="e">
        <f t="shared" si="39"/>
        <v>#N/A</v>
      </c>
    </row>
    <row r="2421" spans="5:5">
      <c r="E2421" t="e">
        <f t="shared" si="39"/>
        <v>#N/A</v>
      </c>
    </row>
    <row r="2422" spans="5:5">
      <c r="E2422" t="e">
        <f t="shared" si="39"/>
        <v>#N/A</v>
      </c>
    </row>
    <row r="2423" spans="5:5">
      <c r="E2423" t="e">
        <f t="shared" si="39"/>
        <v>#N/A</v>
      </c>
    </row>
    <row r="2424" spans="5:5">
      <c r="E2424" t="e">
        <f t="shared" si="39"/>
        <v>#N/A</v>
      </c>
    </row>
    <row r="2425" spans="5:5">
      <c r="E2425" t="e">
        <f t="shared" si="39"/>
        <v>#N/A</v>
      </c>
    </row>
    <row r="2426" spans="5:5">
      <c r="E2426" t="e">
        <f t="shared" si="39"/>
        <v>#N/A</v>
      </c>
    </row>
    <row r="2427" spans="5:5">
      <c r="E2427" t="e">
        <f t="shared" si="39"/>
        <v>#N/A</v>
      </c>
    </row>
    <row r="2428" spans="5:5">
      <c r="E2428" t="e">
        <f t="shared" si="39"/>
        <v>#N/A</v>
      </c>
    </row>
    <row r="2429" spans="5:5">
      <c r="E2429" t="e">
        <f t="shared" si="39"/>
        <v>#N/A</v>
      </c>
    </row>
    <row r="2430" spans="5:5">
      <c r="E2430" t="e">
        <f t="shared" si="39"/>
        <v>#N/A</v>
      </c>
    </row>
    <row r="2431" spans="5:5">
      <c r="E2431" t="e">
        <f t="shared" si="39"/>
        <v>#N/A</v>
      </c>
    </row>
    <row r="2432" spans="5:5">
      <c r="E2432" t="e">
        <f t="shared" si="39"/>
        <v>#N/A</v>
      </c>
    </row>
    <row r="2433" spans="5:5">
      <c r="E2433" t="e">
        <f t="shared" si="39"/>
        <v>#N/A</v>
      </c>
    </row>
    <row r="2434" spans="5:5">
      <c r="E2434" t="e">
        <f t="shared" si="39"/>
        <v>#N/A</v>
      </c>
    </row>
    <row r="2435" spans="5:5">
      <c r="E2435" t="e">
        <f t="shared" si="39"/>
        <v>#N/A</v>
      </c>
    </row>
    <row r="2436" spans="5:5">
      <c r="E2436" t="e">
        <f t="shared" si="39"/>
        <v>#N/A</v>
      </c>
    </row>
    <row r="2437" spans="5:5">
      <c r="E2437" t="e">
        <f t="shared" si="39"/>
        <v>#N/A</v>
      </c>
    </row>
    <row r="2438" spans="5:5">
      <c r="E2438" t="e">
        <f t="shared" si="39"/>
        <v>#N/A</v>
      </c>
    </row>
    <row r="2439" spans="5:5">
      <c r="E2439" t="e">
        <f t="shared" si="39"/>
        <v>#N/A</v>
      </c>
    </row>
    <row r="2440" spans="5:5">
      <c r="E2440" t="e">
        <f t="shared" si="39"/>
        <v>#N/A</v>
      </c>
    </row>
    <row r="2441" spans="5:5">
      <c r="E2441" t="e">
        <f t="shared" si="39"/>
        <v>#N/A</v>
      </c>
    </row>
    <row r="2442" spans="5:5">
      <c r="E2442" t="e">
        <f t="shared" si="39"/>
        <v>#N/A</v>
      </c>
    </row>
    <row r="2443" spans="5:5">
      <c r="E2443" t="e">
        <f t="shared" si="39"/>
        <v>#N/A</v>
      </c>
    </row>
    <row r="2444" spans="5:5">
      <c r="E2444" t="e">
        <f t="shared" si="39"/>
        <v>#N/A</v>
      </c>
    </row>
    <row r="2445" spans="5:5">
      <c r="E2445" t="e">
        <f t="shared" ref="E2445:E2508" si="40">VLOOKUP(B2445,$Q$13:$R$61,2,FALSE)</f>
        <v>#N/A</v>
      </c>
    </row>
    <row r="2446" spans="5:5">
      <c r="E2446" t="e">
        <f t="shared" si="40"/>
        <v>#N/A</v>
      </c>
    </row>
    <row r="2447" spans="5:5">
      <c r="E2447" t="e">
        <f t="shared" si="40"/>
        <v>#N/A</v>
      </c>
    </row>
    <row r="2448" spans="5:5">
      <c r="E2448" t="e">
        <f t="shared" si="40"/>
        <v>#N/A</v>
      </c>
    </row>
    <row r="2449" spans="5:5">
      <c r="E2449" t="e">
        <f t="shared" si="40"/>
        <v>#N/A</v>
      </c>
    </row>
    <row r="2450" spans="5:5">
      <c r="E2450" t="e">
        <f t="shared" si="40"/>
        <v>#N/A</v>
      </c>
    </row>
    <row r="2451" spans="5:5">
      <c r="E2451" t="e">
        <f t="shared" si="40"/>
        <v>#N/A</v>
      </c>
    </row>
    <row r="2452" spans="5:5">
      <c r="E2452" t="e">
        <f t="shared" si="40"/>
        <v>#N/A</v>
      </c>
    </row>
    <row r="2453" spans="5:5">
      <c r="E2453" t="e">
        <f t="shared" si="40"/>
        <v>#N/A</v>
      </c>
    </row>
    <row r="2454" spans="5:5">
      <c r="E2454" t="e">
        <f t="shared" si="40"/>
        <v>#N/A</v>
      </c>
    </row>
    <row r="2455" spans="5:5">
      <c r="E2455" t="e">
        <f t="shared" si="40"/>
        <v>#N/A</v>
      </c>
    </row>
    <row r="2456" spans="5:5">
      <c r="E2456" t="e">
        <f t="shared" si="40"/>
        <v>#N/A</v>
      </c>
    </row>
    <row r="2457" spans="5:5">
      <c r="E2457" t="e">
        <f t="shared" si="40"/>
        <v>#N/A</v>
      </c>
    </row>
    <row r="2458" spans="5:5">
      <c r="E2458" t="e">
        <f t="shared" si="40"/>
        <v>#N/A</v>
      </c>
    </row>
    <row r="2459" spans="5:5">
      <c r="E2459" t="e">
        <f t="shared" si="40"/>
        <v>#N/A</v>
      </c>
    </row>
    <row r="2460" spans="5:5">
      <c r="E2460" t="e">
        <f t="shared" si="40"/>
        <v>#N/A</v>
      </c>
    </row>
    <row r="2461" spans="5:5">
      <c r="E2461" t="e">
        <f t="shared" si="40"/>
        <v>#N/A</v>
      </c>
    </row>
    <row r="2462" spans="5:5">
      <c r="E2462" t="e">
        <f t="shared" si="40"/>
        <v>#N/A</v>
      </c>
    </row>
    <row r="2463" spans="5:5">
      <c r="E2463" t="e">
        <f t="shared" si="40"/>
        <v>#N/A</v>
      </c>
    </row>
    <row r="2464" spans="5:5">
      <c r="E2464" t="e">
        <f t="shared" si="40"/>
        <v>#N/A</v>
      </c>
    </row>
    <row r="2465" spans="5:5">
      <c r="E2465" t="e">
        <f t="shared" si="40"/>
        <v>#N/A</v>
      </c>
    </row>
    <row r="2466" spans="5:5">
      <c r="E2466" t="e">
        <f t="shared" si="40"/>
        <v>#N/A</v>
      </c>
    </row>
    <row r="2467" spans="5:5">
      <c r="E2467" t="e">
        <f t="shared" si="40"/>
        <v>#N/A</v>
      </c>
    </row>
    <row r="2468" spans="5:5">
      <c r="E2468" t="e">
        <f t="shared" si="40"/>
        <v>#N/A</v>
      </c>
    </row>
    <row r="2469" spans="5:5">
      <c r="E2469" t="e">
        <f t="shared" si="40"/>
        <v>#N/A</v>
      </c>
    </row>
    <row r="2470" spans="5:5">
      <c r="E2470" t="e">
        <f t="shared" si="40"/>
        <v>#N/A</v>
      </c>
    </row>
    <row r="2471" spans="5:5">
      <c r="E2471" t="e">
        <f t="shared" si="40"/>
        <v>#N/A</v>
      </c>
    </row>
    <row r="2472" spans="5:5">
      <c r="E2472" t="e">
        <f t="shared" si="40"/>
        <v>#N/A</v>
      </c>
    </row>
    <row r="2473" spans="5:5">
      <c r="E2473" t="e">
        <f t="shared" si="40"/>
        <v>#N/A</v>
      </c>
    </row>
    <row r="2474" spans="5:5">
      <c r="E2474" t="e">
        <f t="shared" si="40"/>
        <v>#N/A</v>
      </c>
    </row>
    <row r="2475" spans="5:5">
      <c r="E2475" t="e">
        <f t="shared" si="40"/>
        <v>#N/A</v>
      </c>
    </row>
    <row r="2476" spans="5:5">
      <c r="E2476" t="e">
        <f t="shared" si="40"/>
        <v>#N/A</v>
      </c>
    </row>
    <row r="2477" spans="5:5">
      <c r="E2477" t="e">
        <f t="shared" si="40"/>
        <v>#N/A</v>
      </c>
    </row>
    <row r="2478" spans="5:5">
      <c r="E2478" t="e">
        <f t="shared" si="40"/>
        <v>#N/A</v>
      </c>
    </row>
    <row r="2479" spans="5:5">
      <c r="E2479" t="e">
        <f t="shared" si="40"/>
        <v>#N/A</v>
      </c>
    </row>
    <row r="2480" spans="5:5">
      <c r="E2480" t="e">
        <f t="shared" si="40"/>
        <v>#N/A</v>
      </c>
    </row>
    <row r="2481" spans="5:5">
      <c r="E2481" t="e">
        <f t="shared" si="40"/>
        <v>#N/A</v>
      </c>
    </row>
    <row r="2482" spans="5:5">
      <c r="E2482" t="e">
        <f t="shared" si="40"/>
        <v>#N/A</v>
      </c>
    </row>
    <row r="2483" spans="5:5">
      <c r="E2483" t="e">
        <f t="shared" si="40"/>
        <v>#N/A</v>
      </c>
    </row>
    <row r="2484" spans="5:5">
      <c r="E2484" t="e">
        <f t="shared" si="40"/>
        <v>#N/A</v>
      </c>
    </row>
    <row r="2485" spans="5:5">
      <c r="E2485" t="e">
        <f t="shared" si="40"/>
        <v>#N/A</v>
      </c>
    </row>
    <row r="2486" spans="5:5">
      <c r="E2486" t="e">
        <f t="shared" si="40"/>
        <v>#N/A</v>
      </c>
    </row>
    <row r="2487" spans="5:5">
      <c r="E2487" t="e">
        <f t="shared" si="40"/>
        <v>#N/A</v>
      </c>
    </row>
    <row r="2488" spans="5:5">
      <c r="E2488" t="e">
        <f t="shared" si="40"/>
        <v>#N/A</v>
      </c>
    </row>
    <row r="2489" spans="5:5">
      <c r="E2489" t="e">
        <f t="shared" si="40"/>
        <v>#N/A</v>
      </c>
    </row>
    <row r="2490" spans="5:5">
      <c r="E2490" t="e">
        <f t="shared" si="40"/>
        <v>#N/A</v>
      </c>
    </row>
    <row r="2491" spans="5:5">
      <c r="E2491" t="e">
        <f t="shared" si="40"/>
        <v>#N/A</v>
      </c>
    </row>
    <row r="2492" spans="5:5">
      <c r="E2492" t="e">
        <f t="shared" si="40"/>
        <v>#N/A</v>
      </c>
    </row>
    <row r="2493" spans="5:5">
      <c r="E2493" t="e">
        <f t="shared" si="40"/>
        <v>#N/A</v>
      </c>
    </row>
    <row r="2494" spans="5:5">
      <c r="E2494" t="e">
        <f t="shared" si="40"/>
        <v>#N/A</v>
      </c>
    </row>
    <row r="2495" spans="5:5">
      <c r="E2495" t="e">
        <f t="shared" si="40"/>
        <v>#N/A</v>
      </c>
    </row>
    <row r="2496" spans="5:5">
      <c r="E2496" t="e">
        <f t="shared" si="40"/>
        <v>#N/A</v>
      </c>
    </row>
    <row r="2497" spans="5:5">
      <c r="E2497" t="e">
        <f t="shared" si="40"/>
        <v>#N/A</v>
      </c>
    </row>
    <row r="2498" spans="5:5">
      <c r="E2498" t="e">
        <f t="shared" si="40"/>
        <v>#N/A</v>
      </c>
    </row>
    <row r="2499" spans="5:5">
      <c r="E2499" t="e">
        <f t="shared" si="40"/>
        <v>#N/A</v>
      </c>
    </row>
    <row r="2500" spans="5:5">
      <c r="E2500" t="e">
        <f t="shared" si="40"/>
        <v>#N/A</v>
      </c>
    </row>
    <row r="2501" spans="5:5">
      <c r="E2501" t="e">
        <f t="shared" si="40"/>
        <v>#N/A</v>
      </c>
    </row>
    <row r="2502" spans="5:5">
      <c r="E2502" t="e">
        <f t="shared" si="40"/>
        <v>#N/A</v>
      </c>
    </row>
    <row r="2503" spans="5:5">
      <c r="E2503" t="e">
        <f t="shared" si="40"/>
        <v>#N/A</v>
      </c>
    </row>
    <row r="2504" spans="5:5">
      <c r="E2504" t="e">
        <f t="shared" si="40"/>
        <v>#N/A</v>
      </c>
    </row>
    <row r="2505" spans="5:5">
      <c r="E2505" t="e">
        <f t="shared" si="40"/>
        <v>#N/A</v>
      </c>
    </row>
    <row r="2506" spans="5:5">
      <c r="E2506" t="e">
        <f t="shared" si="40"/>
        <v>#N/A</v>
      </c>
    </row>
    <row r="2507" spans="5:5">
      <c r="E2507" t="e">
        <f t="shared" si="40"/>
        <v>#N/A</v>
      </c>
    </row>
    <row r="2508" spans="5:5">
      <c r="E2508" t="e">
        <f t="shared" si="40"/>
        <v>#N/A</v>
      </c>
    </row>
    <row r="2509" spans="5:5">
      <c r="E2509" t="e">
        <f t="shared" ref="E2509:E2572" si="41">VLOOKUP(B2509,$Q$13:$R$61,2,FALSE)</f>
        <v>#N/A</v>
      </c>
    </row>
    <row r="2510" spans="5:5">
      <c r="E2510" t="e">
        <f t="shared" si="41"/>
        <v>#N/A</v>
      </c>
    </row>
    <row r="2511" spans="5:5">
      <c r="E2511" t="e">
        <f t="shared" si="41"/>
        <v>#N/A</v>
      </c>
    </row>
    <row r="2512" spans="5:5">
      <c r="E2512" t="e">
        <f t="shared" si="41"/>
        <v>#N/A</v>
      </c>
    </row>
    <row r="2513" spans="5:5">
      <c r="E2513" t="e">
        <f t="shared" si="41"/>
        <v>#N/A</v>
      </c>
    </row>
    <row r="2514" spans="5:5">
      <c r="E2514" t="e">
        <f t="shared" si="41"/>
        <v>#N/A</v>
      </c>
    </row>
    <row r="2515" spans="5:5">
      <c r="E2515" t="e">
        <f t="shared" si="41"/>
        <v>#N/A</v>
      </c>
    </row>
    <row r="2516" spans="5:5">
      <c r="E2516" t="e">
        <f t="shared" si="41"/>
        <v>#N/A</v>
      </c>
    </row>
    <row r="2517" spans="5:5">
      <c r="E2517" t="e">
        <f t="shared" si="41"/>
        <v>#N/A</v>
      </c>
    </row>
    <row r="2518" spans="5:5">
      <c r="E2518" t="e">
        <f t="shared" si="41"/>
        <v>#N/A</v>
      </c>
    </row>
    <row r="2519" spans="5:5">
      <c r="E2519" t="e">
        <f t="shared" si="41"/>
        <v>#N/A</v>
      </c>
    </row>
    <row r="2520" spans="5:5">
      <c r="E2520" t="e">
        <f t="shared" si="41"/>
        <v>#N/A</v>
      </c>
    </row>
    <row r="2521" spans="5:5">
      <c r="E2521" t="e">
        <f t="shared" si="41"/>
        <v>#N/A</v>
      </c>
    </row>
    <row r="2522" spans="5:5">
      <c r="E2522" t="e">
        <f t="shared" si="41"/>
        <v>#N/A</v>
      </c>
    </row>
    <row r="2523" spans="5:5">
      <c r="E2523" t="e">
        <f t="shared" si="41"/>
        <v>#N/A</v>
      </c>
    </row>
    <row r="2524" spans="5:5">
      <c r="E2524" t="e">
        <f t="shared" si="41"/>
        <v>#N/A</v>
      </c>
    </row>
    <row r="2525" spans="5:5">
      <c r="E2525" t="e">
        <f t="shared" si="41"/>
        <v>#N/A</v>
      </c>
    </row>
    <row r="2526" spans="5:5">
      <c r="E2526" t="e">
        <f t="shared" si="41"/>
        <v>#N/A</v>
      </c>
    </row>
    <row r="2527" spans="5:5">
      <c r="E2527" t="e">
        <f t="shared" si="41"/>
        <v>#N/A</v>
      </c>
    </row>
    <row r="2528" spans="5:5">
      <c r="E2528" t="e">
        <f t="shared" si="41"/>
        <v>#N/A</v>
      </c>
    </row>
    <row r="2529" spans="5:5">
      <c r="E2529" t="e">
        <f t="shared" si="41"/>
        <v>#N/A</v>
      </c>
    </row>
    <row r="2530" spans="5:5">
      <c r="E2530" t="e">
        <f t="shared" si="41"/>
        <v>#N/A</v>
      </c>
    </row>
    <row r="2531" spans="5:5">
      <c r="E2531" t="e">
        <f t="shared" si="41"/>
        <v>#N/A</v>
      </c>
    </row>
    <row r="2532" spans="5:5">
      <c r="E2532" t="e">
        <f t="shared" si="41"/>
        <v>#N/A</v>
      </c>
    </row>
    <row r="2533" spans="5:5">
      <c r="E2533" t="e">
        <f t="shared" si="41"/>
        <v>#N/A</v>
      </c>
    </row>
    <row r="2534" spans="5:5">
      <c r="E2534" t="e">
        <f t="shared" si="41"/>
        <v>#N/A</v>
      </c>
    </row>
    <row r="2535" spans="5:5">
      <c r="E2535" t="e">
        <f t="shared" si="41"/>
        <v>#N/A</v>
      </c>
    </row>
    <row r="2536" spans="5:5">
      <c r="E2536" t="e">
        <f t="shared" si="41"/>
        <v>#N/A</v>
      </c>
    </row>
    <row r="2537" spans="5:5">
      <c r="E2537" t="e">
        <f t="shared" si="41"/>
        <v>#N/A</v>
      </c>
    </row>
    <row r="2538" spans="5:5">
      <c r="E2538" t="e">
        <f t="shared" si="41"/>
        <v>#N/A</v>
      </c>
    </row>
    <row r="2539" spans="5:5">
      <c r="E2539" t="e">
        <f t="shared" si="41"/>
        <v>#N/A</v>
      </c>
    </row>
    <row r="2540" spans="5:5">
      <c r="E2540" t="e">
        <f t="shared" si="41"/>
        <v>#N/A</v>
      </c>
    </row>
    <row r="2541" spans="5:5">
      <c r="E2541" t="e">
        <f t="shared" si="41"/>
        <v>#N/A</v>
      </c>
    </row>
    <row r="2542" spans="5:5">
      <c r="E2542" t="e">
        <f t="shared" si="41"/>
        <v>#N/A</v>
      </c>
    </row>
    <row r="2543" spans="5:5">
      <c r="E2543" t="e">
        <f t="shared" si="41"/>
        <v>#N/A</v>
      </c>
    </row>
    <row r="2544" spans="5:5">
      <c r="E2544" t="e">
        <f t="shared" si="41"/>
        <v>#N/A</v>
      </c>
    </row>
    <row r="2545" spans="5:5">
      <c r="E2545" t="e">
        <f t="shared" si="41"/>
        <v>#N/A</v>
      </c>
    </row>
    <row r="2546" spans="5:5">
      <c r="E2546" t="e">
        <f t="shared" si="41"/>
        <v>#N/A</v>
      </c>
    </row>
    <row r="2547" spans="5:5">
      <c r="E2547" t="e">
        <f t="shared" si="41"/>
        <v>#N/A</v>
      </c>
    </row>
    <row r="2548" spans="5:5">
      <c r="E2548" t="e">
        <f t="shared" si="41"/>
        <v>#N/A</v>
      </c>
    </row>
    <row r="2549" spans="5:5">
      <c r="E2549" t="e">
        <f t="shared" si="41"/>
        <v>#N/A</v>
      </c>
    </row>
    <row r="2550" spans="5:5">
      <c r="E2550" t="e">
        <f t="shared" si="41"/>
        <v>#N/A</v>
      </c>
    </row>
    <row r="2551" spans="5:5">
      <c r="E2551" t="e">
        <f t="shared" si="41"/>
        <v>#N/A</v>
      </c>
    </row>
    <row r="2552" spans="5:5">
      <c r="E2552" t="e">
        <f t="shared" si="41"/>
        <v>#N/A</v>
      </c>
    </row>
    <row r="2553" spans="5:5">
      <c r="E2553" t="e">
        <f t="shared" si="41"/>
        <v>#N/A</v>
      </c>
    </row>
    <row r="2554" spans="5:5">
      <c r="E2554" t="e">
        <f t="shared" si="41"/>
        <v>#N/A</v>
      </c>
    </row>
    <row r="2555" spans="5:5">
      <c r="E2555" t="e">
        <f t="shared" si="41"/>
        <v>#N/A</v>
      </c>
    </row>
    <row r="2556" spans="5:5">
      <c r="E2556" t="e">
        <f t="shared" si="41"/>
        <v>#N/A</v>
      </c>
    </row>
    <row r="2557" spans="5:5">
      <c r="E2557" t="e">
        <f t="shared" si="41"/>
        <v>#N/A</v>
      </c>
    </row>
    <row r="2558" spans="5:5">
      <c r="E2558" t="e">
        <f t="shared" si="41"/>
        <v>#N/A</v>
      </c>
    </row>
    <row r="2559" spans="5:5">
      <c r="E2559" t="e">
        <f t="shared" si="41"/>
        <v>#N/A</v>
      </c>
    </row>
    <row r="2560" spans="5:5">
      <c r="E2560" t="e">
        <f t="shared" si="41"/>
        <v>#N/A</v>
      </c>
    </row>
    <row r="2561" spans="5:5">
      <c r="E2561" t="e">
        <f t="shared" si="41"/>
        <v>#N/A</v>
      </c>
    </row>
    <row r="2562" spans="5:5">
      <c r="E2562" t="e">
        <f t="shared" si="41"/>
        <v>#N/A</v>
      </c>
    </row>
    <row r="2563" spans="5:5">
      <c r="E2563" t="e">
        <f t="shared" si="41"/>
        <v>#N/A</v>
      </c>
    </row>
    <row r="2564" spans="5:5">
      <c r="E2564" t="e">
        <f t="shared" si="41"/>
        <v>#N/A</v>
      </c>
    </row>
    <row r="2565" spans="5:5">
      <c r="E2565" t="e">
        <f t="shared" si="41"/>
        <v>#N/A</v>
      </c>
    </row>
    <row r="2566" spans="5:5">
      <c r="E2566" t="e">
        <f t="shared" si="41"/>
        <v>#N/A</v>
      </c>
    </row>
    <row r="2567" spans="5:5">
      <c r="E2567" t="e">
        <f t="shared" si="41"/>
        <v>#N/A</v>
      </c>
    </row>
    <row r="2568" spans="5:5">
      <c r="E2568" t="e">
        <f t="shared" si="41"/>
        <v>#N/A</v>
      </c>
    </row>
    <row r="2569" spans="5:5">
      <c r="E2569" t="e">
        <f t="shared" si="41"/>
        <v>#N/A</v>
      </c>
    </row>
    <row r="2570" spans="5:5">
      <c r="E2570" t="e">
        <f t="shared" si="41"/>
        <v>#N/A</v>
      </c>
    </row>
    <row r="2571" spans="5:5">
      <c r="E2571" t="e">
        <f t="shared" si="41"/>
        <v>#N/A</v>
      </c>
    </row>
    <row r="2572" spans="5:5">
      <c r="E2572" t="e">
        <f t="shared" si="41"/>
        <v>#N/A</v>
      </c>
    </row>
    <row r="2573" spans="5:5">
      <c r="E2573" t="e">
        <f t="shared" ref="E2573:E2636" si="42">VLOOKUP(B2573,$Q$13:$R$61,2,FALSE)</f>
        <v>#N/A</v>
      </c>
    </row>
    <row r="2574" spans="5:5">
      <c r="E2574" t="e">
        <f t="shared" si="42"/>
        <v>#N/A</v>
      </c>
    </row>
    <row r="2575" spans="5:5">
      <c r="E2575" t="e">
        <f t="shared" si="42"/>
        <v>#N/A</v>
      </c>
    </row>
    <row r="2576" spans="5:5">
      <c r="E2576" t="e">
        <f t="shared" si="42"/>
        <v>#N/A</v>
      </c>
    </row>
    <row r="2577" spans="5:5">
      <c r="E2577" t="e">
        <f t="shared" si="42"/>
        <v>#N/A</v>
      </c>
    </row>
    <row r="2578" spans="5:5">
      <c r="E2578" t="e">
        <f t="shared" si="42"/>
        <v>#N/A</v>
      </c>
    </row>
    <row r="2579" spans="5:5">
      <c r="E2579" t="e">
        <f t="shared" si="42"/>
        <v>#N/A</v>
      </c>
    </row>
    <row r="2580" spans="5:5">
      <c r="E2580" t="e">
        <f t="shared" si="42"/>
        <v>#N/A</v>
      </c>
    </row>
    <row r="2581" spans="5:5">
      <c r="E2581" t="e">
        <f t="shared" si="42"/>
        <v>#N/A</v>
      </c>
    </row>
    <row r="2582" spans="5:5">
      <c r="E2582" t="e">
        <f t="shared" si="42"/>
        <v>#N/A</v>
      </c>
    </row>
    <row r="2583" spans="5:5">
      <c r="E2583" t="e">
        <f t="shared" si="42"/>
        <v>#N/A</v>
      </c>
    </row>
    <row r="2584" spans="5:5">
      <c r="E2584" t="e">
        <f t="shared" si="42"/>
        <v>#N/A</v>
      </c>
    </row>
    <row r="2585" spans="5:5">
      <c r="E2585" t="e">
        <f t="shared" si="42"/>
        <v>#N/A</v>
      </c>
    </row>
    <row r="2586" spans="5:5">
      <c r="E2586" t="e">
        <f t="shared" si="42"/>
        <v>#N/A</v>
      </c>
    </row>
    <row r="2587" spans="5:5">
      <c r="E2587" t="e">
        <f t="shared" si="42"/>
        <v>#N/A</v>
      </c>
    </row>
    <row r="2588" spans="5:5">
      <c r="E2588" t="e">
        <f t="shared" si="42"/>
        <v>#N/A</v>
      </c>
    </row>
    <row r="2589" spans="5:5">
      <c r="E2589" t="e">
        <f t="shared" si="42"/>
        <v>#N/A</v>
      </c>
    </row>
    <row r="2590" spans="5:5">
      <c r="E2590" t="e">
        <f t="shared" si="42"/>
        <v>#N/A</v>
      </c>
    </row>
    <row r="2591" spans="5:5">
      <c r="E2591" t="e">
        <f t="shared" si="42"/>
        <v>#N/A</v>
      </c>
    </row>
    <row r="2592" spans="5:5">
      <c r="E2592" t="e">
        <f t="shared" si="42"/>
        <v>#N/A</v>
      </c>
    </row>
    <row r="2593" spans="5:5">
      <c r="E2593" t="e">
        <f t="shared" si="42"/>
        <v>#N/A</v>
      </c>
    </row>
    <row r="2594" spans="5:5">
      <c r="E2594" t="e">
        <f t="shared" si="42"/>
        <v>#N/A</v>
      </c>
    </row>
    <row r="2595" spans="5:5">
      <c r="E2595" t="e">
        <f t="shared" si="42"/>
        <v>#N/A</v>
      </c>
    </row>
    <row r="2596" spans="5:5">
      <c r="E2596" t="e">
        <f t="shared" si="42"/>
        <v>#N/A</v>
      </c>
    </row>
    <row r="2597" spans="5:5">
      <c r="E2597" t="e">
        <f t="shared" si="42"/>
        <v>#N/A</v>
      </c>
    </row>
    <row r="2598" spans="5:5">
      <c r="E2598" t="e">
        <f t="shared" si="42"/>
        <v>#N/A</v>
      </c>
    </row>
    <row r="2599" spans="5:5">
      <c r="E2599" t="e">
        <f t="shared" si="42"/>
        <v>#N/A</v>
      </c>
    </row>
    <row r="2600" spans="5:5">
      <c r="E2600" t="e">
        <f t="shared" si="42"/>
        <v>#N/A</v>
      </c>
    </row>
    <row r="2601" spans="5:5">
      <c r="E2601" t="e">
        <f t="shared" si="42"/>
        <v>#N/A</v>
      </c>
    </row>
    <row r="2602" spans="5:5">
      <c r="E2602" t="e">
        <f t="shared" si="42"/>
        <v>#N/A</v>
      </c>
    </row>
    <row r="2603" spans="5:5">
      <c r="E2603" t="e">
        <f t="shared" si="42"/>
        <v>#N/A</v>
      </c>
    </row>
    <row r="2604" spans="5:5">
      <c r="E2604" t="e">
        <f t="shared" si="42"/>
        <v>#N/A</v>
      </c>
    </row>
    <row r="2605" spans="5:5">
      <c r="E2605" t="e">
        <f t="shared" si="42"/>
        <v>#N/A</v>
      </c>
    </row>
    <row r="2606" spans="5:5">
      <c r="E2606" t="e">
        <f t="shared" si="42"/>
        <v>#N/A</v>
      </c>
    </row>
    <row r="2607" spans="5:5">
      <c r="E2607" t="e">
        <f t="shared" si="42"/>
        <v>#N/A</v>
      </c>
    </row>
    <row r="2608" spans="5:5">
      <c r="E2608" t="e">
        <f t="shared" si="42"/>
        <v>#N/A</v>
      </c>
    </row>
    <row r="2609" spans="5:5">
      <c r="E2609" t="e">
        <f t="shared" si="42"/>
        <v>#N/A</v>
      </c>
    </row>
    <row r="2610" spans="5:5">
      <c r="E2610" t="e">
        <f t="shared" si="42"/>
        <v>#N/A</v>
      </c>
    </row>
    <row r="2611" spans="5:5">
      <c r="E2611" t="e">
        <f t="shared" si="42"/>
        <v>#N/A</v>
      </c>
    </row>
    <row r="2612" spans="5:5">
      <c r="E2612" t="e">
        <f t="shared" si="42"/>
        <v>#N/A</v>
      </c>
    </row>
    <row r="2613" spans="5:5">
      <c r="E2613" t="e">
        <f t="shared" si="42"/>
        <v>#N/A</v>
      </c>
    </row>
    <row r="2614" spans="5:5">
      <c r="E2614" t="e">
        <f t="shared" si="42"/>
        <v>#N/A</v>
      </c>
    </row>
    <row r="2615" spans="5:5">
      <c r="E2615" t="e">
        <f t="shared" si="42"/>
        <v>#N/A</v>
      </c>
    </row>
    <row r="2616" spans="5:5">
      <c r="E2616" t="e">
        <f t="shared" si="42"/>
        <v>#N/A</v>
      </c>
    </row>
    <row r="2617" spans="5:5">
      <c r="E2617" t="e">
        <f t="shared" si="42"/>
        <v>#N/A</v>
      </c>
    </row>
    <row r="2618" spans="5:5">
      <c r="E2618" t="e">
        <f t="shared" si="42"/>
        <v>#N/A</v>
      </c>
    </row>
    <row r="2619" spans="5:5">
      <c r="E2619" t="e">
        <f t="shared" si="42"/>
        <v>#N/A</v>
      </c>
    </row>
    <row r="2620" spans="5:5">
      <c r="E2620" t="e">
        <f t="shared" si="42"/>
        <v>#N/A</v>
      </c>
    </row>
    <row r="2621" spans="5:5">
      <c r="E2621" t="e">
        <f t="shared" si="42"/>
        <v>#N/A</v>
      </c>
    </row>
    <row r="2622" spans="5:5">
      <c r="E2622" t="e">
        <f t="shared" si="42"/>
        <v>#N/A</v>
      </c>
    </row>
    <row r="2623" spans="5:5">
      <c r="E2623" t="e">
        <f t="shared" si="42"/>
        <v>#N/A</v>
      </c>
    </row>
    <row r="2624" spans="5:5">
      <c r="E2624" t="e">
        <f t="shared" si="42"/>
        <v>#N/A</v>
      </c>
    </row>
    <row r="2625" spans="5:5">
      <c r="E2625" t="e">
        <f t="shared" si="42"/>
        <v>#N/A</v>
      </c>
    </row>
    <row r="2626" spans="5:5">
      <c r="E2626" t="e">
        <f t="shared" si="42"/>
        <v>#N/A</v>
      </c>
    </row>
    <row r="2627" spans="5:5">
      <c r="E2627" t="e">
        <f t="shared" si="42"/>
        <v>#N/A</v>
      </c>
    </row>
    <row r="2628" spans="5:5">
      <c r="E2628" t="e">
        <f t="shared" si="42"/>
        <v>#N/A</v>
      </c>
    </row>
    <row r="2629" spans="5:5">
      <c r="E2629" t="e">
        <f t="shared" si="42"/>
        <v>#N/A</v>
      </c>
    </row>
    <row r="2630" spans="5:5">
      <c r="E2630" t="e">
        <f t="shared" si="42"/>
        <v>#N/A</v>
      </c>
    </row>
    <row r="2631" spans="5:5">
      <c r="E2631" t="e">
        <f t="shared" si="42"/>
        <v>#N/A</v>
      </c>
    </row>
    <row r="2632" spans="5:5">
      <c r="E2632" t="e">
        <f t="shared" si="42"/>
        <v>#N/A</v>
      </c>
    </row>
    <row r="2633" spans="5:5">
      <c r="E2633" t="e">
        <f t="shared" si="42"/>
        <v>#N/A</v>
      </c>
    </row>
    <row r="2634" spans="5:5">
      <c r="E2634" t="e">
        <f t="shared" si="42"/>
        <v>#N/A</v>
      </c>
    </row>
    <row r="2635" spans="5:5">
      <c r="E2635" t="e">
        <f t="shared" si="42"/>
        <v>#N/A</v>
      </c>
    </row>
    <row r="2636" spans="5:5">
      <c r="E2636" t="e">
        <f t="shared" si="42"/>
        <v>#N/A</v>
      </c>
    </row>
    <row r="2637" spans="5:5">
      <c r="E2637" t="e">
        <f t="shared" ref="E2637:E2700" si="43">VLOOKUP(B2637,$Q$13:$R$61,2,FALSE)</f>
        <v>#N/A</v>
      </c>
    </row>
    <row r="2638" spans="5:5">
      <c r="E2638" t="e">
        <f t="shared" si="43"/>
        <v>#N/A</v>
      </c>
    </row>
    <row r="2639" spans="5:5">
      <c r="E2639" t="e">
        <f t="shared" si="43"/>
        <v>#N/A</v>
      </c>
    </row>
    <row r="2640" spans="5:5">
      <c r="E2640" t="e">
        <f t="shared" si="43"/>
        <v>#N/A</v>
      </c>
    </row>
    <row r="2641" spans="5:5">
      <c r="E2641" t="e">
        <f t="shared" si="43"/>
        <v>#N/A</v>
      </c>
    </row>
    <row r="2642" spans="5:5">
      <c r="E2642" t="e">
        <f t="shared" si="43"/>
        <v>#N/A</v>
      </c>
    </row>
    <row r="2643" spans="5:5">
      <c r="E2643" t="e">
        <f t="shared" si="43"/>
        <v>#N/A</v>
      </c>
    </row>
    <row r="2644" spans="5:5">
      <c r="E2644" t="e">
        <f t="shared" si="43"/>
        <v>#N/A</v>
      </c>
    </row>
    <row r="2645" spans="5:5">
      <c r="E2645" t="e">
        <f t="shared" si="43"/>
        <v>#N/A</v>
      </c>
    </row>
    <row r="2646" spans="5:5">
      <c r="E2646" t="e">
        <f t="shared" si="43"/>
        <v>#N/A</v>
      </c>
    </row>
    <row r="2647" spans="5:5">
      <c r="E2647" t="e">
        <f t="shared" si="43"/>
        <v>#N/A</v>
      </c>
    </row>
    <row r="2648" spans="5:5">
      <c r="E2648" t="e">
        <f t="shared" si="43"/>
        <v>#N/A</v>
      </c>
    </row>
    <row r="2649" spans="5:5">
      <c r="E2649" t="e">
        <f t="shared" si="43"/>
        <v>#N/A</v>
      </c>
    </row>
    <row r="2650" spans="5:5">
      <c r="E2650" t="e">
        <f t="shared" si="43"/>
        <v>#N/A</v>
      </c>
    </row>
    <row r="2651" spans="5:5">
      <c r="E2651" t="e">
        <f t="shared" si="43"/>
        <v>#N/A</v>
      </c>
    </row>
    <row r="2652" spans="5:5">
      <c r="E2652" t="e">
        <f t="shared" si="43"/>
        <v>#N/A</v>
      </c>
    </row>
    <row r="2653" spans="5:5">
      <c r="E2653" t="e">
        <f t="shared" si="43"/>
        <v>#N/A</v>
      </c>
    </row>
    <row r="2654" spans="5:5">
      <c r="E2654" t="e">
        <f t="shared" si="43"/>
        <v>#N/A</v>
      </c>
    </row>
    <row r="2655" spans="5:5">
      <c r="E2655" t="e">
        <f t="shared" si="43"/>
        <v>#N/A</v>
      </c>
    </row>
    <row r="2656" spans="5:5">
      <c r="E2656" t="e">
        <f t="shared" si="43"/>
        <v>#N/A</v>
      </c>
    </row>
    <row r="2657" spans="5:5">
      <c r="E2657" t="e">
        <f t="shared" si="43"/>
        <v>#N/A</v>
      </c>
    </row>
    <row r="2658" spans="5:5">
      <c r="E2658" t="e">
        <f t="shared" si="43"/>
        <v>#N/A</v>
      </c>
    </row>
    <row r="2659" spans="5:5">
      <c r="E2659" t="e">
        <f t="shared" si="43"/>
        <v>#N/A</v>
      </c>
    </row>
    <row r="2660" spans="5:5">
      <c r="E2660" t="e">
        <f t="shared" si="43"/>
        <v>#N/A</v>
      </c>
    </row>
    <row r="2661" spans="5:5">
      <c r="E2661" t="e">
        <f t="shared" si="43"/>
        <v>#N/A</v>
      </c>
    </row>
    <row r="2662" spans="5:5">
      <c r="E2662" t="e">
        <f t="shared" si="43"/>
        <v>#N/A</v>
      </c>
    </row>
    <row r="2663" spans="5:5">
      <c r="E2663" t="e">
        <f t="shared" si="43"/>
        <v>#N/A</v>
      </c>
    </row>
    <row r="2664" spans="5:5">
      <c r="E2664" t="e">
        <f t="shared" si="43"/>
        <v>#N/A</v>
      </c>
    </row>
    <row r="2665" spans="5:5">
      <c r="E2665" t="e">
        <f t="shared" si="43"/>
        <v>#N/A</v>
      </c>
    </row>
    <row r="2666" spans="5:5">
      <c r="E2666" t="e">
        <f t="shared" si="43"/>
        <v>#N/A</v>
      </c>
    </row>
    <row r="2667" spans="5:5">
      <c r="E2667" t="e">
        <f t="shared" si="43"/>
        <v>#N/A</v>
      </c>
    </row>
    <row r="2668" spans="5:5">
      <c r="E2668" t="e">
        <f t="shared" si="43"/>
        <v>#N/A</v>
      </c>
    </row>
    <row r="2669" spans="5:5">
      <c r="E2669" t="e">
        <f t="shared" si="43"/>
        <v>#N/A</v>
      </c>
    </row>
    <row r="2670" spans="5:5">
      <c r="E2670" t="e">
        <f t="shared" si="43"/>
        <v>#N/A</v>
      </c>
    </row>
    <row r="2671" spans="5:5">
      <c r="E2671" t="e">
        <f t="shared" si="43"/>
        <v>#N/A</v>
      </c>
    </row>
    <row r="2672" spans="5:5">
      <c r="E2672" t="e">
        <f t="shared" si="43"/>
        <v>#N/A</v>
      </c>
    </row>
    <row r="2673" spans="5:5">
      <c r="E2673" t="e">
        <f t="shared" si="43"/>
        <v>#N/A</v>
      </c>
    </row>
    <row r="2674" spans="5:5">
      <c r="E2674" t="e">
        <f t="shared" si="43"/>
        <v>#N/A</v>
      </c>
    </row>
    <row r="2675" spans="5:5">
      <c r="E2675" t="e">
        <f t="shared" si="43"/>
        <v>#N/A</v>
      </c>
    </row>
    <row r="2676" spans="5:5">
      <c r="E2676" t="e">
        <f t="shared" si="43"/>
        <v>#N/A</v>
      </c>
    </row>
    <row r="2677" spans="5:5">
      <c r="E2677" t="e">
        <f t="shared" si="43"/>
        <v>#N/A</v>
      </c>
    </row>
    <row r="2678" spans="5:5">
      <c r="E2678" t="e">
        <f t="shared" si="43"/>
        <v>#N/A</v>
      </c>
    </row>
    <row r="2679" spans="5:5">
      <c r="E2679" t="e">
        <f t="shared" si="43"/>
        <v>#N/A</v>
      </c>
    </row>
    <row r="2680" spans="5:5">
      <c r="E2680" t="e">
        <f t="shared" si="43"/>
        <v>#N/A</v>
      </c>
    </row>
    <row r="2681" spans="5:5">
      <c r="E2681" t="e">
        <f t="shared" si="43"/>
        <v>#N/A</v>
      </c>
    </row>
    <row r="2682" spans="5:5">
      <c r="E2682" t="e">
        <f t="shared" si="43"/>
        <v>#N/A</v>
      </c>
    </row>
    <row r="2683" spans="5:5">
      <c r="E2683" t="e">
        <f t="shared" si="43"/>
        <v>#N/A</v>
      </c>
    </row>
    <row r="2684" spans="5:5">
      <c r="E2684" t="e">
        <f t="shared" si="43"/>
        <v>#N/A</v>
      </c>
    </row>
    <row r="2685" spans="5:5">
      <c r="E2685" t="e">
        <f t="shared" si="43"/>
        <v>#N/A</v>
      </c>
    </row>
    <row r="2686" spans="5:5">
      <c r="E2686" t="e">
        <f t="shared" si="43"/>
        <v>#N/A</v>
      </c>
    </row>
    <row r="2687" spans="5:5">
      <c r="E2687" t="e">
        <f t="shared" si="43"/>
        <v>#N/A</v>
      </c>
    </row>
    <row r="2688" spans="5:5">
      <c r="E2688" t="e">
        <f t="shared" si="43"/>
        <v>#N/A</v>
      </c>
    </row>
    <row r="2689" spans="5:5">
      <c r="E2689" t="e">
        <f t="shared" si="43"/>
        <v>#N/A</v>
      </c>
    </row>
    <row r="2690" spans="5:5">
      <c r="E2690" t="e">
        <f t="shared" si="43"/>
        <v>#N/A</v>
      </c>
    </row>
    <row r="2691" spans="5:5">
      <c r="E2691" t="e">
        <f t="shared" si="43"/>
        <v>#N/A</v>
      </c>
    </row>
    <row r="2692" spans="5:5">
      <c r="E2692" t="e">
        <f t="shared" si="43"/>
        <v>#N/A</v>
      </c>
    </row>
    <row r="2693" spans="5:5">
      <c r="E2693" t="e">
        <f t="shared" si="43"/>
        <v>#N/A</v>
      </c>
    </row>
    <row r="2694" spans="5:5">
      <c r="E2694" t="e">
        <f t="shared" si="43"/>
        <v>#N/A</v>
      </c>
    </row>
    <row r="2695" spans="5:5">
      <c r="E2695" t="e">
        <f t="shared" si="43"/>
        <v>#N/A</v>
      </c>
    </row>
    <row r="2696" spans="5:5">
      <c r="E2696" t="e">
        <f t="shared" si="43"/>
        <v>#N/A</v>
      </c>
    </row>
    <row r="2697" spans="5:5">
      <c r="E2697" t="e">
        <f t="shared" si="43"/>
        <v>#N/A</v>
      </c>
    </row>
    <row r="2698" spans="5:5">
      <c r="E2698" t="e">
        <f t="shared" si="43"/>
        <v>#N/A</v>
      </c>
    </row>
    <row r="2699" spans="5:5">
      <c r="E2699" t="e">
        <f t="shared" si="43"/>
        <v>#N/A</v>
      </c>
    </row>
    <row r="2700" spans="5:5">
      <c r="E2700" t="e">
        <f t="shared" si="43"/>
        <v>#N/A</v>
      </c>
    </row>
    <row r="2701" spans="5:5">
      <c r="E2701" t="e">
        <f t="shared" ref="E2701:E2764" si="44">VLOOKUP(B2701,$Q$13:$R$61,2,FALSE)</f>
        <v>#N/A</v>
      </c>
    </row>
    <row r="2702" spans="5:5">
      <c r="E2702" t="e">
        <f t="shared" si="44"/>
        <v>#N/A</v>
      </c>
    </row>
    <row r="2703" spans="5:5">
      <c r="E2703" t="e">
        <f t="shared" si="44"/>
        <v>#N/A</v>
      </c>
    </row>
    <row r="2704" spans="5:5">
      <c r="E2704" t="e">
        <f t="shared" si="44"/>
        <v>#N/A</v>
      </c>
    </row>
    <row r="2705" spans="5:5">
      <c r="E2705" t="e">
        <f t="shared" si="44"/>
        <v>#N/A</v>
      </c>
    </row>
    <row r="2706" spans="5:5">
      <c r="E2706" t="e">
        <f t="shared" si="44"/>
        <v>#N/A</v>
      </c>
    </row>
    <row r="2707" spans="5:5">
      <c r="E2707" t="e">
        <f t="shared" si="44"/>
        <v>#N/A</v>
      </c>
    </row>
    <row r="2708" spans="5:5">
      <c r="E2708" t="e">
        <f t="shared" si="44"/>
        <v>#N/A</v>
      </c>
    </row>
    <row r="2709" spans="5:5">
      <c r="E2709" t="e">
        <f t="shared" si="44"/>
        <v>#N/A</v>
      </c>
    </row>
    <row r="2710" spans="5:5">
      <c r="E2710" t="e">
        <f t="shared" si="44"/>
        <v>#N/A</v>
      </c>
    </row>
    <row r="2711" spans="5:5">
      <c r="E2711" t="e">
        <f t="shared" si="44"/>
        <v>#N/A</v>
      </c>
    </row>
    <row r="2712" spans="5:5">
      <c r="E2712" t="e">
        <f t="shared" si="44"/>
        <v>#N/A</v>
      </c>
    </row>
    <row r="2713" spans="5:5">
      <c r="E2713" t="e">
        <f t="shared" si="44"/>
        <v>#N/A</v>
      </c>
    </row>
    <row r="2714" spans="5:5">
      <c r="E2714" t="e">
        <f t="shared" si="44"/>
        <v>#N/A</v>
      </c>
    </row>
    <row r="2715" spans="5:5">
      <c r="E2715" t="e">
        <f t="shared" si="44"/>
        <v>#N/A</v>
      </c>
    </row>
    <row r="2716" spans="5:5">
      <c r="E2716" t="e">
        <f t="shared" si="44"/>
        <v>#N/A</v>
      </c>
    </row>
    <row r="2717" spans="5:5">
      <c r="E2717" t="e">
        <f t="shared" si="44"/>
        <v>#N/A</v>
      </c>
    </row>
    <row r="2718" spans="5:5">
      <c r="E2718" t="e">
        <f t="shared" si="44"/>
        <v>#N/A</v>
      </c>
    </row>
    <row r="2719" spans="5:5">
      <c r="E2719" t="e">
        <f t="shared" si="44"/>
        <v>#N/A</v>
      </c>
    </row>
    <row r="2720" spans="5:5">
      <c r="E2720" t="e">
        <f t="shared" si="44"/>
        <v>#N/A</v>
      </c>
    </row>
    <row r="2721" spans="5:5">
      <c r="E2721" t="e">
        <f t="shared" si="44"/>
        <v>#N/A</v>
      </c>
    </row>
    <row r="2722" spans="5:5">
      <c r="E2722" t="e">
        <f t="shared" si="44"/>
        <v>#N/A</v>
      </c>
    </row>
    <row r="2723" spans="5:5">
      <c r="E2723" t="e">
        <f t="shared" si="44"/>
        <v>#N/A</v>
      </c>
    </row>
    <row r="2724" spans="5:5">
      <c r="E2724" t="e">
        <f t="shared" si="44"/>
        <v>#N/A</v>
      </c>
    </row>
    <row r="2725" spans="5:5">
      <c r="E2725" t="e">
        <f t="shared" si="44"/>
        <v>#N/A</v>
      </c>
    </row>
    <row r="2726" spans="5:5">
      <c r="E2726" t="e">
        <f t="shared" si="44"/>
        <v>#N/A</v>
      </c>
    </row>
    <row r="2727" spans="5:5">
      <c r="E2727" t="e">
        <f t="shared" si="44"/>
        <v>#N/A</v>
      </c>
    </row>
    <row r="2728" spans="5:5">
      <c r="E2728" t="e">
        <f t="shared" si="44"/>
        <v>#N/A</v>
      </c>
    </row>
    <row r="2729" spans="5:5">
      <c r="E2729" t="e">
        <f t="shared" si="44"/>
        <v>#N/A</v>
      </c>
    </row>
    <row r="2730" spans="5:5">
      <c r="E2730" t="e">
        <f t="shared" si="44"/>
        <v>#N/A</v>
      </c>
    </row>
    <row r="2731" spans="5:5">
      <c r="E2731" t="e">
        <f t="shared" si="44"/>
        <v>#N/A</v>
      </c>
    </row>
    <row r="2732" spans="5:5">
      <c r="E2732" t="e">
        <f t="shared" si="44"/>
        <v>#N/A</v>
      </c>
    </row>
    <row r="2733" spans="5:5">
      <c r="E2733" t="e">
        <f t="shared" si="44"/>
        <v>#N/A</v>
      </c>
    </row>
    <row r="2734" spans="5:5">
      <c r="E2734" t="e">
        <f t="shared" si="44"/>
        <v>#N/A</v>
      </c>
    </row>
    <row r="2735" spans="5:5">
      <c r="E2735" t="e">
        <f t="shared" si="44"/>
        <v>#N/A</v>
      </c>
    </row>
    <row r="2736" spans="5:5">
      <c r="E2736" t="e">
        <f t="shared" si="44"/>
        <v>#N/A</v>
      </c>
    </row>
    <row r="2737" spans="5:5">
      <c r="E2737" t="e">
        <f t="shared" si="44"/>
        <v>#N/A</v>
      </c>
    </row>
    <row r="2738" spans="5:5">
      <c r="E2738" t="e">
        <f t="shared" si="44"/>
        <v>#N/A</v>
      </c>
    </row>
    <row r="2739" spans="5:5">
      <c r="E2739" t="e">
        <f t="shared" si="44"/>
        <v>#N/A</v>
      </c>
    </row>
    <row r="2740" spans="5:5">
      <c r="E2740" t="e">
        <f t="shared" si="44"/>
        <v>#N/A</v>
      </c>
    </row>
    <row r="2741" spans="5:5">
      <c r="E2741" t="e">
        <f t="shared" si="44"/>
        <v>#N/A</v>
      </c>
    </row>
    <row r="2742" spans="5:5">
      <c r="E2742" t="e">
        <f t="shared" si="44"/>
        <v>#N/A</v>
      </c>
    </row>
    <row r="2743" spans="5:5">
      <c r="E2743" t="e">
        <f t="shared" si="44"/>
        <v>#N/A</v>
      </c>
    </row>
    <row r="2744" spans="5:5">
      <c r="E2744" t="e">
        <f t="shared" si="44"/>
        <v>#N/A</v>
      </c>
    </row>
    <row r="2745" spans="5:5">
      <c r="E2745" t="e">
        <f t="shared" si="44"/>
        <v>#N/A</v>
      </c>
    </row>
    <row r="2746" spans="5:5">
      <c r="E2746" t="e">
        <f t="shared" si="44"/>
        <v>#N/A</v>
      </c>
    </row>
    <row r="2747" spans="5:5">
      <c r="E2747" t="e">
        <f t="shared" si="44"/>
        <v>#N/A</v>
      </c>
    </row>
    <row r="2748" spans="5:5">
      <c r="E2748" t="e">
        <f t="shared" si="44"/>
        <v>#N/A</v>
      </c>
    </row>
    <row r="2749" spans="5:5">
      <c r="E2749" t="e">
        <f t="shared" si="44"/>
        <v>#N/A</v>
      </c>
    </row>
    <row r="2750" spans="5:5">
      <c r="E2750" t="e">
        <f t="shared" si="44"/>
        <v>#N/A</v>
      </c>
    </row>
    <row r="2751" spans="5:5">
      <c r="E2751" t="e">
        <f t="shared" si="44"/>
        <v>#N/A</v>
      </c>
    </row>
    <row r="2752" spans="5:5">
      <c r="E2752" t="e">
        <f t="shared" si="44"/>
        <v>#N/A</v>
      </c>
    </row>
    <row r="2753" spans="5:5">
      <c r="E2753" t="e">
        <f t="shared" si="44"/>
        <v>#N/A</v>
      </c>
    </row>
    <row r="2754" spans="5:5">
      <c r="E2754" t="e">
        <f t="shared" si="44"/>
        <v>#N/A</v>
      </c>
    </row>
    <row r="2755" spans="5:5">
      <c r="E2755" t="e">
        <f t="shared" si="44"/>
        <v>#N/A</v>
      </c>
    </row>
    <row r="2756" spans="5:5">
      <c r="E2756" t="e">
        <f t="shared" si="44"/>
        <v>#N/A</v>
      </c>
    </row>
    <row r="2757" spans="5:5">
      <c r="E2757" t="e">
        <f t="shared" si="44"/>
        <v>#N/A</v>
      </c>
    </row>
    <row r="2758" spans="5:5">
      <c r="E2758" t="e">
        <f t="shared" si="44"/>
        <v>#N/A</v>
      </c>
    </row>
    <row r="2759" spans="5:5">
      <c r="E2759" t="e">
        <f t="shared" si="44"/>
        <v>#N/A</v>
      </c>
    </row>
    <row r="2760" spans="5:5">
      <c r="E2760" t="e">
        <f t="shared" si="44"/>
        <v>#N/A</v>
      </c>
    </row>
    <row r="2761" spans="5:5">
      <c r="E2761" t="e">
        <f t="shared" si="44"/>
        <v>#N/A</v>
      </c>
    </row>
    <row r="2762" spans="5:5">
      <c r="E2762" t="e">
        <f t="shared" si="44"/>
        <v>#N/A</v>
      </c>
    </row>
    <row r="2763" spans="5:5">
      <c r="E2763" t="e">
        <f t="shared" si="44"/>
        <v>#N/A</v>
      </c>
    </row>
    <row r="2764" spans="5:5">
      <c r="E2764" t="e">
        <f t="shared" si="44"/>
        <v>#N/A</v>
      </c>
    </row>
    <row r="2765" spans="5:5">
      <c r="E2765" t="e">
        <f t="shared" ref="E2765:E2828" si="45">VLOOKUP(B2765,$Q$13:$R$61,2,FALSE)</f>
        <v>#N/A</v>
      </c>
    </row>
    <row r="2766" spans="5:5">
      <c r="E2766" t="e">
        <f t="shared" si="45"/>
        <v>#N/A</v>
      </c>
    </row>
    <row r="2767" spans="5:5">
      <c r="E2767" t="e">
        <f t="shared" si="45"/>
        <v>#N/A</v>
      </c>
    </row>
    <row r="2768" spans="5:5">
      <c r="E2768" t="e">
        <f t="shared" si="45"/>
        <v>#N/A</v>
      </c>
    </row>
    <row r="2769" spans="5:5">
      <c r="E2769" t="e">
        <f t="shared" si="45"/>
        <v>#N/A</v>
      </c>
    </row>
    <row r="2770" spans="5:5">
      <c r="E2770" t="e">
        <f t="shared" si="45"/>
        <v>#N/A</v>
      </c>
    </row>
    <row r="2771" spans="5:5">
      <c r="E2771" t="e">
        <f t="shared" si="45"/>
        <v>#N/A</v>
      </c>
    </row>
    <row r="2772" spans="5:5">
      <c r="E2772" t="e">
        <f t="shared" si="45"/>
        <v>#N/A</v>
      </c>
    </row>
    <row r="2773" spans="5:5">
      <c r="E2773" t="e">
        <f t="shared" si="45"/>
        <v>#N/A</v>
      </c>
    </row>
    <row r="2774" spans="5:5">
      <c r="E2774" t="e">
        <f t="shared" si="45"/>
        <v>#N/A</v>
      </c>
    </row>
    <row r="2775" spans="5:5">
      <c r="E2775" t="e">
        <f t="shared" si="45"/>
        <v>#N/A</v>
      </c>
    </row>
    <row r="2776" spans="5:5">
      <c r="E2776" t="e">
        <f t="shared" si="45"/>
        <v>#N/A</v>
      </c>
    </row>
    <row r="2777" spans="5:5">
      <c r="E2777" t="e">
        <f t="shared" si="45"/>
        <v>#N/A</v>
      </c>
    </row>
    <row r="2778" spans="5:5">
      <c r="E2778" t="e">
        <f t="shared" si="45"/>
        <v>#N/A</v>
      </c>
    </row>
    <row r="2779" spans="5:5">
      <c r="E2779" t="e">
        <f t="shared" si="45"/>
        <v>#N/A</v>
      </c>
    </row>
    <row r="2780" spans="5:5">
      <c r="E2780" t="e">
        <f t="shared" si="45"/>
        <v>#N/A</v>
      </c>
    </row>
    <row r="2781" spans="5:5">
      <c r="E2781" t="e">
        <f t="shared" si="45"/>
        <v>#N/A</v>
      </c>
    </row>
    <row r="2782" spans="5:5">
      <c r="E2782" t="e">
        <f t="shared" si="45"/>
        <v>#N/A</v>
      </c>
    </row>
    <row r="2783" spans="5:5">
      <c r="E2783" t="e">
        <f t="shared" si="45"/>
        <v>#N/A</v>
      </c>
    </row>
    <row r="2784" spans="5:5">
      <c r="E2784" t="e">
        <f t="shared" si="45"/>
        <v>#N/A</v>
      </c>
    </row>
    <row r="2785" spans="5:5">
      <c r="E2785" t="e">
        <f t="shared" si="45"/>
        <v>#N/A</v>
      </c>
    </row>
    <row r="2786" spans="5:5">
      <c r="E2786" t="e">
        <f t="shared" si="45"/>
        <v>#N/A</v>
      </c>
    </row>
    <row r="2787" spans="5:5">
      <c r="E2787" t="e">
        <f t="shared" si="45"/>
        <v>#N/A</v>
      </c>
    </row>
    <row r="2788" spans="5:5">
      <c r="E2788" t="e">
        <f t="shared" si="45"/>
        <v>#N/A</v>
      </c>
    </row>
    <row r="2789" spans="5:5">
      <c r="E2789" t="e">
        <f t="shared" si="45"/>
        <v>#N/A</v>
      </c>
    </row>
    <row r="2790" spans="5:5">
      <c r="E2790" t="e">
        <f t="shared" si="45"/>
        <v>#N/A</v>
      </c>
    </row>
    <row r="2791" spans="5:5">
      <c r="E2791" t="e">
        <f t="shared" si="45"/>
        <v>#N/A</v>
      </c>
    </row>
    <row r="2792" spans="5:5">
      <c r="E2792" t="e">
        <f t="shared" si="45"/>
        <v>#N/A</v>
      </c>
    </row>
    <row r="2793" spans="5:5">
      <c r="E2793" t="e">
        <f t="shared" si="45"/>
        <v>#N/A</v>
      </c>
    </row>
    <row r="2794" spans="5:5">
      <c r="E2794" t="e">
        <f t="shared" si="45"/>
        <v>#N/A</v>
      </c>
    </row>
    <row r="2795" spans="5:5">
      <c r="E2795" t="e">
        <f t="shared" si="45"/>
        <v>#N/A</v>
      </c>
    </row>
    <row r="2796" spans="5:5">
      <c r="E2796" t="e">
        <f t="shared" si="45"/>
        <v>#N/A</v>
      </c>
    </row>
    <row r="2797" spans="5:5">
      <c r="E2797" t="e">
        <f t="shared" si="45"/>
        <v>#N/A</v>
      </c>
    </row>
    <row r="2798" spans="5:5">
      <c r="E2798" t="e">
        <f t="shared" si="45"/>
        <v>#N/A</v>
      </c>
    </row>
    <row r="2799" spans="5:5">
      <c r="E2799" t="e">
        <f t="shared" si="45"/>
        <v>#N/A</v>
      </c>
    </row>
    <row r="2800" spans="5:5">
      <c r="E2800" t="e">
        <f t="shared" si="45"/>
        <v>#N/A</v>
      </c>
    </row>
    <row r="2801" spans="5:5">
      <c r="E2801" t="e">
        <f t="shared" si="45"/>
        <v>#N/A</v>
      </c>
    </row>
    <row r="2802" spans="5:5">
      <c r="E2802" t="e">
        <f t="shared" si="45"/>
        <v>#N/A</v>
      </c>
    </row>
    <row r="2803" spans="5:5">
      <c r="E2803" t="e">
        <f t="shared" si="45"/>
        <v>#N/A</v>
      </c>
    </row>
    <row r="2804" spans="5:5">
      <c r="E2804" t="e">
        <f t="shared" si="45"/>
        <v>#N/A</v>
      </c>
    </row>
    <row r="2805" spans="5:5">
      <c r="E2805" t="e">
        <f t="shared" si="45"/>
        <v>#N/A</v>
      </c>
    </row>
    <row r="2806" spans="5:5">
      <c r="E2806" t="e">
        <f t="shared" si="45"/>
        <v>#N/A</v>
      </c>
    </row>
    <row r="2807" spans="5:5">
      <c r="E2807" t="e">
        <f t="shared" si="45"/>
        <v>#N/A</v>
      </c>
    </row>
    <row r="2808" spans="5:5">
      <c r="E2808" t="e">
        <f t="shared" si="45"/>
        <v>#N/A</v>
      </c>
    </row>
    <row r="2809" spans="5:5">
      <c r="E2809" t="e">
        <f t="shared" si="45"/>
        <v>#N/A</v>
      </c>
    </row>
    <row r="2810" spans="5:5">
      <c r="E2810" t="e">
        <f t="shared" si="45"/>
        <v>#N/A</v>
      </c>
    </row>
    <row r="2811" spans="5:5">
      <c r="E2811" t="e">
        <f t="shared" si="45"/>
        <v>#N/A</v>
      </c>
    </row>
    <row r="2812" spans="5:5">
      <c r="E2812" t="e">
        <f t="shared" si="45"/>
        <v>#N/A</v>
      </c>
    </row>
    <row r="2813" spans="5:5">
      <c r="E2813" t="e">
        <f t="shared" si="45"/>
        <v>#N/A</v>
      </c>
    </row>
    <row r="2814" spans="5:5">
      <c r="E2814" t="e">
        <f t="shared" si="45"/>
        <v>#N/A</v>
      </c>
    </row>
    <row r="2815" spans="5:5">
      <c r="E2815" t="e">
        <f t="shared" si="45"/>
        <v>#N/A</v>
      </c>
    </row>
    <row r="2816" spans="5:5">
      <c r="E2816" t="e">
        <f t="shared" si="45"/>
        <v>#N/A</v>
      </c>
    </row>
    <row r="2817" spans="5:5">
      <c r="E2817" t="e">
        <f t="shared" si="45"/>
        <v>#N/A</v>
      </c>
    </row>
    <row r="2818" spans="5:5">
      <c r="E2818" t="e">
        <f t="shared" si="45"/>
        <v>#N/A</v>
      </c>
    </row>
    <row r="2819" spans="5:5">
      <c r="E2819" t="e">
        <f t="shared" si="45"/>
        <v>#N/A</v>
      </c>
    </row>
    <row r="2820" spans="5:5">
      <c r="E2820" t="e">
        <f t="shared" si="45"/>
        <v>#N/A</v>
      </c>
    </row>
    <row r="2821" spans="5:5">
      <c r="E2821" t="e">
        <f t="shared" si="45"/>
        <v>#N/A</v>
      </c>
    </row>
    <row r="2822" spans="5:5">
      <c r="E2822" t="e">
        <f t="shared" si="45"/>
        <v>#N/A</v>
      </c>
    </row>
    <row r="2823" spans="5:5">
      <c r="E2823" t="e">
        <f t="shared" si="45"/>
        <v>#N/A</v>
      </c>
    </row>
    <row r="2824" spans="5:5">
      <c r="E2824" t="e">
        <f t="shared" si="45"/>
        <v>#N/A</v>
      </c>
    </row>
    <row r="2825" spans="5:5">
      <c r="E2825" t="e">
        <f t="shared" si="45"/>
        <v>#N/A</v>
      </c>
    </row>
    <row r="2826" spans="5:5">
      <c r="E2826" t="e">
        <f t="shared" si="45"/>
        <v>#N/A</v>
      </c>
    </row>
    <row r="2827" spans="5:5">
      <c r="E2827" t="e">
        <f t="shared" si="45"/>
        <v>#N/A</v>
      </c>
    </row>
    <row r="2828" spans="5:5">
      <c r="E2828" t="e">
        <f t="shared" si="45"/>
        <v>#N/A</v>
      </c>
    </row>
    <row r="2829" spans="5:5">
      <c r="E2829" t="e">
        <f t="shared" ref="E2829:E2892" si="46">VLOOKUP(B2829,$Q$13:$R$61,2,FALSE)</f>
        <v>#N/A</v>
      </c>
    </row>
    <row r="2830" spans="5:5">
      <c r="E2830" t="e">
        <f t="shared" si="46"/>
        <v>#N/A</v>
      </c>
    </row>
    <row r="2831" spans="5:5">
      <c r="E2831" t="e">
        <f t="shared" si="46"/>
        <v>#N/A</v>
      </c>
    </row>
    <row r="2832" spans="5:5">
      <c r="E2832" t="e">
        <f t="shared" si="46"/>
        <v>#N/A</v>
      </c>
    </row>
    <row r="2833" spans="5:5">
      <c r="E2833" t="e">
        <f t="shared" si="46"/>
        <v>#N/A</v>
      </c>
    </row>
    <row r="2834" spans="5:5">
      <c r="E2834" t="e">
        <f t="shared" si="46"/>
        <v>#N/A</v>
      </c>
    </row>
    <row r="2835" spans="5:5">
      <c r="E2835" t="e">
        <f t="shared" si="46"/>
        <v>#N/A</v>
      </c>
    </row>
    <row r="2836" spans="5:5">
      <c r="E2836" t="e">
        <f t="shared" si="46"/>
        <v>#N/A</v>
      </c>
    </row>
    <row r="2837" spans="5:5">
      <c r="E2837" t="e">
        <f t="shared" si="46"/>
        <v>#N/A</v>
      </c>
    </row>
    <row r="2838" spans="5:5">
      <c r="E2838" t="e">
        <f t="shared" si="46"/>
        <v>#N/A</v>
      </c>
    </row>
    <row r="2839" spans="5:5">
      <c r="E2839" t="e">
        <f t="shared" si="46"/>
        <v>#N/A</v>
      </c>
    </row>
    <row r="2840" spans="5:5">
      <c r="E2840" t="e">
        <f t="shared" si="46"/>
        <v>#N/A</v>
      </c>
    </row>
    <row r="2841" spans="5:5">
      <c r="E2841" t="e">
        <f t="shared" si="46"/>
        <v>#N/A</v>
      </c>
    </row>
    <row r="2842" spans="5:5">
      <c r="E2842" t="e">
        <f t="shared" si="46"/>
        <v>#N/A</v>
      </c>
    </row>
    <row r="2843" spans="5:5">
      <c r="E2843" t="e">
        <f t="shared" si="46"/>
        <v>#N/A</v>
      </c>
    </row>
    <row r="2844" spans="5:5">
      <c r="E2844" t="e">
        <f t="shared" si="46"/>
        <v>#N/A</v>
      </c>
    </row>
    <row r="2845" spans="5:5">
      <c r="E2845" t="e">
        <f t="shared" si="46"/>
        <v>#N/A</v>
      </c>
    </row>
    <row r="2846" spans="5:5">
      <c r="E2846" t="e">
        <f t="shared" si="46"/>
        <v>#N/A</v>
      </c>
    </row>
    <row r="2847" spans="5:5">
      <c r="E2847" t="e">
        <f t="shared" si="46"/>
        <v>#N/A</v>
      </c>
    </row>
    <row r="2848" spans="5:5">
      <c r="E2848" t="e">
        <f t="shared" si="46"/>
        <v>#N/A</v>
      </c>
    </row>
    <row r="2849" spans="5:5">
      <c r="E2849" t="e">
        <f t="shared" si="46"/>
        <v>#N/A</v>
      </c>
    </row>
    <row r="2850" spans="5:5">
      <c r="E2850" t="e">
        <f t="shared" si="46"/>
        <v>#N/A</v>
      </c>
    </row>
    <row r="2851" spans="5:5">
      <c r="E2851" t="e">
        <f t="shared" si="46"/>
        <v>#N/A</v>
      </c>
    </row>
    <row r="2852" spans="5:5">
      <c r="E2852" t="e">
        <f t="shared" si="46"/>
        <v>#N/A</v>
      </c>
    </row>
    <row r="2853" spans="5:5">
      <c r="E2853" t="e">
        <f t="shared" si="46"/>
        <v>#N/A</v>
      </c>
    </row>
    <row r="2854" spans="5:5">
      <c r="E2854" t="e">
        <f t="shared" si="46"/>
        <v>#N/A</v>
      </c>
    </row>
    <row r="2855" spans="5:5">
      <c r="E2855" t="e">
        <f t="shared" si="46"/>
        <v>#N/A</v>
      </c>
    </row>
    <row r="2856" spans="5:5">
      <c r="E2856" t="e">
        <f t="shared" si="46"/>
        <v>#N/A</v>
      </c>
    </row>
    <row r="2857" spans="5:5">
      <c r="E2857" t="e">
        <f t="shared" si="46"/>
        <v>#N/A</v>
      </c>
    </row>
    <row r="2858" spans="5:5">
      <c r="E2858" t="e">
        <f t="shared" si="46"/>
        <v>#N/A</v>
      </c>
    </row>
    <row r="2859" spans="5:5">
      <c r="E2859" t="e">
        <f t="shared" si="46"/>
        <v>#N/A</v>
      </c>
    </row>
    <row r="2860" spans="5:5">
      <c r="E2860" t="e">
        <f t="shared" si="46"/>
        <v>#N/A</v>
      </c>
    </row>
    <row r="2861" spans="5:5">
      <c r="E2861" t="e">
        <f t="shared" si="46"/>
        <v>#N/A</v>
      </c>
    </row>
    <row r="2862" spans="5:5">
      <c r="E2862" t="e">
        <f t="shared" si="46"/>
        <v>#N/A</v>
      </c>
    </row>
    <row r="2863" spans="5:5">
      <c r="E2863" t="e">
        <f t="shared" si="46"/>
        <v>#N/A</v>
      </c>
    </row>
    <row r="2864" spans="5:5">
      <c r="E2864" t="e">
        <f t="shared" si="46"/>
        <v>#N/A</v>
      </c>
    </row>
    <row r="2865" spans="5:5">
      <c r="E2865" t="e">
        <f t="shared" si="46"/>
        <v>#N/A</v>
      </c>
    </row>
    <row r="2866" spans="5:5">
      <c r="E2866" t="e">
        <f t="shared" si="46"/>
        <v>#N/A</v>
      </c>
    </row>
    <row r="2867" spans="5:5">
      <c r="E2867" t="e">
        <f t="shared" si="46"/>
        <v>#N/A</v>
      </c>
    </row>
    <row r="2868" spans="5:5">
      <c r="E2868" t="e">
        <f t="shared" si="46"/>
        <v>#N/A</v>
      </c>
    </row>
    <row r="2869" spans="5:5">
      <c r="E2869" t="e">
        <f t="shared" si="46"/>
        <v>#N/A</v>
      </c>
    </row>
    <row r="2870" spans="5:5">
      <c r="E2870" t="e">
        <f t="shared" si="46"/>
        <v>#N/A</v>
      </c>
    </row>
    <row r="2871" spans="5:5">
      <c r="E2871" t="e">
        <f t="shared" si="46"/>
        <v>#N/A</v>
      </c>
    </row>
    <row r="2872" spans="5:5">
      <c r="E2872" t="e">
        <f t="shared" si="46"/>
        <v>#N/A</v>
      </c>
    </row>
    <row r="2873" spans="5:5">
      <c r="E2873" t="e">
        <f t="shared" si="46"/>
        <v>#N/A</v>
      </c>
    </row>
    <row r="2874" spans="5:5">
      <c r="E2874" t="e">
        <f t="shared" si="46"/>
        <v>#N/A</v>
      </c>
    </row>
    <row r="2875" spans="5:5">
      <c r="E2875" t="e">
        <f t="shared" si="46"/>
        <v>#N/A</v>
      </c>
    </row>
    <row r="2876" spans="5:5">
      <c r="E2876" t="e">
        <f t="shared" si="46"/>
        <v>#N/A</v>
      </c>
    </row>
    <row r="2877" spans="5:5">
      <c r="E2877" t="e">
        <f t="shared" si="46"/>
        <v>#N/A</v>
      </c>
    </row>
    <row r="2878" spans="5:5">
      <c r="E2878" t="e">
        <f t="shared" si="46"/>
        <v>#N/A</v>
      </c>
    </row>
    <row r="2879" spans="5:5">
      <c r="E2879" t="e">
        <f t="shared" si="46"/>
        <v>#N/A</v>
      </c>
    </row>
    <row r="2880" spans="5:5">
      <c r="E2880" t="e">
        <f t="shared" si="46"/>
        <v>#N/A</v>
      </c>
    </row>
    <row r="2881" spans="5:5">
      <c r="E2881" t="e">
        <f t="shared" si="46"/>
        <v>#N/A</v>
      </c>
    </row>
    <row r="2882" spans="5:5">
      <c r="E2882" t="e">
        <f t="shared" si="46"/>
        <v>#N/A</v>
      </c>
    </row>
    <row r="2883" spans="5:5">
      <c r="E2883" t="e">
        <f t="shared" si="46"/>
        <v>#N/A</v>
      </c>
    </row>
    <row r="2884" spans="5:5">
      <c r="E2884" t="e">
        <f t="shared" si="46"/>
        <v>#N/A</v>
      </c>
    </row>
    <row r="2885" spans="5:5">
      <c r="E2885" t="e">
        <f t="shared" si="46"/>
        <v>#N/A</v>
      </c>
    </row>
    <row r="2886" spans="5:5">
      <c r="E2886" t="e">
        <f t="shared" si="46"/>
        <v>#N/A</v>
      </c>
    </row>
    <row r="2887" spans="5:5">
      <c r="E2887" t="e">
        <f t="shared" si="46"/>
        <v>#N/A</v>
      </c>
    </row>
    <row r="2888" spans="5:5">
      <c r="E2888" t="e">
        <f t="shared" si="46"/>
        <v>#N/A</v>
      </c>
    </row>
    <row r="2889" spans="5:5">
      <c r="E2889" t="e">
        <f t="shared" si="46"/>
        <v>#N/A</v>
      </c>
    </row>
    <row r="2890" spans="5:5">
      <c r="E2890" t="e">
        <f t="shared" si="46"/>
        <v>#N/A</v>
      </c>
    </row>
    <row r="2891" spans="5:5">
      <c r="E2891" t="e">
        <f t="shared" si="46"/>
        <v>#N/A</v>
      </c>
    </row>
    <row r="2892" spans="5:5">
      <c r="E2892" t="e">
        <f t="shared" si="46"/>
        <v>#N/A</v>
      </c>
    </row>
    <row r="2893" spans="5:5">
      <c r="E2893" t="e">
        <f t="shared" ref="E2893:E2956" si="47">VLOOKUP(B2893,$Q$13:$R$61,2,FALSE)</f>
        <v>#N/A</v>
      </c>
    </row>
    <row r="2894" spans="5:5">
      <c r="E2894" t="e">
        <f t="shared" si="47"/>
        <v>#N/A</v>
      </c>
    </row>
    <row r="2895" spans="5:5">
      <c r="E2895" t="e">
        <f t="shared" si="47"/>
        <v>#N/A</v>
      </c>
    </row>
    <row r="2896" spans="5:5">
      <c r="E2896" t="e">
        <f t="shared" si="47"/>
        <v>#N/A</v>
      </c>
    </row>
    <row r="2897" spans="5:5">
      <c r="E2897" t="e">
        <f t="shared" si="47"/>
        <v>#N/A</v>
      </c>
    </row>
    <row r="2898" spans="5:5">
      <c r="E2898" t="e">
        <f t="shared" si="47"/>
        <v>#N/A</v>
      </c>
    </row>
    <row r="2899" spans="5:5">
      <c r="E2899" t="e">
        <f t="shared" si="47"/>
        <v>#N/A</v>
      </c>
    </row>
    <row r="2900" spans="5:5">
      <c r="E2900" t="e">
        <f t="shared" si="47"/>
        <v>#N/A</v>
      </c>
    </row>
    <row r="2901" spans="5:5">
      <c r="E2901" t="e">
        <f t="shared" si="47"/>
        <v>#N/A</v>
      </c>
    </row>
    <row r="2902" spans="5:5">
      <c r="E2902" t="e">
        <f t="shared" si="47"/>
        <v>#N/A</v>
      </c>
    </row>
    <row r="2903" spans="5:5">
      <c r="E2903" t="e">
        <f t="shared" si="47"/>
        <v>#N/A</v>
      </c>
    </row>
    <row r="2904" spans="5:5">
      <c r="E2904" t="e">
        <f t="shared" si="47"/>
        <v>#N/A</v>
      </c>
    </row>
    <row r="2905" spans="5:5">
      <c r="E2905" t="e">
        <f t="shared" si="47"/>
        <v>#N/A</v>
      </c>
    </row>
    <row r="2906" spans="5:5">
      <c r="E2906" t="e">
        <f t="shared" si="47"/>
        <v>#N/A</v>
      </c>
    </row>
    <row r="2907" spans="5:5">
      <c r="E2907" t="e">
        <f t="shared" si="47"/>
        <v>#N/A</v>
      </c>
    </row>
    <row r="2908" spans="5:5">
      <c r="E2908" t="e">
        <f t="shared" si="47"/>
        <v>#N/A</v>
      </c>
    </row>
    <row r="2909" spans="5:5">
      <c r="E2909" t="e">
        <f t="shared" si="47"/>
        <v>#N/A</v>
      </c>
    </row>
    <row r="2910" spans="5:5">
      <c r="E2910" t="e">
        <f t="shared" si="47"/>
        <v>#N/A</v>
      </c>
    </row>
    <row r="2911" spans="5:5">
      <c r="E2911" t="e">
        <f t="shared" si="47"/>
        <v>#N/A</v>
      </c>
    </row>
    <row r="2912" spans="5:5">
      <c r="E2912" t="e">
        <f t="shared" si="47"/>
        <v>#N/A</v>
      </c>
    </row>
    <row r="2913" spans="5:5">
      <c r="E2913" t="e">
        <f t="shared" si="47"/>
        <v>#N/A</v>
      </c>
    </row>
    <row r="2914" spans="5:5">
      <c r="E2914" t="e">
        <f t="shared" si="47"/>
        <v>#N/A</v>
      </c>
    </row>
    <row r="2915" spans="5:5">
      <c r="E2915" t="e">
        <f t="shared" si="47"/>
        <v>#N/A</v>
      </c>
    </row>
    <row r="2916" spans="5:5">
      <c r="E2916" t="e">
        <f t="shared" si="47"/>
        <v>#N/A</v>
      </c>
    </row>
    <row r="2917" spans="5:5">
      <c r="E2917" t="e">
        <f t="shared" si="47"/>
        <v>#N/A</v>
      </c>
    </row>
    <row r="2918" spans="5:5">
      <c r="E2918" t="e">
        <f t="shared" si="47"/>
        <v>#N/A</v>
      </c>
    </row>
    <row r="2919" spans="5:5">
      <c r="E2919" t="e">
        <f t="shared" si="47"/>
        <v>#N/A</v>
      </c>
    </row>
    <row r="2920" spans="5:5">
      <c r="E2920" t="e">
        <f t="shared" si="47"/>
        <v>#N/A</v>
      </c>
    </row>
    <row r="2921" spans="5:5">
      <c r="E2921" t="e">
        <f t="shared" si="47"/>
        <v>#N/A</v>
      </c>
    </row>
    <row r="2922" spans="5:5">
      <c r="E2922" t="e">
        <f t="shared" si="47"/>
        <v>#N/A</v>
      </c>
    </row>
    <row r="2923" spans="5:5">
      <c r="E2923" t="e">
        <f t="shared" si="47"/>
        <v>#N/A</v>
      </c>
    </row>
    <row r="2924" spans="5:5">
      <c r="E2924" t="e">
        <f t="shared" si="47"/>
        <v>#N/A</v>
      </c>
    </row>
    <row r="2925" spans="5:5">
      <c r="E2925" t="e">
        <f t="shared" si="47"/>
        <v>#N/A</v>
      </c>
    </row>
    <row r="2926" spans="5:5">
      <c r="E2926" t="e">
        <f t="shared" si="47"/>
        <v>#N/A</v>
      </c>
    </row>
    <row r="2927" spans="5:5">
      <c r="E2927" t="e">
        <f t="shared" si="47"/>
        <v>#N/A</v>
      </c>
    </row>
    <row r="2928" spans="5:5">
      <c r="E2928" t="e">
        <f t="shared" si="47"/>
        <v>#N/A</v>
      </c>
    </row>
    <row r="2929" spans="5:5">
      <c r="E2929" t="e">
        <f t="shared" si="47"/>
        <v>#N/A</v>
      </c>
    </row>
    <row r="2930" spans="5:5">
      <c r="E2930" t="e">
        <f t="shared" si="47"/>
        <v>#N/A</v>
      </c>
    </row>
    <row r="2931" spans="5:5">
      <c r="E2931" t="e">
        <f t="shared" si="47"/>
        <v>#N/A</v>
      </c>
    </row>
    <row r="2932" spans="5:5">
      <c r="E2932" t="e">
        <f t="shared" si="47"/>
        <v>#N/A</v>
      </c>
    </row>
    <row r="2933" spans="5:5">
      <c r="E2933" t="e">
        <f t="shared" si="47"/>
        <v>#N/A</v>
      </c>
    </row>
    <row r="2934" spans="5:5">
      <c r="E2934" t="e">
        <f t="shared" si="47"/>
        <v>#N/A</v>
      </c>
    </row>
    <row r="2935" spans="5:5">
      <c r="E2935" t="e">
        <f t="shared" si="47"/>
        <v>#N/A</v>
      </c>
    </row>
    <row r="2936" spans="5:5">
      <c r="E2936" t="e">
        <f t="shared" si="47"/>
        <v>#N/A</v>
      </c>
    </row>
    <row r="2937" spans="5:5">
      <c r="E2937" t="e">
        <f t="shared" si="47"/>
        <v>#N/A</v>
      </c>
    </row>
    <row r="2938" spans="5:5">
      <c r="E2938" t="e">
        <f t="shared" si="47"/>
        <v>#N/A</v>
      </c>
    </row>
    <row r="2939" spans="5:5">
      <c r="E2939" t="e">
        <f t="shared" si="47"/>
        <v>#N/A</v>
      </c>
    </row>
    <row r="2940" spans="5:5">
      <c r="E2940" t="e">
        <f t="shared" si="47"/>
        <v>#N/A</v>
      </c>
    </row>
    <row r="2941" spans="5:5">
      <c r="E2941" t="e">
        <f t="shared" si="47"/>
        <v>#N/A</v>
      </c>
    </row>
    <row r="2942" spans="5:5">
      <c r="E2942" t="e">
        <f t="shared" si="47"/>
        <v>#N/A</v>
      </c>
    </row>
    <row r="2943" spans="5:5">
      <c r="E2943" t="e">
        <f t="shared" si="47"/>
        <v>#N/A</v>
      </c>
    </row>
    <row r="2944" spans="5:5">
      <c r="E2944" t="e">
        <f t="shared" si="47"/>
        <v>#N/A</v>
      </c>
    </row>
    <row r="2945" spans="5:5">
      <c r="E2945" t="e">
        <f t="shared" si="47"/>
        <v>#N/A</v>
      </c>
    </row>
    <row r="2946" spans="5:5">
      <c r="E2946" t="e">
        <f t="shared" si="47"/>
        <v>#N/A</v>
      </c>
    </row>
    <row r="2947" spans="5:5">
      <c r="E2947" t="e">
        <f t="shared" si="47"/>
        <v>#N/A</v>
      </c>
    </row>
    <row r="2948" spans="5:5">
      <c r="E2948" t="e">
        <f t="shared" si="47"/>
        <v>#N/A</v>
      </c>
    </row>
    <row r="2949" spans="5:5">
      <c r="E2949" t="e">
        <f t="shared" si="47"/>
        <v>#N/A</v>
      </c>
    </row>
    <row r="2950" spans="5:5">
      <c r="E2950" t="e">
        <f t="shared" si="47"/>
        <v>#N/A</v>
      </c>
    </row>
    <row r="2951" spans="5:5">
      <c r="E2951" t="e">
        <f t="shared" si="47"/>
        <v>#N/A</v>
      </c>
    </row>
    <row r="2952" spans="5:5">
      <c r="E2952" t="e">
        <f t="shared" si="47"/>
        <v>#N/A</v>
      </c>
    </row>
    <row r="2953" spans="5:5">
      <c r="E2953" t="e">
        <f t="shared" si="47"/>
        <v>#N/A</v>
      </c>
    </row>
    <row r="2954" spans="5:5">
      <c r="E2954" t="e">
        <f t="shared" si="47"/>
        <v>#N/A</v>
      </c>
    </row>
    <row r="2955" spans="5:5">
      <c r="E2955" t="e">
        <f t="shared" si="47"/>
        <v>#N/A</v>
      </c>
    </row>
    <row r="2956" spans="5:5">
      <c r="E2956" t="e">
        <f t="shared" si="47"/>
        <v>#N/A</v>
      </c>
    </row>
    <row r="2957" spans="5:5">
      <c r="E2957" t="e">
        <f t="shared" ref="E2957:E3020" si="48">VLOOKUP(B2957,$Q$13:$R$61,2,FALSE)</f>
        <v>#N/A</v>
      </c>
    </row>
    <row r="2958" spans="5:5">
      <c r="E2958" t="e">
        <f t="shared" si="48"/>
        <v>#N/A</v>
      </c>
    </row>
    <row r="2959" spans="5:5">
      <c r="E2959" t="e">
        <f t="shared" si="48"/>
        <v>#N/A</v>
      </c>
    </row>
    <row r="2960" spans="5:5">
      <c r="E2960" t="e">
        <f t="shared" si="48"/>
        <v>#N/A</v>
      </c>
    </row>
    <row r="2961" spans="5:5">
      <c r="E2961" t="e">
        <f t="shared" si="48"/>
        <v>#N/A</v>
      </c>
    </row>
    <row r="2962" spans="5:5">
      <c r="E2962" t="e">
        <f t="shared" si="48"/>
        <v>#N/A</v>
      </c>
    </row>
    <row r="2963" spans="5:5">
      <c r="E2963" t="e">
        <f t="shared" si="48"/>
        <v>#N/A</v>
      </c>
    </row>
    <row r="2964" spans="5:5">
      <c r="E2964" t="e">
        <f t="shared" si="48"/>
        <v>#N/A</v>
      </c>
    </row>
    <row r="2965" spans="5:5">
      <c r="E2965" t="e">
        <f t="shared" si="48"/>
        <v>#N/A</v>
      </c>
    </row>
    <row r="2966" spans="5:5">
      <c r="E2966" t="e">
        <f t="shared" si="48"/>
        <v>#N/A</v>
      </c>
    </row>
    <row r="2967" spans="5:5">
      <c r="E2967" t="e">
        <f t="shared" si="48"/>
        <v>#N/A</v>
      </c>
    </row>
    <row r="2968" spans="5:5">
      <c r="E2968" t="e">
        <f t="shared" si="48"/>
        <v>#N/A</v>
      </c>
    </row>
    <row r="2969" spans="5:5">
      <c r="E2969" t="e">
        <f t="shared" si="48"/>
        <v>#N/A</v>
      </c>
    </row>
    <row r="2970" spans="5:5">
      <c r="E2970" t="e">
        <f t="shared" si="48"/>
        <v>#N/A</v>
      </c>
    </row>
    <row r="2971" spans="5:5">
      <c r="E2971" t="e">
        <f t="shared" si="48"/>
        <v>#N/A</v>
      </c>
    </row>
    <row r="2972" spans="5:5">
      <c r="E2972" t="e">
        <f t="shared" si="48"/>
        <v>#N/A</v>
      </c>
    </row>
    <row r="2973" spans="5:5">
      <c r="E2973" t="e">
        <f t="shared" si="48"/>
        <v>#N/A</v>
      </c>
    </row>
    <row r="2974" spans="5:5">
      <c r="E2974" t="e">
        <f t="shared" si="48"/>
        <v>#N/A</v>
      </c>
    </row>
    <row r="2975" spans="5:5">
      <c r="E2975" t="e">
        <f t="shared" si="48"/>
        <v>#N/A</v>
      </c>
    </row>
    <row r="2976" spans="5:5">
      <c r="E2976" t="e">
        <f t="shared" si="48"/>
        <v>#N/A</v>
      </c>
    </row>
    <row r="2977" spans="5:5">
      <c r="E2977" t="e">
        <f t="shared" si="48"/>
        <v>#N/A</v>
      </c>
    </row>
    <row r="2978" spans="5:5">
      <c r="E2978" t="e">
        <f t="shared" si="48"/>
        <v>#N/A</v>
      </c>
    </row>
    <row r="2979" spans="5:5">
      <c r="E2979" t="e">
        <f t="shared" si="48"/>
        <v>#N/A</v>
      </c>
    </row>
    <row r="2980" spans="5:5">
      <c r="E2980" t="e">
        <f t="shared" si="48"/>
        <v>#N/A</v>
      </c>
    </row>
    <row r="2981" spans="5:5">
      <c r="E2981" t="e">
        <f t="shared" si="48"/>
        <v>#N/A</v>
      </c>
    </row>
    <row r="2982" spans="5:5">
      <c r="E2982" t="e">
        <f t="shared" si="48"/>
        <v>#N/A</v>
      </c>
    </row>
    <row r="2983" spans="5:5">
      <c r="E2983" t="e">
        <f t="shared" si="48"/>
        <v>#N/A</v>
      </c>
    </row>
    <row r="2984" spans="5:5">
      <c r="E2984" t="e">
        <f t="shared" si="48"/>
        <v>#N/A</v>
      </c>
    </row>
    <row r="2985" spans="5:5">
      <c r="E2985" t="e">
        <f t="shared" si="48"/>
        <v>#N/A</v>
      </c>
    </row>
    <row r="2986" spans="5:5">
      <c r="E2986" t="e">
        <f t="shared" si="48"/>
        <v>#N/A</v>
      </c>
    </row>
    <row r="2987" spans="5:5">
      <c r="E2987" t="e">
        <f t="shared" si="48"/>
        <v>#N/A</v>
      </c>
    </row>
    <row r="2988" spans="5:5">
      <c r="E2988" t="e">
        <f t="shared" si="48"/>
        <v>#N/A</v>
      </c>
    </row>
    <row r="2989" spans="5:5">
      <c r="E2989" t="e">
        <f t="shared" si="48"/>
        <v>#N/A</v>
      </c>
    </row>
    <row r="2990" spans="5:5">
      <c r="E2990" t="e">
        <f t="shared" si="48"/>
        <v>#N/A</v>
      </c>
    </row>
    <row r="2991" spans="5:5">
      <c r="E2991" t="e">
        <f t="shared" si="48"/>
        <v>#N/A</v>
      </c>
    </row>
    <row r="2992" spans="5:5">
      <c r="E2992" t="e">
        <f t="shared" si="48"/>
        <v>#N/A</v>
      </c>
    </row>
    <row r="2993" spans="5:5">
      <c r="E2993" t="e">
        <f t="shared" si="48"/>
        <v>#N/A</v>
      </c>
    </row>
    <row r="2994" spans="5:5">
      <c r="E2994" t="e">
        <f t="shared" si="48"/>
        <v>#N/A</v>
      </c>
    </row>
    <row r="2995" spans="5:5">
      <c r="E2995" t="e">
        <f t="shared" si="48"/>
        <v>#N/A</v>
      </c>
    </row>
    <row r="2996" spans="5:5">
      <c r="E2996" t="e">
        <f t="shared" si="48"/>
        <v>#N/A</v>
      </c>
    </row>
    <row r="2997" spans="5:5">
      <c r="E2997" t="e">
        <f t="shared" si="48"/>
        <v>#N/A</v>
      </c>
    </row>
    <row r="2998" spans="5:5">
      <c r="E2998" t="e">
        <f t="shared" si="48"/>
        <v>#N/A</v>
      </c>
    </row>
    <row r="2999" spans="5:5">
      <c r="E2999" t="e">
        <f t="shared" si="48"/>
        <v>#N/A</v>
      </c>
    </row>
    <row r="3000" spans="5:5">
      <c r="E3000" t="e">
        <f t="shared" si="48"/>
        <v>#N/A</v>
      </c>
    </row>
    <row r="3001" spans="5:5">
      <c r="E3001" t="e">
        <f t="shared" si="48"/>
        <v>#N/A</v>
      </c>
    </row>
    <row r="3002" spans="5:5">
      <c r="E3002" t="e">
        <f t="shared" si="48"/>
        <v>#N/A</v>
      </c>
    </row>
    <row r="3003" spans="5:5">
      <c r="E3003" t="e">
        <f t="shared" si="48"/>
        <v>#N/A</v>
      </c>
    </row>
    <row r="3004" spans="5:5">
      <c r="E3004" t="e">
        <f t="shared" si="48"/>
        <v>#N/A</v>
      </c>
    </row>
    <row r="3005" spans="5:5">
      <c r="E3005" t="e">
        <f t="shared" si="48"/>
        <v>#N/A</v>
      </c>
    </row>
    <row r="3006" spans="5:5">
      <c r="E3006" t="e">
        <f t="shared" si="48"/>
        <v>#N/A</v>
      </c>
    </row>
    <row r="3007" spans="5:5">
      <c r="E3007" t="e">
        <f t="shared" si="48"/>
        <v>#N/A</v>
      </c>
    </row>
    <row r="3008" spans="5:5">
      <c r="E3008" t="e">
        <f t="shared" si="48"/>
        <v>#N/A</v>
      </c>
    </row>
    <row r="3009" spans="5:5">
      <c r="E3009" t="e">
        <f t="shared" si="48"/>
        <v>#N/A</v>
      </c>
    </row>
    <row r="3010" spans="5:5">
      <c r="E3010" t="e">
        <f t="shared" si="48"/>
        <v>#N/A</v>
      </c>
    </row>
    <row r="3011" spans="5:5">
      <c r="E3011" t="e">
        <f t="shared" si="48"/>
        <v>#N/A</v>
      </c>
    </row>
    <row r="3012" spans="5:5">
      <c r="E3012" t="e">
        <f t="shared" si="48"/>
        <v>#N/A</v>
      </c>
    </row>
    <row r="3013" spans="5:5">
      <c r="E3013" t="e">
        <f t="shared" si="48"/>
        <v>#N/A</v>
      </c>
    </row>
    <row r="3014" spans="5:5">
      <c r="E3014" t="e">
        <f t="shared" si="48"/>
        <v>#N/A</v>
      </c>
    </row>
    <row r="3015" spans="5:5">
      <c r="E3015" t="e">
        <f t="shared" si="48"/>
        <v>#N/A</v>
      </c>
    </row>
    <row r="3016" spans="5:5">
      <c r="E3016" t="e">
        <f t="shared" si="48"/>
        <v>#N/A</v>
      </c>
    </row>
    <row r="3017" spans="5:5">
      <c r="E3017" t="e">
        <f t="shared" si="48"/>
        <v>#N/A</v>
      </c>
    </row>
    <row r="3018" spans="5:5">
      <c r="E3018" t="e">
        <f t="shared" si="48"/>
        <v>#N/A</v>
      </c>
    </row>
    <row r="3019" spans="5:5">
      <c r="E3019" t="e">
        <f t="shared" si="48"/>
        <v>#N/A</v>
      </c>
    </row>
    <row r="3020" spans="5:5">
      <c r="E3020" t="e">
        <f t="shared" si="48"/>
        <v>#N/A</v>
      </c>
    </row>
    <row r="3021" spans="5:5">
      <c r="E3021" t="e">
        <f t="shared" ref="E3021:E3084" si="49">VLOOKUP(B3021,$Q$13:$R$61,2,FALSE)</f>
        <v>#N/A</v>
      </c>
    </row>
    <row r="3022" spans="5:5">
      <c r="E3022" t="e">
        <f t="shared" si="49"/>
        <v>#N/A</v>
      </c>
    </row>
    <row r="3023" spans="5:5">
      <c r="E3023" t="e">
        <f t="shared" si="49"/>
        <v>#N/A</v>
      </c>
    </row>
    <row r="3024" spans="5:5">
      <c r="E3024" t="e">
        <f t="shared" si="49"/>
        <v>#N/A</v>
      </c>
    </row>
    <row r="3025" spans="5:5">
      <c r="E3025" t="e">
        <f t="shared" si="49"/>
        <v>#N/A</v>
      </c>
    </row>
    <row r="3026" spans="5:5">
      <c r="E3026" t="e">
        <f t="shared" si="49"/>
        <v>#N/A</v>
      </c>
    </row>
    <row r="3027" spans="5:5">
      <c r="E3027" t="e">
        <f t="shared" si="49"/>
        <v>#N/A</v>
      </c>
    </row>
    <row r="3028" spans="5:5">
      <c r="E3028" t="e">
        <f t="shared" si="49"/>
        <v>#N/A</v>
      </c>
    </row>
    <row r="3029" spans="5:5">
      <c r="E3029" t="e">
        <f t="shared" si="49"/>
        <v>#N/A</v>
      </c>
    </row>
    <row r="3030" spans="5:5">
      <c r="E3030" t="e">
        <f t="shared" si="49"/>
        <v>#N/A</v>
      </c>
    </row>
    <row r="3031" spans="5:5">
      <c r="E3031" t="e">
        <f t="shared" si="49"/>
        <v>#N/A</v>
      </c>
    </row>
    <row r="3032" spans="5:5">
      <c r="E3032" t="e">
        <f t="shared" si="49"/>
        <v>#N/A</v>
      </c>
    </row>
    <row r="3033" spans="5:5">
      <c r="E3033" t="e">
        <f t="shared" si="49"/>
        <v>#N/A</v>
      </c>
    </row>
    <row r="3034" spans="5:5">
      <c r="E3034" t="e">
        <f t="shared" si="49"/>
        <v>#N/A</v>
      </c>
    </row>
    <row r="3035" spans="5:5">
      <c r="E3035" t="e">
        <f t="shared" si="49"/>
        <v>#N/A</v>
      </c>
    </row>
    <row r="3036" spans="5:5">
      <c r="E3036" t="e">
        <f t="shared" si="49"/>
        <v>#N/A</v>
      </c>
    </row>
    <row r="3037" spans="5:5">
      <c r="E3037" t="e">
        <f t="shared" si="49"/>
        <v>#N/A</v>
      </c>
    </row>
    <row r="3038" spans="5:5">
      <c r="E3038" t="e">
        <f t="shared" si="49"/>
        <v>#N/A</v>
      </c>
    </row>
    <row r="3039" spans="5:5">
      <c r="E3039" t="e">
        <f t="shared" si="49"/>
        <v>#N/A</v>
      </c>
    </row>
    <row r="3040" spans="5:5">
      <c r="E3040" t="e">
        <f t="shared" si="49"/>
        <v>#N/A</v>
      </c>
    </row>
    <row r="3041" spans="5:5">
      <c r="E3041" t="e">
        <f t="shared" si="49"/>
        <v>#N/A</v>
      </c>
    </row>
    <row r="3042" spans="5:5">
      <c r="E3042" t="e">
        <f t="shared" si="49"/>
        <v>#N/A</v>
      </c>
    </row>
    <row r="3043" spans="5:5">
      <c r="E3043" t="e">
        <f t="shared" si="49"/>
        <v>#N/A</v>
      </c>
    </row>
    <row r="3044" spans="5:5">
      <c r="E3044" t="e">
        <f t="shared" si="49"/>
        <v>#N/A</v>
      </c>
    </row>
    <row r="3045" spans="5:5">
      <c r="E3045" t="e">
        <f t="shared" si="49"/>
        <v>#N/A</v>
      </c>
    </row>
    <row r="3046" spans="5:5">
      <c r="E3046" t="e">
        <f t="shared" si="49"/>
        <v>#N/A</v>
      </c>
    </row>
    <row r="3047" spans="5:5">
      <c r="E3047" t="e">
        <f t="shared" si="49"/>
        <v>#N/A</v>
      </c>
    </row>
    <row r="3048" spans="5:5">
      <c r="E3048" t="e">
        <f t="shared" si="49"/>
        <v>#N/A</v>
      </c>
    </row>
    <row r="3049" spans="5:5">
      <c r="E3049" t="e">
        <f t="shared" si="49"/>
        <v>#N/A</v>
      </c>
    </row>
    <row r="3050" spans="5:5">
      <c r="E3050" t="e">
        <f t="shared" si="49"/>
        <v>#N/A</v>
      </c>
    </row>
    <row r="3051" spans="5:5">
      <c r="E3051" t="e">
        <f t="shared" si="49"/>
        <v>#N/A</v>
      </c>
    </row>
    <row r="3052" spans="5:5">
      <c r="E3052" t="e">
        <f t="shared" si="49"/>
        <v>#N/A</v>
      </c>
    </row>
    <row r="3053" spans="5:5">
      <c r="E3053" t="e">
        <f t="shared" si="49"/>
        <v>#N/A</v>
      </c>
    </row>
    <row r="3054" spans="5:5">
      <c r="E3054" t="e">
        <f t="shared" si="49"/>
        <v>#N/A</v>
      </c>
    </row>
    <row r="3055" spans="5:5">
      <c r="E3055" t="e">
        <f t="shared" si="49"/>
        <v>#N/A</v>
      </c>
    </row>
    <row r="3056" spans="5:5">
      <c r="E3056" t="e">
        <f t="shared" si="49"/>
        <v>#N/A</v>
      </c>
    </row>
    <row r="3057" spans="5:5">
      <c r="E3057" t="e">
        <f t="shared" si="49"/>
        <v>#N/A</v>
      </c>
    </row>
    <row r="3058" spans="5:5">
      <c r="E3058" t="e">
        <f t="shared" si="49"/>
        <v>#N/A</v>
      </c>
    </row>
    <row r="3059" spans="5:5">
      <c r="E3059" t="e">
        <f t="shared" si="49"/>
        <v>#N/A</v>
      </c>
    </row>
    <row r="3060" spans="5:5">
      <c r="E3060" t="e">
        <f t="shared" si="49"/>
        <v>#N/A</v>
      </c>
    </row>
    <row r="3061" spans="5:5">
      <c r="E3061" t="e">
        <f t="shared" si="49"/>
        <v>#N/A</v>
      </c>
    </row>
    <row r="3062" spans="5:5">
      <c r="E3062" t="e">
        <f t="shared" si="49"/>
        <v>#N/A</v>
      </c>
    </row>
    <row r="3063" spans="5:5">
      <c r="E3063" t="e">
        <f t="shared" si="49"/>
        <v>#N/A</v>
      </c>
    </row>
    <row r="3064" spans="5:5">
      <c r="E3064" t="e">
        <f t="shared" si="49"/>
        <v>#N/A</v>
      </c>
    </row>
    <row r="3065" spans="5:5">
      <c r="E3065" t="e">
        <f t="shared" si="49"/>
        <v>#N/A</v>
      </c>
    </row>
    <row r="3066" spans="5:5">
      <c r="E3066" t="e">
        <f t="shared" si="49"/>
        <v>#N/A</v>
      </c>
    </row>
    <row r="3067" spans="5:5">
      <c r="E3067" t="e">
        <f t="shared" si="49"/>
        <v>#N/A</v>
      </c>
    </row>
    <row r="3068" spans="5:5">
      <c r="E3068" t="e">
        <f t="shared" si="49"/>
        <v>#N/A</v>
      </c>
    </row>
    <row r="3069" spans="5:5">
      <c r="E3069" t="e">
        <f t="shared" si="49"/>
        <v>#N/A</v>
      </c>
    </row>
    <row r="3070" spans="5:5">
      <c r="E3070" t="e">
        <f t="shared" si="49"/>
        <v>#N/A</v>
      </c>
    </row>
    <row r="3071" spans="5:5">
      <c r="E3071" t="e">
        <f t="shared" si="49"/>
        <v>#N/A</v>
      </c>
    </row>
    <row r="3072" spans="5:5">
      <c r="E3072" t="e">
        <f t="shared" si="49"/>
        <v>#N/A</v>
      </c>
    </row>
    <row r="3073" spans="5:5">
      <c r="E3073" t="e">
        <f t="shared" si="49"/>
        <v>#N/A</v>
      </c>
    </row>
    <row r="3074" spans="5:5">
      <c r="E3074" t="e">
        <f t="shared" si="49"/>
        <v>#N/A</v>
      </c>
    </row>
    <row r="3075" spans="5:5">
      <c r="E3075" t="e">
        <f t="shared" si="49"/>
        <v>#N/A</v>
      </c>
    </row>
    <row r="3076" spans="5:5">
      <c r="E3076" t="e">
        <f t="shared" si="49"/>
        <v>#N/A</v>
      </c>
    </row>
    <row r="3077" spans="5:5">
      <c r="E3077" t="e">
        <f t="shared" si="49"/>
        <v>#N/A</v>
      </c>
    </row>
    <row r="3078" spans="5:5">
      <c r="E3078" t="e">
        <f t="shared" si="49"/>
        <v>#N/A</v>
      </c>
    </row>
    <row r="3079" spans="5:5">
      <c r="E3079" t="e">
        <f t="shared" si="49"/>
        <v>#N/A</v>
      </c>
    </row>
    <row r="3080" spans="5:5">
      <c r="E3080" t="e">
        <f t="shared" si="49"/>
        <v>#N/A</v>
      </c>
    </row>
    <row r="3081" spans="5:5">
      <c r="E3081" t="e">
        <f t="shared" si="49"/>
        <v>#N/A</v>
      </c>
    </row>
    <row r="3082" spans="5:5">
      <c r="E3082" t="e">
        <f t="shared" si="49"/>
        <v>#N/A</v>
      </c>
    </row>
    <row r="3083" spans="5:5">
      <c r="E3083" t="e">
        <f t="shared" si="49"/>
        <v>#N/A</v>
      </c>
    </row>
    <row r="3084" spans="5:5">
      <c r="E3084" t="e">
        <f t="shared" si="49"/>
        <v>#N/A</v>
      </c>
    </row>
    <row r="3085" spans="5:5">
      <c r="E3085" t="e">
        <f t="shared" ref="E3085:E3148" si="50">VLOOKUP(B3085,$Q$13:$R$61,2,FALSE)</f>
        <v>#N/A</v>
      </c>
    </row>
    <row r="3086" spans="5:5">
      <c r="E3086" t="e">
        <f t="shared" si="50"/>
        <v>#N/A</v>
      </c>
    </row>
    <row r="3087" spans="5:5">
      <c r="E3087" t="e">
        <f t="shared" si="50"/>
        <v>#N/A</v>
      </c>
    </row>
    <row r="3088" spans="5:5">
      <c r="E3088" t="e">
        <f t="shared" si="50"/>
        <v>#N/A</v>
      </c>
    </row>
    <row r="3089" spans="5:5">
      <c r="E3089" t="e">
        <f t="shared" si="50"/>
        <v>#N/A</v>
      </c>
    </row>
    <row r="3090" spans="5:5">
      <c r="E3090" t="e">
        <f t="shared" si="50"/>
        <v>#N/A</v>
      </c>
    </row>
    <row r="3091" spans="5:5">
      <c r="E3091" t="e">
        <f t="shared" si="50"/>
        <v>#N/A</v>
      </c>
    </row>
    <row r="3092" spans="5:5">
      <c r="E3092" t="e">
        <f t="shared" si="50"/>
        <v>#N/A</v>
      </c>
    </row>
    <row r="3093" spans="5:5">
      <c r="E3093" t="e">
        <f t="shared" si="50"/>
        <v>#N/A</v>
      </c>
    </row>
    <row r="3094" spans="5:5">
      <c r="E3094" t="e">
        <f t="shared" si="50"/>
        <v>#N/A</v>
      </c>
    </row>
    <row r="3095" spans="5:5">
      <c r="E3095" t="e">
        <f t="shared" si="50"/>
        <v>#N/A</v>
      </c>
    </row>
    <row r="3096" spans="5:5">
      <c r="E3096" t="e">
        <f t="shared" si="50"/>
        <v>#N/A</v>
      </c>
    </row>
    <row r="3097" spans="5:5">
      <c r="E3097" t="e">
        <f t="shared" si="50"/>
        <v>#N/A</v>
      </c>
    </row>
    <row r="3098" spans="5:5">
      <c r="E3098" t="e">
        <f t="shared" si="50"/>
        <v>#N/A</v>
      </c>
    </row>
    <row r="3099" spans="5:5">
      <c r="E3099" t="e">
        <f t="shared" si="50"/>
        <v>#N/A</v>
      </c>
    </row>
    <row r="3100" spans="5:5">
      <c r="E3100" t="e">
        <f t="shared" si="50"/>
        <v>#N/A</v>
      </c>
    </row>
    <row r="3101" spans="5:5">
      <c r="E3101" t="e">
        <f t="shared" si="50"/>
        <v>#N/A</v>
      </c>
    </row>
    <row r="3102" spans="5:5">
      <c r="E3102" t="e">
        <f t="shared" si="50"/>
        <v>#N/A</v>
      </c>
    </row>
    <row r="3103" spans="5:5">
      <c r="E3103" t="e">
        <f t="shared" si="50"/>
        <v>#N/A</v>
      </c>
    </row>
    <row r="3104" spans="5:5">
      <c r="E3104" t="e">
        <f t="shared" si="50"/>
        <v>#N/A</v>
      </c>
    </row>
    <row r="3105" spans="5:5">
      <c r="E3105" t="e">
        <f t="shared" si="50"/>
        <v>#N/A</v>
      </c>
    </row>
    <row r="3106" spans="5:5">
      <c r="E3106" t="e">
        <f t="shared" si="50"/>
        <v>#N/A</v>
      </c>
    </row>
    <row r="3107" spans="5:5">
      <c r="E3107" t="e">
        <f t="shared" si="50"/>
        <v>#N/A</v>
      </c>
    </row>
    <row r="3108" spans="5:5">
      <c r="E3108" t="e">
        <f t="shared" si="50"/>
        <v>#N/A</v>
      </c>
    </row>
    <row r="3109" spans="5:5">
      <c r="E3109" t="e">
        <f t="shared" si="50"/>
        <v>#N/A</v>
      </c>
    </row>
    <row r="3110" spans="5:5">
      <c r="E3110" t="e">
        <f t="shared" si="50"/>
        <v>#N/A</v>
      </c>
    </row>
    <row r="3111" spans="5:5">
      <c r="E3111" t="e">
        <f t="shared" si="50"/>
        <v>#N/A</v>
      </c>
    </row>
    <row r="3112" spans="5:5">
      <c r="E3112" t="e">
        <f t="shared" si="50"/>
        <v>#N/A</v>
      </c>
    </row>
    <row r="3113" spans="5:5">
      <c r="E3113" t="e">
        <f t="shared" si="50"/>
        <v>#N/A</v>
      </c>
    </row>
    <row r="3114" spans="5:5">
      <c r="E3114" t="e">
        <f t="shared" si="50"/>
        <v>#N/A</v>
      </c>
    </row>
    <row r="3115" spans="5:5">
      <c r="E3115" t="e">
        <f t="shared" si="50"/>
        <v>#N/A</v>
      </c>
    </row>
    <row r="3116" spans="5:5">
      <c r="E3116" t="e">
        <f t="shared" si="50"/>
        <v>#N/A</v>
      </c>
    </row>
    <row r="3117" spans="5:5">
      <c r="E3117" t="e">
        <f t="shared" si="50"/>
        <v>#N/A</v>
      </c>
    </row>
    <row r="3118" spans="5:5">
      <c r="E3118" t="e">
        <f t="shared" si="50"/>
        <v>#N/A</v>
      </c>
    </row>
    <row r="3119" spans="5:5">
      <c r="E3119" t="e">
        <f t="shared" si="50"/>
        <v>#N/A</v>
      </c>
    </row>
    <row r="3120" spans="5:5">
      <c r="E3120" t="e">
        <f t="shared" si="50"/>
        <v>#N/A</v>
      </c>
    </row>
    <row r="3121" spans="5:5">
      <c r="E3121" t="e">
        <f t="shared" si="50"/>
        <v>#N/A</v>
      </c>
    </row>
    <row r="3122" spans="5:5">
      <c r="E3122" t="e">
        <f t="shared" si="50"/>
        <v>#N/A</v>
      </c>
    </row>
    <row r="3123" spans="5:5">
      <c r="E3123" t="e">
        <f t="shared" si="50"/>
        <v>#N/A</v>
      </c>
    </row>
    <row r="3124" spans="5:5">
      <c r="E3124" t="e">
        <f t="shared" si="50"/>
        <v>#N/A</v>
      </c>
    </row>
    <row r="3125" spans="5:5">
      <c r="E3125" t="e">
        <f t="shared" si="50"/>
        <v>#N/A</v>
      </c>
    </row>
    <row r="3126" spans="5:5">
      <c r="E3126" t="e">
        <f t="shared" si="50"/>
        <v>#N/A</v>
      </c>
    </row>
    <row r="3127" spans="5:5">
      <c r="E3127" t="e">
        <f t="shared" si="50"/>
        <v>#N/A</v>
      </c>
    </row>
    <row r="3128" spans="5:5">
      <c r="E3128" t="e">
        <f t="shared" si="50"/>
        <v>#N/A</v>
      </c>
    </row>
    <row r="3129" spans="5:5">
      <c r="E3129" t="e">
        <f t="shared" si="50"/>
        <v>#N/A</v>
      </c>
    </row>
    <row r="3130" spans="5:5">
      <c r="E3130" t="e">
        <f t="shared" si="50"/>
        <v>#N/A</v>
      </c>
    </row>
    <row r="3131" spans="5:5">
      <c r="E3131" t="e">
        <f t="shared" si="50"/>
        <v>#N/A</v>
      </c>
    </row>
    <row r="3132" spans="5:5">
      <c r="E3132" t="e">
        <f t="shared" si="50"/>
        <v>#N/A</v>
      </c>
    </row>
    <row r="3133" spans="5:5">
      <c r="E3133" t="e">
        <f t="shared" si="50"/>
        <v>#N/A</v>
      </c>
    </row>
    <row r="3134" spans="5:5">
      <c r="E3134" t="e">
        <f t="shared" si="50"/>
        <v>#N/A</v>
      </c>
    </row>
    <row r="3135" spans="5:5">
      <c r="E3135" t="e">
        <f t="shared" si="50"/>
        <v>#N/A</v>
      </c>
    </row>
    <row r="3136" spans="5:5">
      <c r="E3136" t="e">
        <f t="shared" si="50"/>
        <v>#N/A</v>
      </c>
    </row>
    <row r="3137" spans="5:5">
      <c r="E3137" t="e">
        <f t="shared" si="50"/>
        <v>#N/A</v>
      </c>
    </row>
    <row r="3138" spans="5:5">
      <c r="E3138" t="e">
        <f t="shared" si="50"/>
        <v>#N/A</v>
      </c>
    </row>
    <row r="3139" spans="5:5">
      <c r="E3139" t="e">
        <f t="shared" si="50"/>
        <v>#N/A</v>
      </c>
    </row>
    <row r="3140" spans="5:5">
      <c r="E3140" t="e">
        <f t="shared" si="50"/>
        <v>#N/A</v>
      </c>
    </row>
    <row r="3141" spans="5:5">
      <c r="E3141" t="e">
        <f t="shared" si="50"/>
        <v>#N/A</v>
      </c>
    </row>
    <row r="3142" spans="5:5">
      <c r="E3142" t="e">
        <f t="shared" si="50"/>
        <v>#N/A</v>
      </c>
    </row>
    <row r="3143" spans="5:5">
      <c r="E3143" t="e">
        <f t="shared" si="50"/>
        <v>#N/A</v>
      </c>
    </row>
    <row r="3144" spans="5:5">
      <c r="E3144" t="e">
        <f t="shared" si="50"/>
        <v>#N/A</v>
      </c>
    </row>
    <row r="3145" spans="5:5">
      <c r="E3145" t="e">
        <f t="shared" si="50"/>
        <v>#N/A</v>
      </c>
    </row>
    <row r="3146" spans="5:5">
      <c r="E3146" t="e">
        <f t="shared" si="50"/>
        <v>#N/A</v>
      </c>
    </row>
    <row r="3147" spans="5:5">
      <c r="E3147" t="e">
        <f t="shared" si="50"/>
        <v>#N/A</v>
      </c>
    </row>
    <row r="3148" spans="5:5">
      <c r="E3148" t="e">
        <f t="shared" si="50"/>
        <v>#N/A</v>
      </c>
    </row>
    <row r="3149" spans="5:5">
      <c r="E3149" t="e">
        <f t="shared" ref="E3149:E3212" si="51">VLOOKUP(B3149,$Q$13:$R$61,2,FALSE)</f>
        <v>#N/A</v>
      </c>
    </row>
    <row r="3150" spans="5:5">
      <c r="E3150" t="e">
        <f t="shared" si="51"/>
        <v>#N/A</v>
      </c>
    </row>
    <row r="3151" spans="5:5">
      <c r="E3151" t="e">
        <f t="shared" si="51"/>
        <v>#N/A</v>
      </c>
    </row>
    <row r="3152" spans="5:5">
      <c r="E3152" t="e">
        <f t="shared" si="51"/>
        <v>#N/A</v>
      </c>
    </row>
    <row r="3153" spans="5:5">
      <c r="E3153" t="e">
        <f t="shared" si="51"/>
        <v>#N/A</v>
      </c>
    </row>
    <row r="3154" spans="5:5">
      <c r="E3154" t="e">
        <f t="shared" si="51"/>
        <v>#N/A</v>
      </c>
    </row>
    <row r="3155" spans="5:5">
      <c r="E3155" t="e">
        <f t="shared" si="51"/>
        <v>#N/A</v>
      </c>
    </row>
    <row r="3156" spans="5:5">
      <c r="E3156" t="e">
        <f t="shared" si="51"/>
        <v>#N/A</v>
      </c>
    </row>
    <row r="3157" spans="5:5">
      <c r="E3157" t="e">
        <f t="shared" si="51"/>
        <v>#N/A</v>
      </c>
    </row>
    <row r="3158" spans="5:5">
      <c r="E3158" t="e">
        <f t="shared" si="51"/>
        <v>#N/A</v>
      </c>
    </row>
    <row r="3159" spans="5:5">
      <c r="E3159" t="e">
        <f t="shared" si="51"/>
        <v>#N/A</v>
      </c>
    </row>
    <row r="3160" spans="5:5">
      <c r="E3160" t="e">
        <f t="shared" si="51"/>
        <v>#N/A</v>
      </c>
    </row>
    <row r="3161" spans="5:5">
      <c r="E3161" t="e">
        <f t="shared" si="51"/>
        <v>#N/A</v>
      </c>
    </row>
    <row r="3162" spans="5:5">
      <c r="E3162" t="e">
        <f t="shared" si="51"/>
        <v>#N/A</v>
      </c>
    </row>
    <row r="3163" spans="5:5">
      <c r="E3163" t="e">
        <f t="shared" si="51"/>
        <v>#N/A</v>
      </c>
    </row>
    <row r="3164" spans="5:5">
      <c r="E3164" t="e">
        <f t="shared" si="51"/>
        <v>#N/A</v>
      </c>
    </row>
    <row r="3165" spans="5:5">
      <c r="E3165" t="e">
        <f t="shared" si="51"/>
        <v>#N/A</v>
      </c>
    </row>
    <row r="3166" spans="5:5">
      <c r="E3166" t="e">
        <f t="shared" si="51"/>
        <v>#N/A</v>
      </c>
    </row>
    <row r="3167" spans="5:5">
      <c r="E3167" t="e">
        <f t="shared" si="51"/>
        <v>#N/A</v>
      </c>
    </row>
    <row r="3168" spans="5:5">
      <c r="E3168" t="e">
        <f t="shared" si="51"/>
        <v>#N/A</v>
      </c>
    </row>
    <row r="3169" spans="5:5">
      <c r="E3169" t="e">
        <f t="shared" si="51"/>
        <v>#N/A</v>
      </c>
    </row>
    <row r="3170" spans="5:5">
      <c r="E3170" t="e">
        <f t="shared" si="51"/>
        <v>#N/A</v>
      </c>
    </row>
    <row r="3171" spans="5:5">
      <c r="E3171" t="e">
        <f t="shared" si="51"/>
        <v>#N/A</v>
      </c>
    </row>
    <row r="3172" spans="5:5">
      <c r="E3172" t="e">
        <f t="shared" si="51"/>
        <v>#N/A</v>
      </c>
    </row>
    <row r="3173" spans="5:5">
      <c r="E3173" t="e">
        <f t="shared" si="51"/>
        <v>#N/A</v>
      </c>
    </row>
    <row r="3174" spans="5:5">
      <c r="E3174" t="e">
        <f t="shared" si="51"/>
        <v>#N/A</v>
      </c>
    </row>
    <row r="3175" spans="5:5">
      <c r="E3175" t="e">
        <f t="shared" si="51"/>
        <v>#N/A</v>
      </c>
    </row>
    <row r="3176" spans="5:5">
      <c r="E3176" t="e">
        <f t="shared" si="51"/>
        <v>#N/A</v>
      </c>
    </row>
    <row r="3177" spans="5:5">
      <c r="E3177" t="e">
        <f t="shared" si="51"/>
        <v>#N/A</v>
      </c>
    </row>
    <row r="3178" spans="5:5">
      <c r="E3178" t="e">
        <f t="shared" si="51"/>
        <v>#N/A</v>
      </c>
    </row>
    <row r="3179" spans="5:5">
      <c r="E3179" t="e">
        <f t="shared" si="51"/>
        <v>#N/A</v>
      </c>
    </row>
    <row r="3180" spans="5:5">
      <c r="E3180" t="e">
        <f t="shared" si="51"/>
        <v>#N/A</v>
      </c>
    </row>
    <row r="3181" spans="5:5">
      <c r="E3181" t="e">
        <f t="shared" si="51"/>
        <v>#N/A</v>
      </c>
    </row>
    <row r="3182" spans="5:5">
      <c r="E3182" t="e">
        <f t="shared" si="51"/>
        <v>#N/A</v>
      </c>
    </row>
    <row r="3183" spans="5:5">
      <c r="E3183" t="e">
        <f t="shared" si="51"/>
        <v>#N/A</v>
      </c>
    </row>
    <row r="3184" spans="5:5">
      <c r="E3184" t="e">
        <f t="shared" si="51"/>
        <v>#N/A</v>
      </c>
    </row>
    <row r="3185" spans="5:5">
      <c r="E3185" t="e">
        <f t="shared" si="51"/>
        <v>#N/A</v>
      </c>
    </row>
    <row r="3186" spans="5:5">
      <c r="E3186" t="e">
        <f t="shared" si="51"/>
        <v>#N/A</v>
      </c>
    </row>
    <row r="3187" spans="5:5">
      <c r="E3187" t="e">
        <f t="shared" si="51"/>
        <v>#N/A</v>
      </c>
    </row>
    <row r="3188" spans="5:5">
      <c r="E3188" t="e">
        <f t="shared" si="51"/>
        <v>#N/A</v>
      </c>
    </row>
    <row r="3189" spans="5:5">
      <c r="E3189" t="e">
        <f t="shared" si="51"/>
        <v>#N/A</v>
      </c>
    </row>
    <row r="3190" spans="5:5">
      <c r="E3190" t="e">
        <f t="shared" si="51"/>
        <v>#N/A</v>
      </c>
    </row>
    <row r="3191" spans="5:5">
      <c r="E3191" t="e">
        <f t="shared" si="51"/>
        <v>#N/A</v>
      </c>
    </row>
    <row r="3192" spans="5:5">
      <c r="E3192" t="e">
        <f t="shared" si="51"/>
        <v>#N/A</v>
      </c>
    </row>
    <row r="3193" spans="5:5">
      <c r="E3193" t="e">
        <f t="shared" si="51"/>
        <v>#N/A</v>
      </c>
    </row>
    <row r="3194" spans="5:5">
      <c r="E3194" t="e">
        <f t="shared" si="51"/>
        <v>#N/A</v>
      </c>
    </row>
    <row r="3195" spans="5:5">
      <c r="E3195" t="e">
        <f t="shared" si="51"/>
        <v>#N/A</v>
      </c>
    </row>
    <row r="3196" spans="5:5">
      <c r="E3196" t="e">
        <f t="shared" si="51"/>
        <v>#N/A</v>
      </c>
    </row>
    <row r="3197" spans="5:5">
      <c r="E3197" t="e">
        <f t="shared" si="51"/>
        <v>#N/A</v>
      </c>
    </row>
    <row r="3198" spans="5:5">
      <c r="E3198" t="e">
        <f t="shared" si="51"/>
        <v>#N/A</v>
      </c>
    </row>
    <row r="3199" spans="5:5">
      <c r="E3199" t="e">
        <f t="shared" si="51"/>
        <v>#N/A</v>
      </c>
    </row>
    <row r="3200" spans="5:5">
      <c r="E3200" t="e">
        <f t="shared" si="51"/>
        <v>#N/A</v>
      </c>
    </row>
    <row r="3201" spans="5:5">
      <c r="E3201" t="e">
        <f t="shared" si="51"/>
        <v>#N/A</v>
      </c>
    </row>
    <row r="3202" spans="5:5">
      <c r="E3202" t="e">
        <f t="shared" si="51"/>
        <v>#N/A</v>
      </c>
    </row>
    <row r="3203" spans="5:5">
      <c r="E3203" t="e">
        <f t="shared" si="51"/>
        <v>#N/A</v>
      </c>
    </row>
    <row r="3204" spans="5:5">
      <c r="E3204" t="e">
        <f t="shared" si="51"/>
        <v>#N/A</v>
      </c>
    </row>
    <row r="3205" spans="5:5">
      <c r="E3205" t="e">
        <f t="shared" si="51"/>
        <v>#N/A</v>
      </c>
    </row>
    <row r="3206" spans="5:5">
      <c r="E3206" t="e">
        <f t="shared" si="51"/>
        <v>#N/A</v>
      </c>
    </row>
    <row r="3207" spans="5:5">
      <c r="E3207" t="e">
        <f t="shared" si="51"/>
        <v>#N/A</v>
      </c>
    </row>
    <row r="3208" spans="5:5">
      <c r="E3208" t="e">
        <f t="shared" si="51"/>
        <v>#N/A</v>
      </c>
    </row>
    <row r="3209" spans="5:5">
      <c r="E3209" t="e">
        <f t="shared" si="51"/>
        <v>#N/A</v>
      </c>
    </row>
    <row r="3210" spans="5:5">
      <c r="E3210" t="e">
        <f t="shared" si="51"/>
        <v>#N/A</v>
      </c>
    </row>
    <row r="3211" spans="5:5">
      <c r="E3211" t="e">
        <f t="shared" si="51"/>
        <v>#N/A</v>
      </c>
    </row>
    <row r="3212" spans="5:5">
      <c r="E3212" t="e">
        <f t="shared" si="51"/>
        <v>#N/A</v>
      </c>
    </row>
    <row r="3213" spans="5:5">
      <c r="E3213" t="e">
        <f t="shared" ref="E3213:E3276" si="52">VLOOKUP(B3213,$Q$13:$R$61,2,FALSE)</f>
        <v>#N/A</v>
      </c>
    </row>
    <row r="3214" spans="5:5">
      <c r="E3214" t="e">
        <f t="shared" si="52"/>
        <v>#N/A</v>
      </c>
    </row>
    <row r="3215" spans="5:5">
      <c r="E3215" t="e">
        <f t="shared" si="52"/>
        <v>#N/A</v>
      </c>
    </row>
    <row r="3216" spans="5:5">
      <c r="E3216" t="e">
        <f t="shared" si="52"/>
        <v>#N/A</v>
      </c>
    </row>
    <row r="3217" spans="5:5">
      <c r="E3217" t="e">
        <f t="shared" si="52"/>
        <v>#N/A</v>
      </c>
    </row>
    <row r="3218" spans="5:5">
      <c r="E3218" t="e">
        <f t="shared" si="52"/>
        <v>#N/A</v>
      </c>
    </row>
    <row r="3219" spans="5:5">
      <c r="E3219" t="e">
        <f t="shared" si="52"/>
        <v>#N/A</v>
      </c>
    </row>
    <row r="3220" spans="5:5">
      <c r="E3220" t="e">
        <f t="shared" si="52"/>
        <v>#N/A</v>
      </c>
    </row>
    <row r="3221" spans="5:5">
      <c r="E3221" t="e">
        <f t="shared" si="52"/>
        <v>#N/A</v>
      </c>
    </row>
    <row r="3222" spans="5:5">
      <c r="E3222" t="e">
        <f t="shared" si="52"/>
        <v>#N/A</v>
      </c>
    </row>
    <row r="3223" spans="5:5">
      <c r="E3223" t="e">
        <f t="shared" si="52"/>
        <v>#N/A</v>
      </c>
    </row>
    <row r="3224" spans="5:5">
      <c r="E3224" t="e">
        <f t="shared" si="52"/>
        <v>#N/A</v>
      </c>
    </row>
    <row r="3225" spans="5:5">
      <c r="E3225" t="e">
        <f t="shared" si="52"/>
        <v>#N/A</v>
      </c>
    </row>
    <row r="3226" spans="5:5">
      <c r="E3226" t="e">
        <f t="shared" si="52"/>
        <v>#N/A</v>
      </c>
    </row>
    <row r="3227" spans="5:5">
      <c r="E3227" t="e">
        <f t="shared" si="52"/>
        <v>#N/A</v>
      </c>
    </row>
    <row r="3228" spans="5:5">
      <c r="E3228" t="e">
        <f t="shared" si="52"/>
        <v>#N/A</v>
      </c>
    </row>
    <row r="3229" spans="5:5">
      <c r="E3229" t="e">
        <f t="shared" si="52"/>
        <v>#N/A</v>
      </c>
    </row>
    <row r="3230" spans="5:5">
      <c r="E3230" t="e">
        <f t="shared" si="52"/>
        <v>#N/A</v>
      </c>
    </row>
    <row r="3231" spans="5:5">
      <c r="E3231" t="e">
        <f t="shared" si="52"/>
        <v>#N/A</v>
      </c>
    </row>
    <row r="3232" spans="5:5">
      <c r="E3232" t="e">
        <f t="shared" si="52"/>
        <v>#N/A</v>
      </c>
    </row>
    <row r="3233" spans="5:5">
      <c r="E3233" t="e">
        <f t="shared" si="52"/>
        <v>#N/A</v>
      </c>
    </row>
    <row r="3234" spans="5:5">
      <c r="E3234" t="e">
        <f t="shared" si="52"/>
        <v>#N/A</v>
      </c>
    </row>
    <row r="3235" spans="5:5">
      <c r="E3235" t="e">
        <f t="shared" si="52"/>
        <v>#N/A</v>
      </c>
    </row>
    <row r="3236" spans="5:5">
      <c r="E3236" t="e">
        <f t="shared" si="52"/>
        <v>#N/A</v>
      </c>
    </row>
    <row r="3237" spans="5:5">
      <c r="E3237" t="e">
        <f t="shared" si="52"/>
        <v>#N/A</v>
      </c>
    </row>
    <row r="3238" spans="5:5">
      <c r="E3238" t="e">
        <f t="shared" si="52"/>
        <v>#N/A</v>
      </c>
    </row>
    <row r="3239" spans="5:5">
      <c r="E3239" t="e">
        <f t="shared" si="52"/>
        <v>#N/A</v>
      </c>
    </row>
    <row r="3240" spans="5:5">
      <c r="E3240" t="e">
        <f t="shared" si="52"/>
        <v>#N/A</v>
      </c>
    </row>
    <row r="3241" spans="5:5">
      <c r="E3241" t="e">
        <f t="shared" si="52"/>
        <v>#N/A</v>
      </c>
    </row>
    <row r="3242" spans="5:5">
      <c r="E3242" t="e">
        <f t="shared" si="52"/>
        <v>#N/A</v>
      </c>
    </row>
    <row r="3243" spans="5:5">
      <c r="E3243" t="e">
        <f t="shared" si="52"/>
        <v>#N/A</v>
      </c>
    </row>
    <row r="3244" spans="5:5">
      <c r="E3244" t="e">
        <f t="shared" si="52"/>
        <v>#N/A</v>
      </c>
    </row>
    <row r="3245" spans="5:5">
      <c r="E3245" t="e">
        <f t="shared" si="52"/>
        <v>#N/A</v>
      </c>
    </row>
    <row r="3246" spans="5:5">
      <c r="E3246" t="e">
        <f t="shared" si="52"/>
        <v>#N/A</v>
      </c>
    </row>
    <row r="3247" spans="5:5">
      <c r="E3247" t="e">
        <f t="shared" si="52"/>
        <v>#N/A</v>
      </c>
    </row>
    <row r="3248" spans="5:5">
      <c r="E3248" t="e">
        <f t="shared" si="52"/>
        <v>#N/A</v>
      </c>
    </row>
    <row r="3249" spans="5:5">
      <c r="E3249" t="e">
        <f t="shared" si="52"/>
        <v>#N/A</v>
      </c>
    </row>
    <row r="3250" spans="5:5">
      <c r="E3250" t="e">
        <f t="shared" si="52"/>
        <v>#N/A</v>
      </c>
    </row>
    <row r="3251" spans="5:5">
      <c r="E3251" t="e">
        <f t="shared" si="52"/>
        <v>#N/A</v>
      </c>
    </row>
    <row r="3252" spans="5:5">
      <c r="E3252" t="e">
        <f t="shared" si="52"/>
        <v>#N/A</v>
      </c>
    </row>
    <row r="3253" spans="5:5">
      <c r="E3253" t="e">
        <f t="shared" si="52"/>
        <v>#N/A</v>
      </c>
    </row>
    <row r="3254" spans="5:5">
      <c r="E3254" t="e">
        <f t="shared" si="52"/>
        <v>#N/A</v>
      </c>
    </row>
    <row r="3255" spans="5:5">
      <c r="E3255" t="e">
        <f t="shared" si="52"/>
        <v>#N/A</v>
      </c>
    </row>
    <row r="3256" spans="5:5">
      <c r="E3256" t="e">
        <f t="shared" si="52"/>
        <v>#N/A</v>
      </c>
    </row>
    <row r="3257" spans="5:5">
      <c r="E3257" t="e">
        <f t="shared" si="52"/>
        <v>#N/A</v>
      </c>
    </row>
    <row r="3258" spans="5:5">
      <c r="E3258" t="e">
        <f t="shared" si="52"/>
        <v>#N/A</v>
      </c>
    </row>
    <row r="3259" spans="5:5">
      <c r="E3259" t="e">
        <f t="shared" si="52"/>
        <v>#N/A</v>
      </c>
    </row>
    <row r="3260" spans="5:5">
      <c r="E3260" t="e">
        <f t="shared" si="52"/>
        <v>#N/A</v>
      </c>
    </row>
    <row r="3261" spans="5:5">
      <c r="E3261" t="e">
        <f t="shared" si="52"/>
        <v>#N/A</v>
      </c>
    </row>
    <row r="3262" spans="5:5">
      <c r="E3262" t="e">
        <f t="shared" si="52"/>
        <v>#N/A</v>
      </c>
    </row>
    <row r="3263" spans="5:5">
      <c r="E3263" t="e">
        <f t="shared" si="52"/>
        <v>#N/A</v>
      </c>
    </row>
    <row r="3264" spans="5:5">
      <c r="E3264" t="e">
        <f t="shared" si="52"/>
        <v>#N/A</v>
      </c>
    </row>
    <row r="3265" spans="5:5">
      <c r="E3265" t="e">
        <f t="shared" si="52"/>
        <v>#N/A</v>
      </c>
    </row>
    <row r="3266" spans="5:5">
      <c r="E3266" t="e">
        <f t="shared" si="52"/>
        <v>#N/A</v>
      </c>
    </row>
    <row r="3267" spans="5:5">
      <c r="E3267" t="e">
        <f t="shared" si="52"/>
        <v>#N/A</v>
      </c>
    </row>
    <row r="3268" spans="5:5">
      <c r="E3268" t="e">
        <f t="shared" si="52"/>
        <v>#N/A</v>
      </c>
    </row>
    <row r="3269" spans="5:5">
      <c r="E3269" t="e">
        <f t="shared" si="52"/>
        <v>#N/A</v>
      </c>
    </row>
    <row r="3270" spans="5:5">
      <c r="E3270" t="e">
        <f t="shared" si="52"/>
        <v>#N/A</v>
      </c>
    </row>
    <row r="3271" spans="5:5">
      <c r="E3271" t="e">
        <f t="shared" si="52"/>
        <v>#N/A</v>
      </c>
    </row>
    <row r="3272" spans="5:5">
      <c r="E3272" t="e">
        <f t="shared" si="52"/>
        <v>#N/A</v>
      </c>
    </row>
    <row r="3273" spans="5:5">
      <c r="E3273" t="e">
        <f t="shared" si="52"/>
        <v>#N/A</v>
      </c>
    </row>
    <row r="3274" spans="5:5">
      <c r="E3274" t="e">
        <f t="shared" si="52"/>
        <v>#N/A</v>
      </c>
    </row>
    <row r="3275" spans="5:5">
      <c r="E3275" t="e">
        <f t="shared" si="52"/>
        <v>#N/A</v>
      </c>
    </row>
    <row r="3276" spans="5:5">
      <c r="E3276" t="e">
        <f t="shared" si="52"/>
        <v>#N/A</v>
      </c>
    </row>
    <row r="3277" spans="5:5">
      <c r="E3277" t="e">
        <f t="shared" ref="E3277:E3340" si="53">VLOOKUP(B3277,$Q$13:$R$61,2,FALSE)</f>
        <v>#N/A</v>
      </c>
    </row>
    <row r="3278" spans="5:5">
      <c r="E3278" t="e">
        <f t="shared" si="53"/>
        <v>#N/A</v>
      </c>
    </row>
    <row r="3279" spans="5:5">
      <c r="E3279" t="e">
        <f t="shared" si="53"/>
        <v>#N/A</v>
      </c>
    </row>
    <row r="3280" spans="5:5">
      <c r="E3280" t="e">
        <f t="shared" si="53"/>
        <v>#N/A</v>
      </c>
    </row>
    <row r="3281" spans="5:5">
      <c r="E3281" t="e">
        <f t="shared" si="53"/>
        <v>#N/A</v>
      </c>
    </row>
    <row r="3282" spans="5:5">
      <c r="E3282" t="e">
        <f t="shared" si="53"/>
        <v>#N/A</v>
      </c>
    </row>
    <row r="3283" spans="5:5">
      <c r="E3283" t="e">
        <f t="shared" si="53"/>
        <v>#N/A</v>
      </c>
    </row>
    <row r="3284" spans="5:5">
      <c r="E3284" t="e">
        <f t="shared" si="53"/>
        <v>#N/A</v>
      </c>
    </row>
    <row r="3285" spans="5:5">
      <c r="E3285" t="e">
        <f t="shared" si="53"/>
        <v>#N/A</v>
      </c>
    </row>
    <row r="3286" spans="5:5">
      <c r="E3286" t="e">
        <f t="shared" si="53"/>
        <v>#N/A</v>
      </c>
    </row>
    <row r="3287" spans="5:5">
      <c r="E3287" t="e">
        <f t="shared" si="53"/>
        <v>#N/A</v>
      </c>
    </row>
    <row r="3288" spans="5:5">
      <c r="E3288" t="e">
        <f t="shared" si="53"/>
        <v>#N/A</v>
      </c>
    </row>
    <row r="3289" spans="5:5">
      <c r="E3289" t="e">
        <f t="shared" si="53"/>
        <v>#N/A</v>
      </c>
    </row>
    <row r="3290" spans="5:5">
      <c r="E3290" t="e">
        <f t="shared" si="53"/>
        <v>#N/A</v>
      </c>
    </row>
    <row r="3291" spans="5:5">
      <c r="E3291" t="e">
        <f t="shared" si="53"/>
        <v>#N/A</v>
      </c>
    </row>
    <row r="3292" spans="5:5">
      <c r="E3292" t="e">
        <f t="shared" si="53"/>
        <v>#N/A</v>
      </c>
    </row>
    <row r="3293" spans="5:5">
      <c r="E3293" t="e">
        <f t="shared" si="53"/>
        <v>#N/A</v>
      </c>
    </row>
    <row r="3294" spans="5:5">
      <c r="E3294" t="e">
        <f t="shared" si="53"/>
        <v>#N/A</v>
      </c>
    </row>
    <row r="3295" spans="5:5">
      <c r="E3295" t="e">
        <f t="shared" si="53"/>
        <v>#N/A</v>
      </c>
    </row>
    <row r="3296" spans="5:5">
      <c r="E3296" t="e">
        <f t="shared" si="53"/>
        <v>#N/A</v>
      </c>
    </row>
    <row r="3297" spans="5:5">
      <c r="E3297" t="e">
        <f t="shared" si="53"/>
        <v>#N/A</v>
      </c>
    </row>
    <row r="3298" spans="5:5">
      <c r="E3298" t="e">
        <f t="shared" si="53"/>
        <v>#N/A</v>
      </c>
    </row>
    <row r="3299" spans="5:5">
      <c r="E3299" t="e">
        <f t="shared" si="53"/>
        <v>#N/A</v>
      </c>
    </row>
    <row r="3300" spans="5:5">
      <c r="E3300" t="e">
        <f t="shared" si="53"/>
        <v>#N/A</v>
      </c>
    </row>
    <row r="3301" spans="5:5">
      <c r="E3301" t="e">
        <f t="shared" si="53"/>
        <v>#N/A</v>
      </c>
    </row>
    <row r="3302" spans="5:5">
      <c r="E3302" t="e">
        <f t="shared" si="53"/>
        <v>#N/A</v>
      </c>
    </row>
    <row r="3303" spans="5:5">
      <c r="E3303" t="e">
        <f t="shared" si="53"/>
        <v>#N/A</v>
      </c>
    </row>
    <row r="3304" spans="5:5">
      <c r="E3304" t="e">
        <f t="shared" si="53"/>
        <v>#N/A</v>
      </c>
    </row>
    <row r="3305" spans="5:5">
      <c r="E3305" t="e">
        <f t="shared" si="53"/>
        <v>#N/A</v>
      </c>
    </row>
    <row r="3306" spans="5:5">
      <c r="E3306" t="e">
        <f t="shared" si="53"/>
        <v>#N/A</v>
      </c>
    </row>
    <row r="3307" spans="5:5">
      <c r="E3307" t="e">
        <f t="shared" si="53"/>
        <v>#N/A</v>
      </c>
    </row>
    <row r="3308" spans="5:5">
      <c r="E3308" t="e">
        <f t="shared" si="53"/>
        <v>#N/A</v>
      </c>
    </row>
    <row r="3309" spans="5:5">
      <c r="E3309" t="e">
        <f t="shared" si="53"/>
        <v>#N/A</v>
      </c>
    </row>
    <row r="3310" spans="5:5">
      <c r="E3310" t="e">
        <f t="shared" si="53"/>
        <v>#N/A</v>
      </c>
    </row>
    <row r="3311" spans="5:5">
      <c r="E3311" t="e">
        <f t="shared" si="53"/>
        <v>#N/A</v>
      </c>
    </row>
    <row r="3312" spans="5:5">
      <c r="E3312" t="e">
        <f t="shared" si="53"/>
        <v>#N/A</v>
      </c>
    </row>
    <row r="3313" spans="5:5">
      <c r="E3313" t="e">
        <f t="shared" si="53"/>
        <v>#N/A</v>
      </c>
    </row>
    <row r="3314" spans="5:5">
      <c r="E3314" t="e">
        <f t="shared" si="53"/>
        <v>#N/A</v>
      </c>
    </row>
    <row r="3315" spans="5:5">
      <c r="E3315" t="e">
        <f t="shared" si="53"/>
        <v>#N/A</v>
      </c>
    </row>
    <row r="3316" spans="5:5">
      <c r="E3316" t="e">
        <f t="shared" si="53"/>
        <v>#N/A</v>
      </c>
    </row>
    <row r="3317" spans="5:5">
      <c r="E3317" t="e">
        <f t="shared" si="53"/>
        <v>#N/A</v>
      </c>
    </row>
    <row r="3318" spans="5:5">
      <c r="E3318" t="e">
        <f t="shared" si="53"/>
        <v>#N/A</v>
      </c>
    </row>
    <row r="3319" spans="5:5">
      <c r="E3319" t="e">
        <f t="shared" si="53"/>
        <v>#N/A</v>
      </c>
    </row>
    <row r="3320" spans="5:5">
      <c r="E3320" t="e">
        <f t="shared" si="53"/>
        <v>#N/A</v>
      </c>
    </row>
    <row r="3321" spans="5:5">
      <c r="E3321" t="e">
        <f t="shared" si="53"/>
        <v>#N/A</v>
      </c>
    </row>
    <row r="3322" spans="5:5">
      <c r="E3322" t="e">
        <f t="shared" si="53"/>
        <v>#N/A</v>
      </c>
    </row>
    <row r="3323" spans="5:5">
      <c r="E3323" t="e">
        <f t="shared" si="53"/>
        <v>#N/A</v>
      </c>
    </row>
    <row r="3324" spans="5:5">
      <c r="E3324" t="e">
        <f t="shared" si="53"/>
        <v>#N/A</v>
      </c>
    </row>
    <row r="3325" spans="5:5">
      <c r="E3325" t="e">
        <f t="shared" si="53"/>
        <v>#N/A</v>
      </c>
    </row>
    <row r="3326" spans="5:5">
      <c r="E3326" t="e">
        <f t="shared" si="53"/>
        <v>#N/A</v>
      </c>
    </row>
    <row r="3327" spans="5:5">
      <c r="E3327" t="e">
        <f t="shared" si="53"/>
        <v>#N/A</v>
      </c>
    </row>
    <row r="3328" spans="5:5">
      <c r="E3328" t="e">
        <f t="shared" si="53"/>
        <v>#N/A</v>
      </c>
    </row>
    <row r="3329" spans="5:5">
      <c r="E3329" t="e">
        <f t="shared" si="53"/>
        <v>#N/A</v>
      </c>
    </row>
    <row r="3330" spans="5:5">
      <c r="E3330" t="e">
        <f t="shared" si="53"/>
        <v>#N/A</v>
      </c>
    </row>
    <row r="3331" spans="5:5">
      <c r="E3331" t="e">
        <f t="shared" si="53"/>
        <v>#N/A</v>
      </c>
    </row>
    <row r="3332" spans="5:5">
      <c r="E3332" t="e">
        <f t="shared" si="53"/>
        <v>#N/A</v>
      </c>
    </row>
    <row r="3333" spans="5:5">
      <c r="E3333" t="e">
        <f t="shared" si="53"/>
        <v>#N/A</v>
      </c>
    </row>
    <row r="3334" spans="5:5">
      <c r="E3334" t="e">
        <f t="shared" si="53"/>
        <v>#N/A</v>
      </c>
    </row>
    <row r="3335" spans="5:5">
      <c r="E3335" t="e">
        <f t="shared" si="53"/>
        <v>#N/A</v>
      </c>
    </row>
    <row r="3336" spans="5:5">
      <c r="E3336" t="e">
        <f t="shared" si="53"/>
        <v>#N/A</v>
      </c>
    </row>
    <row r="3337" spans="5:5">
      <c r="E3337" t="e">
        <f t="shared" si="53"/>
        <v>#N/A</v>
      </c>
    </row>
    <row r="3338" spans="5:5">
      <c r="E3338" t="e">
        <f t="shared" si="53"/>
        <v>#N/A</v>
      </c>
    </row>
    <row r="3339" spans="5:5">
      <c r="E3339" t="e">
        <f t="shared" si="53"/>
        <v>#N/A</v>
      </c>
    </row>
    <row r="3340" spans="5:5">
      <c r="E3340" t="e">
        <f t="shared" si="53"/>
        <v>#N/A</v>
      </c>
    </row>
    <row r="3341" spans="5:5">
      <c r="E3341" t="e">
        <f t="shared" ref="E3341:E3404" si="54">VLOOKUP(B3341,$Q$13:$R$61,2,FALSE)</f>
        <v>#N/A</v>
      </c>
    </row>
    <row r="3342" spans="5:5">
      <c r="E3342" t="e">
        <f t="shared" si="54"/>
        <v>#N/A</v>
      </c>
    </row>
    <row r="3343" spans="5:5">
      <c r="E3343" t="e">
        <f t="shared" si="54"/>
        <v>#N/A</v>
      </c>
    </row>
    <row r="3344" spans="5:5">
      <c r="E3344" t="e">
        <f t="shared" si="54"/>
        <v>#N/A</v>
      </c>
    </row>
    <row r="3345" spans="5:5">
      <c r="E3345" t="e">
        <f t="shared" si="54"/>
        <v>#N/A</v>
      </c>
    </row>
    <row r="3346" spans="5:5">
      <c r="E3346" t="e">
        <f t="shared" si="54"/>
        <v>#N/A</v>
      </c>
    </row>
    <row r="3347" spans="5:5">
      <c r="E3347" t="e">
        <f t="shared" si="54"/>
        <v>#N/A</v>
      </c>
    </row>
    <row r="3348" spans="5:5">
      <c r="E3348" t="e">
        <f t="shared" si="54"/>
        <v>#N/A</v>
      </c>
    </row>
    <row r="3349" spans="5:5">
      <c r="E3349" t="e">
        <f t="shared" si="54"/>
        <v>#N/A</v>
      </c>
    </row>
    <row r="3350" spans="5:5">
      <c r="E3350" t="e">
        <f t="shared" si="54"/>
        <v>#N/A</v>
      </c>
    </row>
    <row r="3351" spans="5:5">
      <c r="E3351" t="e">
        <f t="shared" si="54"/>
        <v>#N/A</v>
      </c>
    </row>
    <row r="3352" spans="5:5">
      <c r="E3352" t="e">
        <f t="shared" si="54"/>
        <v>#N/A</v>
      </c>
    </row>
    <row r="3353" spans="5:5">
      <c r="E3353" t="e">
        <f t="shared" si="54"/>
        <v>#N/A</v>
      </c>
    </row>
    <row r="3354" spans="5:5">
      <c r="E3354" t="e">
        <f t="shared" si="54"/>
        <v>#N/A</v>
      </c>
    </row>
    <row r="3355" spans="5:5">
      <c r="E3355" t="e">
        <f t="shared" si="54"/>
        <v>#N/A</v>
      </c>
    </row>
    <row r="3356" spans="5:5">
      <c r="E3356" t="e">
        <f t="shared" si="54"/>
        <v>#N/A</v>
      </c>
    </row>
    <row r="3357" spans="5:5">
      <c r="E3357" t="e">
        <f t="shared" si="54"/>
        <v>#N/A</v>
      </c>
    </row>
    <row r="3358" spans="5:5">
      <c r="E3358" t="e">
        <f t="shared" si="54"/>
        <v>#N/A</v>
      </c>
    </row>
    <row r="3359" spans="5:5">
      <c r="E3359" t="e">
        <f t="shared" si="54"/>
        <v>#N/A</v>
      </c>
    </row>
    <row r="3360" spans="5:5">
      <c r="E3360" t="e">
        <f t="shared" si="54"/>
        <v>#N/A</v>
      </c>
    </row>
    <row r="3361" spans="5:5">
      <c r="E3361" t="e">
        <f t="shared" si="54"/>
        <v>#N/A</v>
      </c>
    </row>
    <row r="3362" spans="5:5">
      <c r="E3362" t="e">
        <f t="shared" si="54"/>
        <v>#N/A</v>
      </c>
    </row>
    <row r="3363" spans="5:5">
      <c r="E3363" t="e">
        <f t="shared" si="54"/>
        <v>#N/A</v>
      </c>
    </row>
    <row r="3364" spans="5:5">
      <c r="E3364" t="e">
        <f t="shared" si="54"/>
        <v>#N/A</v>
      </c>
    </row>
    <row r="3365" spans="5:5">
      <c r="E3365" t="e">
        <f t="shared" si="54"/>
        <v>#N/A</v>
      </c>
    </row>
    <row r="3366" spans="5:5">
      <c r="E3366" t="e">
        <f t="shared" si="54"/>
        <v>#N/A</v>
      </c>
    </row>
    <row r="3367" spans="5:5">
      <c r="E3367" t="e">
        <f t="shared" si="54"/>
        <v>#N/A</v>
      </c>
    </row>
    <row r="3368" spans="5:5">
      <c r="E3368" t="e">
        <f t="shared" si="54"/>
        <v>#N/A</v>
      </c>
    </row>
    <row r="3369" spans="5:5">
      <c r="E3369" t="e">
        <f t="shared" si="54"/>
        <v>#N/A</v>
      </c>
    </row>
    <row r="3370" spans="5:5">
      <c r="E3370" t="e">
        <f t="shared" si="54"/>
        <v>#N/A</v>
      </c>
    </row>
    <row r="3371" spans="5:5">
      <c r="E3371" t="e">
        <f t="shared" si="54"/>
        <v>#N/A</v>
      </c>
    </row>
    <row r="3372" spans="5:5">
      <c r="E3372" t="e">
        <f t="shared" si="54"/>
        <v>#N/A</v>
      </c>
    </row>
    <row r="3373" spans="5:5">
      <c r="E3373" t="e">
        <f t="shared" si="54"/>
        <v>#N/A</v>
      </c>
    </row>
    <row r="3374" spans="5:5">
      <c r="E3374" t="e">
        <f t="shared" si="54"/>
        <v>#N/A</v>
      </c>
    </row>
    <row r="3375" spans="5:5">
      <c r="E3375" t="e">
        <f t="shared" si="54"/>
        <v>#N/A</v>
      </c>
    </row>
    <row r="3376" spans="5:5">
      <c r="E3376" t="e">
        <f t="shared" si="54"/>
        <v>#N/A</v>
      </c>
    </row>
    <row r="3377" spans="5:5">
      <c r="E3377" t="e">
        <f t="shared" si="54"/>
        <v>#N/A</v>
      </c>
    </row>
    <row r="3378" spans="5:5">
      <c r="E3378" t="e">
        <f t="shared" si="54"/>
        <v>#N/A</v>
      </c>
    </row>
    <row r="3379" spans="5:5">
      <c r="E3379" t="e">
        <f t="shared" si="54"/>
        <v>#N/A</v>
      </c>
    </row>
    <row r="3380" spans="5:5">
      <c r="E3380" t="e">
        <f t="shared" si="54"/>
        <v>#N/A</v>
      </c>
    </row>
    <row r="3381" spans="5:5">
      <c r="E3381" t="e">
        <f t="shared" si="54"/>
        <v>#N/A</v>
      </c>
    </row>
    <row r="3382" spans="5:5">
      <c r="E3382" t="e">
        <f t="shared" si="54"/>
        <v>#N/A</v>
      </c>
    </row>
    <row r="3383" spans="5:5">
      <c r="E3383" t="e">
        <f t="shared" si="54"/>
        <v>#N/A</v>
      </c>
    </row>
    <row r="3384" spans="5:5">
      <c r="E3384" t="e">
        <f t="shared" si="54"/>
        <v>#N/A</v>
      </c>
    </row>
    <row r="3385" spans="5:5">
      <c r="E3385" t="e">
        <f t="shared" si="54"/>
        <v>#N/A</v>
      </c>
    </row>
    <row r="3386" spans="5:5">
      <c r="E3386" t="e">
        <f t="shared" si="54"/>
        <v>#N/A</v>
      </c>
    </row>
    <row r="3387" spans="5:5">
      <c r="E3387" t="e">
        <f t="shared" si="54"/>
        <v>#N/A</v>
      </c>
    </row>
    <row r="3388" spans="5:5">
      <c r="E3388" t="e">
        <f t="shared" si="54"/>
        <v>#N/A</v>
      </c>
    </row>
    <row r="3389" spans="5:5">
      <c r="E3389" t="e">
        <f t="shared" si="54"/>
        <v>#N/A</v>
      </c>
    </row>
    <row r="3390" spans="5:5">
      <c r="E3390" t="e">
        <f t="shared" si="54"/>
        <v>#N/A</v>
      </c>
    </row>
    <row r="3391" spans="5:5">
      <c r="E3391" t="e">
        <f t="shared" si="54"/>
        <v>#N/A</v>
      </c>
    </row>
    <row r="3392" spans="5:5">
      <c r="E3392" t="e">
        <f t="shared" si="54"/>
        <v>#N/A</v>
      </c>
    </row>
    <row r="3393" spans="5:5">
      <c r="E3393" t="e">
        <f t="shared" si="54"/>
        <v>#N/A</v>
      </c>
    </row>
    <row r="3394" spans="5:5">
      <c r="E3394" t="e">
        <f t="shared" si="54"/>
        <v>#N/A</v>
      </c>
    </row>
    <row r="3395" spans="5:5">
      <c r="E3395" t="e">
        <f t="shared" si="54"/>
        <v>#N/A</v>
      </c>
    </row>
    <row r="3396" spans="5:5">
      <c r="E3396" t="e">
        <f t="shared" si="54"/>
        <v>#N/A</v>
      </c>
    </row>
    <row r="3397" spans="5:5">
      <c r="E3397" t="e">
        <f t="shared" si="54"/>
        <v>#N/A</v>
      </c>
    </row>
    <row r="3398" spans="5:5">
      <c r="E3398" t="e">
        <f t="shared" si="54"/>
        <v>#N/A</v>
      </c>
    </row>
    <row r="3399" spans="5:5">
      <c r="E3399" t="e">
        <f t="shared" si="54"/>
        <v>#N/A</v>
      </c>
    </row>
    <row r="3400" spans="5:5">
      <c r="E3400" t="e">
        <f t="shared" si="54"/>
        <v>#N/A</v>
      </c>
    </row>
    <row r="3401" spans="5:5">
      <c r="E3401" t="e">
        <f t="shared" si="54"/>
        <v>#N/A</v>
      </c>
    </row>
    <row r="3402" spans="5:5">
      <c r="E3402" t="e">
        <f t="shared" si="54"/>
        <v>#N/A</v>
      </c>
    </row>
    <row r="3403" spans="5:5">
      <c r="E3403" t="e">
        <f t="shared" si="54"/>
        <v>#N/A</v>
      </c>
    </row>
    <row r="3404" spans="5:5">
      <c r="E3404" t="e">
        <f t="shared" si="54"/>
        <v>#N/A</v>
      </c>
    </row>
    <row r="3405" spans="5:5">
      <c r="E3405" t="e">
        <f t="shared" ref="E3405:E3468" si="55">VLOOKUP(B3405,$Q$13:$R$61,2,FALSE)</f>
        <v>#N/A</v>
      </c>
    </row>
    <row r="3406" spans="5:5">
      <c r="E3406" t="e">
        <f t="shared" si="55"/>
        <v>#N/A</v>
      </c>
    </row>
    <row r="3407" spans="5:5">
      <c r="E3407" t="e">
        <f t="shared" si="55"/>
        <v>#N/A</v>
      </c>
    </row>
    <row r="3408" spans="5:5">
      <c r="E3408" t="e">
        <f t="shared" si="55"/>
        <v>#N/A</v>
      </c>
    </row>
    <row r="3409" spans="5:5">
      <c r="E3409" t="e">
        <f t="shared" si="55"/>
        <v>#N/A</v>
      </c>
    </row>
    <row r="3410" spans="5:5">
      <c r="E3410" t="e">
        <f t="shared" si="55"/>
        <v>#N/A</v>
      </c>
    </row>
    <row r="3411" spans="5:5">
      <c r="E3411" t="e">
        <f t="shared" si="55"/>
        <v>#N/A</v>
      </c>
    </row>
    <row r="3412" spans="5:5">
      <c r="E3412" t="e">
        <f t="shared" si="55"/>
        <v>#N/A</v>
      </c>
    </row>
    <row r="3413" spans="5:5">
      <c r="E3413" t="e">
        <f t="shared" si="55"/>
        <v>#N/A</v>
      </c>
    </row>
    <row r="3414" spans="5:5">
      <c r="E3414" t="e">
        <f t="shared" si="55"/>
        <v>#N/A</v>
      </c>
    </row>
    <row r="3415" spans="5:5">
      <c r="E3415" t="e">
        <f t="shared" si="55"/>
        <v>#N/A</v>
      </c>
    </row>
    <row r="3416" spans="5:5">
      <c r="E3416" t="e">
        <f t="shared" si="55"/>
        <v>#N/A</v>
      </c>
    </row>
    <row r="3417" spans="5:5">
      <c r="E3417" t="e">
        <f t="shared" si="55"/>
        <v>#N/A</v>
      </c>
    </row>
    <row r="3418" spans="5:5">
      <c r="E3418" t="e">
        <f t="shared" si="55"/>
        <v>#N/A</v>
      </c>
    </row>
    <row r="3419" spans="5:5">
      <c r="E3419" t="e">
        <f t="shared" si="55"/>
        <v>#N/A</v>
      </c>
    </row>
    <row r="3420" spans="5:5">
      <c r="E3420" t="e">
        <f t="shared" si="55"/>
        <v>#N/A</v>
      </c>
    </row>
    <row r="3421" spans="5:5">
      <c r="E3421" t="e">
        <f t="shared" si="55"/>
        <v>#N/A</v>
      </c>
    </row>
    <row r="3422" spans="5:5">
      <c r="E3422" t="e">
        <f t="shared" si="55"/>
        <v>#N/A</v>
      </c>
    </row>
    <row r="3423" spans="5:5">
      <c r="E3423" t="e">
        <f t="shared" si="55"/>
        <v>#N/A</v>
      </c>
    </row>
    <row r="3424" spans="5:5">
      <c r="E3424" t="e">
        <f t="shared" si="55"/>
        <v>#N/A</v>
      </c>
    </row>
    <row r="3425" spans="5:5">
      <c r="E3425" t="e">
        <f t="shared" si="55"/>
        <v>#N/A</v>
      </c>
    </row>
    <row r="3426" spans="5:5">
      <c r="E3426" t="e">
        <f t="shared" si="55"/>
        <v>#N/A</v>
      </c>
    </row>
    <row r="3427" spans="5:5">
      <c r="E3427" t="e">
        <f t="shared" si="55"/>
        <v>#N/A</v>
      </c>
    </row>
    <row r="3428" spans="5:5">
      <c r="E3428" t="e">
        <f t="shared" si="55"/>
        <v>#N/A</v>
      </c>
    </row>
    <row r="3429" spans="5:5">
      <c r="E3429" t="e">
        <f t="shared" si="55"/>
        <v>#N/A</v>
      </c>
    </row>
    <row r="3430" spans="5:5">
      <c r="E3430" t="e">
        <f t="shared" si="55"/>
        <v>#N/A</v>
      </c>
    </row>
    <row r="3431" spans="5:5">
      <c r="E3431" t="e">
        <f t="shared" si="55"/>
        <v>#N/A</v>
      </c>
    </row>
    <row r="3432" spans="5:5">
      <c r="E3432" t="e">
        <f t="shared" si="55"/>
        <v>#N/A</v>
      </c>
    </row>
    <row r="3433" spans="5:5">
      <c r="E3433" t="e">
        <f t="shared" si="55"/>
        <v>#N/A</v>
      </c>
    </row>
    <row r="3434" spans="5:5">
      <c r="E3434" t="e">
        <f t="shared" si="55"/>
        <v>#N/A</v>
      </c>
    </row>
    <row r="3435" spans="5:5">
      <c r="E3435" t="e">
        <f t="shared" si="55"/>
        <v>#N/A</v>
      </c>
    </row>
    <row r="3436" spans="5:5">
      <c r="E3436" t="e">
        <f t="shared" si="55"/>
        <v>#N/A</v>
      </c>
    </row>
    <row r="3437" spans="5:5">
      <c r="E3437" t="e">
        <f t="shared" si="55"/>
        <v>#N/A</v>
      </c>
    </row>
    <row r="3438" spans="5:5">
      <c r="E3438" t="e">
        <f t="shared" si="55"/>
        <v>#N/A</v>
      </c>
    </row>
    <row r="3439" spans="5:5">
      <c r="E3439" t="e">
        <f t="shared" si="55"/>
        <v>#N/A</v>
      </c>
    </row>
    <row r="3440" spans="5:5">
      <c r="E3440" t="e">
        <f t="shared" si="55"/>
        <v>#N/A</v>
      </c>
    </row>
    <row r="3441" spans="5:5">
      <c r="E3441" t="e">
        <f t="shared" si="55"/>
        <v>#N/A</v>
      </c>
    </row>
    <row r="3442" spans="5:5">
      <c r="E3442" t="e">
        <f t="shared" si="55"/>
        <v>#N/A</v>
      </c>
    </row>
    <row r="3443" spans="5:5">
      <c r="E3443" t="e">
        <f t="shared" si="55"/>
        <v>#N/A</v>
      </c>
    </row>
    <row r="3444" spans="5:5">
      <c r="E3444" t="e">
        <f t="shared" si="55"/>
        <v>#N/A</v>
      </c>
    </row>
    <row r="3445" spans="5:5">
      <c r="E3445" t="e">
        <f t="shared" si="55"/>
        <v>#N/A</v>
      </c>
    </row>
    <row r="3446" spans="5:5">
      <c r="E3446" t="e">
        <f t="shared" si="55"/>
        <v>#N/A</v>
      </c>
    </row>
    <row r="3447" spans="5:5">
      <c r="E3447" t="e">
        <f t="shared" si="55"/>
        <v>#N/A</v>
      </c>
    </row>
    <row r="3448" spans="5:5">
      <c r="E3448" t="e">
        <f t="shared" si="55"/>
        <v>#N/A</v>
      </c>
    </row>
    <row r="3449" spans="5:5">
      <c r="E3449" t="e">
        <f t="shared" si="55"/>
        <v>#N/A</v>
      </c>
    </row>
    <row r="3450" spans="5:5">
      <c r="E3450" t="e">
        <f t="shared" si="55"/>
        <v>#N/A</v>
      </c>
    </row>
    <row r="3451" spans="5:5">
      <c r="E3451" t="e">
        <f t="shared" si="55"/>
        <v>#N/A</v>
      </c>
    </row>
    <row r="3452" spans="5:5">
      <c r="E3452" t="e">
        <f t="shared" si="55"/>
        <v>#N/A</v>
      </c>
    </row>
    <row r="3453" spans="5:5">
      <c r="E3453" t="e">
        <f t="shared" si="55"/>
        <v>#N/A</v>
      </c>
    </row>
    <row r="3454" spans="5:5">
      <c r="E3454" t="e">
        <f t="shared" si="55"/>
        <v>#N/A</v>
      </c>
    </row>
    <row r="3455" spans="5:5">
      <c r="E3455" t="e">
        <f t="shared" si="55"/>
        <v>#N/A</v>
      </c>
    </row>
    <row r="3456" spans="5:5">
      <c r="E3456" t="e">
        <f t="shared" si="55"/>
        <v>#N/A</v>
      </c>
    </row>
    <row r="3457" spans="5:5">
      <c r="E3457" t="e">
        <f t="shared" si="55"/>
        <v>#N/A</v>
      </c>
    </row>
    <row r="3458" spans="5:5">
      <c r="E3458" t="e">
        <f t="shared" si="55"/>
        <v>#N/A</v>
      </c>
    </row>
    <row r="3459" spans="5:5">
      <c r="E3459" t="e">
        <f t="shared" si="55"/>
        <v>#N/A</v>
      </c>
    </row>
    <row r="3460" spans="5:5">
      <c r="E3460" t="e">
        <f t="shared" si="55"/>
        <v>#N/A</v>
      </c>
    </row>
    <row r="3461" spans="5:5">
      <c r="E3461" t="e">
        <f t="shared" si="55"/>
        <v>#N/A</v>
      </c>
    </row>
    <row r="3462" spans="5:5">
      <c r="E3462" t="e">
        <f t="shared" si="55"/>
        <v>#N/A</v>
      </c>
    </row>
    <row r="3463" spans="5:5">
      <c r="E3463" t="e">
        <f t="shared" si="55"/>
        <v>#N/A</v>
      </c>
    </row>
    <row r="3464" spans="5:5">
      <c r="E3464" t="e">
        <f t="shared" si="55"/>
        <v>#N/A</v>
      </c>
    </row>
    <row r="3465" spans="5:5">
      <c r="E3465" t="e">
        <f t="shared" si="55"/>
        <v>#N/A</v>
      </c>
    </row>
    <row r="3466" spans="5:5">
      <c r="E3466" t="e">
        <f t="shared" si="55"/>
        <v>#N/A</v>
      </c>
    </row>
    <row r="3467" spans="5:5">
      <c r="E3467" t="e">
        <f t="shared" si="55"/>
        <v>#N/A</v>
      </c>
    </row>
    <row r="3468" spans="5:5">
      <c r="E3468" t="e">
        <f t="shared" si="55"/>
        <v>#N/A</v>
      </c>
    </row>
    <row r="3469" spans="5:5">
      <c r="E3469" t="e">
        <f t="shared" ref="E3469:E3532" si="56">VLOOKUP(B3469,$Q$13:$R$61,2,FALSE)</f>
        <v>#N/A</v>
      </c>
    </row>
    <row r="3470" spans="5:5">
      <c r="E3470" t="e">
        <f t="shared" si="56"/>
        <v>#N/A</v>
      </c>
    </row>
    <row r="3471" spans="5:5">
      <c r="E3471" t="e">
        <f t="shared" si="56"/>
        <v>#N/A</v>
      </c>
    </row>
    <row r="3472" spans="5:5">
      <c r="E3472" t="e">
        <f t="shared" si="56"/>
        <v>#N/A</v>
      </c>
    </row>
    <row r="3473" spans="5:5">
      <c r="E3473" t="e">
        <f t="shared" si="56"/>
        <v>#N/A</v>
      </c>
    </row>
    <row r="3474" spans="5:5">
      <c r="E3474" t="e">
        <f t="shared" si="56"/>
        <v>#N/A</v>
      </c>
    </row>
    <row r="3475" spans="5:5">
      <c r="E3475" t="e">
        <f t="shared" si="56"/>
        <v>#N/A</v>
      </c>
    </row>
    <row r="3476" spans="5:5">
      <c r="E3476" t="e">
        <f t="shared" si="56"/>
        <v>#N/A</v>
      </c>
    </row>
    <row r="3477" spans="5:5">
      <c r="E3477" t="e">
        <f t="shared" si="56"/>
        <v>#N/A</v>
      </c>
    </row>
    <row r="3478" spans="5:5">
      <c r="E3478" t="e">
        <f t="shared" si="56"/>
        <v>#N/A</v>
      </c>
    </row>
    <row r="3479" spans="5:5">
      <c r="E3479" t="e">
        <f t="shared" si="56"/>
        <v>#N/A</v>
      </c>
    </row>
    <row r="3480" spans="5:5">
      <c r="E3480" t="e">
        <f t="shared" si="56"/>
        <v>#N/A</v>
      </c>
    </row>
    <row r="3481" spans="5:5">
      <c r="E3481" t="e">
        <f t="shared" si="56"/>
        <v>#N/A</v>
      </c>
    </row>
    <row r="3482" spans="5:5">
      <c r="E3482" t="e">
        <f t="shared" si="56"/>
        <v>#N/A</v>
      </c>
    </row>
    <row r="3483" spans="5:5">
      <c r="E3483" t="e">
        <f t="shared" si="56"/>
        <v>#N/A</v>
      </c>
    </row>
    <row r="3484" spans="5:5">
      <c r="E3484" t="e">
        <f t="shared" si="56"/>
        <v>#N/A</v>
      </c>
    </row>
    <row r="3485" spans="5:5">
      <c r="E3485" t="e">
        <f t="shared" si="56"/>
        <v>#N/A</v>
      </c>
    </row>
    <row r="3486" spans="5:5">
      <c r="E3486" t="e">
        <f t="shared" si="56"/>
        <v>#N/A</v>
      </c>
    </row>
    <row r="3487" spans="5:5">
      <c r="E3487" t="e">
        <f t="shared" si="56"/>
        <v>#N/A</v>
      </c>
    </row>
    <row r="3488" spans="5:5">
      <c r="E3488" t="e">
        <f t="shared" si="56"/>
        <v>#N/A</v>
      </c>
    </row>
    <row r="3489" spans="5:5">
      <c r="E3489" t="e">
        <f t="shared" si="56"/>
        <v>#N/A</v>
      </c>
    </row>
    <row r="3490" spans="5:5">
      <c r="E3490" t="e">
        <f t="shared" si="56"/>
        <v>#N/A</v>
      </c>
    </row>
    <row r="3491" spans="5:5">
      <c r="E3491" t="e">
        <f t="shared" si="56"/>
        <v>#N/A</v>
      </c>
    </row>
    <row r="3492" spans="5:5">
      <c r="E3492" t="e">
        <f t="shared" si="56"/>
        <v>#N/A</v>
      </c>
    </row>
    <row r="3493" spans="5:5">
      <c r="E3493" t="e">
        <f t="shared" si="56"/>
        <v>#N/A</v>
      </c>
    </row>
    <row r="3494" spans="5:5">
      <c r="E3494" t="e">
        <f t="shared" si="56"/>
        <v>#N/A</v>
      </c>
    </row>
    <row r="3495" spans="5:5">
      <c r="E3495" t="e">
        <f t="shared" si="56"/>
        <v>#N/A</v>
      </c>
    </row>
    <row r="3496" spans="5:5">
      <c r="E3496" t="e">
        <f t="shared" si="56"/>
        <v>#N/A</v>
      </c>
    </row>
    <row r="3497" spans="5:5">
      <c r="E3497" t="e">
        <f t="shared" si="56"/>
        <v>#N/A</v>
      </c>
    </row>
    <row r="3498" spans="5:5">
      <c r="E3498" t="e">
        <f t="shared" si="56"/>
        <v>#N/A</v>
      </c>
    </row>
    <row r="3499" spans="5:5">
      <c r="E3499" t="e">
        <f t="shared" si="56"/>
        <v>#N/A</v>
      </c>
    </row>
    <row r="3500" spans="5:5">
      <c r="E3500" t="e">
        <f t="shared" si="56"/>
        <v>#N/A</v>
      </c>
    </row>
    <row r="3501" spans="5:5">
      <c r="E3501" t="e">
        <f t="shared" si="56"/>
        <v>#N/A</v>
      </c>
    </row>
    <row r="3502" spans="5:5">
      <c r="E3502" t="e">
        <f t="shared" si="56"/>
        <v>#N/A</v>
      </c>
    </row>
    <row r="3503" spans="5:5">
      <c r="E3503" t="e">
        <f t="shared" si="56"/>
        <v>#N/A</v>
      </c>
    </row>
    <row r="3504" spans="5:5">
      <c r="E3504" t="e">
        <f t="shared" si="56"/>
        <v>#N/A</v>
      </c>
    </row>
    <row r="3505" spans="5:5">
      <c r="E3505" t="e">
        <f t="shared" si="56"/>
        <v>#N/A</v>
      </c>
    </row>
    <row r="3506" spans="5:5">
      <c r="E3506" t="e">
        <f t="shared" si="56"/>
        <v>#N/A</v>
      </c>
    </row>
    <row r="3507" spans="5:5">
      <c r="E3507" t="e">
        <f t="shared" si="56"/>
        <v>#N/A</v>
      </c>
    </row>
    <row r="3508" spans="5:5">
      <c r="E3508" t="e">
        <f t="shared" si="56"/>
        <v>#N/A</v>
      </c>
    </row>
    <row r="3509" spans="5:5">
      <c r="E3509" t="e">
        <f t="shared" si="56"/>
        <v>#N/A</v>
      </c>
    </row>
    <row r="3510" spans="5:5">
      <c r="E3510" t="e">
        <f t="shared" si="56"/>
        <v>#N/A</v>
      </c>
    </row>
    <row r="3511" spans="5:5">
      <c r="E3511" t="e">
        <f t="shared" si="56"/>
        <v>#N/A</v>
      </c>
    </row>
    <row r="3512" spans="5:5">
      <c r="E3512" t="e">
        <f t="shared" si="56"/>
        <v>#N/A</v>
      </c>
    </row>
    <row r="3513" spans="5:5">
      <c r="E3513" t="e">
        <f t="shared" si="56"/>
        <v>#N/A</v>
      </c>
    </row>
    <row r="3514" spans="5:5">
      <c r="E3514" t="e">
        <f t="shared" si="56"/>
        <v>#N/A</v>
      </c>
    </row>
    <row r="3515" spans="5:5">
      <c r="E3515" t="e">
        <f t="shared" si="56"/>
        <v>#N/A</v>
      </c>
    </row>
    <row r="3516" spans="5:5">
      <c r="E3516" t="e">
        <f t="shared" si="56"/>
        <v>#N/A</v>
      </c>
    </row>
    <row r="3517" spans="5:5">
      <c r="E3517" t="e">
        <f t="shared" si="56"/>
        <v>#N/A</v>
      </c>
    </row>
    <row r="3518" spans="5:5">
      <c r="E3518" t="e">
        <f t="shared" si="56"/>
        <v>#N/A</v>
      </c>
    </row>
    <row r="3519" spans="5:5">
      <c r="E3519" t="e">
        <f t="shared" si="56"/>
        <v>#N/A</v>
      </c>
    </row>
    <row r="3520" spans="5:5">
      <c r="E3520" t="e">
        <f t="shared" si="56"/>
        <v>#N/A</v>
      </c>
    </row>
    <row r="3521" spans="5:5">
      <c r="E3521" t="e">
        <f t="shared" si="56"/>
        <v>#N/A</v>
      </c>
    </row>
    <row r="3522" spans="5:5">
      <c r="E3522" t="e">
        <f t="shared" si="56"/>
        <v>#N/A</v>
      </c>
    </row>
    <row r="3523" spans="5:5">
      <c r="E3523" t="e">
        <f t="shared" si="56"/>
        <v>#N/A</v>
      </c>
    </row>
    <row r="3524" spans="5:5">
      <c r="E3524" t="e">
        <f t="shared" si="56"/>
        <v>#N/A</v>
      </c>
    </row>
    <row r="3525" spans="5:5">
      <c r="E3525" t="e">
        <f t="shared" si="56"/>
        <v>#N/A</v>
      </c>
    </row>
    <row r="3526" spans="5:5">
      <c r="E3526" t="e">
        <f t="shared" si="56"/>
        <v>#N/A</v>
      </c>
    </row>
    <row r="3527" spans="5:5">
      <c r="E3527" t="e">
        <f t="shared" si="56"/>
        <v>#N/A</v>
      </c>
    </row>
    <row r="3528" spans="5:5">
      <c r="E3528" t="e">
        <f t="shared" si="56"/>
        <v>#N/A</v>
      </c>
    </row>
    <row r="3529" spans="5:5">
      <c r="E3529" t="e">
        <f t="shared" si="56"/>
        <v>#N/A</v>
      </c>
    </row>
    <row r="3530" spans="5:5">
      <c r="E3530" t="e">
        <f t="shared" si="56"/>
        <v>#N/A</v>
      </c>
    </row>
    <row r="3531" spans="5:5">
      <c r="E3531" t="e">
        <f t="shared" si="56"/>
        <v>#N/A</v>
      </c>
    </row>
    <row r="3532" spans="5:5">
      <c r="E3532" t="e">
        <f t="shared" si="56"/>
        <v>#N/A</v>
      </c>
    </row>
    <row r="3533" spans="5:5">
      <c r="E3533" t="e">
        <f t="shared" ref="E3533:E3596" si="57">VLOOKUP(B3533,$Q$13:$R$61,2,FALSE)</f>
        <v>#N/A</v>
      </c>
    </row>
    <row r="3534" spans="5:5">
      <c r="E3534" t="e">
        <f t="shared" si="57"/>
        <v>#N/A</v>
      </c>
    </row>
    <row r="3535" spans="5:5">
      <c r="E3535" t="e">
        <f t="shared" si="57"/>
        <v>#N/A</v>
      </c>
    </row>
    <row r="3536" spans="5:5">
      <c r="E3536" t="e">
        <f t="shared" si="57"/>
        <v>#N/A</v>
      </c>
    </row>
    <row r="3537" spans="5:5">
      <c r="E3537" t="e">
        <f t="shared" si="57"/>
        <v>#N/A</v>
      </c>
    </row>
    <row r="3538" spans="5:5">
      <c r="E3538" t="e">
        <f t="shared" si="57"/>
        <v>#N/A</v>
      </c>
    </row>
    <row r="3539" spans="5:5">
      <c r="E3539" t="e">
        <f t="shared" si="57"/>
        <v>#N/A</v>
      </c>
    </row>
    <row r="3540" spans="5:5">
      <c r="E3540" t="e">
        <f t="shared" si="57"/>
        <v>#N/A</v>
      </c>
    </row>
    <row r="3541" spans="5:5">
      <c r="E3541" t="e">
        <f t="shared" si="57"/>
        <v>#N/A</v>
      </c>
    </row>
    <row r="3542" spans="5:5">
      <c r="E3542" t="e">
        <f t="shared" si="57"/>
        <v>#N/A</v>
      </c>
    </row>
    <row r="3543" spans="5:5">
      <c r="E3543" t="e">
        <f t="shared" si="57"/>
        <v>#N/A</v>
      </c>
    </row>
    <row r="3544" spans="5:5">
      <c r="E3544" t="e">
        <f t="shared" si="57"/>
        <v>#N/A</v>
      </c>
    </row>
    <row r="3545" spans="5:5">
      <c r="E3545" t="e">
        <f t="shared" si="57"/>
        <v>#N/A</v>
      </c>
    </row>
    <row r="3546" spans="5:5">
      <c r="E3546" t="e">
        <f t="shared" si="57"/>
        <v>#N/A</v>
      </c>
    </row>
    <row r="3547" spans="5:5">
      <c r="E3547" t="e">
        <f t="shared" si="57"/>
        <v>#N/A</v>
      </c>
    </row>
    <row r="3548" spans="5:5">
      <c r="E3548" t="e">
        <f t="shared" si="57"/>
        <v>#N/A</v>
      </c>
    </row>
    <row r="3549" spans="5:5">
      <c r="E3549" t="e">
        <f t="shared" si="57"/>
        <v>#N/A</v>
      </c>
    </row>
    <row r="3550" spans="5:5">
      <c r="E3550" t="e">
        <f t="shared" si="57"/>
        <v>#N/A</v>
      </c>
    </row>
    <row r="3551" spans="5:5">
      <c r="E3551" t="e">
        <f t="shared" si="57"/>
        <v>#N/A</v>
      </c>
    </row>
    <row r="3552" spans="5:5">
      <c r="E3552" t="e">
        <f t="shared" si="57"/>
        <v>#N/A</v>
      </c>
    </row>
    <row r="3553" spans="5:5">
      <c r="E3553" t="e">
        <f t="shared" si="57"/>
        <v>#N/A</v>
      </c>
    </row>
    <row r="3554" spans="5:5">
      <c r="E3554" t="e">
        <f t="shared" si="57"/>
        <v>#N/A</v>
      </c>
    </row>
    <row r="3555" spans="5:5">
      <c r="E3555" t="e">
        <f t="shared" si="57"/>
        <v>#N/A</v>
      </c>
    </row>
    <row r="3556" spans="5:5">
      <c r="E3556" t="e">
        <f t="shared" si="57"/>
        <v>#N/A</v>
      </c>
    </row>
    <row r="3557" spans="5:5">
      <c r="E3557" t="e">
        <f t="shared" si="57"/>
        <v>#N/A</v>
      </c>
    </row>
    <row r="3558" spans="5:5">
      <c r="E3558" t="e">
        <f t="shared" si="57"/>
        <v>#N/A</v>
      </c>
    </row>
    <row r="3559" spans="5:5">
      <c r="E3559" t="e">
        <f t="shared" si="57"/>
        <v>#N/A</v>
      </c>
    </row>
    <row r="3560" spans="5:5">
      <c r="E3560" t="e">
        <f t="shared" si="57"/>
        <v>#N/A</v>
      </c>
    </row>
    <row r="3561" spans="5:5">
      <c r="E3561" t="e">
        <f t="shared" si="57"/>
        <v>#N/A</v>
      </c>
    </row>
    <row r="3562" spans="5:5">
      <c r="E3562" t="e">
        <f t="shared" si="57"/>
        <v>#N/A</v>
      </c>
    </row>
    <row r="3563" spans="5:5">
      <c r="E3563" t="e">
        <f t="shared" si="57"/>
        <v>#N/A</v>
      </c>
    </row>
    <row r="3564" spans="5:5">
      <c r="E3564" t="e">
        <f t="shared" si="57"/>
        <v>#N/A</v>
      </c>
    </row>
    <row r="3565" spans="5:5">
      <c r="E3565" t="e">
        <f t="shared" si="57"/>
        <v>#N/A</v>
      </c>
    </row>
    <row r="3566" spans="5:5">
      <c r="E3566" t="e">
        <f t="shared" si="57"/>
        <v>#N/A</v>
      </c>
    </row>
    <row r="3567" spans="5:5">
      <c r="E3567" t="e">
        <f t="shared" si="57"/>
        <v>#N/A</v>
      </c>
    </row>
    <row r="3568" spans="5:5">
      <c r="E3568" t="e">
        <f t="shared" si="57"/>
        <v>#N/A</v>
      </c>
    </row>
    <row r="3569" spans="5:5">
      <c r="E3569" t="e">
        <f t="shared" si="57"/>
        <v>#N/A</v>
      </c>
    </row>
    <row r="3570" spans="5:5">
      <c r="E3570" t="e">
        <f t="shared" si="57"/>
        <v>#N/A</v>
      </c>
    </row>
    <row r="3571" spans="5:5">
      <c r="E3571" t="e">
        <f t="shared" si="57"/>
        <v>#N/A</v>
      </c>
    </row>
    <row r="3572" spans="5:5">
      <c r="E3572" t="e">
        <f t="shared" si="57"/>
        <v>#N/A</v>
      </c>
    </row>
    <row r="3573" spans="5:5">
      <c r="E3573" t="e">
        <f t="shared" si="57"/>
        <v>#N/A</v>
      </c>
    </row>
    <row r="3574" spans="5:5">
      <c r="E3574" t="e">
        <f t="shared" si="57"/>
        <v>#N/A</v>
      </c>
    </row>
    <row r="3575" spans="5:5">
      <c r="E3575" t="e">
        <f t="shared" si="57"/>
        <v>#N/A</v>
      </c>
    </row>
    <row r="3576" spans="5:5">
      <c r="E3576" t="e">
        <f t="shared" si="57"/>
        <v>#N/A</v>
      </c>
    </row>
    <row r="3577" spans="5:5">
      <c r="E3577" t="e">
        <f t="shared" si="57"/>
        <v>#N/A</v>
      </c>
    </row>
    <row r="3578" spans="5:5">
      <c r="E3578" t="e">
        <f t="shared" si="57"/>
        <v>#N/A</v>
      </c>
    </row>
    <row r="3579" spans="5:5">
      <c r="E3579" t="e">
        <f t="shared" si="57"/>
        <v>#N/A</v>
      </c>
    </row>
    <row r="3580" spans="5:5">
      <c r="E3580" t="e">
        <f t="shared" si="57"/>
        <v>#N/A</v>
      </c>
    </row>
    <row r="3581" spans="5:5">
      <c r="E3581" t="e">
        <f t="shared" si="57"/>
        <v>#N/A</v>
      </c>
    </row>
    <row r="3582" spans="5:5">
      <c r="E3582" t="e">
        <f t="shared" si="57"/>
        <v>#N/A</v>
      </c>
    </row>
    <row r="3583" spans="5:5">
      <c r="E3583" t="e">
        <f t="shared" si="57"/>
        <v>#N/A</v>
      </c>
    </row>
    <row r="3584" spans="5:5">
      <c r="E3584" t="e">
        <f t="shared" si="57"/>
        <v>#N/A</v>
      </c>
    </row>
    <row r="3585" spans="5:5">
      <c r="E3585" t="e">
        <f t="shared" si="57"/>
        <v>#N/A</v>
      </c>
    </row>
    <row r="3586" spans="5:5">
      <c r="E3586" t="e">
        <f t="shared" si="57"/>
        <v>#N/A</v>
      </c>
    </row>
    <row r="3587" spans="5:5">
      <c r="E3587" t="e">
        <f t="shared" si="57"/>
        <v>#N/A</v>
      </c>
    </row>
    <row r="3588" spans="5:5">
      <c r="E3588" t="e">
        <f t="shared" si="57"/>
        <v>#N/A</v>
      </c>
    </row>
    <row r="3589" spans="5:5">
      <c r="E3589" t="e">
        <f t="shared" si="57"/>
        <v>#N/A</v>
      </c>
    </row>
    <row r="3590" spans="5:5">
      <c r="E3590" t="e">
        <f t="shared" si="57"/>
        <v>#N/A</v>
      </c>
    </row>
    <row r="3591" spans="5:5">
      <c r="E3591" t="e">
        <f t="shared" si="57"/>
        <v>#N/A</v>
      </c>
    </row>
    <row r="3592" spans="5:5">
      <c r="E3592" t="e">
        <f t="shared" si="57"/>
        <v>#N/A</v>
      </c>
    </row>
    <row r="3593" spans="5:5">
      <c r="E3593" t="e">
        <f t="shared" si="57"/>
        <v>#N/A</v>
      </c>
    </row>
    <row r="3594" spans="5:5">
      <c r="E3594" t="e">
        <f t="shared" si="57"/>
        <v>#N/A</v>
      </c>
    </row>
    <row r="3595" spans="5:5">
      <c r="E3595" t="e">
        <f t="shared" si="57"/>
        <v>#N/A</v>
      </c>
    </row>
    <row r="3596" spans="5:5">
      <c r="E3596" t="e">
        <f t="shared" si="57"/>
        <v>#N/A</v>
      </c>
    </row>
    <row r="3597" spans="5:5">
      <c r="E3597" t="e">
        <f t="shared" ref="E3597:E3660" si="58">VLOOKUP(B3597,$Q$13:$R$61,2,FALSE)</f>
        <v>#N/A</v>
      </c>
    </row>
    <row r="3598" spans="5:5">
      <c r="E3598" t="e">
        <f t="shared" si="58"/>
        <v>#N/A</v>
      </c>
    </row>
    <row r="3599" spans="5:5">
      <c r="E3599" t="e">
        <f t="shared" si="58"/>
        <v>#N/A</v>
      </c>
    </row>
    <row r="3600" spans="5:5">
      <c r="E3600" t="e">
        <f t="shared" si="58"/>
        <v>#N/A</v>
      </c>
    </row>
    <row r="3601" spans="5:5">
      <c r="E3601" t="e">
        <f t="shared" si="58"/>
        <v>#N/A</v>
      </c>
    </row>
    <row r="3602" spans="5:5">
      <c r="E3602" t="e">
        <f t="shared" si="58"/>
        <v>#N/A</v>
      </c>
    </row>
    <row r="3603" spans="5:5">
      <c r="E3603" t="e">
        <f t="shared" si="58"/>
        <v>#N/A</v>
      </c>
    </row>
    <row r="3604" spans="5:5">
      <c r="E3604" t="e">
        <f t="shared" si="58"/>
        <v>#N/A</v>
      </c>
    </row>
    <row r="3605" spans="5:5">
      <c r="E3605" t="e">
        <f t="shared" si="58"/>
        <v>#N/A</v>
      </c>
    </row>
    <row r="3606" spans="5:5">
      <c r="E3606" t="e">
        <f t="shared" si="58"/>
        <v>#N/A</v>
      </c>
    </row>
    <row r="3607" spans="5:5">
      <c r="E3607" t="e">
        <f t="shared" si="58"/>
        <v>#N/A</v>
      </c>
    </row>
    <row r="3608" spans="5:5">
      <c r="E3608" t="e">
        <f t="shared" si="58"/>
        <v>#N/A</v>
      </c>
    </row>
    <row r="3609" spans="5:5">
      <c r="E3609" t="e">
        <f t="shared" si="58"/>
        <v>#N/A</v>
      </c>
    </row>
    <row r="3610" spans="5:5">
      <c r="E3610" t="e">
        <f t="shared" si="58"/>
        <v>#N/A</v>
      </c>
    </row>
    <row r="3611" spans="5:5">
      <c r="E3611" t="e">
        <f t="shared" si="58"/>
        <v>#N/A</v>
      </c>
    </row>
    <row r="3612" spans="5:5">
      <c r="E3612" t="e">
        <f t="shared" si="58"/>
        <v>#N/A</v>
      </c>
    </row>
    <row r="3613" spans="5:5">
      <c r="E3613" t="e">
        <f t="shared" si="58"/>
        <v>#N/A</v>
      </c>
    </row>
    <row r="3614" spans="5:5">
      <c r="E3614" t="e">
        <f t="shared" si="58"/>
        <v>#N/A</v>
      </c>
    </row>
    <row r="3615" spans="5:5">
      <c r="E3615" t="e">
        <f t="shared" si="58"/>
        <v>#N/A</v>
      </c>
    </row>
    <row r="3616" spans="5:5">
      <c r="E3616" t="e">
        <f t="shared" si="58"/>
        <v>#N/A</v>
      </c>
    </row>
    <row r="3617" spans="5:5">
      <c r="E3617" t="e">
        <f t="shared" si="58"/>
        <v>#N/A</v>
      </c>
    </row>
    <row r="3618" spans="5:5">
      <c r="E3618" t="e">
        <f t="shared" si="58"/>
        <v>#N/A</v>
      </c>
    </row>
    <row r="3619" spans="5:5">
      <c r="E3619" t="e">
        <f t="shared" si="58"/>
        <v>#N/A</v>
      </c>
    </row>
    <row r="3620" spans="5:5">
      <c r="E3620" t="e">
        <f t="shared" si="58"/>
        <v>#N/A</v>
      </c>
    </row>
    <row r="3621" spans="5:5">
      <c r="E3621" t="e">
        <f t="shared" si="58"/>
        <v>#N/A</v>
      </c>
    </row>
    <row r="3622" spans="5:5">
      <c r="E3622" t="e">
        <f t="shared" si="58"/>
        <v>#N/A</v>
      </c>
    </row>
    <row r="3623" spans="5:5">
      <c r="E3623" t="e">
        <f t="shared" si="58"/>
        <v>#N/A</v>
      </c>
    </row>
    <row r="3624" spans="5:5">
      <c r="E3624" t="e">
        <f t="shared" si="58"/>
        <v>#N/A</v>
      </c>
    </row>
    <row r="3625" spans="5:5">
      <c r="E3625" t="e">
        <f t="shared" si="58"/>
        <v>#N/A</v>
      </c>
    </row>
    <row r="3626" spans="5:5">
      <c r="E3626" t="e">
        <f t="shared" si="58"/>
        <v>#N/A</v>
      </c>
    </row>
    <row r="3627" spans="5:5">
      <c r="E3627" t="e">
        <f t="shared" si="58"/>
        <v>#N/A</v>
      </c>
    </row>
    <row r="3628" spans="5:5">
      <c r="E3628" t="e">
        <f t="shared" si="58"/>
        <v>#N/A</v>
      </c>
    </row>
    <row r="3629" spans="5:5">
      <c r="E3629" t="e">
        <f t="shared" si="58"/>
        <v>#N/A</v>
      </c>
    </row>
    <row r="3630" spans="5:5">
      <c r="E3630" t="e">
        <f t="shared" si="58"/>
        <v>#N/A</v>
      </c>
    </row>
    <row r="3631" spans="5:5">
      <c r="E3631" t="e">
        <f t="shared" si="58"/>
        <v>#N/A</v>
      </c>
    </row>
    <row r="3632" spans="5:5">
      <c r="E3632" t="e">
        <f t="shared" si="58"/>
        <v>#N/A</v>
      </c>
    </row>
    <row r="3633" spans="5:5">
      <c r="E3633" t="e">
        <f t="shared" si="58"/>
        <v>#N/A</v>
      </c>
    </row>
    <row r="3634" spans="5:5">
      <c r="E3634" t="e">
        <f t="shared" si="58"/>
        <v>#N/A</v>
      </c>
    </row>
    <row r="3635" spans="5:5">
      <c r="E3635" t="e">
        <f t="shared" si="58"/>
        <v>#N/A</v>
      </c>
    </row>
    <row r="3636" spans="5:5">
      <c r="E3636" t="e">
        <f t="shared" si="58"/>
        <v>#N/A</v>
      </c>
    </row>
    <row r="3637" spans="5:5">
      <c r="E3637" t="e">
        <f t="shared" si="58"/>
        <v>#N/A</v>
      </c>
    </row>
    <row r="3638" spans="5:5">
      <c r="E3638" t="e">
        <f t="shared" si="58"/>
        <v>#N/A</v>
      </c>
    </row>
    <row r="3639" spans="5:5">
      <c r="E3639" t="e">
        <f t="shared" si="58"/>
        <v>#N/A</v>
      </c>
    </row>
    <row r="3640" spans="5:5">
      <c r="E3640" t="e">
        <f t="shared" si="58"/>
        <v>#N/A</v>
      </c>
    </row>
    <row r="3641" spans="5:5">
      <c r="E3641" t="e">
        <f t="shared" si="58"/>
        <v>#N/A</v>
      </c>
    </row>
    <row r="3642" spans="5:5">
      <c r="E3642" t="e">
        <f t="shared" si="58"/>
        <v>#N/A</v>
      </c>
    </row>
    <row r="3643" spans="5:5">
      <c r="E3643" t="e">
        <f t="shared" si="58"/>
        <v>#N/A</v>
      </c>
    </row>
    <row r="3644" spans="5:5">
      <c r="E3644" t="e">
        <f t="shared" si="58"/>
        <v>#N/A</v>
      </c>
    </row>
    <row r="3645" spans="5:5">
      <c r="E3645" t="e">
        <f t="shared" si="58"/>
        <v>#N/A</v>
      </c>
    </row>
    <row r="3646" spans="5:5">
      <c r="E3646" t="e">
        <f t="shared" si="58"/>
        <v>#N/A</v>
      </c>
    </row>
    <row r="3647" spans="5:5">
      <c r="E3647" t="e">
        <f t="shared" si="58"/>
        <v>#N/A</v>
      </c>
    </row>
    <row r="3648" spans="5:5">
      <c r="E3648" t="e">
        <f t="shared" si="58"/>
        <v>#N/A</v>
      </c>
    </row>
    <row r="3649" spans="5:5">
      <c r="E3649" t="e">
        <f t="shared" si="58"/>
        <v>#N/A</v>
      </c>
    </row>
    <row r="3650" spans="5:5">
      <c r="E3650" t="e">
        <f t="shared" si="58"/>
        <v>#N/A</v>
      </c>
    </row>
    <row r="3651" spans="5:5">
      <c r="E3651" t="e">
        <f t="shared" si="58"/>
        <v>#N/A</v>
      </c>
    </row>
    <row r="3652" spans="5:5">
      <c r="E3652" t="e">
        <f t="shared" si="58"/>
        <v>#N/A</v>
      </c>
    </row>
    <row r="3653" spans="5:5">
      <c r="E3653" t="e">
        <f t="shared" si="58"/>
        <v>#N/A</v>
      </c>
    </row>
    <row r="3654" spans="5:5">
      <c r="E3654" t="e">
        <f t="shared" si="58"/>
        <v>#N/A</v>
      </c>
    </row>
    <row r="3655" spans="5:5">
      <c r="E3655" t="e">
        <f t="shared" si="58"/>
        <v>#N/A</v>
      </c>
    </row>
    <row r="3656" spans="5:5">
      <c r="E3656" t="e">
        <f t="shared" si="58"/>
        <v>#N/A</v>
      </c>
    </row>
    <row r="3657" spans="5:5">
      <c r="E3657" t="e">
        <f t="shared" si="58"/>
        <v>#N/A</v>
      </c>
    </row>
    <row r="3658" spans="5:5">
      <c r="E3658" t="e">
        <f t="shared" si="58"/>
        <v>#N/A</v>
      </c>
    </row>
    <row r="3659" spans="5:5">
      <c r="E3659" t="e">
        <f t="shared" si="58"/>
        <v>#N/A</v>
      </c>
    </row>
    <row r="3660" spans="5:5">
      <c r="E3660" t="e">
        <f t="shared" si="58"/>
        <v>#N/A</v>
      </c>
    </row>
    <row r="3661" spans="5:5">
      <c r="E3661" t="e">
        <f t="shared" ref="E3661:E3724" si="59">VLOOKUP(B3661,$Q$13:$R$61,2,FALSE)</f>
        <v>#N/A</v>
      </c>
    </row>
    <row r="3662" spans="5:5">
      <c r="E3662" t="e">
        <f t="shared" si="59"/>
        <v>#N/A</v>
      </c>
    </row>
    <row r="3663" spans="5:5">
      <c r="E3663" t="e">
        <f t="shared" si="59"/>
        <v>#N/A</v>
      </c>
    </row>
    <row r="3664" spans="5:5">
      <c r="E3664" t="e">
        <f t="shared" si="59"/>
        <v>#N/A</v>
      </c>
    </row>
    <row r="3665" spans="5:5">
      <c r="E3665" t="e">
        <f t="shared" si="59"/>
        <v>#N/A</v>
      </c>
    </row>
    <row r="3666" spans="5:5">
      <c r="E3666" t="e">
        <f t="shared" si="59"/>
        <v>#N/A</v>
      </c>
    </row>
    <row r="3667" spans="5:5">
      <c r="E3667" t="e">
        <f t="shared" si="59"/>
        <v>#N/A</v>
      </c>
    </row>
    <row r="3668" spans="5:5">
      <c r="E3668" t="e">
        <f t="shared" si="59"/>
        <v>#N/A</v>
      </c>
    </row>
    <row r="3669" spans="5:5">
      <c r="E3669" t="e">
        <f t="shared" si="59"/>
        <v>#N/A</v>
      </c>
    </row>
    <row r="3670" spans="5:5">
      <c r="E3670" t="e">
        <f t="shared" si="59"/>
        <v>#N/A</v>
      </c>
    </row>
    <row r="3671" spans="5:5">
      <c r="E3671" t="e">
        <f t="shared" si="59"/>
        <v>#N/A</v>
      </c>
    </row>
    <row r="3672" spans="5:5">
      <c r="E3672" t="e">
        <f t="shared" si="59"/>
        <v>#N/A</v>
      </c>
    </row>
    <row r="3673" spans="5:5">
      <c r="E3673" t="e">
        <f t="shared" si="59"/>
        <v>#N/A</v>
      </c>
    </row>
    <row r="3674" spans="5:5">
      <c r="E3674" t="e">
        <f t="shared" si="59"/>
        <v>#N/A</v>
      </c>
    </row>
    <row r="3675" spans="5:5">
      <c r="E3675" t="e">
        <f t="shared" si="59"/>
        <v>#N/A</v>
      </c>
    </row>
    <row r="3676" spans="5:5">
      <c r="E3676" t="e">
        <f t="shared" si="59"/>
        <v>#N/A</v>
      </c>
    </row>
    <row r="3677" spans="5:5">
      <c r="E3677" t="e">
        <f t="shared" si="59"/>
        <v>#N/A</v>
      </c>
    </row>
    <row r="3678" spans="5:5">
      <c r="E3678" t="e">
        <f t="shared" si="59"/>
        <v>#N/A</v>
      </c>
    </row>
    <row r="3679" spans="5:5">
      <c r="E3679" t="e">
        <f t="shared" si="59"/>
        <v>#N/A</v>
      </c>
    </row>
    <row r="3680" spans="5:5">
      <c r="E3680" t="e">
        <f t="shared" si="59"/>
        <v>#N/A</v>
      </c>
    </row>
    <row r="3681" spans="5:5">
      <c r="E3681" t="e">
        <f t="shared" si="59"/>
        <v>#N/A</v>
      </c>
    </row>
    <row r="3682" spans="5:5">
      <c r="E3682" t="e">
        <f t="shared" si="59"/>
        <v>#N/A</v>
      </c>
    </row>
    <row r="3683" spans="5:5">
      <c r="E3683" t="e">
        <f t="shared" si="59"/>
        <v>#N/A</v>
      </c>
    </row>
    <row r="3684" spans="5:5">
      <c r="E3684" t="e">
        <f t="shared" si="59"/>
        <v>#N/A</v>
      </c>
    </row>
    <row r="3685" spans="5:5">
      <c r="E3685" t="e">
        <f t="shared" si="59"/>
        <v>#N/A</v>
      </c>
    </row>
    <row r="3686" spans="5:5">
      <c r="E3686" t="e">
        <f t="shared" si="59"/>
        <v>#N/A</v>
      </c>
    </row>
    <row r="3687" spans="5:5">
      <c r="E3687" t="e">
        <f t="shared" si="59"/>
        <v>#N/A</v>
      </c>
    </row>
    <row r="3688" spans="5:5">
      <c r="E3688" t="e">
        <f t="shared" si="59"/>
        <v>#N/A</v>
      </c>
    </row>
    <row r="3689" spans="5:5">
      <c r="E3689" t="e">
        <f t="shared" si="59"/>
        <v>#N/A</v>
      </c>
    </row>
    <row r="3690" spans="5:5">
      <c r="E3690" t="e">
        <f t="shared" si="59"/>
        <v>#N/A</v>
      </c>
    </row>
    <row r="3691" spans="5:5">
      <c r="E3691" t="e">
        <f t="shared" si="59"/>
        <v>#N/A</v>
      </c>
    </row>
    <row r="3692" spans="5:5">
      <c r="E3692" t="e">
        <f t="shared" si="59"/>
        <v>#N/A</v>
      </c>
    </row>
    <row r="3693" spans="5:5">
      <c r="E3693" t="e">
        <f t="shared" si="59"/>
        <v>#N/A</v>
      </c>
    </row>
    <row r="3694" spans="5:5">
      <c r="E3694" t="e">
        <f t="shared" si="59"/>
        <v>#N/A</v>
      </c>
    </row>
    <row r="3695" spans="5:5">
      <c r="E3695" t="e">
        <f t="shared" si="59"/>
        <v>#N/A</v>
      </c>
    </row>
    <row r="3696" spans="5:5">
      <c r="E3696" t="e">
        <f t="shared" si="59"/>
        <v>#N/A</v>
      </c>
    </row>
    <row r="3697" spans="5:5">
      <c r="E3697" t="e">
        <f t="shared" si="59"/>
        <v>#N/A</v>
      </c>
    </row>
    <row r="3698" spans="5:5">
      <c r="E3698" t="e">
        <f t="shared" si="59"/>
        <v>#N/A</v>
      </c>
    </row>
    <row r="3699" spans="5:5">
      <c r="E3699" t="e">
        <f t="shared" si="59"/>
        <v>#N/A</v>
      </c>
    </row>
    <row r="3700" spans="5:5">
      <c r="E3700" t="e">
        <f t="shared" si="59"/>
        <v>#N/A</v>
      </c>
    </row>
    <row r="3701" spans="5:5">
      <c r="E3701" t="e">
        <f t="shared" si="59"/>
        <v>#N/A</v>
      </c>
    </row>
    <row r="3702" spans="5:5">
      <c r="E3702" t="e">
        <f t="shared" si="59"/>
        <v>#N/A</v>
      </c>
    </row>
    <row r="3703" spans="5:5">
      <c r="E3703" t="e">
        <f t="shared" si="59"/>
        <v>#N/A</v>
      </c>
    </row>
    <row r="3704" spans="5:5">
      <c r="E3704" t="e">
        <f t="shared" si="59"/>
        <v>#N/A</v>
      </c>
    </row>
    <row r="3705" spans="5:5">
      <c r="E3705" t="e">
        <f t="shared" si="59"/>
        <v>#N/A</v>
      </c>
    </row>
    <row r="3706" spans="5:5">
      <c r="E3706" t="e">
        <f t="shared" si="59"/>
        <v>#N/A</v>
      </c>
    </row>
    <row r="3707" spans="5:5">
      <c r="E3707" t="e">
        <f t="shared" si="59"/>
        <v>#N/A</v>
      </c>
    </row>
    <row r="3708" spans="5:5">
      <c r="E3708" t="e">
        <f t="shared" si="59"/>
        <v>#N/A</v>
      </c>
    </row>
    <row r="3709" spans="5:5">
      <c r="E3709" t="e">
        <f t="shared" si="59"/>
        <v>#N/A</v>
      </c>
    </row>
    <row r="3710" spans="5:5">
      <c r="E3710" t="e">
        <f t="shared" si="59"/>
        <v>#N/A</v>
      </c>
    </row>
    <row r="3711" spans="5:5">
      <c r="E3711" t="e">
        <f t="shared" si="59"/>
        <v>#N/A</v>
      </c>
    </row>
    <row r="3712" spans="5:5">
      <c r="E3712" t="e">
        <f t="shared" si="59"/>
        <v>#N/A</v>
      </c>
    </row>
    <row r="3713" spans="5:5">
      <c r="E3713" t="e">
        <f t="shared" si="59"/>
        <v>#N/A</v>
      </c>
    </row>
    <row r="3714" spans="5:5">
      <c r="E3714" t="e">
        <f t="shared" si="59"/>
        <v>#N/A</v>
      </c>
    </row>
    <row r="3715" spans="5:5">
      <c r="E3715" t="e">
        <f t="shared" si="59"/>
        <v>#N/A</v>
      </c>
    </row>
    <row r="3716" spans="5:5">
      <c r="E3716" t="e">
        <f t="shared" si="59"/>
        <v>#N/A</v>
      </c>
    </row>
    <row r="3717" spans="5:5">
      <c r="E3717" t="e">
        <f t="shared" si="59"/>
        <v>#N/A</v>
      </c>
    </row>
    <row r="3718" spans="5:5">
      <c r="E3718" t="e">
        <f t="shared" si="59"/>
        <v>#N/A</v>
      </c>
    </row>
    <row r="3719" spans="5:5">
      <c r="E3719" t="e">
        <f t="shared" si="59"/>
        <v>#N/A</v>
      </c>
    </row>
    <row r="3720" spans="5:5">
      <c r="E3720" t="e">
        <f t="shared" si="59"/>
        <v>#N/A</v>
      </c>
    </row>
    <row r="3721" spans="5:5">
      <c r="E3721" t="e">
        <f t="shared" si="59"/>
        <v>#N/A</v>
      </c>
    </row>
    <row r="3722" spans="5:5">
      <c r="E3722" t="e">
        <f t="shared" si="59"/>
        <v>#N/A</v>
      </c>
    </row>
    <row r="3723" spans="5:5">
      <c r="E3723" t="e">
        <f t="shared" si="59"/>
        <v>#N/A</v>
      </c>
    </row>
    <row r="3724" spans="5:5">
      <c r="E3724" t="e">
        <f t="shared" si="59"/>
        <v>#N/A</v>
      </c>
    </row>
    <row r="3725" spans="5:5">
      <c r="E3725" t="e">
        <f t="shared" ref="E3725:E3788" si="60">VLOOKUP(B3725,$Q$13:$R$61,2,FALSE)</f>
        <v>#N/A</v>
      </c>
    </row>
    <row r="3726" spans="5:5">
      <c r="E3726" t="e">
        <f t="shared" si="60"/>
        <v>#N/A</v>
      </c>
    </row>
    <row r="3727" spans="5:5">
      <c r="E3727" t="e">
        <f t="shared" si="60"/>
        <v>#N/A</v>
      </c>
    </row>
    <row r="3728" spans="5:5">
      <c r="E3728" t="e">
        <f t="shared" si="60"/>
        <v>#N/A</v>
      </c>
    </row>
    <row r="3729" spans="5:5">
      <c r="E3729" t="e">
        <f t="shared" si="60"/>
        <v>#N/A</v>
      </c>
    </row>
    <row r="3730" spans="5:5">
      <c r="E3730" t="e">
        <f t="shared" si="60"/>
        <v>#N/A</v>
      </c>
    </row>
    <row r="3731" spans="5:5">
      <c r="E3731" t="e">
        <f t="shared" si="60"/>
        <v>#N/A</v>
      </c>
    </row>
    <row r="3732" spans="5:5">
      <c r="E3732" t="e">
        <f t="shared" si="60"/>
        <v>#N/A</v>
      </c>
    </row>
    <row r="3733" spans="5:5">
      <c r="E3733" t="e">
        <f t="shared" si="60"/>
        <v>#N/A</v>
      </c>
    </row>
    <row r="3734" spans="5:5">
      <c r="E3734" t="e">
        <f t="shared" si="60"/>
        <v>#N/A</v>
      </c>
    </row>
    <row r="3735" spans="5:5">
      <c r="E3735" t="e">
        <f t="shared" si="60"/>
        <v>#N/A</v>
      </c>
    </row>
    <row r="3736" spans="5:5">
      <c r="E3736" t="e">
        <f t="shared" si="60"/>
        <v>#N/A</v>
      </c>
    </row>
    <row r="3737" spans="5:5">
      <c r="E3737" t="e">
        <f t="shared" si="60"/>
        <v>#N/A</v>
      </c>
    </row>
    <row r="3738" spans="5:5">
      <c r="E3738" t="e">
        <f t="shared" si="60"/>
        <v>#N/A</v>
      </c>
    </row>
    <row r="3739" spans="5:5">
      <c r="E3739" t="e">
        <f t="shared" si="60"/>
        <v>#N/A</v>
      </c>
    </row>
    <row r="3740" spans="5:5">
      <c r="E3740" t="e">
        <f t="shared" si="60"/>
        <v>#N/A</v>
      </c>
    </row>
    <row r="3741" spans="5:5">
      <c r="E3741" t="e">
        <f t="shared" si="60"/>
        <v>#N/A</v>
      </c>
    </row>
    <row r="3742" spans="5:5">
      <c r="E3742" t="e">
        <f t="shared" si="60"/>
        <v>#N/A</v>
      </c>
    </row>
    <row r="3743" spans="5:5">
      <c r="E3743" t="e">
        <f t="shared" si="60"/>
        <v>#N/A</v>
      </c>
    </row>
    <row r="3744" spans="5:5">
      <c r="E3744" t="e">
        <f t="shared" si="60"/>
        <v>#N/A</v>
      </c>
    </row>
    <row r="3745" spans="5:5">
      <c r="E3745" t="e">
        <f t="shared" si="60"/>
        <v>#N/A</v>
      </c>
    </row>
    <row r="3746" spans="5:5">
      <c r="E3746" t="e">
        <f t="shared" si="60"/>
        <v>#N/A</v>
      </c>
    </row>
    <row r="3747" spans="5:5">
      <c r="E3747" t="e">
        <f t="shared" si="60"/>
        <v>#N/A</v>
      </c>
    </row>
    <row r="3748" spans="5:5">
      <c r="E3748" t="e">
        <f t="shared" si="60"/>
        <v>#N/A</v>
      </c>
    </row>
    <row r="3749" spans="5:5">
      <c r="E3749" t="e">
        <f t="shared" si="60"/>
        <v>#N/A</v>
      </c>
    </row>
    <row r="3750" spans="5:5">
      <c r="E3750" t="e">
        <f t="shared" si="60"/>
        <v>#N/A</v>
      </c>
    </row>
    <row r="3751" spans="5:5">
      <c r="E3751" t="e">
        <f t="shared" si="60"/>
        <v>#N/A</v>
      </c>
    </row>
    <row r="3752" spans="5:5">
      <c r="E3752" t="e">
        <f t="shared" si="60"/>
        <v>#N/A</v>
      </c>
    </row>
    <row r="3753" spans="5:5">
      <c r="E3753" t="e">
        <f t="shared" si="60"/>
        <v>#N/A</v>
      </c>
    </row>
    <row r="3754" spans="5:5">
      <c r="E3754" t="e">
        <f t="shared" si="60"/>
        <v>#N/A</v>
      </c>
    </row>
    <row r="3755" spans="5:5">
      <c r="E3755" t="e">
        <f t="shared" si="60"/>
        <v>#N/A</v>
      </c>
    </row>
    <row r="3756" spans="5:5">
      <c r="E3756" t="e">
        <f t="shared" si="60"/>
        <v>#N/A</v>
      </c>
    </row>
    <row r="3757" spans="5:5">
      <c r="E3757" t="e">
        <f t="shared" si="60"/>
        <v>#N/A</v>
      </c>
    </row>
    <row r="3758" spans="5:5">
      <c r="E3758" t="e">
        <f t="shared" si="60"/>
        <v>#N/A</v>
      </c>
    </row>
    <row r="3759" spans="5:5">
      <c r="E3759" t="e">
        <f t="shared" si="60"/>
        <v>#N/A</v>
      </c>
    </row>
    <row r="3760" spans="5:5">
      <c r="E3760" t="e">
        <f t="shared" si="60"/>
        <v>#N/A</v>
      </c>
    </row>
    <row r="3761" spans="5:5">
      <c r="E3761" t="e">
        <f t="shared" si="60"/>
        <v>#N/A</v>
      </c>
    </row>
    <row r="3762" spans="5:5">
      <c r="E3762" t="e">
        <f t="shared" si="60"/>
        <v>#N/A</v>
      </c>
    </row>
    <row r="3763" spans="5:5">
      <c r="E3763" t="e">
        <f t="shared" si="60"/>
        <v>#N/A</v>
      </c>
    </row>
    <row r="3764" spans="5:5">
      <c r="E3764" t="e">
        <f t="shared" si="60"/>
        <v>#N/A</v>
      </c>
    </row>
    <row r="3765" spans="5:5">
      <c r="E3765" t="e">
        <f t="shared" si="60"/>
        <v>#N/A</v>
      </c>
    </row>
    <row r="3766" spans="5:5">
      <c r="E3766" t="e">
        <f t="shared" si="60"/>
        <v>#N/A</v>
      </c>
    </row>
    <row r="3767" spans="5:5">
      <c r="E3767" t="e">
        <f t="shared" si="60"/>
        <v>#N/A</v>
      </c>
    </row>
    <row r="3768" spans="5:5">
      <c r="E3768" t="e">
        <f t="shared" si="60"/>
        <v>#N/A</v>
      </c>
    </row>
    <row r="3769" spans="5:5">
      <c r="E3769" t="e">
        <f t="shared" si="60"/>
        <v>#N/A</v>
      </c>
    </row>
    <row r="3770" spans="5:5">
      <c r="E3770" t="e">
        <f t="shared" si="60"/>
        <v>#N/A</v>
      </c>
    </row>
    <row r="3771" spans="5:5">
      <c r="E3771" t="e">
        <f t="shared" si="60"/>
        <v>#N/A</v>
      </c>
    </row>
    <row r="3772" spans="5:5">
      <c r="E3772" t="e">
        <f t="shared" si="60"/>
        <v>#N/A</v>
      </c>
    </row>
    <row r="3773" spans="5:5">
      <c r="E3773" t="e">
        <f t="shared" si="60"/>
        <v>#N/A</v>
      </c>
    </row>
    <row r="3774" spans="5:5">
      <c r="E3774" t="e">
        <f t="shared" si="60"/>
        <v>#N/A</v>
      </c>
    </row>
    <row r="3775" spans="5:5">
      <c r="E3775" t="e">
        <f t="shared" si="60"/>
        <v>#N/A</v>
      </c>
    </row>
    <row r="3776" spans="5:5">
      <c r="E3776" t="e">
        <f t="shared" si="60"/>
        <v>#N/A</v>
      </c>
    </row>
    <row r="3777" spans="5:5">
      <c r="E3777" t="e">
        <f t="shared" si="60"/>
        <v>#N/A</v>
      </c>
    </row>
    <row r="3778" spans="5:5">
      <c r="E3778" t="e">
        <f t="shared" si="60"/>
        <v>#N/A</v>
      </c>
    </row>
    <row r="3779" spans="5:5">
      <c r="E3779" t="e">
        <f t="shared" si="60"/>
        <v>#N/A</v>
      </c>
    </row>
    <row r="3780" spans="5:5">
      <c r="E3780" t="e">
        <f t="shared" si="60"/>
        <v>#N/A</v>
      </c>
    </row>
    <row r="3781" spans="5:5">
      <c r="E3781" t="e">
        <f t="shared" si="60"/>
        <v>#N/A</v>
      </c>
    </row>
    <row r="3782" spans="5:5">
      <c r="E3782" t="e">
        <f t="shared" si="60"/>
        <v>#N/A</v>
      </c>
    </row>
    <row r="3783" spans="5:5">
      <c r="E3783" t="e">
        <f t="shared" si="60"/>
        <v>#N/A</v>
      </c>
    </row>
    <row r="3784" spans="5:5">
      <c r="E3784" t="e">
        <f t="shared" si="60"/>
        <v>#N/A</v>
      </c>
    </row>
    <row r="3785" spans="5:5">
      <c r="E3785" t="e">
        <f t="shared" si="60"/>
        <v>#N/A</v>
      </c>
    </row>
    <row r="3786" spans="5:5">
      <c r="E3786" t="e">
        <f t="shared" si="60"/>
        <v>#N/A</v>
      </c>
    </row>
    <row r="3787" spans="5:5">
      <c r="E3787" t="e">
        <f t="shared" si="60"/>
        <v>#N/A</v>
      </c>
    </row>
    <row r="3788" spans="5:5">
      <c r="E3788" t="e">
        <f t="shared" si="60"/>
        <v>#N/A</v>
      </c>
    </row>
    <row r="3789" spans="5:5">
      <c r="E3789" t="e">
        <f t="shared" ref="E3789:E3852" si="61">VLOOKUP(B3789,$Q$13:$R$61,2,FALSE)</f>
        <v>#N/A</v>
      </c>
    </row>
    <row r="3790" spans="5:5">
      <c r="E3790" t="e">
        <f t="shared" si="61"/>
        <v>#N/A</v>
      </c>
    </row>
    <row r="3791" spans="5:5">
      <c r="E3791" t="e">
        <f t="shared" si="61"/>
        <v>#N/A</v>
      </c>
    </row>
    <row r="3792" spans="5:5">
      <c r="E3792" t="e">
        <f t="shared" si="61"/>
        <v>#N/A</v>
      </c>
    </row>
    <row r="3793" spans="5:5">
      <c r="E3793" t="e">
        <f t="shared" si="61"/>
        <v>#N/A</v>
      </c>
    </row>
    <row r="3794" spans="5:5">
      <c r="E3794" t="e">
        <f t="shared" si="61"/>
        <v>#N/A</v>
      </c>
    </row>
    <row r="3795" spans="5:5">
      <c r="E3795" t="e">
        <f t="shared" si="61"/>
        <v>#N/A</v>
      </c>
    </row>
    <row r="3796" spans="5:5">
      <c r="E3796" t="e">
        <f t="shared" si="61"/>
        <v>#N/A</v>
      </c>
    </row>
    <row r="3797" spans="5:5">
      <c r="E3797" t="e">
        <f t="shared" si="61"/>
        <v>#N/A</v>
      </c>
    </row>
    <row r="3798" spans="5:5">
      <c r="E3798" t="e">
        <f t="shared" si="61"/>
        <v>#N/A</v>
      </c>
    </row>
    <row r="3799" spans="5:5">
      <c r="E3799" t="e">
        <f t="shared" si="61"/>
        <v>#N/A</v>
      </c>
    </row>
    <row r="3800" spans="5:5">
      <c r="E3800" t="e">
        <f t="shared" si="61"/>
        <v>#N/A</v>
      </c>
    </row>
    <row r="3801" spans="5:5">
      <c r="E3801" t="e">
        <f t="shared" si="61"/>
        <v>#N/A</v>
      </c>
    </row>
    <row r="3802" spans="5:5">
      <c r="E3802" t="e">
        <f t="shared" si="61"/>
        <v>#N/A</v>
      </c>
    </row>
    <row r="3803" spans="5:5">
      <c r="E3803" t="e">
        <f t="shared" si="61"/>
        <v>#N/A</v>
      </c>
    </row>
    <row r="3804" spans="5:5">
      <c r="E3804" t="e">
        <f t="shared" si="61"/>
        <v>#N/A</v>
      </c>
    </row>
    <row r="3805" spans="5:5">
      <c r="E3805" t="e">
        <f t="shared" si="61"/>
        <v>#N/A</v>
      </c>
    </row>
    <row r="3806" spans="5:5">
      <c r="E3806" t="e">
        <f t="shared" si="61"/>
        <v>#N/A</v>
      </c>
    </row>
    <row r="3807" spans="5:5">
      <c r="E3807" t="e">
        <f t="shared" si="61"/>
        <v>#N/A</v>
      </c>
    </row>
    <row r="3808" spans="5:5">
      <c r="E3808" t="e">
        <f t="shared" si="61"/>
        <v>#N/A</v>
      </c>
    </row>
    <row r="3809" spans="5:5">
      <c r="E3809" t="e">
        <f t="shared" si="61"/>
        <v>#N/A</v>
      </c>
    </row>
    <row r="3810" spans="5:5">
      <c r="E3810" t="e">
        <f t="shared" si="61"/>
        <v>#N/A</v>
      </c>
    </row>
    <row r="3811" spans="5:5">
      <c r="E3811" t="e">
        <f t="shared" si="61"/>
        <v>#N/A</v>
      </c>
    </row>
    <row r="3812" spans="5:5">
      <c r="E3812" t="e">
        <f t="shared" si="61"/>
        <v>#N/A</v>
      </c>
    </row>
    <row r="3813" spans="5:5">
      <c r="E3813" t="e">
        <f t="shared" si="61"/>
        <v>#N/A</v>
      </c>
    </row>
    <row r="3814" spans="5:5">
      <c r="E3814" t="e">
        <f t="shared" si="61"/>
        <v>#N/A</v>
      </c>
    </row>
    <row r="3815" spans="5:5">
      <c r="E3815" t="e">
        <f t="shared" si="61"/>
        <v>#N/A</v>
      </c>
    </row>
    <row r="3816" spans="5:5">
      <c r="E3816" t="e">
        <f t="shared" si="61"/>
        <v>#N/A</v>
      </c>
    </row>
    <row r="3817" spans="5:5">
      <c r="E3817" t="e">
        <f t="shared" si="61"/>
        <v>#N/A</v>
      </c>
    </row>
    <row r="3818" spans="5:5">
      <c r="E3818" t="e">
        <f t="shared" si="61"/>
        <v>#N/A</v>
      </c>
    </row>
    <row r="3819" spans="5:5">
      <c r="E3819" t="e">
        <f t="shared" si="61"/>
        <v>#N/A</v>
      </c>
    </row>
    <row r="3820" spans="5:5">
      <c r="E3820" t="e">
        <f t="shared" si="61"/>
        <v>#N/A</v>
      </c>
    </row>
    <row r="3821" spans="5:5">
      <c r="E3821" t="e">
        <f t="shared" si="61"/>
        <v>#N/A</v>
      </c>
    </row>
    <row r="3822" spans="5:5">
      <c r="E3822" t="e">
        <f t="shared" si="61"/>
        <v>#N/A</v>
      </c>
    </row>
    <row r="3823" spans="5:5">
      <c r="E3823" t="e">
        <f t="shared" si="61"/>
        <v>#N/A</v>
      </c>
    </row>
    <row r="3824" spans="5:5">
      <c r="E3824" t="e">
        <f t="shared" si="61"/>
        <v>#N/A</v>
      </c>
    </row>
    <row r="3825" spans="5:5">
      <c r="E3825" t="e">
        <f t="shared" si="61"/>
        <v>#N/A</v>
      </c>
    </row>
    <row r="3826" spans="5:5">
      <c r="E3826" t="e">
        <f t="shared" si="61"/>
        <v>#N/A</v>
      </c>
    </row>
    <row r="3827" spans="5:5">
      <c r="E3827" t="e">
        <f t="shared" si="61"/>
        <v>#N/A</v>
      </c>
    </row>
    <row r="3828" spans="5:5">
      <c r="E3828" t="e">
        <f t="shared" si="61"/>
        <v>#N/A</v>
      </c>
    </row>
    <row r="3829" spans="5:5">
      <c r="E3829" t="e">
        <f t="shared" si="61"/>
        <v>#N/A</v>
      </c>
    </row>
    <row r="3830" spans="5:5">
      <c r="E3830" t="e">
        <f t="shared" si="61"/>
        <v>#N/A</v>
      </c>
    </row>
    <row r="3831" spans="5:5">
      <c r="E3831" t="e">
        <f t="shared" si="61"/>
        <v>#N/A</v>
      </c>
    </row>
    <row r="3832" spans="5:5">
      <c r="E3832" t="e">
        <f t="shared" si="61"/>
        <v>#N/A</v>
      </c>
    </row>
    <row r="3833" spans="5:5">
      <c r="E3833" t="e">
        <f t="shared" si="61"/>
        <v>#N/A</v>
      </c>
    </row>
    <row r="3834" spans="5:5">
      <c r="E3834" t="e">
        <f t="shared" si="61"/>
        <v>#N/A</v>
      </c>
    </row>
    <row r="3835" spans="5:5">
      <c r="E3835" t="e">
        <f t="shared" si="61"/>
        <v>#N/A</v>
      </c>
    </row>
    <row r="3836" spans="5:5">
      <c r="E3836" t="e">
        <f t="shared" si="61"/>
        <v>#N/A</v>
      </c>
    </row>
    <row r="3837" spans="5:5">
      <c r="E3837" t="e">
        <f t="shared" si="61"/>
        <v>#N/A</v>
      </c>
    </row>
    <row r="3838" spans="5:5">
      <c r="E3838" t="e">
        <f t="shared" si="61"/>
        <v>#N/A</v>
      </c>
    </row>
    <row r="3839" spans="5:5">
      <c r="E3839" t="e">
        <f t="shared" si="61"/>
        <v>#N/A</v>
      </c>
    </row>
    <row r="3840" spans="5:5">
      <c r="E3840" t="e">
        <f t="shared" si="61"/>
        <v>#N/A</v>
      </c>
    </row>
    <row r="3841" spans="5:5">
      <c r="E3841" t="e">
        <f t="shared" si="61"/>
        <v>#N/A</v>
      </c>
    </row>
    <row r="3842" spans="5:5">
      <c r="E3842" t="e">
        <f t="shared" si="61"/>
        <v>#N/A</v>
      </c>
    </row>
    <row r="3843" spans="5:5">
      <c r="E3843" t="e">
        <f t="shared" si="61"/>
        <v>#N/A</v>
      </c>
    </row>
    <row r="3844" spans="5:5">
      <c r="E3844" t="e">
        <f t="shared" si="61"/>
        <v>#N/A</v>
      </c>
    </row>
    <row r="3845" spans="5:5">
      <c r="E3845" t="e">
        <f t="shared" si="61"/>
        <v>#N/A</v>
      </c>
    </row>
    <row r="3846" spans="5:5">
      <c r="E3846" t="e">
        <f t="shared" si="61"/>
        <v>#N/A</v>
      </c>
    </row>
    <row r="3847" spans="5:5">
      <c r="E3847" t="e">
        <f t="shared" si="61"/>
        <v>#N/A</v>
      </c>
    </row>
    <row r="3848" spans="5:5">
      <c r="E3848" t="e">
        <f t="shared" si="61"/>
        <v>#N/A</v>
      </c>
    </row>
    <row r="3849" spans="5:5">
      <c r="E3849" t="e">
        <f t="shared" si="61"/>
        <v>#N/A</v>
      </c>
    </row>
    <row r="3850" spans="5:5">
      <c r="E3850" t="e">
        <f t="shared" si="61"/>
        <v>#N/A</v>
      </c>
    </row>
    <row r="3851" spans="5:5">
      <c r="E3851" t="e">
        <f t="shared" si="61"/>
        <v>#N/A</v>
      </c>
    </row>
    <row r="3852" spans="5:5">
      <c r="E3852" t="e">
        <f t="shared" si="61"/>
        <v>#N/A</v>
      </c>
    </row>
    <row r="3853" spans="5:5">
      <c r="E3853" t="e">
        <f t="shared" ref="E3853:E3916" si="62">VLOOKUP(B3853,$Q$13:$R$61,2,FALSE)</f>
        <v>#N/A</v>
      </c>
    </row>
    <row r="3854" spans="5:5">
      <c r="E3854" t="e">
        <f t="shared" si="62"/>
        <v>#N/A</v>
      </c>
    </row>
    <row r="3855" spans="5:5">
      <c r="E3855" t="e">
        <f t="shared" si="62"/>
        <v>#N/A</v>
      </c>
    </row>
    <row r="3856" spans="5:5">
      <c r="E3856" t="e">
        <f t="shared" si="62"/>
        <v>#N/A</v>
      </c>
    </row>
    <row r="3857" spans="5:5">
      <c r="E3857" t="e">
        <f t="shared" si="62"/>
        <v>#N/A</v>
      </c>
    </row>
    <row r="3858" spans="5:5">
      <c r="E3858" t="e">
        <f t="shared" si="62"/>
        <v>#N/A</v>
      </c>
    </row>
    <row r="3859" spans="5:5">
      <c r="E3859" t="e">
        <f t="shared" si="62"/>
        <v>#N/A</v>
      </c>
    </row>
    <row r="3860" spans="5:5">
      <c r="E3860" t="e">
        <f t="shared" si="62"/>
        <v>#N/A</v>
      </c>
    </row>
    <row r="3861" spans="5:5">
      <c r="E3861" t="e">
        <f t="shared" si="62"/>
        <v>#N/A</v>
      </c>
    </row>
    <row r="3862" spans="5:5">
      <c r="E3862" t="e">
        <f t="shared" si="62"/>
        <v>#N/A</v>
      </c>
    </row>
    <row r="3863" spans="5:5">
      <c r="E3863" t="e">
        <f t="shared" si="62"/>
        <v>#N/A</v>
      </c>
    </row>
    <row r="3864" spans="5:5">
      <c r="E3864" t="e">
        <f t="shared" si="62"/>
        <v>#N/A</v>
      </c>
    </row>
    <row r="3865" spans="5:5">
      <c r="E3865" t="e">
        <f t="shared" si="62"/>
        <v>#N/A</v>
      </c>
    </row>
    <row r="3866" spans="5:5">
      <c r="E3866" t="e">
        <f t="shared" si="62"/>
        <v>#N/A</v>
      </c>
    </row>
    <row r="3867" spans="5:5">
      <c r="E3867" t="e">
        <f t="shared" si="62"/>
        <v>#N/A</v>
      </c>
    </row>
    <row r="3868" spans="5:5">
      <c r="E3868" t="e">
        <f t="shared" si="62"/>
        <v>#N/A</v>
      </c>
    </row>
    <row r="3869" spans="5:5">
      <c r="E3869" t="e">
        <f t="shared" si="62"/>
        <v>#N/A</v>
      </c>
    </row>
    <row r="3870" spans="5:5">
      <c r="E3870" t="e">
        <f t="shared" si="62"/>
        <v>#N/A</v>
      </c>
    </row>
    <row r="3871" spans="5:5">
      <c r="E3871" t="e">
        <f t="shared" si="62"/>
        <v>#N/A</v>
      </c>
    </row>
    <row r="3872" spans="5:5">
      <c r="E3872" t="e">
        <f t="shared" si="62"/>
        <v>#N/A</v>
      </c>
    </row>
    <row r="3873" spans="5:5">
      <c r="E3873" t="e">
        <f t="shared" si="62"/>
        <v>#N/A</v>
      </c>
    </row>
    <row r="3874" spans="5:5">
      <c r="E3874" t="e">
        <f t="shared" si="62"/>
        <v>#N/A</v>
      </c>
    </row>
    <row r="3875" spans="5:5">
      <c r="E3875" t="e">
        <f t="shared" si="62"/>
        <v>#N/A</v>
      </c>
    </row>
    <row r="3876" spans="5:5">
      <c r="E3876" t="e">
        <f t="shared" si="62"/>
        <v>#N/A</v>
      </c>
    </row>
    <row r="3877" spans="5:5">
      <c r="E3877" t="e">
        <f t="shared" si="62"/>
        <v>#N/A</v>
      </c>
    </row>
    <row r="3878" spans="5:5">
      <c r="E3878" t="e">
        <f t="shared" si="62"/>
        <v>#N/A</v>
      </c>
    </row>
    <row r="3879" spans="5:5">
      <c r="E3879" t="e">
        <f t="shared" si="62"/>
        <v>#N/A</v>
      </c>
    </row>
    <row r="3880" spans="5:5">
      <c r="E3880" t="e">
        <f t="shared" si="62"/>
        <v>#N/A</v>
      </c>
    </row>
    <row r="3881" spans="5:5">
      <c r="E3881" t="e">
        <f t="shared" si="62"/>
        <v>#N/A</v>
      </c>
    </row>
    <row r="3882" spans="5:5">
      <c r="E3882" t="e">
        <f t="shared" si="62"/>
        <v>#N/A</v>
      </c>
    </row>
    <row r="3883" spans="5:5">
      <c r="E3883" t="e">
        <f t="shared" si="62"/>
        <v>#N/A</v>
      </c>
    </row>
    <row r="3884" spans="5:5">
      <c r="E3884" t="e">
        <f t="shared" si="62"/>
        <v>#N/A</v>
      </c>
    </row>
    <row r="3885" spans="5:5">
      <c r="E3885" t="e">
        <f t="shared" si="62"/>
        <v>#N/A</v>
      </c>
    </row>
    <row r="3886" spans="5:5">
      <c r="E3886" t="e">
        <f t="shared" si="62"/>
        <v>#N/A</v>
      </c>
    </row>
    <row r="3887" spans="5:5">
      <c r="E3887" t="e">
        <f t="shared" si="62"/>
        <v>#N/A</v>
      </c>
    </row>
    <row r="3888" spans="5:5">
      <c r="E3888" t="e">
        <f t="shared" si="62"/>
        <v>#N/A</v>
      </c>
    </row>
    <row r="3889" spans="5:5">
      <c r="E3889" t="e">
        <f t="shared" si="62"/>
        <v>#N/A</v>
      </c>
    </row>
    <row r="3890" spans="5:5">
      <c r="E3890" t="e">
        <f t="shared" si="62"/>
        <v>#N/A</v>
      </c>
    </row>
    <row r="3891" spans="5:5">
      <c r="E3891" t="e">
        <f t="shared" si="62"/>
        <v>#N/A</v>
      </c>
    </row>
    <row r="3892" spans="5:5">
      <c r="E3892" t="e">
        <f t="shared" si="62"/>
        <v>#N/A</v>
      </c>
    </row>
    <row r="3893" spans="5:5">
      <c r="E3893" t="e">
        <f t="shared" si="62"/>
        <v>#N/A</v>
      </c>
    </row>
    <row r="3894" spans="5:5">
      <c r="E3894" t="e">
        <f t="shared" si="62"/>
        <v>#N/A</v>
      </c>
    </row>
    <row r="3895" spans="5:5">
      <c r="E3895" t="e">
        <f t="shared" si="62"/>
        <v>#N/A</v>
      </c>
    </row>
    <row r="3896" spans="5:5">
      <c r="E3896" t="e">
        <f t="shared" si="62"/>
        <v>#N/A</v>
      </c>
    </row>
    <row r="3897" spans="5:5">
      <c r="E3897" t="e">
        <f t="shared" si="62"/>
        <v>#N/A</v>
      </c>
    </row>
    <row r="3898" spans="5:5">
      <c r="E3898" t="e">
        <f t="shared" si="62"/>
        <v>#N/A</v>
      </c>
    </row>
    <row r="3899" spans="5:5">
      <c r="E3899" t="e">
        <f t="shared" si="62"/>
        <v>#N/A</v>
      </c>
    </row>
    <row r="3900" spans="5:5">
      <c r="E3900" t="e">
        <f t="shared" si="62"/>
        <v>#N/A</v>
      </c>
    </row>
    <row r="3901" spans="5:5">
      <c r="E3901" t="e">
        <f t="shared" si="62"/>
        <v>#N/A</v>
      </c>
    </row>
    <row r="3902" spans="5:5">
      <c r="E3902" t="e">
        <f t="shared" si="62"/>
        <v>#N/A</v>
      </c>
    </row>
    <row r="3903" spans="5:5">
      <c r="E3903" t="e">
        <f t="shared" si="62"/>
        <v>#N/A</v>
      </c>
    </row>
    <row r="3904" spans="5:5">
      <c r="E3904" t="e">
        <f t="shared" si="62"/>
        <v>#N/A</v>
      </c>
    </row>
    <row r="3905" spans="5:5">
      <c r="E3905" t="e">
        <f t="shared" si="62"/>
        <v>#N/A</v>
      </c>
    </row>
    <row r="3906" spans="5:5">
      <c r="E3906" t="e">
        <f t="shared" si="62"/>
        <v>#N/A</v>
      </c>
    </row>
    <row r="3907" spans="5:5">
      <c r="E3907" t="e">
        <f t="shared" si="62"/>
        <v>#N/A</v>
      </c>
    </row>
    <row r="3908" spans="5:5">
      <c r="E3908" t="e">
        <f t="shared" si="62"/>
        <v>#N/A</v>
      </c>
    </row>
    <row r="3909" spans="5:5">
      <c r="E3909" t="e">
        <f t="shared" si="62"/>
        <v>#N/A</v>
      </c>
    </row>
    <row r="3910" spans="5:5">
      <c r="E3910" t="e">
        <f t="shared" si="62"/>
        <v>#N/A</v>
      </c>
    </row>
    <row r="3911" spans="5:5">
      <c r="E3911" t="e">
        <f t="shared" si="62"/>
        <v>#N/A</v>
      </c>
    </row>
    <row r="3912" spans="5:5">
      <c r="E3912" t="e">
        <f t="shared" si="62"/>
        <v>#N/A</v>
      </c>
    </row>
    <row r="3913" spans="5:5">
      <c r="E3913" t="e">
        <f t="shared" si="62"/>
        <v>#N/A</v>
      </c>
    </row>
    <row r="3914" spans="5:5">
      <c r="E3914" t="e">
        <f t="shared" si="62"/>
        <v>#N/A</v>
      </c>
    </row>
    <row r="3915" spans="5:5">
      <c r="E3915" t="e">
        <f t="shared" si="62"/>
        <v>#N/A</v>
      </c>
    </row>
    <row r="3916" spans="5:5">
      <c r="E3916" t="e">
        <f t="shared" si="62"/>
        <v>#N/A</v>
      </c>
    </row>
    <row r="3917" spans="5:5">
      <c r="E3917" t="e">
        <f t="shared" ref="E3917:E3980" si="63">VLOOKUP(B3917,$Q$13:$R$61,2,FALSE)</f>
        <v>#N/A</v>
      </c>
    </row>
    <row r="3918" spans="5:5">
      <c r="E3918" t="e">
        <f t="shared" si="63"/>
        <v>#N/A</v>
      </c>
    </row>
    <row r="3919" spans="5:5">
      <c r="E3919" t="e">
        <f t="shared" si="63"/>
        <v>#N/A</v>
      </c>
    </row>
    <row r="3920" spans="5:5">
      <c r="E3920" t="e">
        <f t="shared" si="63"/>
        <v>#N/A</v>
      </c>
    </row>
    <row r="3921" spans="5:5">
      <c r="E3921" t="e">
        <f t="shared" si="63"/>
        <v>#N/A</v>
      </c>
    </row>
    <row r="3922" spans="5:5">
      <c r="E3922" t="e">
        <f t="shared" si="63"/>
        <v>#N/A</v>
      </c>
    </row>
    <row r="3923" spans="5:5">
      <c r="E3923" t="e">
        <f t="shared" si="63"/>
        <v>#N/A</v>
      </c>
    </row>
    <row r="3924" spans="5:5">
      <c r="E3924" t="e">
        <f t="shared" si="63"/>
        <v>#N/A</v>
      </c>
    </row>
    <row r="3925" spans="5:5">
      <c r="E3925" t="e">
        <f t="shared" si="63"/>
        <v>#N/A</v>
      </c>
    </row>
    <row r="3926" spans="5:5">
      <c r="E3926" t="e">
        <f t="shared" si="63"/>
        <v>#N/A</v>
      </c>
    </row>
    <row r="3927" spans="5:5">
      <c r="E3927" t="e">
        <f t="shared" si="63"/>
        <v>#N/A</v>
      </c>
    </row>
    <row r="3928" spans="5:5">
      <c r="E3928" t="e">
        <f t="shared" si="63"/>
        <v>#N/A</v>
      </c>
    </row>
    <row r="3929" spans="5:5">
      <c r="E3929" t="e">
        <f t="shared" si="63"/>
        <v>#N/A</v>
      </c>
    </row>
    <row r="3930" spans="5:5">
      <c r="E3930" t="e">
        <f t="shared" si="63"/>
        <v>#N/A</v>
      </c>
    </row>
    <row r="3931" spans="5:5">
      <c r="E3931" t="e">
        <f t="shared" si="63"/>
        <v>#N/A</v>
      </c>
    </row>
    <row r="3932" spans="5:5">
      <c r="E3932" t="e">
        <f t="shared" si="63"/>
        <v>#N/A</v>
      </c>
    </row>
    <row r="3933" spans="5:5">
      <c r="E3933" t="e">
        <f t="shared" si="63"/>
        <v>#N/A</v>
      </c>
    </row>
    <row r="3934" spans="5:5">
      <c r="E3934" t="e">
        <f t="shared" si="63"/>
        <v>#N/A</v>
      </c>
    </row>
    <row r="3935" spans="5:5">
      <c r="E3935" t="e">
        <f t="shared" si="63"/>
        <v>#N/A</v>
      </c>
    </row>
    <row r="3936" spans="5:5">
      <c r="E3936" t="e">
        <f t="shared" si="63"/>
        <v>#N/A</v>
      </c>
    </row>
    <row r="3937" spans="5:5">
      <c r="E3937" t="e">
        <f t="shared" si="63"/>
        <v>#N/A</v>
      </c>
    </row>
    <row r="3938" spans="5:5">
      <c r="E3938" t="e">
        <f t="shared" si="63"/>
        <v>#N/A</v>
      </c>
    </row>
    <row r="3939" spans="5:5">
      <c r="E3939" t="e">
        <f t="shared" si="63"/>
        <v>#N/A</v>
      </c>
    </row>
    <row r="3940" spans="5:5">
      <c r="E3940" t="e">
        <f t="shared" si="63"/>
        <v>#N/A</v>
      </c>
    </row>
    <row r="3941" spans="5:5">
      <c r="E3941" t="e">
        <f t="shared" si="63"/>
        <v>#N/A</v>
      </c>
    </row>
    <row r="3942" spans="5:5">
      <c r="E3942" t="e">
        <f t="shared" si="63"/>
        <v>#N/A</v>
      </c>
    </row>
    <row r="3943" spans="5:5">
      <c r="E3943" t="e">
        <f t="shared" si="63"/>
        <v>#N/A</v>
      </c>
    </row>
    <row r="3944" spans="5:5">
      <c r="E3944" t="e">
        <f t="shared" si="63"/>
        <v>#N/A</v>
      </c>
    </row>
    <row r="3945" spans="5:5">
      <c r="E3945" t="e">
        <f t="shared" si="63"/>
        <v>#N/A</v>
      </c>
    </row>
    <row r="3946" spans="5:5">
      <c r="E3946" t="e">
        <f t="shared" si="63"/>
        <v>#N/A</v>
      </c>
    </row>
    <row r="3947" spans="5:5">
      <c r="E3947" t="e">
        <f t="shared" si="63"/>
        <v>#N/A</v>
      </c>
    </row>
    <row r="3948" spans="5:5">
      <c r="E3948" t="e">
        <f t="shared" si="63"/>
        <v>#N/A</v>
      </c>
    </row>
    <row r="3949" spans="5:5">
      <c r="E3949" t="e">
        <f t="shared" si="63"/>
        <v>#N/A</v>
      </c>
    </row>
    <row r="3950" spans="5:5">
      <c r="E3950" t="e">
        <f t="shared" si="63"/>
        <v>#N/A</v>
      </c>
    </row>
    <row r="3951" spans="5:5">
      <c r="E3951" t="e">
        <f t="shared" si="63"/>
        <v>#N/A</v>
      </c>
    </row>
    <row r="3952" spans="5:5">
      <c r="E3952" t="e">
        <f t="shared" si="63"/>
        <v>#N/A</v>
      </c>
    </row>
    <row r="3953" spans="5:5">
      <c r="E3953" t="e">
        <f t="shared" si="63"/>
        <v>#N/A</v>
      </c>
    </row>
    <row r="3954" spans="5:5">
      <c r="E3954" t="e">
        <f t="shared" si="63"/>
        <v>#N/A</v>
      </c>
    </row>
    <row r="3955" spans="5:5">
      <c r="E3955" t="e">
        <f t="shared" si="63"/>
        <v>#N/A</v>
      </c>
    </row>
    <row r="3956" spans="5:5">
      <c r="E3956" t="e">
        <f t="shared" si="63"/>
        <v>#N/A</v>
      </c>
    </row>
    <row r="3957" spans="5:5">
      <c r="E3957" t="e">
        <f t="shared" si="63"/>
        <v>#N/A</v>
      </c>
    </row>
    <row r="3958" spans="5:5">
      <c r="E3958" t="e">
        <f t="shared" si="63"/>
        <v>#N/A</v>
      </c>
    </row>
    <row r="3959" spans="5:5">
      <c r="E3959" t="e">
        <f t="shared" si="63"/>
        <v>#N/A</v>
      </c>
    </row>
    <row r="3960" spans="5:5">
      <c r="E3960" t="e">
        <f t="shared" si="63"/>
        <v>#N/A</v>
      </c>
    </row>
    <row r="3961" spans="5:5">
      <c r="E3961" t="e">
        <f t="shared" si="63"/>
        <v>#N/A</v>
      </c>
    </row>
    <row r="3962" spans="5:5">
      <c r="E3962" t="e">
        <f t="shared" si="63"/>
        <v>#N/A</v>
      </c>
    </row>
    <row r="3963" spans="5:5">
      <c r="E3963" t="e">
        <f t="shared" si="63"/>
        <v>#N/A</v>
      </c>
    </row>
    <row r="3964" spans="5:5">
      <c r="E3964" t="e">
        <f t="shared" si="63"/>
        <v>#N/A</v>
      </c>
    </row>
    <row r="3965" spans="5:5">
      <c r="E3965" t="e">
        <f t="shared" si="63"/>
        <v>#N/A</v>
      </c>
    </row>
    <row r="3966" spans="5:5">
      <c r="E3966" t="e">
        <f t="shared" si="63"/>
        <v>#N/A</v>
      </c>
    </row>
    <row r="3967" spans="5:5">
      <c r="E3967" t="e">
        <f t="shared" si="63"/>
        <v>#N/A</v>
      </c>
    </row>
    <row r="3968" spans="5:5">
      <c r="E3968" t="e">
        <f t="shared" si="63"/>
        <v>#N/A</v>
      </c>
    </row>
    <row r="3969" spans="5:5">
      <c r="E3969" t="e">
        <f t="shared" si="63"/>
        <v>#N/A</v>
      </c>
    </row>
    <row r="3970" spans="5:5">
      <c r="E3970" t="e">
        <f t="shared" si="63"/>
        <v>#N/A</v>
      </c>
    </row>
    <row r="3971" spans="5:5">
      <c r="E3971" t="e">
        <f t="shared" si="63"/>
        <v>#N/A</v>
      </c>
    </row>
    <row r="3972" spans="5:5">
      <c r="E3972" t="e">
        <f t="shared" si="63"/>
        <v>#N/A</v>
      </c>
    </row>
    <row r="3973" spans="5:5">
      <c r="E3973" t="e">
        <f t="shared" si="63"/>
        <v>#N/A</v>
      </c>
    </row>
    <row r="3974" spans="5:5">
      <c r="E3974" t="e">
        <f t="shared" si="63"/>
        <v>#N/A</v>
      </c>
    </row>
    <row r="3975" spans="5:5">
      <c r="E3975" t="e">
        <f t="shared" si="63"/>
        <v>#N/A</v>
      </c>
    </row>
    <row r="3976" spans="5:5">
      <c r="E3976" t="e">
        <f t="shared" si="63"/>
        <v>#N/A</v>
      </c>
    </row>
    <row r="3977" spans="5:5">
      <c r="E3977" t="e">
        <f t="shared" si="63"/>
        <v>#N/A</v>
      </c>
    </row>
    <row r="3978" spans="5:5">
      <c r="E3978" t="e">
        <f t="shared" si="63"/>
        <v>#N/A</v>
      </c>
    </row>
    <row r="3979" spans="5:5">
      <c r="E3979" t="e">
        <f t="shared" si="63"/>
        <v>#N/A</v>
      </c>
    </row>
    <row r="3980" spans="5:5">
      <c r="E3980" t="e">
        <f t="shared" si="63"/>
        <v>#N/A</v>
      </c>
    </row>
    <row r="3981" spans="5:5">
      <c r="E3981" t="e">
        <f t="shared" ref="E3981:E4044" si="64">VLOOKUP(B3981,$Q$13:$R$61,2,FALSE)</f>
        <v>#N/A</v>
      </c>
    </row>
    <row r="3982" spans="5:5">
      <c r="E3982" t="e">
        <f t="shared" si="64"/>
        <v>#N/A</v>
      </c>
    </row>
    <row r="3983" spans="5:5">
      <c r="E3983" t="e">
        <f t="shared" si="64"/>
        <v>#N/A</v>
      </c>
    </row>
    <row r="3984" spans="5:5">
      <c r="E3984" t="e">
        <f t="shared" si="64"/>
        <v>#N/A</v>
      </c>
    </row>
    <row r="3985" spans="5:5">
      <c r="E3985" t="e">
        <f t="shared" si="64"/>
        <v>#N/A</v>
      </c>
    </row>
    <row r="3986" spans="5:5">
      <c r="E3986" t="e">
        <f t="shared" si="64"/>
        <v>#N/A</v>
      </c>
    </row>
    <row r="3987" spans="5:5">
      <c r="E3987" t="e">
        <f t="shared" si="64"/>
        <v>#N/A</v>
      </c>
    </row>
    <row r="3988" spans="5:5">
      <c r="E3988" t="e">
        <f t="shared" si="64"/>
        <v>#N/A</v>
      </c>
    </row>
    <row r="3989" spans="5:5">
      <c r="E3989" t="e">
        <f t="shared" si="64"/>
        <v>#N/A</v>
      </c>
    </row>
    <row r="3990" spans="5:5">
      <c r="E3990" t="e">
        <f t="shared" si="64"/>
        <v>#N/A</v>
      </c>
    </row>
    <row r="3991" spans="5:5">
      <c r="E3991" t="e">
        <f t="shared" si="64"/>
        <v>#N/A</v>
      </c>
    </row>
    <row r="3992" spans="5:5">
      <c r="E3992" t="e">
        <f t="shared" si="64"/>
        <v>#N/A</v>
      </c>
    </row>
    <row r="3993" spans="5:5">
      <c r="E3993" t="e">
        <f t="shared" si="64"/>
        <v>#N/A</v>
      </c>
    </row>
    <row r="3994" spans="5:5">
      <c r="E3994" t="e">
        <f t="shared" si="64"/>
        <v>#N/A</v>
      </c>
    </row>
    <row r="3995" spans="5:5">
      <c r="E3995" t="e">
        <f t="shared" si="64"/>
        <v>#N/A</v>
      </c>
    </row>
    <row r="3996" spans="5:5">
      <c r="E3996" t="e">
        <f t="shared" si="64"/>
        <v>#N/A</v>
      </c>
    </row>
    <row r="3997" spans="5:5">
      <c r="E3997" t="e">
        <f t="shared" si="64"/>
        <v>#N/A</v>
      </c>
    </row>
    <row r="3998" spans="5:5">
      <c r="E3998" t="e">
        <f t="shared" si="64"/>
        <v>#N/A</v>
      </c>
    </row>
    <row r="3999" spans="5:5">
      <c r="E3999" t="e">
        <f t="shared" si="64"/>
        <v>#N/A</v>
      </c>
    </row>
    <row r="4000" spans="5:5">
      <c r="E4000" t="e">
        <f t="shared" si="64"/>
        <v>#N/A</v>
      </c>
    </row>
    <row r="4001" spans="5:5">
      <c r="E4001" t="e">
        <f t="shared" si="64"/>
        <v>#N/A</v>
      </c>
    </row>
    <row r="4002" spans="5:5">
      <c r="E4002" t="e">
        <f t="shared" si="64"/>
        <v>#N/A</v>
      </c>
    </row>
    <row r="4003" spans="5:5">
      <c r="E4003" t="e">
        <f t="shared" si="64"/>
        <v>#N/A</v>
      </c>
    </row>
    <row r="4004" spans="5:5">
      <c r="E4004" t="e">
        <f t="shared" si="64"/>
        <v>#N/A</v>
      </c>
    </row>
    <row r="4005" spans="5:5">
      <c r="E4005" t="e">
        <f t="shared" si="64"/>
        <v>#N/A</v>
      </c>
    </row>
    <row r="4006" spans="5:5">
      <c r="E4006" t="e">
        <f t="shared" si="64"/>
        <v>#N/A</v>
      </c>
    </row>
    <row r="4007" spans="5:5">
      <c r="E4007" t="e">
        <f t="shared" si="64"/>
        <v>#N/A</v>
      </c>
    </row>
    <row r="4008" spans="5:5">
      <c r="E4008" t="e">
        <f t="shared" si="64"/>
        <v>#N/A</v>
      </c>
    </row>
    <row r="4009" spans="5:5">
      <c r="E4009" t="e">
        <f t="shared" si="64"/>
        <v>#N/A</v>
      </c>
    </row>
    <row r="4010" spans="5:5">
      <c r="E4010" t="e">
        <f t="shared" si="64"/>
        <v>#N/A</v>
      </c>
    </row>
    <row r="4011" spans="5:5">
      <c r="E4011" t="e">
        <f t="shared" si="64"/>
        <v>#N/A</v>
      </c>
    </row>
    <row r="4012" spans="5:5">
      <c r="E4012" t="e">
        <f t="shared" si="64"/>
        <v>#N/A</v>
      </c>
    </row>
    <row r="4013" spans="5:5">
      <c r="E4013" t="e">
        <f t="shared" si="64"/>
        <v>#N/A</v>
      </c>
    </row>
    <row r="4014" spans="5:5">
      <c r="E4014" t="e">
        <f t="shared" si="64"/>
        <v>#N/A</v>
      </c>
    </row>
    <row r="4015" spans="5:5">
      <c r="E4015" t="e">
        <f t="shared" si="64"/>
        <v>#N/A</v>
      </c>
    </row>
    <row r="4016" spans="5:5">
      <c r="E4016" t="e">
        <f t="shared" si="64"/>
        <v>#N/A</v>
      </c>
    </row>
    <row r="4017" spans="5:5">
      <c r="E4017" t="e">
        <f t="shared" si="64"/>
        <v>#N/A</v>
      </c>
    </row>
    <row r="4018" spans="5:5">
      <c r="E4018" t="e">
        <f t="shared" si="64"/>
        <v>#N/A</v>
      </c>
    </row>
    <row r="4019" spans="5:5">
      <c r="E4019" t="e">
        <f t="shared" si="64"/>
        <v>#N/A</v>
      </c>
    </row>
    <row r="4020" spans="5:5">
      <c r="E4020" t="e">
        <f t="shared" si="64"/>
        <v>#N/A</v>
      </c>
    </row>
    <row r="4021" spans="5:5">
      <c r="E4021" t="e">
        <f t="shared" si="64"/>
        <v>#N/A</v>
      </c>
    </row>
    <row r="4022" spans="5:5">
      <c r="E4022" t="e">
        <f t="shared" si="64"/>
        <v>#N/A</v>
      </c>
    </row>
    <row r="4023" spans="5:5">
      <c r="E4023" t="e">
        <f t="shared" si="64"/>
        <v>#N/A</v>
      </c>
    </row>
    <row r="4024" spans="5:5">
      <c r="E4024" t="e">
        <f t="shared" si="64"/>
        <v>#N/A</v>
      </c>
    </row>
    <row r="4025" spans="5:5">
      <c r="E4025" t="e">
        <f t="shared" si="64"/>
        <v>#N/A</v>
      </c>
    </row>
    <row r="4026" spans="5:5">
      <c r="E4026" t="e">
        <f t="shared" si="64"/>
        <v>#N/A</v>
      </c>
    </row>
    <row r="4027" spans="5:5">
      <c r="E4027" t="e">
        <f t="shared" si="64"/>
        <v>#N/A</v>
      </c>
    </row>
    <row r="4028" spans="5:5">
      <c r="E4028" t="e">
        <f t="shared" si="64"/>
        <v>#N/A</v>
      </c>
    </row>
    <row r="4029" spans="5:5">
      <c r="E4029" t="e">
        <f t="shared" si="64"/>
        <v>#N/A</v>
      </c>
    </row>
    <row r="4030" spans="5:5">
      <c r="E4030" t="e">
        <f t="shared" si="64"/>
        <v>#N/A</v>
      </c>
    </row>
    <row r="4031" spans="5:5">
      <c r="E4031" t="e">
        <f t="shared" si="64"/>
        <v>#N/A</v>
      </c>
    </row>
    <row r="4032" spans="5:5">
      <c r="E4032" t="e">
        <f t="shared" si="64"/>
        <v>#N/A</v>
      </c>
    </row>
    <row r="4033" spans="5:5">
      <c r="E4033" t="e">
        <f t="shared" si="64"/>
        <v>#N/A</v>
      </c>
    </row>
    <row r="4034" spans="5:5">
      <c r="E4034" t="e">
        <f t="shared" si="64"/>
        <v>#N/A</v>
      </c>
    </row>
    <row r="4035" spans="5:5">
      <c r="E4035" t="e">
        <f t="shared" si="64"/>
        <v>#N/A</v>
      </c>
    </row>
    <row r="4036" spans="5:5">
      <c r="E4036" t="e">
        <f t="shared" si="64"/>
        <v>#N/A</v>
      </c>
    </row>
    <row r="4037" spans="5:5">
      <c r="E4037" t="e">
        <f t="shared" si="64"/>
        <v>#N/A</v>
      </c>
    </row>
    <row r="4038" spans="5:5">
      <c r="E4038" t="e">
        <f t="shared" si="64"/>
        <v>#N/A</v>
      </c>
    </row>
    <row r="4039" spans="5:5">
      <c r="E4039" t="e">
        <f t="shared" si="64"/>
        <v>#N/A</v>
      </c>
    </row>
    <row r="4040" spans="5:5">
      <c r="E4040" t="e">
        <f t="shared" si="64"/>
        <v>#N/A</v>
      </c>
    </row>
    <row r="4041" spans="5:5">
      <c r="E4041" t="e">
        <f t="shared" si="64"/>
        <v>#N/A</v>
      </c>
    </row>
    <row r="4042" spans="5:5">
      <c r="E4042" t="e">
        <f t="shared" si="64"/>
        <v>#N/A</v>
      </c>
    </row>
    <row r="4043" spans="5:5">
      <c r="E4043" t="e">
        <f t="shared" si="64"/>
        <v>#N/A</v>
      </c>
    </row>
    <row r="4044" spans="5:5">
      <c r="E4044" t="e">
        <f t="shared" si="64"/>
        <v>#N/A</v>
      </c>
    </row>
    <row r="4045" spans="5:5">
      <c r="E4045" t="e">
        <f t="shared" ref="E4045:E4108" si="65">VLOOKUP(B4045,$Q$13:$R$61,2,FALSE)</f>
        <v>#N/A</v>
      </c>
    </row>
    <row r="4046" spans="5:5">
      <c r="E4046" t="e">
        <f t="shared" si="65"/>
        <v>#N/A</v>
      </c>
    </row>
    <row r="4047" spans="5:5">
      <c r="E4047" t="e">
        <f t="shared" si="65"/>
        <v>#N/A</v>
      </c>
    </row>
    <row r="4048" spans="5:5">
      <c r="E4048" t="e">
        <f t="shared" si="65"/>
        <v>#N/A</v>
      </c>
    </row>
    <row r="4049" spans="5:5">
      <c r="E4049" t="e">
        <f t="shared" si="65"/>
        <v>#N/A</v>
      </c>
    </row>
    <row r="4050" spans="5:5">
      <c r="E4050" t="e">
        <f t="shared" si="65"/>
        <v>#N/A</v>
      </c>
    </row>
    <row r="4051" spans="5:5">
      <c r="E4051" t="e">
        <f t="shared" si="65"/>
        <v>#N/A</v>
      </c>
    </row>
    <row r="4052" spans="5:5">
      <c r="E4052" t="e">
        <f t="shared" si="65"/>
        <v>#N/A</v>
      </c>
    </row>
    <row r="4053" spans="5:5">
      <c r="E4053" t="e">
        <f t="shared" si="65"/>
        <v>#N/A</v>
      </c>
    </row>
    <row r="4054" spans="5:5">
      <c r="E4054" t="e">
        <f t="shared" si="65"/>
        <v>#N/A</v>
      </c>
    </row>
    <row r="4055" spans="5:5">
      <c r="E4055" t="e">
        <f t="shared" si="65"/>
        <v>#N/A</v>
      </c>
    </row>
    <row r="4056" spans="5:5">
      <c r="E4056" t="e">
        <f t="shared" si="65"/>
        <v>#N/A</v>
      </c>
    </row>
    <row r="4057" spans="5:5">
      <c r="E4057" t="e">
        <f t="shared" si="65"/>
        <v>#N/A</v>
      </c>
    </row>
    <row r="4058" spans="5:5">
      <c r="E4058" t="e">
        <f t="shared" si="65"/>
        <v>#N/A</v>
      </c>
    </row>
    <row r="4059" spans="5:5">
      <c r="E4059" t="e">
        <f t="shared" si="65"/>
        <v>#N/A</v>
      </c>
    </row>
    <row r="4060" spans="5:5">
      <c r="E4060" t="e">
        <f t="shared" si="65"/>
        <v>#N/A</v>
      </c>
    </row>
    <row r="4061" spans="5:5">
      <c r="E4061" t="e">
        <f t="shared" si="65"/>
        <v>#N/A</v>
      </c>
    </row>
    <row r="4062" spans="5:5">
      <c r="E4062" t="e">
        <f t="shared" si="65"/>
        <v>#N/A</v>
      </c>
    </row>
    <row r="4063" spans="5:5">
      <c r="E4063" t="e">
        <f t="shared" si="65"/>
        <v>#N/A</v>
      </c>
    </row>
    <row r="4064" spans="5:5">
      <c r="E4064" t="e">
        <f t="shared" si="65"/>
        <v>#N/A</v>
      </c>
    </row>
    <row r="4065" spans="5:5">
      <c r="E4065" t="e">
        <f t="shared" si="65"/>
        <v>#N/A</v>
      </c>
    </row>
    <row r="4066" spans="5:5">
      <c r="E4066" t="e">
        <f t="shared" si="65"/>
        <v>#N/A</v>
      </c>
    </row>
    <row r="4067" spans="5:5">
      <c r="E4067" t="e">
        <f t="shared" si="65"/>
        <v>#N/A</v>
      </c>
    </row>
    <row r="4068" spans="5:5">
      <c r="E4068" t="e">
        <f t="shared" si="65"/>
        <v>#N/A</v>
      </c>
    </row>
    <row r="4069" spans="5:5">
      <c r="E4069" t="e">
        <f t="shared" si="65"/>
        <v>#N/A</v>
      </c>
    </row>
    <row r="4070" spans="5:5">
      <c r="E4070" t="e">
        <f t="shared" si="65"/>
        <v>#N/A</v>
      </c>
    </row>
    <row r="4071" spans="5:5">
      <c r="E4071" t="e">
        <f t="shared" si="65"/>
        <v>#N/A</v>
      </c>
    </row>
    <row r="4072" spans="5:5">
      <c r="E4072" t="e">
        <f t="shared" si="65"/>
        <v>#N/A</v>
      </c>
    </row>
    <row r="4073" spans="5:5">
      <c r="E4073" t="e">
        <f t="shared" si="65"/>
        <v>#N/A</v>
      </c>
    </row>
    <row r="4074" spans="5:5">
      <c r="E4074" t="e">
        <f t="shared" si="65"/>
        <v>#N/A</v>
      </c>
    </row>
    <row r="4075" spans="5:5">
      <c r="E4075" t="e">
        <f t="shared" si="65"/>
        <v>#N/A</v>
      </c>
    </row>
    <row r="4076" spans="5:5">
      <c r="E4076" t="e">
        <f t="shared" si="65"/>
        <v>#N/A</v>
      </c>
    </row>
    <row r="4077" spans="5:5">
      <c r="E4077" t="e">
        <f t="shared" si="65"/>
        <v>#N/A</v>
      </c>
    </row>
    <row r="4078" spans="5:5">
      <c r="E4078" t="e">
        <f t="shared" si="65"/>
        <v>#N/A</v>
      </c>
    </row>
    <row r="4079" spans="5:5">
      <c r="E4079" t="e">
        <f t="shared" si="65"/>
        <v>#N/A</v>
      </c>
    </row>
    <row r="4080" spans="5:5">
      <c r="E4080" t="e">
        <f t="shared" si="65"/>
        <v>#N/A</v>
      </c>
    </row>
    <row r="4081" spans="5:5">
      <c r="E4081" t="e">
        <f t="shared" si="65"/>
        <v>#N/A</v>
      </c>
    </row>
    <row r="4082" spans="5:5">
      <c r="E4082" t="e">
        <f t="shared" si="65"/>
        <v>#N/A</v>
      </c>
    </row>
    <row r="4083" spans="5:5">
      <c r="E4083" t="e">
        <f t="shared" si="65"/>
        <v>#N/A</v>
      </c>
    </row>
    <row r="4084" spans="5:5">
      <c r="E4084" t="e">
        <f t="shared" si="65"/>
        <v>#N/A</v>
      </c>
    </row>
    <row r="4085" spans="5:5">
      <c r="E4085" t="e">
        <f t="shared" si="65"/>
        <v>#N/A</v>
      </c>
    </row>
    <row r="4086" spans="5:5">
      <c r="E4086" t="e">
        <f t="shared" si="65"/>
        <v>#N/A</v>
      </c>
    </row>
    <row r="4087" spans="5:5">
      <c r="E4087" t="e">
        <f t="shared" si="65"/>
        <v>#N/A</v>
      </c>
    </row>
    <row r="4088" spans="5:5">
      <c r="E4088" t="e">
        <f t="shared" si="65"/>
        <v>#N/A</v>
      </c>
    </row>
    <row r="4089" spans="5:5">
      <c r="E4089" t="e">
        <f t="shared" si="65"/>
        <v>#N/A</v>
      </c>
    </row>
    <row r="4090" spans="5:5">
      <c r="E4090" t="e">
        <f t="shared" si="65"/>
        <v>#N/A</v>
      </c>
    </row>
    <row r="4091" spans="5:5">
      <c r="E4091" t="e">
        <f t="shared" si="65"/>
        <v>#N/A</v>
      </c>
    </row>
    <row r="4092" spans="5:5">
      <c r="E4092" t="e">
        <f t="shared" si="65"/>
        <v>#N/A</v>
      </c>
    </row>
    <row r="4093" spans="5:5">
      <c r="E4093" t="e">
        <f t="shared" si="65"/>
        <v>#N/A</v>
      </c>
    </row>
    <row r="4094" spans="5:5">
      <c r="E4094" t="e">
        <f t="shared" si="65"/>
        <v>#N/A</v>
      </c>
    </row>
    <row r="4095" spans="5:5">
      <c r="E4095" t="e">
        <f t="shared" si="65"/>
        <v>#N/A</v>
      </c>
    </row>
    <row r="4096" spans="5:5">
      <c r="E4096" t="e">
        <f t="shared" si="65"/>
        <v>#N/A</v>
      </c>
    </row>
    <row r="4097" spans="5:5">
      <c r="E4097" t="e">
        <f t="shared" si="65"/>
        <v>#N/A</v>
      </c>
    </row>
    <row r="4098" spans="5:5">
      <c r="E4098" t="e">
        <f t="shared" si="65"/>
        <v>#N/A</v>
      </c>
    </row>
    <row r="4099" spans="5:5">
      <c r="E4099" t="e">
        <f t="shared" si="65"/>
        <v>#N/A</v>
      </c>
    </row>
    <row r="4100" spans="5:5">
      <c r="E4100" t="e">
        <f t="shared" si="65"/>
        <v>#N/A</v>
      </c>
    </row>
    <row r="4101" spans="5:5">
      <c r="E4101" t="e">
        <f t="shared" si="65"/>
        <v>#N/A</v>
      </c>
    </row>
    <row r="4102" spans="5:5">
      <c r="E4102" t="e">
        <f t="shared" si="65"/>
        <v>#N/A</v>
      </c>
    </row>
    <row r="4103" spans="5:5">
      <c r="E4103" t="e">
        <f t="shared" si="65"/>
        <v>#N/A</v>
      </c>
    </row>
    <row r="4104" spans="5:5">
      <c r="E4104" t="e">
        <f t="shared" si="65"/>
        <v>#N/A</v>
      </c>
    </row>
    <row r="4105" spans="5:5">
      <c r="E4105" t="e">
        <f t="shared" si="65"/>
        <v>#N/A</v>
      </c>
    </row>
    <row r="4106" spans="5:5">
      <c r="E4106" t="e">
        <f t="shared" si="65"/>
        <v>#N/A</v>
      </c>
    </row>
    <row r="4107" spans="5:5">
      <c r="E4107" t="e">
        <f t="shared" si="65"/>
        <v>#N/A</v>
      </c>
    </row>
    <row r="4108" spans="5:5">
      <c r="E4108" t="e">
        <f t="shared" si="65"/>
        <v>#N/A</v>
      </c>
    </row>
    <row r="4109" spans="5:5">
      <c r="E4109" t="e">
        <f t="shared" ref="E4109:E4172" si="66">VLOOKUP(B4109,$Q$13:$R$61,2,FALSE)</f>
        <v>#N/A</v>
      </c>
    </row>
    <row r="4110" spans="5:5">
      <c r="E4110" t="e">
        <f t="shared" si="66"/>
        <v>#N/A</v>
      </c>
    </row>
    <row r="4111" spans="5:5">
      <c r="E4111" t="e">
        <f t="shared" si="66"/>
        <v>#N/A</v>
      </c>
    </row>
    <row r="4112" spans="5:5">
      <c r="E4112" t="e">
        <f t="shared" si="66"/>
        <v>#N/A</v>
      </c>
    </row>
    <row r="4113" spans="5:5">
      <c r="E4113" t="e">
        <f t="shared" si="66"/>
        <v>#N/A</v>
      </c>
    </row>
    <row r="4114" spans="5:5">
      <c r="E4114" t="e">
        <f t="shared" si="66"/>
        <v>#N/A</v>
      </c>
    </row>
    <row r="4115" spans="5:5">
      <c r="E4115" t="e">
        <f t="shared" si="66"/>
        <v>#N/A</v>
      </c>
    </row>
    <row r="4116" spans="5:5">
      <c r="E4116" t="e">
        <f t="shared" si="66"/>
        <v>#N/A</v>
      </c>
    </row>
    <row r="4117" spans="5:5">
      <c r="E4117" t="e">
        <f t="shared" si="66"/>
        <v>#N/A</v>
      </c>
    </row>
    <row r="4118" spans="5:5">
      <c r="E4118" t="e">
        <f t="shared" si="66"/>
        <v>#N/A</v>
      </c>
    </row>
    <row r="4119" spans="5:5">
      <c r="E4119" t="e">
        <f t="shared" si="66"/>
        <v>#N/A</v>
      </c>
    </row>
    <row r="4120" spans="5:5">
      <c r="E4120" t="e">
        <f t="shared" si="66"/>
        <v>#N/A</v>
      </c>
    </row>
    <row r="4121" spans="5:5">
      <c r="E4121" t="e">
        <f t="shared" si="66"/>
        <v>#N/A</v>
      </c>
    </row>
    <row r="4122" spans="5:5">
      <c r="E4122" t="e">
        <f t="shared" si="66"/>
        <v>#N/A</v>
      </c>
    </row>
    <row r="4123" spans="5:5">
      <c r="E4123" t="e">
        <f t="shared" si="66"/>
        <v>#N/A</v>
      </c>
    </row>
    <row r="4124" spans="5:5">
      <c r="E4124" t="e">
        <f t="shared" si="66"/>
        <v>#N/A</v>
      </c>
    </row>
    <row r="4125" spans="5:5">
      <c r="E4125" t="e">
        <f t="shared" si="66"/>
        <v>#N/A</v>
      </c>
    </row>
    <row r="4126" spans="5:5">
      <c r="E4126" t="e">
        <f t="shared" si="66"/>
        <v>#N/A</v>
      </c>
    </row>
    <row r="4127" spans="5:5">
      <c r="E4127" t="e">
        <f t="shared" si="66"/>
        <v>#N/A</v>
      </c>
    </row>
    <row r="4128" spans="5:5">
      <c r="E4128" t="e">
        <f t="shared" si="66"/>
        <v>#N/A</v>
      </c>
    </row>
    <row r="4129" spans="5:5">
      <c r="E4129" t="e">
        <f t="shared" si="66"/>
        <v>#N/A</v>
      </c>
    </row>
    <row r="4130" spans="5:5">
      <c r="E4130" t="e">
        <f t="shared" si="66"/>
        <v>#N/A</v>
      </c>
    </row>
    <row r="4131" spans="5:5">
      <c r="E4131" t="e">
        <f t="shared" si="66"/>
        <v>#N/A</v>
      </c>
    </row>
    <row r="4132" spans="5:5">
      <c r="E4132" t="e">
        <f t="shared" si="66"/>
        <v>#N/A</v>
      </c>
    </row>
    <row r="4133" spans="5:5">
      <c r="E4133" t="e">
        <f t="shared" si="66"/>
        <v>#N/A</v>
      </c>
    </row>
    <row r="4134" spans="5:5">
      <c r="E4134" t="e">
        <f t="shared" si="66"/>
        <v>#N/A</v>
      </c>
    </row>
    <row r="4135" spans="5:5">
      <c r="E4135" t="e">
        <f t="shared" si="66"/>
        <v>#N/A</v>
      </c>
    </row>
    <row r="4136" spans="5:5">
      <c r="E4136" t="e">
        <f t="shared" si="66"/>
        <v>#N/A</v>
      </c>
    </row>
    <row r="4137" spans="5:5">
      <c r="E4137" t="e">
        <f t="shared" si="66"/>
        <v>#N/A</v>
      </c>
    </row>
    <row r="4138" spans="5:5">
      <c r="E4138" t="e">
        <f t="shared" si="66"/>
        <v>#N/A</v>
      </c>
    </row>
    <row r="4139" spans="5:5">
      <c r="E4139" t="e">
        <f t="shared" si="66"/>
        <v>#N/A</v>
      </c>
    </row>
    <row r="4140" spans="5:5">
      <c r="E4140" t="e">
        <f t="shared" si="66"/>
        <v>#N/A</v>
      </c>
    </row>
    <row r="4141" spans="5:5">
      <c r="E4141" t="e">
        <f t="shared" si="66"/>
        <v>#N/A</v>
      </c>
    </row>
    <row r="4142" spans="5:5">
      <c r="E4142" t="e">
        <f t="shared" si="66"/>
        <v>#N/A</v>
      </c>
    </row>
    <row r="4143" spans="5:5">
      <c r="E4143" t="e">
        <f t="shared" si="66"/>
        <v>#N/A</v>
      </c>
    </row>
    <row r="4144" spans="5:5">
      <c r="E4144" t="e">
        <f t="shared" si="66"/>
        <v>#N/A</v>
      </c>
    </row>
    <row r="4145" spans="5:5">
      <c r="E4145" t="e">
        <f t="shared" si="66"/>
        <v>#N/A</v>
      </c>
    </row>
    <row r="4146" spans="5:5">
      <c r="E4146" t="e">
        <f t="shared" si="66"/>
        <v>#N/A</v>
      </c>
    </row>
    <row r="4147" spans="5:5">
      <c r="E4147" t="e">
        <f t="shared" si="66"/>
        <v>#N/A</v>
      </c>
    </row>
    <row r="4148" spans="5:5">
      <c r="E4148" t="e">
        <f t="shared" si="66"/>
        <v>#N/A</v>
      </c>
    </row>
    <row r="4149" spans="5:5">
      <c r="E4149" t="e">
        <f t="shared" si="66"/>
        <v>#N/A</v>
      </c>
    </row>
    <row r="4150" spans="5:5">
      <c r="E4150" t="e">
        <f t="shared" si="66"/>
        <v>#N/A</v>
      </c>
    </row>
    <row r="4151" spans="5:5">
      <c r="E4151" t="e">
        <f t="shared" si="66"/>
        <v>#N/A</v>
      </c>
    </row>
    <row r="4152" spans="5:5">
      <c r="E4152" t="e">
        <f t="shared" si="66"/>
        <v>#N/A</v>
      </c>
    </row>
    <row r="4153" spans="5:5">
      <c r="E4153" t="e">
        <f t="shared" si="66"/>
        <v>#N/A</v>
      </c>
    </row>
    <row r="4154" spans="5:5">
      <c r="E4154" t="e">
        <f t="shared" si="66"/>
        <v>#N/A</v>
      </c>
    </row>
    <row r="4155" spans="5:5">
      <c r="E4155" t="e">
        <f t="shared" si="66"/>
        <v>#N/A</v>
      </c>
    </row>
    <row r="4156" spans="5:5">
      <c r="E4156" t="e">
        <f t="shared" si="66"/>
        <v>#N/A</v>
      </c>
    </row>
    <row r="4157" spans="5:5">
      <c r="E4157" t="e">
        <f t="shared" si="66"/>
        <v>#N/A</v>
      </c>
    </row>
    <row r="4158" spans="5:5">
      <c r="E4158" t="e">
        <f t="shared" si="66"/>
        <v>#N/A</v>
      </c>
    </row>
    <row r="4159" spans="5:5">
      <c r="E4159" t="e">
        <f t="shared" si="66"/>
        <v>#N/A</v>
      </c>
    </row>
    <row r="4160" spans="5:5">
      <c r="E4160" t="e">
        <f t="shared" si="66"/>
        <v>#N/A</v>
      </c>
    </row>
    <row r="4161" spans="5:5">
      <c r="E4161" t="e">
        <f t="shared" si="66"/>
        <v>#N/A</v>
      </c>
    </row>
    <row r="4162" spans="5:5">
      <c r="E4162" t="e">
        <f t="shared" si="66"/>
        <v>#N/A</v>
      </c>
    </row>
    <row r="4163" spans="5:5">
      <c r="E4163" t="e">
        <f t="shared" si="66"/>
        <v>#N/A</v>
      </c>
    </row>
    <row r="4164" spans="5:5">
      <c r="E4164" t="e">
        <f t="shared" si="66"/>
        <v>#N/A</v>
      </c>
    </row>
    <row r="4165" spans="5:5">
      <c r="E4165" t="e">
        <f t="shared" si="66"/>
        <v>#N/A</v>
      </c>
    </row>
    <row r="4166" spans="5:5">
      <c r="E4166" t="e">
        <f t="shared" si="66"/>
        <v>#N/A</v>
      </c>
    </row>
    <row r="4167" spans="5:5">
      <c r="E4167" t="e">
        <f t="shared" si="66"/>
        <v>#N/A</v>
      </c>
    </row>
    <row r="4168" spans="5:5">
      <c r="E4168" t="e">
        <f t="shared" si="66"/>
        <v>#N/A</v>
      </c>
    </row>
    <row r="4169" spans="5:5">
      <c r="E4169" t="e">
        <f t="shared" si="66"/>
        <v>#N/A</v>
      </c>
    </row>
    <row r="4170" spans="5:5">
      <c r="E4170" t="e">
        <f t="shared" si="66"/>
        <v>#N/A</v>
      </c>
    </row>
    <row r="4171" spans="5:5">
      <c r="E4171" t="e">
        <f t="shared" si="66"/>
        <v>#N/A</v>
      </c>
    </row>
    <row r="4172" spans="5:5">
      <c r="E4172" t="e">
        <f t="shared" si="66"/>
        <v>#N/A</v>
      </c>
    </row>
    <row r="4173" spans="5:5">
      <c r="E4173" t="e">
        <f t="shared" ref="E4173:E4236" si="67">VLOOKUP(B4173,$Q$13:$R$61,2,FALSE)</f>
        <v>#N/A</v>
      </c>
    </row>
    <row r="4174" spans="5:5">
      <c r="E4174" t="e">
        <f t="shared" si="67"/>
        <v>#N/A</v>
      </c>
    </row>
    <row r="4175" spans="5:5">
      <c r="E4175" t="e">
        <f t="shared" si="67"/>
        <v>#N/A</v>
      </c>
    </row>
    <row r="4176" spans="5:5">
      <c r="E4176" t="e">
        <f t="shared" si="67"/>
        <v>#N/A</v>
      </c>
    </row>
    <row r="4177" spans="5:5">
      <c r="E4177" t="e">
        <f t="shared" si="67"/>
        <v>#N/A</v>
      </c>
    </row>
    <row r="4178" spans="5:5">
      <c r="E4178" t="e">
        <f t="shared" si="67"/>
        <v>#N/A</v>
      </c>
    </row>
    <row r="4179" spans="5:5">
      <c r="E4179" t="e">
        <f t="shared" si="67"/>
        <v>#N/A</v>
      </c>
    </row>
    <row r="4180" spans="5:5">
      <c r="E4180" t="e">
        <f t="shared" si="67"/>
        <v>#N/A</v>
      </c>
    </row>
    <row r="4181" spans="5:5">
      <c r="E4181" t="e">
        <f t="shared" si="67"/>
        <v>#N/A</v>
      </c>
    </row>
    <row r="4182" spans="5:5">
      <c r="E4182" t="e">
        <f t="shared" si="67"/>
        <v>#N/A</v>
      </c>
    </row>
    <row r="4183" spans="5:5">
      <c r="E4183" t="e">
        <f t="shared" si="67"/>
        <v>#N/A</v>
      </c>
    </row>
    <row r="4184" spans="5:5">
      <c r="E4184" t="e">
        <f t="shared" si="67"/>
        <v>#N/A</v>
      </c>
    </row>
    <row r="4185" spans="5:5">
      <c r="E4185" t="e">
        <f t="shared" si="67"/>
        <v>#N/A</v>
      </c>
    </row>
    <row r="4186" spans="5:5">
      <c r="E4186" t="e">
        <f t="shared" si="67"/>
        <v>#N/A</v>
      </c>
    </row>
    <row r="4187" spans="5:5">
      <c r="E4187" t="e">
        <f t="shared" si="67"/>
        <v>#N/A</v>
      </c>
    </row>
    <row r="4188" spans="5:5">
      <c r="E4188" t="e">
        <f t="shared" si="67"/>
        <v>#N/A</v>
      </c>
    </row>
    <row r="4189" spans="5:5">
      <c r="E4189" t="e">
        <f t="shared" si="67"/>
        <v>#N/A</v>
      </c>
    </row>
    <row r="4190" spans="5:5">
      <c r="E4190" t="e">
        <f t="shared" si="67"/>
        <v>#N/A</v>
      </c>
    </row>
    <row r="4191" spans="5:5">
      <c r="E4191" t="e">
        <f t="shared" si="67"/>
        <v>#N/A</v>
      </c>
    </row>
    <row r="4192" spans="5:5">
      <c r="E4192" t="e">
        <f t="shared" si="67"/>
        <v>#N/A</v>
      </c>
    </row>
    <row r="4193" spans="5:5">
      <c r="E4193" t="e">
        <f t="shared" si="67"/>
        <v>#N/A</v>
      </c>
    </row>
    <row r="4194" spans="5:5">
      <c r="E4194" t="e">
        <f t="shared" si="67"/>
        <v>#N/A</v>
      </c>
    </row>
    <row r="4195" spans="5:5">
      <c r="E4195" t="e">
        <f t="shared" si="67"/>
        <v>#N/A</v>
      </c>
    </row>
    <row r="4196" spans="5:5">
      <c r="E4196" t="e">
        <f t="shared" si="67"/>
        <v>#N/A</v>
      </c>
    </row>
    <row r="4197" spans="5:5">
      <c r="E4197" t="e">
        <f t="shared" si="67"/>
        <v>#N/A</v>
      </c>
    </row>
    <row r="4198" spans="5:5">
      <c r="E4198" t="e">
        <f t="shared" si="67"/>
        <v>#N/A</v>
      </c>
    </row>
    <row r="4199" spans="5:5">
      <c r="E4199" t="e">
        <f t="shared" si="67"/>
        <v>#N/A</v>
      </c>
    </row>
    <row r="4200" spans="5:5">
      <c r="E4200" t="e">
        <f t="shared" si="67"/>
        <v>#N/A</v>
      </c>
    </row>
    <row r="4201" spans="5:5">
      <c r="E4201" t="e">
        <f t="shared" si="67"/>
        <v>#N/A</v>
      </c>
    </row>
    <row r="4202" spans="5:5">
      <c r="E4202" t="e">
        <f t="shared" si="67"/>
        <v>#N/A</v>
      </c>
    </row>
    <row r="4203" spans="5:5">
      <c r="E4203" t="e">
        <f t="shared" si="67"/>
        <v>#N/A</v>
      </c>
    </row>
    <row r="4204" spans="5:5">
      <c r="E4204" t="e">
        <f t="shared" si="67"/>
        <v>#N/A</v>
      </c>
    </row>
    <row r="4205" spans="5:5">
      <c r="E4205" t="e">
        <f t="shared" si="67"/>
        <v>#N/A</v>
      </c>
    </row>
    <row r="4206" spans="5:5">
      <c r="E4206" t="e">
        <f t="shared" si="67"/>
        <v>#N/A</v>
      </c>
    </row>
    <row r="4207" spans="5:5">
      <c r="E4207" t="e">
        <f t="shared" si="67"/>
        <v>#N/A</v>
      </c>
    </row>
    <row r="4208" spans="5:5">
      <c r="E4208" t="e">
        <f t="shared" si="67"/>
        <v>#N/A</v>
      </c>
    </row>
    <row r="4209" spans="5:5">
      <c r="E4209" t="e">
        <f t="shared" si="67"/>
        <v>#N/A</v>
      </c>
    </row>
    <row r="4210" spans="5:5">
      <c r="E4210" t="e">
        <f t="shared" si="67"/>
        <v>#N/A</v>
      </c>
    </row>
    <row r="4211" spans="5:5">
      <c r="E4211" t="e">
        <f t="shared" si="67"/>
        <v>#N/A</v>
      </c>
    </row>
    <row r="4212" spans="5:5">
      <c r="E4212" t="e">
        <f t="shared" si="67"/>
        <v>#N/A</v>
      </c>
    </row>
    <row r="4213" spans="5:5">
      <c r="E4213" t="e">
        <f t="shared" si="67"/>
        <v>#N/A</v>
      </c>
    </row>
    <row r="4214" spans="5:5">
      <c r="E4214" t="e">
        <f t="shared" si="67"/>
        <v>#N/A</v>
      </c>
    </row>
    <row r="4215" spans="5:5">
      <c r="E4215" t="e">
        <f t="shared" si="67"/>
        <v>#N/A</v>
      </c>
    </row>
    <row r="4216" spans="5:5">
      <c r="E4216" t="e">
        <f t="shared" si="67"/>
        <v>#N/A</v>
      </c>
    </row>
    <row r="4217" spans="5:5">
      <c r="E4217" t="e">
        <f t="shared" si="67"/>
        <v>#N/A</v>
      </c>
    </row>
    <row r="4218" spans="5:5">
      <c r="E4218" t="e">
        <f t="shared" si="67"/>
        <v>#N/A</v>
      </c>
    </row>
    <row r="4219" spans="5:5">
      <c r="E4219" t="e">
        <f t="shared" si="67"/>
        <v>#N/A</v>
      </c>
    </row>
    <row r="4220" spans="5:5">
      <c r="E4220" t="e">
        <f t="shared" si="67"/>
        <v>#N/A</v>
      </c>
    </row>
    <row r="4221" spans="5:5">
      <c r="E4221" t="e">
        <f t="shared" si="67"/>
        <v>#N/A</v>
      </c>
    </row>
    <row r="4222" spans="5:5">
      <c r="E4222" t="e">
        <f t="shared" si="67"/>
        <v>#N/A</v>
      </c>
    </row>
    <row r="4223" spans="5:5">
      <c r="E4223" t="e">
        <f t="shared" si="67"/>
        <v>#N/A</v>
      </c>
    </row>
    <row r="4224" spans="5:5">
      <c r="E4224" t="e">
        <f t="shared" si="67"/>
        <v>#N/A</v>
      </c>
    </row>
    <row r="4225" spans="5:5">
      <c r="E4225" t="e">
        <f t="shared" si="67"/>
        <v>#N/A</v>
      </c>
    </row>
    <row r="4226" spans="5:5">
      <c r="E4226" t="e">
        <f t="shared" si="67"/>
        <v>#N/A</v>
      </c>
    </row>
    <row r="4227" spans="5:5">
      <c r="E4227" t="e">
        <f t="shared" si="67"/>
        <v>#N/A</v>
      </c>
    </row>
    <row r="4228" spans="5:5">
      <c r="E4228" t="e">
        <f t="shared" si="67"/>
        <v>#N/A</v>
      </c>
    </row>
    <row r="4229" spans="5:5">
      <c r="E4229" t="e">
        <f t="shared" si="67"/>
        <v>#N/A</v>
      </c>
    </row>
    <row r="4230" spans="5:5">
      <c r="E4230" t="e">
        <f t="shared" si="67"/>
        <v>#N/A</v>
      </c>
    </row>
    <row r="4231" spans="5:5">
      <c r="E4231" t="e">
        <f t="shared" si="67"/>
        <v>#N/A</v>
      </c>
    </row>
    <row r="4232" spans="5:5">
      <c r="E4232" t="e">
        <f t="shared" si="67"/>
        <v>#N/A</v>
      </c>
    </row>
    <row r="4233" spans="5:5">
      <c r="E4233" t="e">
        <f t="shared" si="67"/>
        <v>#N/A</v>
      </c>
    </row>
    <row r="4234" spans="5:5">
      <c r="E4234" t="e">
        <f t="shared" si="67"/>
        <v>#N/A</v>
      </c>
    </row>
    <row r="4235" spans="5:5">
      <c r="E4235" t="e">
        <f t="shared" si="67"/>
        <v>#N/A</v>
      </c>
    </row>
    <row r="4236" spans="5:5">
      <c r="E4236" t="e">
        <f t="shared" si="67"/>
        <v>#N/A</v>
      </c>
    </row>
    <row r="4237" spans="5:5">
      <c r="E4237" t="e">
        <f t="shared" ref="E4237:E4300" si="68">VLOOKUP(B4237,$Q$13:$R$61,2,FALSE)</f>
        <v>#N/A</v>
      </c>
    </row>
    <row r="4238" spans="5:5">
      <c r="E4238" t="e">
        <f t="shared" si="68"/>
        <v>#N/A</v>
      </c>
    </row>
    <row r="4239" spans="5:5">
      <c r="E4239" t="e">
        <f t="shared" si="68"/>
        <v>#N/A</v>
      </c>
    </row>
    <row r="4240" spans="5:5">
      <c r="E4240" t="e">
        <f t="shared" si="68"/>
        <v>#N/A</v>
      </c>
    </row>
    <row r="4241" spans="5:5">
      <c r="E4241" t="e">
        <f t="shared" si="68"/>
        <v>#N/A</v>
      </c>
    </row>
    <row r="4242" spans="5:5">
      <c r="E4242" t="e">
        <f t="shared" si="68"/>
        <v>#N/A</v>
      </c>
    </row>
    <row r="4243" spans="5:5">
      <c r="E4243" t="e">
        <f t="shared" si="68"/>
        <v>#N/A</v>
      </c>
    </row>
    <row r="4244" spans="5:5">
      <c r="E4244" t="e">
        <f t="shared" si="68"/>
        <v>#N/A</v>
      </c>
    </row>
    <row r="4245" spans="5:5">
      <c r="E4245" t="e">
        <f t="shared" si="68"/>
        <v>#N/A</v>
      </c>
    </row>
    <row r="4246" spans="5:5">
      <c r="E4246" t="e">
        <f t="shared" si="68"/>
        <v>#N/A</v>
      </c>
    </row>
    <row r="4247" spans="5:5">
      <c r="E4247" t="e">
        <f t="shared" si="68"/>
        <v>#N/A</v>
      </c>
    </row>
    <row r="4248" spans="5:5">
      <c r="E4248" t="e">
        <f t="shared" si="68"/>
        <v>#N/A</v>
      </c>
    </row>
    <row r="4249" spans="5:5">
      <c r="E4249" t="e">
        <f t="shared" si="68"/>
        <v>#N/A</v>
      </c>
    </row>
    <row r="4250" spans="5:5">
      <c r="E4250" t="e">
        <f t="shared" si="68"/>
        <v>#N/A</v>
      </c>
    </row>
    <row r="4251" spans="5:5">
      <c r="E4251" t="e">
        <f t="shared" si="68"/>
        <v>#N/A</v>
      </c>
    </row>
    <row r="4252" spans="5:5">
      <c r="E4252" t="e">
        <f t="shared" si="68"/>
        <v>#N/A</v>
      </c>
    </row>
    <row r="4253" spans="5:5">
      <c r="E4253" t="e">
        <f t="shared" si="68"/>
        <v>#N/A</v>
      </c>
    </row>
    <row r="4254" spans="5:5">
      <c r="E4254" t="e">
        <f t="shared" si="68"/>
        <v>#N/A</v>
      </c>
    </row>
    <row r="4255" spans="5:5">
      <c r="E4255" t="e">
        <f t="shared" si="68"/>
        <v>#N/A</v>
      </c>
    </row>
    <row r="4256" spans="5:5">
      <c r="E4256" t="e">
        <f t="shared" si="68"/>
        <v>#N/A</v>
      </c>
    </row>
    <row r="4257" spans="5:5">
      <c r="E4257" t="e">
        <f t="shared" si="68"/>
        <v>#N/A</v>
      </c>
    </row>
    <row r="4258" spans="5:5">
      <c r="E4258" t="e">
        <f t="shared" si="68"/>
        <v>#N/A</v>
      </c>
    </row>
    <row r="4259" spans="5:5">
      <c r="E4259" t="e">
        <f t="shared" si="68"/>
        <v>#N/A</v>
      </c>
    </row>
    <row r="4260" spans="5:5">
      <c r="E4260" t="e">
        <f t="shared" si="68"/>
        <v>#N/A</v>
      </c>
    </row>
    <row r="4261" spans="5:5">
      <c r="E4261" t="e">
        <f t="shared" si="68"/>
        <v>#N/A</v>
      </c>
    </row>
    <row r="4262" spans="5:5">
      <c r="E4262" t="e">
        <f t="shared" si="68"/>
        <v>#N/A</v>
      </c>
    </row>
    <row r="4263" spans="5:5">
      <c r="E4263" t="e">
        <f t="shared" si="68"/>
        <v>#N/A</v>
      </c>
    </row>
    <row r="4264" spans="5:5">
      <c r="E4264" t="e">
        <f t="shared" si="68"/>
        <v>#N/A</v>
      </c>
    </row>
    <row r="4265" spans="5:5">
      <c r="E4265" t="e">
        <f t="shared" si="68"/>
        <v>#N/A</v>
      </c>
    </row>
    <row r="4266" spans="5:5">
      <c r="E4266" t="e">
        <f t="shared" si="68"/>
        <v>#N/A</v>
      </c>
    </row>
    <row r="4267" spans="5:5">
      <c r="E4267" t="e">
        <f t="shared" si="68"/>
        <v>#N/A</v>
      </c>
    </row>
    <row r="4268" spans="5:5">
      <c r="E4268" t="e">
        <f t="shared" si="68"/>
        <v>#N/A</v>
      </c>
    </row>
    <row r="4269" spans="5:5">
      <c r="E4269" t="e">
        <f t="shared" si="68"/>
        <v>#N/A</v>
      </c>
    </row>
    <row r="4270" spans="5:5">
      <c r="E4270" t="e">
        <f t="shared" si="68"/>
        <v>#N/A</v>
      </c>
    </row>
    <row r="4271" spans="5:5">
      <c r="E4271" t="e">
        <f t="shared" si="68"/>
        <v>#N/A</v>
      </c>
    </row>
    <row r="4272" spans="5:5">
      <c r="E4272" t="e">
        <f t="shared" si="68"/>
        <v>#N/A</v>
      </c>
    </row>
    <row r="4273" spans="5:5">
      <c r="E4273" t="e">
        <f t="shared" si="68"/>
        <v>#N/A</v>
      </c>
    </row>
    <row r="4274" spans="5:5">
      <c r="E4274" t="e">
        <f t="shared" si="68"/>
        <v>#N/A</v>
      </c>
    </row>
    <row r="4275" spans="5:5">
      <c r="E4275" t="e">
        <f t="shared" si="68"/>
        <v>#N/A</v>
      </c>
    </row>
    <row r="4276" spans="5:5">
      <c r="E4276" t="e">
        <f t="shared" si="68"/>
        <v>#N/A</v>
      </c>
    </row>
    <row r="4277" spans="5:5">
      <c r="E4277" t="e">
        <f t="shared" si="68"/>
        <v>#N/A</v>
      </c>
    </row>
    <row r="4278" spans="5:5">
      <c r="E4278" t="e">
        <f t="shared" si="68"/>
        <v>#N/A</v>
      </c>
    </row>
    <row r="4279" spans="5:5">
      <c r="E4279" t="e">
        <f t="shared" si="68"/>
        <v>#N/A</v>
      </c>
    </row>
    <row r="4280" spans="5:5">
      <c r="E4280" t="e">
        <f t="shared" si="68"/>
        <v>#N/A</v>
      </c>
    </row>
    <row r="4281" spans="5:5">
      <c r="E4281" t="e">
        <f t="shared" si="68"/>
        <v>#N/A</v>
      </c>
    </row>
    <row r="4282" spans="5:5">
      <c r="E4282" t="e">
        <f t="shared" si="68"/>
        <v>#N/A</v>
      </c>
    </row>
    <row r="4283" spans="5:5">
      <c r="E4283" t="e">
        <f t="shared" si="68"/>
        <v>#N/A</v>
      </c>
    </row>
    <row r="4284" spans="5:5">
      <c r="E4284" t="e">
        <f t="shared" si="68"/>
        <v>#N/A</v>
      </c>
    </row>
    <row r="4285" spans="5:5">
      <c r="E4285" t="e">
        <f t="shared" si="68"/>
        <v>#N/A</v>
      </c>
    </row>
    <row r="4286" spans="5:5">
      <c r="E4286" t="e">
        <f t="shared" si="68"/>
        <v>#N/A</v>
      </c>
    </row>
    <row r="4287" spans="5:5">
      <c r="E4287" t="e">
        <f t="shared" si="68"/>
        <v>#N/A</v>
      </c>
    </row>
    <row r="4288" spans="5:5">
      <c r="E4288" t="e">
        <f t="shared" si="68"/>
        <v>#N/A</v>
      </c>
    </row>
    <row r="4289" spans="5:5">
      <c r="E4289" t="e">
        <f t="shared" si="68"/>
        <v>#N/A</v>
      </c>
    </row>
    <row r="4290" spans="5:5">
      <c r="E4290" t="e">
        <f t="shared" si="68"/>
        <v>#N/A</v>
      </c>
    </row>
    <row r="4291" spans="5:5">
      <c r="E4291" t="e">
        <f t="shared" si="68"/>
        <v>#N/A</v>
      </c>
    </row>
    <row r="4292" spans="5:5">
      <c r="E4292" t="e">
        <f t="shared" si="68"/>
        <v>#N/A</v>
      </c>
    </row>
    <row r="4293" spans="5:5">
      <c r="E4293" t="e">
        <f t="shared" si="68"/>
        <v>#N/A</v>
      </c>
    </row>
    <row r="4294" spans="5:5">
      <c r="E4294" t="e">
        <f t="shared" si="68"/>
        <v>#N/A</v>
      </c>
    </row>
    <row r="4295" spans="5:5">
      <c r="E4295" t="e">
        <f t="shared" si="68"/>
        <v>#N/A</v>
      </c>
    </row>
    <row r="4296" spans="5:5">
      <c r="E4296" t="e">
        <f t="shared" si="68"/>
        <v>#N/A</v>
      </c>
    </row>
    <row r="4297" spans="5:5">
      <c r="E4297" t="e">
        <f t="shared" si="68"/>
        <v>#N/A</v>
      </c>
    </row>
    <row r="4298" spans="5:5">
      <c r="E4298" t="e">
        <f t="shared" si="68"/>
        <v>#N/A</v>
      </c>
    </row>
    <row r="4299" spans="5:5">
      <c r="E4299" t="e">
        <f t="shared" si="68"/>
        <v>#N/A</v>
      </c>
    </row>
    <row r="4300" spans="5:5">
      <c r="E4300" t="e">
        <f t="shared" si="68"/>
        <v>#N/A</v>
      </c>
    </row>
    <row r="4301" spans="5:5">
      <c r="E4301" t="e">
        <f t="shared" ref="E4301:E4364" si="69">VLOOKUP(B4301,$Q$13:$R$61,2,FALSE)</f>
        <v>#N/A</v>
      </c>
    </row>
    <row r="4302" spans="5:5">
      <c r="E4302" t="e">
        <f t="shared" si="69"/>
        <v>#N/A</v>
      </c>
    </row>
    <row r="4303" spans="5:5">
      <c r="E4303" t="e">
        <f t="shared" si="69"/>
        <v>#N/A</v>
      </c>
    </row>
    <row r="4304" spans="5:5">
      <c r="E4304" t="e">
        <f t="shared" si="69"/>
        <v>#N/A</v>
      </c>
    </row>
    <row r="4305" spans="5:5">
      <c r="E4305" t="e">
        <f t="shared" si="69"/>
        <v>#N/A</v>
      </c>
    </row>
    <row r="4306" spans="5:5">
      <c r="E4306" t="e">
        <f t="shared" si="69"/>
        <v>#N/A</v>
      </c>
    </row>
    <row r="4307" spans="5:5">
      <c r="E4307" t="e">
        <f t="shared" si="69"/>
        <v>#N/A</v>
      </c>
    </row>
    <row r="4308" spans="5:5">
      <c r="E4308" t="e">
        <f t="shared" si="69"/>
        <v>#N/A</v>
      </c>
    </row>
    <row r="4309" spans="5:5">
      <c r="E4309" t="e">
        <f t="shared" si="69"/>
        <v>#N/A</v>
      </c>
    </row>
    <row r="4310" spans="5:5">
      <c r="E4310" t="e">
        <f t="shared" si="69"/>
        <v>#N/A</v>
      </c>
    </row>
    <row r="4311" spans="5:5">
      <c r="E4311" t="e">
        <f t="shared" si="69"/>
        <v>#N/A</v>
      </c>
    </row>
    <row r="4312" spans="5:5">
      <c r="E4312" t="e">
        <f t="shared" si="69"/>
        <v>#N/A</v>
      </c>
    </row>
    <row r="4313" spans="5:5">
      <c r="E4313" t="e">
        <f t="shared" si="69"/>
        <v>#N/A</v>
      </c>
    </row>
    <row r="4314" spans="5:5">
      <c r="E4314" t="e">
        <f t="shared" si="69"/>
        <v>#N/A</v>
      </c>
    </row>
    <row r="4315" spans="5:5">
      <c r="E4315" t="e">
        <f t="shared" si="69"/>
        <v>#N/A</v>
      </c>
    </row>
    <row r="4316" spans="5:5">
      <c r="E4316" t="e">
        <f t="shared" si="69"/>
        <v>#N/A</v>
      </c>
    </row>
    <row r="4317" spans="5:5">
      <c r="E4317" t="e">
        <f t="shared" si="69"/>
        <v>#N/A</v>
      </c>
    </row>
    <row r="4318" spans="5:5">
      <c r="E4318" t="e">
        <f t="shared" si="69"/>
        <v>#N/A</v>
      </c>
    </row>
    <row r="4319" spans="5:5">
      <c r="E4319" t="e">
        <f t="shared" si="69"/>
        <v>#N/A</v>
      </c>
    </row>
    <row r="4320" spans="5:5">
      <c r="E4320" t="e">
        <f t="shared" si="69"/>
        <v>#N/A</v>
      </c>
    </row>
    <row r="4321" spans="5:5">
      <c r="E4321" t="e">
        <f t="shared" si="69"/>
        <v>#N/A</v>
      </c>
    </row>
    <row r="4322" spans="5:5">
      <c r="E4322" t="e">
        <f t="shared" si="69"/>
        <v>#N/A</v>
      </c>
    </row>
    <row r="4323" spans="5:5">
      <c r="E4323" t="e">
        <f t="shared" si="69"/>
        <v>#N/A</v>
      </c>
    </row>
    <row r="4324" spans="5:5">
      <c r="E4324" t="e">
        <f t="shared" si="69"/>
        <v>#N/A</v>
      </c>
    </row>
    <row r="4325" spans="5:5">
      <c r="E4325" t="e">
        <f t="shared" si="69"/>
        <v>#N/A</v>
      </c>
    </row>
    <row r="4326" spans="5:5">
      <c r="E4326" t="e">
        <f t="shared" si="69"/>
        <v>#N/A</v>
      </c>
    </row>
    <row r="4327" spans="5:5">
      <c r="E4327" t="e">
        <f t="shared" si="69"/>
        <v>#N/A</v>
      </c>
    </row>
    <row r="4328" spans="5:5">
      <c r="E4328" t="e">
        <f t="shared" si="69"/>
        <v>#N/A</v>
      </c>
    </row>
    <row r="4329" spans="5:5">
      <c r="E4329" t="e">
        <f t="shared" si="69"/>
        <v>#N/A</v>
      </c>
    </row>
    <row r="4330" spans="5:5">
      <c r="E4330" t="e">
        <f t="shared" si="69"/>
        <v>#N/A</v>
      </c>
    </row>
    <row r="4331" spans="5:5">
      <c r="E4331" t="e">
        <f t="shared" si="69"/>
        <v>#N/A</v>
      </c>
    </row>
    <row r="4332" spans="5:5">
      <c r="E4332" t="e">
        <f t="shared" si="69"/>
        <v>#N/A</v>
      </c>
    </row>
    <row r="4333" spans="5:5">
      <c r="E4333" t="e">
        <f t="shared" si="69"/>
        <v>#N/A</v>
      </c>
    </row>
    <row r="4334" spans="5:5">
      <c r="E4334" t="e">
        <f t="shared" si="69"/>
        <v>#N/A</v>
      </c>
    </row>
    <row r="4335" spans="5:5">
      <c r="E4335" t="e">
        <f t="shared" si="69"/>
        <v>#N/A</v>
      </c>
    </row>
    <row r="4336" spans="5:5">
      <c r="E4336" t="e">
        <f t="shared" si="69"/>
        <v>#N/A</v>
      </c>
    </row>
    <row r="4337" spans="5:5">
      <c r="E4337" t="e">
        <f t="shared" si="69"/>
        <v>#N/A</v>
      </c>
    </row>
    <row r="4338" spans="5:5">
      <c r="E4338" t="e">
        <f t="shared" si="69"/>
        <v>#N/A</v>
      </c>
    </row>
    <row r="4339" spans="5:5">
      <c r="E4339" t="e">
        <f t="shared" si="69"/>
        <v>#N/A</v>
      </c>
    </row>
    <row r="4340" spans="5:5">
      <c r="E4340" t="e">
        <f t="shared" si="69"/>
        <v>#N/A</v>
      </c>
    </row>
    <row r="4341" spans="5:5">
      <c r="E4341" t="e">
        <f t="shared" si="69"/>
        <v>#N/A</v>
      </c>
    </row>
    <row r="4342" spans="5:5">
      <c r="E4342" t="e">
        <f t="shared" si="69"/>
        <v>#N/A</v>
      </c>
    </row>
    <row r="4343" spans="5:5">
      <c r="E4343" t="e">
        <f t="shared" si="69"/>
        <v>#N/A</v>
      </c>
    </row>
    <row r="4344" spans="5:5">
      <c r="E4344" t="e">
        <f t="shared" si="69"/>
        <v>#N/A</v>
      </c>
    </row>
    <row r="4345" spans="5:5">
      <c r="E4345" t="e">
        <f t="shared" si="69"/>
        <v>#N/A</v>
      </c>
    </row>
    <row r="4346" spans="5:5">
      <c r="E4346" t="e">
        <f t="shared" si="69"/>
        <v>#N/A</v>
      </c>
    </row>
    <row r="4347" spans="5:5">
      <c r="E4347" t="e">
        <f t="shared" si="69"/>
        <v>#N/A</v>
      </c>
    </row>
    <row r="4348" spans="5:5">
      <c r="E4348" t="e">
        <f t="shared" si="69"/>
        <v>#N/A</v>
      </c>
    </row>
    <row r="4349" spans="5:5">
      <c r="E4349" t="e">
        <f t="shared" si="69"/>
        <v>#N/A</v>
      </c>
    </row>
    <row r="4350" spans="5:5">
      <c r="E4350" t="e">
        <f t="shared" si="69"/>
        <v>#N/A</v>
      </c>
    </row>
    <row r="4351" spans="5:5">
      <c r="E4351" t="e">
        <f t="shared" si="69"/>
        <v>#N/A</v>
      </c>
    </row>
    <row r="4352" spans="5:5">
      <c r="E4352" t="e">
        <f t="shared" si="69"/>
        <v>#N/A</v>
      </c>
    </row>
    <row r="4353" spans="5:5">
      <c r="E4353" t="e">
        <f t="shared" si="69"/>
        <v>#N/A</v>
      </c>
    </row>
    <row r="4354" spans="5:5">
      <c r="E4354" t="e">
        <f t="shared" si="69"/>
        <v>#N/A</v>
      </c>
    </row>
    <row r="4355" spans="5:5">
      <c r="E4355" t="e">
        <f t="shared" si="69"/>
        <v>#N/A</v>
      </c>
    </row>
    <row r="4356" spans="5:5">
      <c r="E4356" t="e">
        <f t="shared" si="69"/>
        <v>#N/A</v>
      </c>
    </row>
    <row r="4357" spans="5:5">
      <c r="E4357" t="e">
        <f t="shared" si="69"/>
        <v>#N/A</v>
      </c>
    </row>
    <row r="4358" spans="5:5">
      <c r="E4358" t="e">
        <f t="shared" si="69"/>
        <v>#N/A</v>
      </c>
    </row>
    <row r="4359" spans="5:5">
      <c r="E4359" t="e">
        <f t="shared" si="69"/>
        <v>#N/A</v>
      </c>
    </row>
    <row r="4360" spans="5:5">
      <c r="E4360" t="e">
        <f t="shared" si="69"/>
        <v>#N/A</v>
      </c>
    </row>
    <row r="4361" spans="5:5">
      <c r="E4361" t="e">
        <f t="shared" si="69"/>
        <v>#N/A</v>
      </c>
    </row>
    <row r="4362" spans="5:5">
      <c r="E4362" t="e">
        <f t="shared" si="69"/>
        <v>#N/A</v>
      </c>
    </row>
    <row r="4363" spans="5:5">
      <c r="E4363" t="e">
        <f t="shared" si="69"/>
        <v>#N/A</v>
      </c>
    </row>
    <row r="4364" spans="5:5">
      <c r="E4364" t="e">
        <f t="shared" si="69"/>
        <v>#N/A</v>
      </c>
    </row>
    <row r="4365" spans="5:5">
      <c r="E4365" t="e">
        <f t="shared" ref="E4365:E4428" si="70">VLOOKUP(B4365,$Q$13:$R$61,2,FALSE)</f>
        <v>#N/A</v>
      </c>
    </row>
    <row r="4366" spans="5:5">
      <c r="E4366" t="e">
        <f t="shared" si="70"/>
        <v>#N/A</v>
      </c>
    </row>
    <row r="4367" spans="5:5">
      <c r="E4367" t="e">
        <f t="shared" si="70"/>
        <v>#N/A</v>
      </c>
    </row>
    <row r="4368" spans="5:5">
      <c r="E4368" t="e">
        <f t="shared" si="70"/>
        <v>#N/A</v>
      </c>
    </row>
    <row r="4369" spans="5:5">
      <c r="E4369" t="e">
        <f t="shared" si="70"/>
        <v>#N/A</v>
      </c>
    </row>
    <row r="4370" spans="5:5">
      <c r="E4370" t="e">
        <f t="shared" si="70"/>
        <v>#N/A</v>
      </c>
    </row>
    <row r="4371" spans="5:5">
      <c r="E4371" t="e">
        <f t="shared" si="70"/>
        <v>#N/A</v>
      </c>
    </row>
    <row r="4372" spans="5:5">
      <c r="E4372" t="e">
        <f t="shared" si="70"/>
        <v>#N/A</v>
      </c>
    </row>
    <row r="4373" spans="5:5">
      <c r="E4373" t="e">
        <f t="shared" si="70"/>
        <v>#N/A</v>
      </c>
    </row>
    <row r="4374" spans="5:5">
      <c r="E4374" t="e">
        <f t="shared" si="70"/>
        <v>#N/A</v>
      </c>
    </row>
    <row r="4375" spans="5:5">
      <c r="E4375" t="e">
        <f t="shared" si="70"/>
        <v>#N/A</v>
      </c>
    </row>
    <row r="4376" spans="5:5">
      <c r="E4376" t="e">
        <f t="shared" si="70"/>
        <v>#N/A</v>
      </c>
    </row>
    <row r="4377" spans="5:5">
      <c r="E4377" t="e">
        <f t="shared" si="70"/>
        <v>#N/A</v>
      </c>
    </row>
    <row r="4378" spans="5:5">
      <c r="E4378" t="e">
        <f t="shared" si="70"/>
        <v>#N/A</v>
      </c>
    </row>
    <row r="4379" spans="5:5">
      <c r="E4379" t="e">
        <f t="shared" si="70"/>
        <v>#N/A</v>
      </c>
    </row>
    <row r="4380" spans="5:5">
      <c r="E4380" t="e">
        <f t="shared" si="70"/>
        <v>#N/A</v>
      </c>
    </row>
    <row r="4381" spans="5:5">
      <c r="E4381" t="e">
        <f t="shared" si="70"/>
        <v>#N/A</v>
      </c>
    </row>
    <row r="4382" spans="5:5">
      <c r="E4382" t="e">
        <f t="shared" si="70"/>
        <v>#N/A</v>
      </c>
    </row>
    <row r="4383" spans="5:5">
      <c r="E4383" t="e">
        <f t="shared" si="70"/>
        <v>#N/A</v>
      </c>
    </row>
    <row r="4384" spans="5:5">
      <c r="E4384" t="e">
        <f t="shared" si="70"/>
        <v>#N/A</v>
      </c>
    </row>
    <row r="4385" spans="5:5">
      <c r="E4385" t="e">
        <f t="shared" si="70"/>
        <v>#N/A</v>
      </c>
    </row>
    <row r="4386" spans="5:5">
      <c r="E4386" t="e">
        <f t="shared" si="70"/>
        <v>#N/A</v>
      </c>
    </row>
    <row r="4387" spans="5:5">
      <c r="E4387" t="e">
        <f t="shared" si="70"/>
        <v>#N/A</v>
      </c>
    </row>
    <row r="4388" spans="5:5">
      <c r="E4388" t="e">
        <f t="shared" si="70"/>
        <v>#N/A</v>
      </c>
    </row>
    <row r="4389" spans="5:5">
      <c r="E4389" t="e">
        <f t="shared" si="70"/>
        <v>#N/A</v>
      </c>
    </row>
    <row r="4390" spans="5:5">
      <c r="E4390" t="e">
        <f t="shared" si="70"/>
        <v>#N/A</v>
      </c>
    </row>
    <row r="4391" spans="5:5">
      <c r="E4391" t="e">
        <f t="shared" si="70"/>
        <v>#N/A</v>
      </c>
    </row>
    <row r="4392" spans="5:5">
      <c r="E4392" t="e">
        <f t="shared" si="70"/>
        <v>#N/A</v>
      </c>
    </row>
    <row r="4393" spans="5:5">
      <c r="E4393" t="e">
        <f t="shared" si="70"/>
        <v>#N/A</v>
      </c>
    </row>
    <row r="4394" spans="5:5">
      <c r="E4394" t="e">
        <f t="shared" si="70"/>
        <v>#N/A</v>
      </c>
    </row>
    <row r="4395" spans="5:5">
      <c r="E4395" t="e">
        <f t="shared" si="70"/>
        <v>#N/A</v>
      </c>
    </row>
    <row r="4396" spans="5:5">
      <c r="E4396" t="e">
        <f t="shared" si="70"/>
        <v>#N/A</v>
      </c>
    </row>
    <row r="4397" spans="5:5">
      <c r="E4397" t="e">
        <f t="shared" si="70"/>
        <v>#N/A</v>
      </c>
    </row>
    <row r="4398" spans="5:5">
      <c r="E4398" t="e">
        <f t="shared" si="70"/>
        <v>#N/A</v>
      </c>
    </row>
    <row r="4399" spans="5:5">
      <c r="E4399" t="e">
        <f t="shared" si="70"/>
        <v>#N/A</v>
      </c>
    </row>
    <row r="4400" spans="5:5">
      <c r="E4400" t="e">
        <f t="shared" si="70"/>
        <v>#N/A</v>
      </c>
    </row>
    <row r="4401" spans="5:5">
      <c r="E4401" t="e">
        <f t="shared" si="70"/>
        <v>#N/A</v>
      </c>
    </row>
    <row r="4402" spans="5:5">
      <c r="E4402" t="e">
        <f t="shared" si="70"/>
        <v>#N/A</v>
      </c>
    </row>
    <row r="4403" spans="5:5">
      <c r="E4403" t="e">
        <f t="shared" si="70"/>
        <v>#N/A</v>
      </c>
    </row>
    <row r="4404" spans="5:5">
      <c r="E4404" t="e">
        <f t="shared" si="70"/>
        <v>#N/A</v>
      </c>
    </row>
    <row r="4405" spans="5:5">
      <c r="E4405" t="e">
        <f t="shared" si="70"/>
        <v>#N/A</v>
      </c>
    </row>
    <row r="4406" spans="5:5">
      <c r="E4406" t="e">
        <f t="shared" si="70"/>
        <v>#N/A</v>
      </c>
    </row>
    <row r="4407" spans="5:5">
      <c r="E4407" t="e">
        <f t="shared" si="70"/>
        <v>#N/A</v>
      </c>
    </row>
    <row r="4408" spans="5:5">
      <c r="E4408" t="e">
        <f t="shared" si="70"/>
        <v>#N/A</v>
      </c>
    </row>
    <row r="4409" spans="5:5">
      <c r="E4409" t="e">
        <f t="shared" si="70"/>
        <v>#N/A</v>
      </c>
    </row>
    <row r="4410" spans="5:5">
      <c r="E4410" t="e">
        <f t="shared" si="70"/>
        <v>#N/A</v>
      </c>
    </row>
    <row r="4411" spans="5:5">
      <c r="E4411" t="e">
        <f t="shared" si="70"/>
        <v>#N/A</v>
      </c>
    </row>
    <row r="4412" spans="5:5">
      <c r="E4412" t="e">
        <f t="shared" si="70"/>
        <v>#N/A</v>
      </c>
    </row>
    <row r="4413" spans="5:5">
      <c r="E4413" t="e">
        <f t="shared" si="70"/>
        <v>#N/A</v>
      </c>
    </row>
    <row r="4414" spans="5:5">
      <c r="E4414" t="e">
        <f t="shared" si="70"/>
        <v>#N/A</v>
      </c>
    </row>
    <row r="4415" spans="5:5">
      <c r="E4415" t="e">
        <f t="shared" si="70"/>
        <v>#N/A</v>
      </c>
    </row>
    <row r="4416" spans="5:5">
      <c r="E4416" t="e">
        <f t="shared" si="70"/>
        <v>#N/A</v>
      </c>
    </row>
    <row r="4417" spans="5:5">
      <c r="E4417" t="e">
        <f t="shared" si="70"/>
        <v>#N/A</v>
      </c>
    </row>
    <row r="4418" spans="5:5">
      <c r="E4418" t="e">
        <f t="shared" si="70"/>
        <v>#N/A</v>
      </c>
    </row>
    <row r="4419" spans="5:5">
      <c r="E4419" t="e">
        <f t="shared" si="70"/>
        <v>#N/A</v>
      </c>
    </row>
    <row r="4420" spans="5:5">
      <c r="E4420" t="e">
        <f t="shared" si="70"/>
        <v>#N/A</v>
      </c>
    </row>
    <row r="4421" spans="5:5">
      <c r="E4421" t="e">
        <f t="shared" si="70"/>
        <v>#N/A</v>
      </c>
    </row>
    <row r="4422" spans="5:5">
      <c r="E4422" t="e">
        <f t="shared" si="70"/>
        <v>#N/A</v>
      </c>
    </row>
    <row r="4423" spans="5:5">
      <c r="E4423" t="e">
        <f t="shared" si="70"/>
        <v>#N/A</v>
      </c>
    </row>
    <row r="4424" spans="5:5">
      <c r="E4424" t="e">
        <f t="shared" si="70"/>
        <v>#N/A</v>
      </c>
    </row>
    <row r="4425" spans="5:5">
      <c r="E4425" t="e">
        <f t="shared" si="70"/>
        <v>#N/A</v>
      </c>
    </row>
    <row r="4426" spans="5:5">
      <c r="E4426" t="e">
        <f t="shared" si="70"/>
        <v>#N/A</v>
      </c>
    </row>
    <row r="4427" spans="5:5">
      <c r="E4427" t="e">
        <f t="shared" si="70"/>
        <v>#N/A</v>
      </c>
    </row>
    <row r="4428" spans="5:5">
      <c r="E4428" t="e">
        <f t="shared" si="70"/>
        <v>#N/A</v>
      </c>
    </row>
    <row r="4429" spans="5:5">
      <c r="E4429" t="e">
        <f t="shared" ref="E4429:E4492" si="71">VLOOKUP(B4429,$Q$13:$R$61,2,FALSE)</f>
        <v>#N/A</v>
      </c>
    </row>
    <row r="4430" spans="5:5">
      <c r="E4430" t="e">
        <f t="shared" si="71"/>
        <v>#N/A</v>
      </c>
    </row>
    <row r="4431" spans="5:5">
      <c r="E4431" t="e">
        <f t="shared" si="71"/>
        <v>#N/A</v>
      </c>
    </row>
    <row r="4432" spans="5:5">
      <c r="E4432" t="e">
        <f t="shared" si="71"/>
        <v>#N/A</v>
      </c>
    </row>
    <row r="4433" spans="5:5">
      <c r="E4433" t="e">
        <f t="shared" si="71"/>
        <v>#N/A</v>
      </c>
    </row>
    <row r="4434" spans="5:5">
      <c r="E4434" t="e">
        <f t="shared" si="71"/>
        <v>#N/A</v>
      </c>
    </row>
    <row r="4435" spans="5:5">
      <c r="E4435" t="e">
        <f t="shared" si="71"/>
        <v>#N/A</v>
      </c>
    </row>
    <row r="4436" spans="5:5">
      <c r="E4436" t="e">
        <f t="shared" si="71"/>
        <v>#N/A</v>
      </c>
    </row>
    <row r="4437" spans="5:5">
      <c r="E4437" t="e">
        <f t="shared" si="71"/>
        <v>#N/A</v>
      </c>
    </row>
    <row r="4438" spans="5:5">
      <c r="E4438" t="e">
        <f t="shared" si="71"/>
        <v>#N/A</v>
      </c>
    </row>
    <row r="4439" spans="5:5">
      <c r="E4439" t="e">
        <f t="shared" si="71"/>
        <v>#N/A</v>
      </c>
    </row>
    <row r="4440" spans="5:5">
      <c r="E4440" t="e">
        <f t="shared" si="71"/>
        <v>#N/A</v>
      </c>
    </row>
    <row r="4441" spans="5:5">
      <c r="E4441" t="e">
        <f t="shared" si="71"/>
        <v>#N/A</v>
      </c>
    </row>
    <row r="4442" spans="5:5">
      <c r="E4442" t="e">
        <f t="shared" si="71"/>
        <v>#N/A</v>
      </c>
    </row>
    <row r="4443" spans="5:5">
      <c r="E4443" t="e">
        <f t="shared" si="71"/>
        <v>#N/A</v>
      </c>
    </row>
    <row r="4444" spans="5:5">
      <c r="E4444" t="e">
        <f t="shared" si="71"/>
        <v>#N/A</v>
      </c>
    </row>
    <row r="4445" spans="5:5">
      <c r="E4445" t="e">
        <f t="shared" si="71"/>
        <v>#N/A</v>
      </c>
    </row>
    <row r="4446" spans="5:5">
      <c r="E4446" t="e">
        <f t="shared" si="71"/>
        <v>#N/A</v>
      </c>
    </row>
    <row r="4447" spans="5:5">
      <c r="E4447" t="e">
        <f t="shared" si="71"/>
        <v>#N/A</v>
      </c>
    </row>
    <row r="4448" spans="5:5">
      <c r="E4448" t="e">
        <f t="shared" si="71"/>
        <v>#N/A</v>
      </c>
    </row>
    <row r="4449" spans="5:5">
      <c r="E4449" t="e">
        <f t="shared" si="71"/>
        <v>#N/A</v>
      </c>
    </row>
    <row r="4450" spans="5:5">
      <c r="E4450" t="e">
        <f t="shared" si="71"/>
        <v>#N/A</v>
      </c>
    </row>
    <row r="4451" spans="5:5">
      <c r="E4451" t="e">
        <f t="shared" si="71"/>
        <v>#N/A</v>
      </c>
    </row>
    <row r="4452" spans="5:5">
      <c r="E4452" t="e">
        <f t="shared" si="71"/>
        <v>#N/A</v>
      </c>
    </row>
    <row r="4453" spans="5:5">
      <c r="E4453" t="e">
        <f t="shared" si="71"/>
        <v>#N/A</v>
      </c>
    </row>
    <row r="4454" spans="5:5">
      <c r="E4454" t="e">
        <f t="shared" si="71"/>
        <v>#N/A</v>
      </c>
    </row>
    <row r="4455" spans="5:5">
      <c r="E4455" t="e">
        <f t="shared" si="71"/>
        <v>#N/A</v>
      </c>
    </row>
    <row r="4456" spans="5:5">
      <c r="E4456" t="e">
        <f t="shared" si="71"/>
        <v>#N/A</v>
      </c>
    </row>
    <row r="4457" spans="5:5">
      <c r="E4457" t="e">
        <f t="shared" si="71"/>
        <v>#N/A</v>
      </c>
    </row>
    <row r="4458" spans="5:5">
      <c r="E4458" t="e">
        <f t="shared" si="71"/>
        <v>#N/A</v>
      </c>
    </row>
    <row r="4459" spans="5:5">
      <c r="E4459" t="e">
        <f t="shared" si="71"/>
        <v>#N/A</v>
      </c>
    </row>
    <row r="4460" spans="5:5">
      <c r="E4460" t="e">
        <f t="shared" si="71"/>
        <v>#N/A</v>
      </c>
    </row>
    <row r="4461" spans="5:5">
      <c r="E4461" t="e">
        <f t="shared" si="71"/>
        <v>#N/A</v>
      </c>
    </row>
    <row r="4462" spans="5:5">
      <c r="E4462" t="e">
        <f t="shared" si="71"/>
        <v>#N/A</v>
      </c>
    </row>
    <row r="4463" spans="5:5">
      <c r="E4463" t="e">
        <f t="shared" si="71"/>
        <v>#N/A</v>
      </c>
    </row>
    <row r="4464" spans="5:5">
      <c r="E4464" t="e">
        <f t="shared" si="71"/>
        <v>#N/A</v>
      </c>
    </row>
    <row r="4465" spans="5:5">
      <c r="E4465" t="e">
        <f t="shared" si="71"/>
        <v>#N/A</v>
      </c>
    </row>
    <row r="4466" spans="5:5">
      <c r="E4466" t="e">
        <f t="shared" si="71"/>
        <v>#N/A</v>
      </c>
    </row>
    <row r="4467" spans="5:5">
      <c r="E4467" t="e">
        <f t="shared" si="71"/>
        <v>#N/A</v>
      </c>
    </row>
    <row r="4468" spans="5:5">
      <c r="E4468" t="e">
        <f t="shared" si="71"/>
        <v>#N/A</v>
      </c>
    </row>
    <row r="4469" spans="5:5">
      <c r="E4469" t="e">
        <f t="shared" si="71"/>
        <v>#N/A</v>
      </c>
    </row>
    <row r="4470" spans="5:5">
      <c r="E4470" t="e">
        <f t="shared" si="71"/>
        <v>#N/A</v>
      </c>
    </row>
    <row r="4471" spans="5:5">
      <c r="E4471" t="e">
        <f t="shared" si="71"/>
        <v>#N/A</v>
      </c>
    </row>
    <row r="4472" spans="5:5">
      <c r="E4472" t="e">
        <f t="shared" si="71"/>
        <v>#N/A</v>
      </c>
    </row>
    <row r="4473" spans="5:5">
      <c r="E4473" t="e">
        <f t="shared" si="71"/>
        <v>#N/A</v>
      </c>
    </row>
    <row r="4474" spans="5:5">
      <c r="E4474" t="e">
        <f t="shared" si="71"/>
        <v>#N/A</v>
      </c>
    </row>
    <row r="4475" spans="5:5">
      <c r="E4475" t="e">
        <f t="shared" si="71"/>
        <v>#N/A</v>
      </c>
    </row>
    <row r="4476" spans="5:5">
      <c r="E4476" t="e">
        <f t="shared" si="71"/>
        <v>#N/A</v>
      </c>
    </row>
    <row r="4477" spans="5:5">
      <c r="E4477" t="e">
        <f t="shared" si="71"/>
        <v>#N/A</v>
      </c>
    </row>
    <row r="4478" spans="5:5">
      <c r="E4478" t="e">
        <f t="shared" si="71"/>
        <v>#N/A</v>
      </c>
    </row>
    <row r="4479" spans="5:5">
      <c r="E4479" t="e">
        <f t="shared" si="71"/>
        <v>#N/A</v>
      </c>
    </row>
    <row r="4480" spans="5:5">
      <c r="E4480" t="e">
        <f t="shared" si="71"/>
        <v>#N/A</v>
      </c>
    </row>
    <row r="4481" spans="5:5">
      <c r="E4481" t="e">
        <f t="shared" si="71"/>
        <v>#N/A</v>
      </c>
    </row>
    <row r="4482" spans="5:5">
      <c r="E4482" t="e">
        <f t="shared" si="71"/>
        <v>#N/A</v>
      </c>
    </row>
    <row r="4483" spans="5:5">
      <c r="E4483" t="e">
        <f t="shared" si="71"/>
        <v>#N/A</v>
      </c>
    </row>
    <row r="4484" spans="5:5">
      <c r="E4484" t="e">
        <f t="shared" si="71"/>
        <v>#N/A</v>
      </c>
    </row>
    <row r="4485" spans="5:5">
      <c r="E4485" t="e">
        <f t="shared" si="71"/>
        <v>#N/A</v>
      </c>
    </row>
    <row r="4486" spans="5:5">
      <c r="E4486" t="e">
        <f t="shared" si="71"/>
        <v>#N/A</v>
      </c>
    </row>
    <row r="4487" spans="5:5">
      <c r="E4487" t="e">
        <f t="shared" si="71"/>
        <v>#N/A</v>
      </c>
    </row>
    <row r="4488" spans="5:5">
      <c r="E4488" t="e">
        <f t="shared" si="71"/>
        <v>#N/A</v>
      </c>
    </row>
    <row r="4489" spans="5:5">
      <c r="E4489" t="e">
        <f t="shared" si="71"/>
        <v>#N/A</v>
      </c>
    </row>
    <row r="4490" spans="5:5">
      <c r="E4490" t="e">
        <f t="shared" si="71"/>
        <v>#N/A</v>
      </c>
    </row>
    <row r="4491" spans="5:5">
      <c r="E4491" t="e">
        <f t="shared" si="71"/>
        <v>#N/A</v>
      </c>
    </row>
    <row r="4492" spans="5:5">
      <c r="E4492" t="e">
        <f t="shared" si="71"/>
        <v>#N/A</v>
      </c>
    </row>
    <row r="4493" spans="5:5">
      <c r="E4493" t="e">
        <f t="shared" ref="E4493:E4556" si="72">VLOOKUP(B4493,$Q$13:$R$61,2,FALSE)</f>
        <v>#N/A</v>
      </c>
    </row>
    <row r="4494" spans="5:5">
      <c r="E4494" t="e">
        <f t="shared" si="72"/>
        <v>#N/A</v>
      </c>
    </row>
    <row r="4495" spans="5:5">
      <c r="E4495" t="e">
        <f t="shared" si="72"/>
        <v>#N/A</v>
      </c>
    </row>
    <row r="4496" spans="5:5">
      <c r="E4496" t="e">
        <f t="shared" si="72"/>
        <v>#N/A</v>
      </c>
    </row>
    <row r="4497" spans="5:5">
      <c r="E4497" t="e">
        <f t="shared" si="72"/>
        <v>#N/A</v>
      </c>
    </row>
    <row r="4498" spans="5:5">
      <c r="E4498" t="e">
        <f t="shared" si="72"/>
        <v>#N/A</v>
      </c>
    </row>
    <row r="4499" spans="5:5">
      <c r="E4499" t="e">
        <f t="shared" si="72"/>
        <v>#N/A</v>
      </c>
    </row>
    <row r="4500" spans="5:5">
      <c r="E4500" t="e">
        <f t="shared" si="72"/>
        <v>#N/A</v>
      </c>
    </row>
    <row r="4501" spans="5:5">
      <c r="E4501" t="e">
        <f t="shared" si="72"/>
        <v>#N/A</v>
      </c>
    </row>
    <row r="4502" spans="5:5">
      <c r="E4502" t="e">
        <f t="shared" si="72"/>
        <v>#N/A</v>
      </c>
    </row>
    <row r="4503" spans="5:5">
      <c r="E4503" t="e">
        <f t="shared" si="72"/>
        <v>#N/A</v>
      </c>
    </row>
    <row r="4504" spans="5:5">
      <c r="E4504" t="e">
        <f t="shared" si="72"/>
        <v>#N/A</v>
      </c>
    </row>
    <row r="4505" spans="5:5">
      <c r="E4505" t="e">
        <f t="shared" si="72"/>
        <v>#N/A</v>
      </c>
    </row>
    <row r="4506" spans="5:5">
      <c r="E4506" t="e">
        <f t="shared" si="72"/>
        <v>#N/A</v>
      </c>
    </row>
    <row r="4507" spans="5:5">
      <c r="E4507" t="e">
        <f t="shared" si="72"/>
        <v>#N/A</v>
      </c>
    </row>
    <row r="4508" spans="5:5">
      <c r="E4508" t="e">
        <f t="shared" si="72"/>
        <v>#N/A</v>
      </c>
    </row>
    <row r="4509" spans="5:5">
      <c r="E4509" t="e">
        <f t="shared" si="72"/>
        <v>#N/A</v>
      </c>
    </row>
    <row r="4510" spans="5:5">
      <c r="E4510" t="e">
        <f t="shared" si="72"/>
        <v>#N/A</v>
      </c>
    </row>
    <row r="4511" spans="5:5">
      <c r="E4511" t="e">
        <f t="shared" si="72"/>
        <v>#N/A</v>
      </c>
    </row>
    <row r="4512" spans="5:5">
      <c r="E4512" t="e">
        <f t="shared" si="72"/>
        <v>#N/A</v>
      </c>
    </row>
    <row r="4513" spans="5:5">
      <c r="E4513" t="e">
        <f t="shared" si="72"/>
        <v>#N/A</v>
      </c>
    </row>
    <row r="4514" spans="5:5">
      <c r="E4514" t="e">
        <f t="shared" si="72"/>
        <v>#N/A</v>
      </c>
    </row>
    <row r="4515" spans="5:5">
      <c r="E4515" t="e">
        <f t="shared" si="72"/>
        <v>#N/A</v>
      </c>
    </row>
    <row r="4516" spans="5:5">
      <c r="E4516" t="e">
        <f t="shared" si="72"/>
        <v>#N/A</v>
      </c>
    </row>
    <row r="4517" spans="5:5">
      <c r="E4517" t="e">
        <f t="shared" si="72"/>
        <v>#N/A</v>
      </c>
    </row>
    <row r="4518" spans="5:5">
      <c r="E4518" t="e">
        <f t="shared" si="72"/>
        <v>#N/A</v>
      </c>
    </row>
    <row r="4519" spans="5:5">
      <c r="E4519" t="e">
        <f t="shared" si="72"/>
        <v>#N/A</v>
      </c>
    </row>
    <row r="4520" spans="5:5">
      <c r="E4520" t="e">
        <f t="shared" si="72"/>
        <v>#N/A</v>
      </c>
    </row>
    <row r="4521" spans="5:5">
      <c r="E4521" t="e">
        <f t="shared" si="72"/>
        <v>#N/A</v>
      </c>
    </row>
    <row r="4522" spans="5:5">
      <c r="E4522" t="e">
        <f t="shared" si="72"/>
        <v>#N/A</v>
      </c>
    </row>
    <row r="4523" spans="5:5">
      <c r="E4523" t="e">
        <f t="shared" si="72"/>
        <v>#N/A</v>
      </c>
    </row>
    <row r="4524" spans="5:5">
      <c r="E4524" t="e">
        <f t="shared" si="72"/>
        <v>#N/A</v>
      </c>
    </row>
    <row r="4525" spans="5:5">
      <c r="E4525" t="e">
        <f t="shared" si="72"/>
        <v>#N/A</v>
      </c>
    </row>
    <row r="4526" spans="5:5">
      <c r="E4526" t="e">
        <f t="shared" si="72"/>
        <v>#N/A</v>
      </c>
    </row>
    <row r="4527" spans="5:5">
      <c r="E4527" t="e">
        <f t="shared" si="72"/>
        <v>#N/A</v>
      </c>
    </row>
    <row r="4528" spans="5:5">
      <c r="E4528" t="e">
        <f t="shared" si="72"/>
        <v>#N/A</v>
      </c>
    </row>
    <row r="4529" spans="5:5">
      <c r="E4529" t="e">
        <f t="shared" si="72"/>
        <v>#N/A</v>
      </c>
    </row>
    <row r="4530" spans="5:5">
      <c r="E4530" t="e">
        <f t="shared" si="72"/>
        <v>#N/A</v>
      </c>
    </row>
    <row r="4531" spans="5:5">
      <c r="E4531" t="e">
        <f t="shared" si="72"/>
        <v>#N/A</v>
      </c>
    </row>
    <row r="4532" spans="5:5">
      <c r="E4532" t="e">
        <f t="shared" si="72"/>
        <v>#N/A</v>
      </c>
    </row>
    <row r="4533" spans="5:5">
      <c r="E4533" t="e">
        <f t="shared" si="72"/>
        <v>#N/A</v>
      </c>
    </row>
    <row r="4534" spans="5:5">
      <c r="E4534" t="e">
        <f t="shared" si="72"/>
        <v>#N/A</v>
      </c>
    </row>
    <row r="4535" spans="5:5">
      <c r="E4535" t="e">
        <f t="shared" si="72"/>
        <v>#N/A</v>
      </c>
    </row>
    <row r="4536" spans="5:5">
      <c r="E4536" t="e">
        <f t="shared" si="72"/>
        <v>#N/A</v>
      </c>
    </row>
    <row r="4537" spans="5:5">
      <c r="E4537" t="e">
        <f t="shared" si="72"/>
        <v>#N/A</v>
      </c>
    </row>
    <row r="4538" spans="5:5">
      <c r="E4538" t="e">
        <f t="shared" si="72"/>
        <v>#N/A</v>
      </c>
    </row>
    <row r="4539" spans="5:5">
      <c r="E4539" t="e">
        <f t="shared" si="72"/>
        <v>#N/A</v>
      </c>
    </row>
    <row r="4540" spans="5:5">
      <c r="E4540" t="e">
        <f t="shared" si="72"/>
        <v>#N/A</v>
      </c>
    </row>
    <row r="4541" spans="5:5">
      <c r="E4541" t="e">
        <f t="shared" si="72"/>
        <v>#N/A</v>
      </c>
    </row>
    <row r="4542" spans="5:5">
      <c r="E4542" t="e">
        <f t="shared" si="72"/>
        <v>#N/A</v>
      </c>
    </row>
    <row r="4543" spans="5:5">
      <c r="E4543" t="e">
        <f t="shared" si="72"/>
        <v>#N/A</v>
      </c>
    </row>
    <row r="4544" spans="5:5">
      <c r="E4544" t="e">
        <f t="shared" si="72"/>
        <v>#N/A</v>
      </c>
    </row>
    <row r="4545" spans="5:5">
      <c r="E4545" t="e">
        <f t="shared" si="72"/>
        <v>#N/A</v>
      </c>
    </row>
    <row r="4546" spans="5:5">
      <c r="E4546" t="e">
        <f t="shared" si="72"/>
        <v>#N/A</v>
      </c>
    </row>
    <row r="4547" spans="5:5">
      <c r="E4547" t="e">
        <f t="shared" si="72"/>
        <v>#N/A</v>
      </c>
    </row>
    <row r="4548" spans="5:5">
      <c r="E4548" t="e">
        <f t="shared" si="72"/>
        <v>#N/A</v>
      </c>
    </row>
    <row r="4549" spans="5:5">
      <c r="E4549" t="e">
        <f t="shared" si="72"/>
        <v>#N/A</v>
      </c>
    </row>
    <row r="4550" spans="5:5">
      <c r="E4550" t="e">
        <f t="shared" si="72"/>
        <v>#N/A</v>
      </c>
    </row>
    <row r="4551" spans="5:5">
      <c r="E4551" t="e">
        <f t="shared" si="72"/>
        <v>#N/A</v>
      </c>
    </row>
    <row r="4552" spans="5:5">
      <c r="E4552" t="e">
        <f t="shared" si="72"/>
        <v>#N/A</v>
      </c>
    </row>
    <row r="4553" spans="5:5">
      <c r="E4553" t="e">
        <f t="shared" si="72"/>
        <v>#N/A</v>
      </c>
    </row>
    <row r="4554" spans="5:5">
      <c r="E4554" t="e">
        <f t="shared" si="72"/>
        <v>#N/A</v>
      </c>
    </row>
    <row r="4555" spans="5:5">
      <c r="E4555" t="e">
        <f t="shared" si="72"/>
        <v>#N/A</v>
      </c>
    </row>
    <row r="4556" spans="5:5">
      <c r="E4556" t="e">
        <f t="shared" si="72"/>
        <v>#N/A</v>
      </c>
    </row>
    <row r="4557" spans="5:5">
      <c r="E4557" t="e">
        <f t="shared" ref="E4557:E4620" si="73">VLOOKUP(B4557,$Q$13:$R$61,2,FALSE)</f>
        <v>#N/A</v>
      </c>
    </row>
    <row r="4558" spans="5:5">
      <c r="E4558" t="e">
        <f t="shared" si="73"/>
        <v>#N/A</v>
      </c>
    </row>
    <row r="4559" spans="5:5">
      <c r="E4559" t="e">
        <f t="shared" si="73"/>
        <v>#N/A</v>
      </c>
    </row>
    <row r="4560" spans="5:5">
      <c r="E4560" t="e">
        <f t="shared" si="73"/>
        <v>#N/A</v>
      </c>
    </row>
    <row r="4561" spans="5:5">
      <c r="E4561" t="e">
        <f t="shared" si="73"/>
        <v>#N/A</v>
      </c>
    </row>
    <row r="4562" spans="5:5">
      <c r="E4562" t="e">
        <f t="shared" si="73"/>
        <v>#N/A</v>
      </c>
    </row>
    <row r="4563" spans="5:5">
      <c r="E4563" t="e">
        <f t="shared" si="73"/>
        <v>#N/A</v>
      </c>
    </row>
    <row r="4564" spans="5:5">
      <c r="E4564" t="e">
        <f t="shared" si="73"/>
        <v>#N/A</v>
      </c>
    </row>
    <row r="4565" spans="5:5">
      <c r="E4565" t="e">
        <f t="shared" si="73"/>
        <v>#N/A</v>
      </c>
    </row>
    <row r="4566" spans="5:5">
      <c r="E4566" t="e">
        <f t="shared" si="73"/>
        <v>#N/A</v>
      </c>
    </row>
    <row r="4567" spans="5:5">
      <c r="E4567" t="e">
        <f t="shared" si="73"/>
        <v>#N/A</v>
      </c>
    </row>
    <row r="4568" spans="5:5">
      <c r="E4568" t="e">
        <f t="shared" si="73"/>
        <v>#N/A</v>
      </c>
    </row>
    <row r="4569" spans="5:5">
      <c r="E4569" t="e">
        <f t="shared" si="73"/>
        <v>#N/A</v>
      </c>
    </row>
    <row r="4570" spans="5:5">
      <c r="E4570" t="e">
        <f t="shared" si="73"/>
        <v>#N/A</v>
      </c>
    </row>
    <row r="4571" spans="5:5">
      <c r="E4571" t="e">
        <f t="shared" si="73"/>
        <v>#N/A</v>
      </c>
    </row>
    <row r="4572" spans="5:5">
      <c r="E4572" t="e">
        <f t="shared" si="73"/>
        <v>#N/A</v>
      </c>
    </row>
    <row r="4573" spans="5:5">
      <c r="E4573" t="e">
        <f t="shared" si="73"/>
        <v>#N/A</v>
      </c>
    </row>
    <row r="4574" spans="5:5">
      <c r="E4574" t="e">
        <f t="shared" si="73"/>
        <v>#N/A</v>
      </c>
    </row>
    <row r="4575" spans="5:5">
      <c r="E4575" t="e">
        <f t="shared" si="73"/>
        <v>#N/A</v>
      </c>
    </row>
    <row r="4576" spans="5:5">
      <c r="E4576" t="e">
        <f t="shared" si="73"/>
        <v>#N/A</v>
      </c>
    </row>
    <row r="4577" spans="5:5">
      <c r="E4577" t="e">
        <f t="shared" si="73"/>
        <v>#N/A</v>
      </c>
    </row>
    <row r="4578" spans="5:5">
      <c r="E4578" t="e">
        <f t="shared" si="73"/>
        <v>#N/A</v>
      </c>
    </row>
    <row r="4579" spans="5:5">
      <c r="E4579" t="e">
        <f t="shared" si="73"/>
        <v>#N/A</v>
      </c>
    </row>
    <row r="4580" spans="5:5">
      <c r="E4580" t="e">
        <f t="shared" si="73"/>
        <v>#N/A</v>
      </c>
    </row>
    <row r="4581" spans="5:5">
      <c r="E4581" t="e">
        <f t="shared" si="73"/>
        <v>#N/A</v>
      </c>
    </row>
    <row r="4582" spans="5:5">
      <c r="E4582" t="e">
        <f t="shared" si="73"/>
        <v>#N/A</v>
      </c>
    </row>
    <row r="4583" spans="5:5">
      <c r="E4583" t="e">
        <f t="shared" si="73"/>
        <v>#N/A</v>
      </c>
    </row>
    <row r="4584" spans="5:5">
      <c r="E4584" t="e">
        <f t="shared" si="73"/>
        <v>#N/A</v>
      </c>
    </row>
    <row r="4585" spans="5:5">
      <c r="E4585" t="e">
        <f t="shared" si="73"/>
        <v>#N/A</v>
      </c>
    </row>
    <row r="4586" spans="5:5">
      <c r="E4586" t="e">
        <f t="shared" si="73"/>
        <v>#N/A</v>
      </c>
    </row>
    <row r="4587" spans="5:5">
      <c r="E4587" t="e">
        <f t="shared" si="73"/>
        <v>#N/A</v>
      </c>
    </row>
    <row r="4588" spans="5:5">
      <c r="E4588" t="e">
        <f t="shared" si="73"/>
        <v>#N/A</v>
      </c>
    </row>
    <row r="4589" spans="5:5">
      <c r="E4589" t="e">
        <f t="shared" si="73"/>
        <v>#N/A</v>
      </c>
    </row>
    <row r="4590" spans="5:5">
      <c r="E4590" t="e">
        <f t="shared" si="73"/>
        <v>#N/A</v>
      </c>
    </row>
    <row r="4591" spans="5:5">
      <c r="E4591" t="e">
        <f t="shared" si="73"/>
        <v>#N/A</v>
      </c>
    </row>
    <row r="4592" spans="5:5">
      <c r="E4592" t="e">
        <f t="shared" si="73"/>
        <v>#N/A</v>
      </c>
    </row>
    <row r="4593" spans="5:5">
      <c r="E4593" t="e">
        <f t="shared" si="73"/>
        <v>#N/A</v>
      </c>
    </row>
    <row r="4594" spans="5:5">
      <c r="E4594" t="e">
        <f t="shared" si="73"/>
        <v>#N/A</v>
      </c>
    </row>
    <row r="4595" spans="5:5">
      <c r="E4595" t="e">
        <f t="shared" si="73"/>
        <v>#N/A</v>
      </c>
    </row>
    <row r="4596" spans="5:5">
      <c r="E4596" t="e">
        <f t="shared" si="73"/>
        <v>#N/A</v>
      </c>
    </row>
    <row r="4597" spans="5:5">
      <c r="E4597" t="e">
        <f t="shared" si="73"/>
        <v>#N/A</v>
      </c>
    </row>
    <row r="4598" spans="5:5">
      <c r="E4598" t="e">
        <f t="shared" si="73"/>
        <v>#N/A</v>
      </c>
    </row>
    <row r="4599" spans="5:5">
      <c r="E4599" t="e">
        <f t="shared" si="73"/>
        <v>#N/A</v>
      </c>
    </row>
    <row r="4600" spans="5:5">
      <c r="E4600" t="e">
        <f t="shared" si="73"/>
        <v>#N/A</v>
      </c>
    </row>
    <row r="4601" spans="5:5">
      <c r="E4601" t="e">
        <f t="shared" si="73"/>
        <v>#N/A</v>
      </c>
    </row>
    <row r="4602" spans="5:5">
      <c r="E4602" t="e">
        <f t="shared" si="73"/>
        <v>#N/A</v>
      </c>
    </row>
    <row r="4603" spans="5:5">
      <c r="E4603" t="e">
        <f t="shared" si="73"/>
        <v>#N/A</v>
      </c>
    </row>
    <row r="4604" spans="5:5">
      <c r="E4604" t="e">
        <f t="shared" si="73"/>
        <v>#N/A</v>
      </c>
    </row>
    <row r="4605" spans="5:5">
      <c r="E4605" t="e">
        <f t="shared" si="73"/>
        <v>#N/A</v>
      </c>
    </row>
    <row r="4606" spans="5:5">
      <c r="E4606" t="e">
        <f t="shared" si="73"/>
        <v>#N/A</v>
      </c>
    </row>
    <row r="4607" spans="5:5">
      <c r="E4607" t="e">
        <f t="shared" si="73"/>
        <v>#N/A</v>
      </c>
    </row>
    <row r="4608" spans="5:5">
      <c r="E4608" t="e">
        <f t="shared" si="73"/>
        <v>#N/A</v>
      </c>
    </row>
    <row r="4609" spans="5:5">
      <c r="E4609" t="e">
        <f t="shared" si="73"/>
        <v>#N/A</v>
      </c>
    </row>
    <row r="4610" spans="5:5">
      <c r="E4610" t="e">
        <f t="shared" si="73"/>
        <v>#N/A</v>
      </c>
    </row>
    <row r="4611" spans="5:5">
      <c r="E4611" t="e">
        <f t="shared" si="73"/>
        <v>#N/A</v>
      </c>
    </row>
    <row r="4612" spans="5:5">
      <c r="E4612" t="e">
        <f t="shared" si="73"/>
        <v>#N/A</v>
      </c>
    </row>
    <row r="4613" spans="5:5">
      <c r="E4613" t="e">
        <f t="shared" si="73"/>
        <v>#N/A</v>
      </c>
    </row>
    <row r="4614" spans="5:5">
      <c r="E4614" t="e">
        <f t="shared" si="73"/>
        <v>#N/A</v>
      </c>
    </row>
    <row r="4615" spans="5:5">
      <c r="E4615" t="e">
        <f t="shared" si="73"/>
        <v>#N/A</v>
      </c>
    </row>
    <row r="4616" spans="5:5">
      <c r="E4616" t="e">
        <f t="shared" si="73"/>
        <v>#N/A</v>
      </c>
    </row>
    <row r="4617" spans="5:5">
      <c r="E4617" t="e">
        <f t="shared" si="73"/>
        <v>#N/A</v>
      </c>
    </row>
    <row r="4618" spans="5:5">
      <c r="E4618" t="e">
        <f t="shared" si="73"/>
        <v>#N/A</v>
      </c>
    </row>
    <row r="4619" spans="5:5">
      <c r="E4619" t="e">
        <f t="shared" si="73"/>
        <v>#N/A</v>
      </c>
    </row>
    <row r="4620" spans="5:5">
      <c r="E4620" t="e">
        <f t="shared" si="73"/>
        <v>#N/A</v>
      </c>
    </row>
    <row r="4621" spans="5:5">
      <c r="E4621" t="e">
        <f t="shared" ref="E4621:E4684" si="74">VLOOKUP(B4621,$Q$13:$R$61,2,FALSE)</f>
        <v>#N/A</v>
      </c>
    </row>
    <row r="4622" spans="5:5">
      <c r="E4622" t="e">
        <f t="shared" si="74"/>
        <v>#N/A</v>
      </c>
    </row>
    <row r="4623" spans="5:5">
      <c r="E4623" t="e">
        <f t="shared" si="74"/>
        <v>#N/A</v>
      </c>
    </row>
    <row r="4624" spans="5:5">
      <c r="E4624" t="e">
        <f t="shared" si="74"/>
        <v>#N/A</v>
      </c>
    </row>
    <row r="4625" spans="5:5">
      <c r="E4625" t="e">
        <f t="shared" si="74"/>
        <v>#N/A</v>
      </c>
    </row>
    <row r="4626" spans="5:5">
      <c r="E4626" t="e">
        <f t="shared" si="74"/>
        <v>#N/A</v>
      </c>
    </row>
    <row r="4627" spans="5:5">
      <c r="E4627" t="e">
        <f t="shared" si="74"/>
        <v>#N/A</v>
      </c>
    </row>
    <row r="4628" spans="5:5">
      <c r="E4628" t="e">
        <f t="shared" si="74"/>
        <v>#N/A</v>
      </c>
    </row>
    <row r="4629" spans="5:5">
      <c r="E4629" t="e">
        <f t="shared" si="74"/>
        <v>#N/A</v>
      </c>
    </row>
    <row r="4630" spans="5:5">
      <c r="E4630" t="e">
        <f t="shared" si="74"/>
        <v>#N/A</v>
      </c>
    </row>
    <row r="4631" spans="5:5">
      <c r="E4631" t="e">
        <f t="shared" si="74"/>
        <v>#N/A</v>
      </c>
    </row>
    <row r="4632" spans="5:5">
      <c r="E4632" t="e">
        <f t="shared" si="74"/>
        <v>#N/A</v>
      </c>
    </row>
    <row r="4633" spans="5:5">
      <c r="E4633" t="e">
        <f t="shared" si="74"/>
        <v>#N/A</v>
      </c>
    </row>
    <row r="4634" spans="5:5">
      <c r="E4634" t="e">
        <f t="shared" si="74"/>
        <v>#N/A</v>
      </c>
    </row>
    <row r="4635" spans="5:5">
      <c r="E4635" t="e">
        <f t="shared" si="74"/>
        <v>#N/A</v>
      </c>
    </row>
    <row r="4636" spans="5:5">
      <c r="E4636" t="e">
        <f t="shared" si="74"/>
        <v>#N/A</v>
      </c>
    </row>
    <row r="4637" spans="5:5">
      <c r="E4637" t="e">
        <f t="shared" si="74"/>
        <v>#N/A</v>
      </c>
    </row>
    <row r="4638" spans="5:5">
      <c r="E4638" t="e">
        <f t="shared" si="74"/>
        <v>#N/A</v>
      </c>
    </row>
    <row r="4639" spans="5:5">
      <c r="E4639" t="e">
        <f t="shared" si="74"/>
        <v>#N/A</v>
      </c>
    </row>
    <row r="4640" spans="5:5">
      <c r="E4640" t="e">
        <f t="shared" si="74"/>
        <v>#N/A</v>
      </c>
    </row>
    <row r="4641" spans="5:5">
      <c r="E4641" t="e">
        <f t="shared" si="74"/>
        <v>#N/A</v>
      </c>
    </row>
    <row r="4642" spans="5:5">
      <c r="E4642" t="e">
        <f t="shared" si="74"/>
        <v>#N/A</v>
      </c>
    </row>
    <row r="4643" spans="5:5">
      <c r="E4643" t="e">
        <f t="shared" si="74"/>
        <v>#N/A</v>
      </c>
    </row>
    <row r="4644" spans="5:5">
      <c r="E4644" t="e">
        <f t="shared" si="74"/>
        <v>#N/A</v>
      </c>
    </row>
    <row r="4645" spans="5:5">
      <c r="E4645" t="e">
        <f t="shared" si="74"/>
        <v>#N/A</v>
      </c>
    </row>
    <row r="4646" spans="5:5">
      <c r="E4646" t="e">
        <f t="shared" si="74"/>
        <v>#N/A</v>
      </c>
    </row>
    <row r="4647" spans="5:5">
      <c r="E4647" t="e">
        <f t="shared" si="74"/>
        <v>#N/A</v>
      </c>
    </row>
    <row r="4648" spans="5:5">
      <c r="E4648" t="e">
        <f t="shared" si="74"/>
        <v>#N/A</v>
      </c>
    </row>
    <row r="4649" spans="5:5">
      <c r="E4649" t="e">
        <f t="shared" si="74"/>
        <v>#N/A</v>
      </c>
    </row>
    <row r="4650" spans="5:5">
      <c r="E4650" t="e">
        <f t="shared" si="74"/>
        <v>#N/A</v>
      </c>
    </row>
    <row r="4651" spans="5:5">
      <c r="E4651" t="e">
        <f t="shared" si="74"/>
        <v>#N/A</v>
      </c>
    </row>
    <row r="4652" spans="5:5">
      <c r="E4652" t="e">
        <f t="shared" si="74"/>
        <v>#N/A</v>
      </c>
    </row>
    <row r="4653" spans="5:5">
      <c r="E4653" t="e">
        <f t="shared" si="74"/>
        <v>#N/A</v>
      </c>
    </row>
    <row r="4654" spans="5:5">
      <c r="E4654" t="e">
        <f t="shared" si="74"/>
        <v>#N/A</v>
      </c>
    </row>
    <row r="4655" spans="5:5">
      <c r="E4655" t="e">
        <f t="shared" si="74"/>
        <v>#N/A</v>
      </c>
    </row>
    <row r="4656" spans="5:5">
      <c r="E4656" t="e">
        <f t="shared" si="74"/>
        <v>#N/A</v>
      </c>
    </row>
    <row r="4657" spans="5:5">
      <c r="E4657" t="e">
        <f t="shared" si="74"/>
        <v>#N/A</v>
      </c>
    </row>
    <row r="4658" spans="5:5">
      <c r="E4658" t="e">
        <f t="shared" si="74"/>
        <v>#N/A</v>
      </c>
    </row>
    <row r="4659" spans="5:5">
      <c r="E4659" t="e">
        <f t="shared" si="74"/>
        <v>#N/A</v>
      </c>
    </row>
    <row r="4660" spans="5:5">
      <c r="E4660" t="e">
        <f t="shared" si="74"/>
        <v>#N/A</v>
      </c>
    </row>
    <row r="4661" spans="5:5">
      <c r="E4661" t="e">
        <f t="shared" si="74"/>
        <v>#N/A</v>
      </c>
    </row>
    <row r="4662" spans="5:5">
      <c r="E4662" t="e">
        <f t="shared" si="74"/>
        <v>#N/A</v>
      </c>
    </row>
    <row r="4663" spans="5:5">
      <c r="E4663" t="e">
        <f t="shared" si="74"/>
        <v>#N/A</v>
      </c>
    </row>
    <row r="4664" spans="5:5">
      <c r="E4664" t="e">
        <f t="shared" si="74"/>
        <v>#N/A</v>
      </c>
    </row>
    <row r="4665" spans="5:5">
      <c r="E4665" t="e">
        <f t="shared" si="74"/>
        <v>#N/A</v>
      </c>
    </row>
    <row r="4666" spans="5:5">
      <c r="E4666" t="e">
        <f t="shared" si="74"/>
        <v>#N/A</v>
      </c>
    </row>
    <row r="4667" spans="5:5">
      <c r="E4667" t="e">
        <f t="shared" si="74"/>
        <v>#N/A</v>
      </c>
    </row>
    <row r="4668" spans="5:5">
      <c r="E4668" t="e">
        <f t="shared" si="74"/>
        <v>#N/A</v>
      </c>
    </row>
    <row r="4669" spans="5:5">
      <c r="E4669" t="e">
        <f t="shared" si="74"/>
        <v>#N/A</v>
      </c>
    </row>
    <row r="4670" spans="5:5">
      <c r="E4670" t="e">
        <f t="shared" si="74"/>
        <v>#N/A</v>
      </c>
    </row>
    <row r="4671" spans="5:5">
      <c r="E4671" t="e">
        <f t="shared" si="74"/>
        <v>#N/A</v>
      </c>
    </row>
    <row r="4672" spans="5:5">
      <c r="E4672" t="e">
        <f t="shared" si="74"/>
        <v>#N/A</v>
      </c>
    </row>
    <row r="4673" spans="5:5">
      <c r="E4673" t="e">
        <f t="shared" si="74"/>
        <v>#N/A</v>
      </c>
    </row>
    <row r="4674" spans="5:5">
      <c r="E4674" t="e">
        <f t="shared" si="74"/>
        <v>#N/A</v>
      </c>
    </row>
    <row r="4675" spans="5:5">
      <c r="E4675" t="e">
        <f t="shared" si="74"/>
        <v>#N/A</v>
      </c>
    </row>
    <row r="4676" spans="5:5">
      <c r="E4676" t="e">
        <f t="shared" si="74"/>
        <v>#N/A</v>
      </c>
    </row>
    <row r="4677" spans="5:5">
      <c r="E4677" t="e">
        <f t="shared" si="74"/>
        <v>#N/A</v>
      </c>
    </row>
    <row r="4678" spans="5:5">
      <c r="E4678" t="e">
        <f t="shared" si="74"/>
        <v>#N/A</v>
      </c>
    </row>
    <row r="4679" spans="5:5">
      <c r="E4679" t="e">
        <f t="shared" si="74"/>
        <v>#N/A</v>
      </c>
    </row>
    <row r="4680" spans="5:5">
      <c r="E4680" t="e">
        <f t="shared" si="74"/>
        <v>#N/A</v>
      </c>
    </row>
    <row r="4681" spans="5:5">
      <c r="E4681" t="e">
        <f t="shared" si="74"/>
        <v>#N/A</v>
      </c>
    </row>
    <row r="4682" spans="5:5">
      <c r="E4682" t="e">
        <f t="shared" si="74"/>
        <v>#N/A</v>
      </c>
    </row>
    <row r="4683" spans="5:5">
      <c r="E4683" t="e">
        <f t="shared" si="74"/>
        <v>#N/A</v>
      </c>
    </row>
    <row r="4684" spans="5:5">
      <c r="E4684" t="e">
        <f t="shared" si="74"/>
        <v>#N/A</v>
      </c>
    </row>
    <row r="4685" spans="5:5">
      <c r="E4685" t="e">
        <f t="shared" ref="E4685:E4748" si="75">VLOOKUP(B4685,$Q$13:$R$61,2,FALSE)</f>
        <v>#N/A</v>
      </c>
    </row>
    <row r="4686" spans="5:5">
      <c r="E4686" t="e">
        <f t="shared" si="75"/>
        <v>#N/A</v>
      </c>
    </row>
    <row r="4687" spans="5:5">
      <c r="E4687" t="e">
        <f t="shared" si="75"/>
        <v>#N/A</v>
      </c>
    </row>
    <row r="4688" spans="5:5">
      <c r="E4688" t="e">
        <f t="shared" si="75"/>
        <v>#N/A</v>
      </c>
    </row>
    <row r="4689" spans="5:5">
      <c r="E4689" t="e">
        <f t="shared" si="75"/>
        <v>#N/A</v>
      </c>
    </row>
    <row r="4690" spans="5:5">
      <c r="E4690" t="e">
        <f t="shared" si="75"/>
        <v>#N/A</v>
      </c>
    </row>
    <row r="4691" spans="5:5">
      <c r="E4691" t="e">
        <f t="shared" si="75"/>
        <v>#N/A</v>
      </c>
    </row>
    <row r="4692" spans="5:5">
      <c r="E4692" t="e">
        <f t="shared" si="75"/>
        <v>#N/A</v>
      </c>
    </row>
    <row r="4693" spans="5:5">
      <c r="E4693" t="e">
        <f t="shared" si="75"/>
        <v>#N/A</v>
      </c>
    </row>
    <row r="4694" spans="5:5">
      <c r="E4694" t="e">
        <f t="shared" si="75"/>
        <v>#N/A</v>
      </c>
    </row>
    <row r="4695" spans="5:5">
      <c r="E4695" t="e">
        <f t="shared" si="75"/>
        <v>#N/A</v>
      </c>
    </row>
    <row r="4696" spans="5:5">
      <c r="E4696" t="e">
        <f t="shared" si="75"/>
        <v>#N/A</v>
      </c>
    </row>
    <row r="4697" spans="5:5">
      <c r="E4697" t="e">
        <f t="shared" si="75"/>
        <v>#N/A</v>
      </c>
    </row>
    <row r="4698" spans="5:5">
      <c r="E4698" t="e">
        <f t="shared" si="75"/>
        <v>#N/A</v>
      </c>
    </row>
    <row r="4699" spans="5:5">
      <c r="E4699" t="e">
        <f t="shared" si="75"/>
        <v>#N/A</v>
      </c>
    </row>
    <row r="4700" spans="5:5">
      <c r="E4700" t="e">
        <f t="shared" si="75"/>
        <v>#N/A</v>
      </c>
    </row>
    <row r="4701" spans="5:5">
      <c r="E4701" t="e">
        <f t="shared" si="75"/>
        <v>#N/A</v>
      </c>
    </row>
    <row r="4702" spans="5:5">
      <c r="E4702" t="e">
        <f t="shared" si="75"/>
        <v>#N/A</v>
      </c>
    </row>
    <row r="4703" spans="5:5">
      <c r="E4703" t="e">
        <f t="shared" si="75"/>
        <v>#N/A</v>
      </c>
    </row>
    <row r="4704" spans="5:5">
      <c r="E4704" t="e">
        <f t="shared" si="75"/>
        <v>#N/A</v>
      </c>
    </row>
    <row r="4705" spans="5:5">
      <c r="E4705" t="e">
        <f t="shared" si="75"/>
        <v>#N/A</v>
      </c>
    </row>
    <row r="4706" spans="5:5">
      <c r="E4706" t="e">
        <f t="shared" si="75"/>
        <v>#N/A</v>
      </c>
    </row>
    <row r="4707" spans="5:5">
      <c r="E4707" t="e">
        <f t="shared" si="75"/>
        <v>#N/A</v>
      </c>
    </row>
    <row r="4708" spans="5:5">
      <c r="E4708" t="e">
        <f t="shared" si="75"/>
        <v>#N/A</v>
      </c>
    </row>
    <row r="4709" spans="5:5">
      <c r="E4709" t="e">
        <f t="shared" si="75"/>
        <v>#N/A</v>
      </c>
    </row>
    <row r="4710" spans="5:5">
      <c r="E4710" t="e">
        <f t="shared" si="75"/>
        <v>#N/A</v>
      </c>
    </row>
    <row r="4711" spans="5:5">
      <c r="E4711" t="e">
        <f t="shared" si="75"/>
        <v>#N/A</v>
      </c>
    </row>
    <row r="4712" spans="5:5">
      <c r="E4712" t="e">
        <f t="shared" si="75"/>
        <v>#N/A</v>
      </c>
    </row>
    <row r="4713" spans="5:5">
      <c r="E4713" t="e">
        <f t="shared" si="75"/>
        <v>#N/A</v>
      </c>
    </row>
    <row r="4714" spans="5:5">
      <c r="E4714" t="e">
        <f t="shared" si="75"/>
        <v>#N/A</v>
      </c>
    </row>
    <row r="4715" spans="5:5">
      <c r="E4715" t="e">
        <f t="shared" si="75"/>
        <v>#N/A</v>
      </c>
    </row>
    <row r="4716" spans="5:5">
      <c r="E4716" t="e">
        <f t="shared" si="75"/>
        <v>#N/A</v>
      </c>
    </row>
    <row r="4717" spans="5:5">
      <c r="E4717" t="e">
        <f t="shared" si="75"/>
        <v>#N/A</v>
      </c>
    </row>
    <row r="4718" spans="5:5">
      <c r="E4718" t="e">
        <f t="shared" si="75"/>
        <v>#N/A</v>
      </c>
    </row>
    <row r="4719" spans="5:5">
      <c r="E4719" t="e">
        <f t="shared" si="75"/>
        <v>#N/A</v>
      </c>
    </row>
    <row r="4720" spans="5:5">
      <c r="E4720" t="e">
        <f t="shared" si="75"/>
        <v>#N/A</v>
      </c>
    </row>
    <row r="4721" spans="5:5">
      <c r="E4721" t="e">
        <f t="shared" si="75"/>
        <v>#N/A</v>
      </c>
    </row>
    <row r="4722" spans="5:5">
      <c r="E4722" t="e">
        <f t="shared" si="75"/>
        <v>#N/A</v>
      </c>
    </row>
    <row r="4723" spans="5:5">
      <c r="E4723" t="e">
        <f t="shared" si="75"/>
        <v>#N/A</v>
      </c>
    </row>
    <row r="4724" spans="5:5">
      <c r="E4724" t="e">
        <f t="shared" si="75"/>
        <v>#N/A</v>
      </c>
    </row>
    <row r="4725" spans="5:5">
      <c r="E4725" t="e">
        <f t="shared" si="75"/>
        <v>#N/A</v>
      </c>
    </row>
    <row r="4726" spans="5:5">
      <c r="E4726" t="e">
        <f t="shared" si="75"/>
        <v>#N/A</v>
      </c>
    </row>
    <row r="4727" spans="5:5">
      <c r="E4727" t="e">
        <f t="shared" si="75"/>
        <v>#N/A</v>
      </c>
    </row>
    <row r="4728" spans="5:5">
      <c r="E4728" t="e">
        <f t="shared" si="75"/>
        <v>#N/A</v>
      </c>
    </row>
    <row r="4729" spans="5:5">
      <c r="E4729" t="e">
        <f t="shared" si="75"/>
        <v>#N/A</v>
      </c>
    </row>
    <row r="4730" spans="5:5">
      <c r="E4730" t="e">
        <f t="shared" si="75"/>
        <v>#N/A</v>
      </c>
    </row>
    <row r="4731" spans="5:5">
      <c r="E4731" t="e">
        <f t="shared" si="75"/>
        <v>#N/A</v>
      </c>
    </row>
    <row r="4732" spans="5:5">
      <c r="E4732" t="e">
        <f t="shared" si="75"/>
        <v>#N/A</v>
      </c>
    </row>
    <row r="4733" spans="5:5">
      <c r="E4733" t="e">
        <f t="shared" si="75"/>
        <v>#N/A</v>
      </c>
    </row>
    <row r="4734" spans="5:5">
      <c r="E4734" t="e">
        <f t="shared" si="75"/>
        <v>#N/A</v>
      </c>
    </row>
    <row r="4735" spans="5:5">
      <c r="E4735" t="e">
        <f t="shared" si="75"/>
        <v>#N/A</v>
      </c>
    </row>
    <row r="4736" spans="5:5">
      <c r="E4736" t="e">
        <f t="shared" si="75"/>
        <v>#N/A</v>
      </c>
    </row>
    <row r="4737" spans="5:5">
      <c r="E4737" t="e">
        <f t="shared" si="75"/>
        <v>#N/A</v>
      </c>
    </row>
    <row r="4738" spans="5:5">
      <c r="E4738" t="e">
        <f t="shared" si="75"/>
        <v>#N/A</v>
      </c>
    </row>
    <row r="4739" spans="5:5">
      <c r="E4739" t="e">
        <f t="shared" si="75"/>
        <v>#N/A</v>
      </c>
    </row>
    <row r="4740" spans="5:5">
      <c r="E4740" t="e">
        <f t="shared" si="75"/>
        <v>#N/A</v>
      </c>
    </row>
    <row r="4741" spans="5:5">
      <c r="E4741" t="e">
        <f t="shared" si="75"/>
        <v>#N/A</v>
      </c>
    </row>
    <row r="4742" spans="5:5">
      <c r="E4742" t="e">
        <f t="shared" si="75"/>
        <v>#N/A</v>
      </c>
    </row>
    <row r="4743" spans="5:5">
      <c r="E4743" t="e">
        <f t="shared" si="75"/>
        <v>#N/A</v>
      </c>
    </row>
    <row r="4744" spans="5:5">
      <c r="E4744" t="e">
        <f t="shared" si="75"/>
        <v>#N/A</v>
      </c>
    </row>
    <row r="4745" spans="5:5">
      <c r="E4745" t="e">
        <f t="shared" si="75"/>
        <v>#N/A</v>
      </c>
    </row>
    <row r="4746" spans="5:5">
      <c r="E4746" t="e">
        <f t="shared" si="75"/>
        <v>#N/A</v>
      </c>
    </row>
    <row r="4747" spans="5:5">
      <c r="E4747" t="e">
        <f t="shared" si="75"/>
        <v>#N/A</v>
      </c>
    </row>
    <row r="4748" spans="5:5">
      <c r="E4748" t="e">
        <f t="shared" si="75"/>
        <v>#N/A</v>
      </c>
    </row>
    <row r="4749" spans="5:5">
      <c r="E4749" t="e">
        <f t="shared" ref="E4749:E4812" si="76">VLOOKUP(B4749,$Q$13:$R$61,2,FALSE)</f>
        <v>#N/A</v>
      </c>
    </row>
    <row r="4750" spans="5:5">
      <c r="E4750" t="e">
        <f t="shared" si="76"/>
        <v>#N/A</v>
      </c>
    </row>
    <row r="4751" spans="5:5">
      <c r="E4751" t="e">
        <f t="shared" si="76"/>
        <v>#N/A</v>
      </c>
    </row>
    <row r="4752" spans="5:5">
      <c r="E4752" t="e">
        <f t="shared" si="76"/>
        <v>#N/A</v>
      </c>
    </row>
    <row r="4753" spans="5:5">
      <c r="E4753" t="e">
        <f t="shared" si="76"/>
        <v>#N/A</v>
      </c>
    </row>
    <row r="4754" spans="5:5">
      <c r="E4754" t="e">
        <f t="shared" si="76"/>
        <v>#N/A</v>
      </c>
    </row>
    <row r="4755" spans="5:5">
      <c r="E4755" t="e">
        <f t="shared" si="76"/>
        <v>#N/A</v>
      </c>
    </row>
    <row r="4756" spans="5:5">
      <c r="E4756" t="e">
        <f t="shared" si="76"/>
        <v>#N/A</v>
      </c>
    </row>
    <row r="4757" spans="5:5">
      <c r="E4757" t="e">
        <f t="shared" si="76"/>
        <v>#N/A</v>
      </c>
    </row>
    <row r="4758" spans="5:5">
      <c r="E4758" t="e">
        <f t="shared" si="76"/>
        <v>#N/A</v>
      </c>
    </row>
    <row r="4759" spans="5:5">
      <c r="E4759" t="e">
        <f t="shared" si="76"/>
        <v>#N/A</v>
      </c>
    </row>
    <row r="4760" spans="5:5">
      <c r="E4760" t="e">
        <f t="shared" si="76"/>
        <v>#N/A</v>
      </c>
    </row>
    <row r="4761" spans="5:5">
      <c r="E4761" t="e">
        <f t="shared" si="76"/>
        <v>#N/A</v>
      </c>
    </row>
    <row r="4762" spans="5:5">
      <c r="E4762" t="e">
        <f t="shared" si="76"/>
        <v>#N/A</v>
      </c>
    </row>
    <row r="4763" spans="5:5">
      <c r="E4763" t="e">
        <f t="shared" si="76"/>
        <v>#N/A</v>
      </c>
    </row>
    <row r="4764" spans="5:5">
      <c r="E4764" t="e">
        <f t="shared" si="76"/>
        <v>#N/A</v>
      </c>
    </row>
    <row r="4765" spans="5:5">
      <c r="E4765" t="e">
        <f t="shared" si="76"/>
        <v>#N/A</v>
      </c>
    </row>
    <row r="4766" spans="5:5">
      <c r="E4766" t="e">
        <f t="shared" si="76"/>
        <v>#N/A</v>
      </c>
    </row>
    <row r="4767" spans="5:5">
      <c r="E4767" t="e">
        <f t="shared" si="76"/>
        <v>#N/A</v>
      </c>
    </row>
    <row r="4768" spans="5:5">
      <c r="E4768" t="e">
        <f t="shared" si="76"/>
        <v>#N/A</v>
      </c>
    </row>
    <row r="4769" spans="5:5">
      <c r="E4769" t="e">
        <f t="shared" si="76"/>
        <v>#N/A</v>
      </c>
    </row>
    <row r="4770" spans="5:5">
      <c r="E4770" t="e">
        <f t="shared" si="76"/>
        <v>#N/A</v>
      </c>
    </row>
    <row r="4771" spans="5:5">
      <c r="E4771" t="e">
        <f t="shared" si="76"/>
        <v>#N/A</v>
      </c>
    </row>
    <row r="4772" spans="5:5">
      <c r="E4772" t="e">
        <f t="shared" si="76"/>
        <v>#N/A</v>
      </c>
    </row>
    <row r="4773" spans="5:5">
      <c r="E4773" t="e">
        <f t="shared" si="76"/>
        <v>#N/A</v>
      </c>
    </row>
    <row r="4774" spans="5:5">
      <c r="E4774" t="e">
        <f t="shared" si="76"/>
        <v>#N/A</v>
      </c>
    </row>
    <row r="4775" spans="5:5">
      <c r="E4775" t="e">
        <f t="shared" si="76"/>
        <v>#N/A</v>
      </c>
    </row>
    <row r="4776" spans="5:5">
      <c r="E4776" t="e">
        <f t="shared" si="76"/>
        <v>#N/A</v>
      </c>
    </row>
    <row r="4777" spans="5:5">
      <c r="E4777" t="e">
        <f t="shared" si="76"/>
        <v>#N/A</v>
      </c>
    </row>
    <row r="4778" spans="5:5">
      <c r="E4778" t="e">
        <f t="shared" si="76"/>
        <v>#N/A</v>
      </c>
    </row>
    <row r="4779" spans="5:5">
      <c r="E4779" t="e">
        <f t="shared" si="76"/>
        <v>#N/A</v>
      </c>
    </row>
    <row r="4780" spans="5:5">
      <c r="E4780" t="e">
        <f t="shared" si="76"/>
        <v>#N/A</v>
      </c>
    </row>
    <row r="4781" spans="5:5">
      <c r="E4781" t="e">
        <f t="shared" si="76"/>
        <v>#N/A</v>
      </c>
    </row>
    <row r="4782" spans="5:5">
      <c r="E4782" t="e">
        <f t="shared" si="76"/>
        <v>#N/A</v>
      </c>
    </row>
    <row r="4783" spans="5:5">
      <c r="E4783" t="e">
        <f t="shared" si="76"/>
        <v>#N/A</v>
      </c>
    </row>
    <row r="4784" spans="5:5">
      <c r="E4784" t="e">
        <f t="shared" si="76"/>
        <v>#N/A</v>
      </c>
    </row>
    <row r="4785" spans="5:5">
      <c r="E4785" t="e">
        <f t="shared" si="76"/>
        <v>#N/A</v>
      </c>
    </row>
    <row r="4786" spans="5:5">
      <c r="E4786" t="e">
        <f t="shared" si="76"/>
        <v>#N/A</v>
      </c>
    </row>
    <row r="4787" spans="5:5">
      <c r="E4787" t="e">
        <f t="shared" si="76"/>
        <v>#N/A</v>
      </c>
    </row>
    <row r="4788" spans="5:5">
      <c r="E4788" t="e">
        <f t="shared" si="76"/>
        <v>#N/A</v>
      </c>
    </row>
    <row r="4789" spans="5:5">
      <c r="E4789" t="e">
        <f t="shared" si="76"/>
        <v>#N/A</v>
      </c>
    </row>
    <row r="4790" spans="5:5">
      <c r="E4790" t="e">
        <f t="shared" si="76"/>
        <v>#N/A</v>
      </c>
    </row>
    <row r="4791" spans="5:5">
      <c r="E4791" t="e">
        <f t="shared" si="76"/>
        <v>#N/A</v>
      </c>
    </row>
    <row r="4792" spans="5:5">
      <c r="E4792" t="e">
        <f t="shared" si="76"/>
        <v>#N/A</v>
      </c>
    </row>
    <row r="4793" spans="5:5">
      <c r="E4793" t="e">
        <f t="shared" si="76"/>
        <v>#N/A</v>
      </c>
    </row>
    <row r="4794" spans="5:5">
      <c r="E4794" t="e">
        <f t="shared" si="76"/>
        <v>#N/A</v>
      </c>
    </row>
    <row r="4795" spans="5:5">
      <c r="E4795" t="e">
        <f t="shared" si="76"/>
        <v>#N/A</v>
      </c>
    </row>
    <row r="4796" spans="5:5">
      <c r="E4796" t="e">
        <f t="shared" si="76"/>
        <v>#N/A</v>
      </c>
    </row>
    <row r="4797" spans="5:5">
      <c r="E4797" t="e">
        <f t="shared" si="76"/>
        <v>#N/A</v>
      </c>
    </row>
    <row r="4798" spans="5:5">
      <c r="E4798" t="e">
        <f t="shared" si="76"/>
        <v>#N/A</v>
      </c>
    </row>
    <row r="4799" spans="5:5">
      <c r="E4799" t="e">
        <f t="shared" si="76"/>
        <v>#N/A</v>
      </c>
    </row>
    <row r="4800" spans="5:5">
      <c r="E4800" t="e">
        <f t="shared" si="76"/>
        <v>#N/A</v>
      </c>
    </row>
    <row r="4801" spans="5:5">
      <c r="E4801" t="e">
        <f t="shared" si="76"/>
        <v>#N/A</v>
      </c>
    </row>
    <row r="4802" spans="5:5">
      <c r="E4802" t="e">
        <f t="shared" si="76"/>
        <v>#N/A</v>
      </c>
    </row>
    <row r="4803" spans="5:5">
      <c r="E4803" t="e">
        <f t="shared" si="76"/>
        <v>#N/A</v>
      </c>
    </row>
    <row r="4804" spans="5:5">
      <c r="E4804" t="e">
        <f t="shared" si="76"/>
        <v>#N/A</v>
      </c>
    </row>
    <row r="4805" spans="5:5">
      <c r="E4805" t="e">
        <f t="shared" si="76"/>
        <v>#N/A</v>
      </c>
    </row>
    <row r="4806" spans="5:5">
      <c r="E4806" t="e">
        <f t="shared" si="76"/>
        <v>#N/A</v>
      </c>
    </row>
    <row r="4807" spans="5:5">
      <c r="E4807" t="e">
        <f t="shared" si="76"/>
        <v>#N/A</v>
      </c>
    </row>
    <row r="4808" spans="5:5">
      <c r="E4808" t="e">
        <f t="shared" si="76"/>
        <v>#N/A</v>
      </c>
    </row>
    <row r="4809" spans="5:5">
      <c r="E4809" t="e">
        <f t="shared" si="76"/>
        <v>#N/A</v>
      </c>
    </row>
    <row r="4810" spans="5:5">
      <c r="E4810" t="e">
        <f t="shared" si="76"/>
        <v>#N/A</v>
      </c>
    </row>
    <row r="4811" spans="5:5">
      <c r="E4811" t="e">
        <f t="shared" si="76"/>
        <v>#N/A</v>
      </c>
    </row>
    <row r="4812" spans="5:5">
      <c r="E4812" t="e">
        <f t="shared" si="76"/>
        <v>#N/A</v>
      </c>
    </row>
    <row r="4813" spans="5:5">
      <c r="E4813" t="e">
        <f t="shared" ref="E4813:E4876" si="77">VLOOKUP(B4813,$Q$13:$R$61,2,FALSE)</f>
        <v>#N/A</v>
      </c>
    </row>
    <row r="4814" spans="5:5">
      <c r="E4814" t="e">
        <f t="shared" si="77"/>
        <v>#N/A</v>
      </c>
    </row>
    <row r="4815" spans="5:5">
      <c r="E4815" t="e">
        <f t="shared" si="77"/>
        <v>#N/A</v>
      </c>
    </row>
    <row r="4816" spans="5:5">
      <c r="E4816" t="e">
        <f t="shared" si="77"/>
        <v>#N/A</v>
      </c>
    </row>
    <row r="4817" spans="5:5">
      <c r="E4817" t="e">
        <f t="shared" si="77"/>
        <v>#N/A</v>
      </c>
    </row>
    <row r="4818" spans="5:5">
      <c r="E4818" t="e">
        <f t="shared" si="77"/>
        <v>#N/A</v>
      </c>
    </row>
    <row r="4819" spans="5:5">
      <c r="E4819" t="e">
        <f t="shared" si="77"/>
        <v>#N/A</v>
      </c>
    </row>
    <row r="4820" spans="5:5">
      <c r="E4820" t="e">
        <f t="shared" si="77"/>
        <v>#N/A</v>
      </c>
    </row>
    <row r="4821" spans="5:5">
      <c r="E4821" t="e">
        <f t="shared" si="77"/>
        <v>#N/A</v>
      </c>
    </row>
    <row r="4822" spans="5:5">
      <c r="E4822" t="e">
        <f t="shared" si="77"/>
        <v>#N/A</v>
      </c>
    </row>
    <row r="4823" spans="5:5">
      <c r="E4823" t="e">
        <f t="shared" si="77"/>
        <v>#N/A</v>
      </c>
    </row>
    <row r="4824" spans="5:5">
      <c r="E4824" t="e">
        <f t="shared" si="77"/>
        <v>#N/A</v>
      </c>
    </row>
    <row r="4825" spans="5:5">
      <c r="E4825" t="e">
        <f t="shared" si="77"/>
        <v>#N/A</v>
      </c>
    </row>
    <row r="4826" spans="5:5">
      <c r="E4826" t="e">
        <f t="shared" si="77"/>
        <v>#N/A</v>
      </c>
    </row>
    <row r="4827" spans="5:5">
      <c r="E4827" t="e">
        <f t="shared" si="77"/>
        <v>#N/A</v>
      </c>
    </row>
    <row r="4828" spans="5:5">
      <c r="E4828" t="e">
        <f t="shared" si="77"/>
        <v>#N/A</v>
      </c>
    </row>
    <row r="4829" spans="5:5">
      <c r="E4829" t="e">
        <f t="shared" si="77"/>
        <v>#N/A</v>
      </c>
    </row>
    <row r="4830" spans="5:5">
      <c r="E4830" t="e">
        <f t="shared" si="77"/>
        <v>#N/A</v>
      </c>
    </row>
    <row r="4831" spans="5:5">
      <c r="E4831" t="e">
        <f t="shared" si="77"/>
        <v>#N/A</v>
      </c>
    </row>
    <row r="4832" spans="5:5">
      <c r="E4832" t="e">
        <f t="shared" si="77"/>
        <v>#N/A</v>
      </c>
    </row>
    <row r="4833" spans="5:5">
      <c r="E4833" t="e">
        <f t="shared" si="77"/>
        <v>#N/A</v>
      </c>
    </row>
    <row r="4834" spans="5:5">
      <c r="E4834" t="e">
        <f t="shared" si="77"/>
        <v>#N/A</v>
      </c>
    </row>
    <row r="4835" spans="5:5">
      <c r="E4835" t="e">
        <f t="shared" si="77"/>
        <v>#N/A</v>
      </c>
    </row>
    <row r="4836" spans="5:5">
      <c r="E4836" t="e">
        <f t="shared" si="77"/>
        <v>#N/A</v>
      </c>
    </row>
    <row r="4837" spans="5:5">
      <c r="E4837" t="e">
        <f t="shared" si="77"/>
        <v>#N/A</v>
      </c>
    </row>
    <row r="4838" spans="5:5">
      <c r="E4838" t="e">
        <f t="shared" si="77"/>
        <v>#N/A</v>
      </c>
    </row>
    <row r="4839" spans="5:5">
      <c r="E4839" t="e">
        <f t="shared" si="77"/>
        <v>#N/A</v>
      </c>
    </row>
    <row r="4840" spans="5:5">
      <c r="E4840" t="e">
        <f t="shared" si="77"/>
        <v>#N/A</v>
      </c>
    </row>
    <row r="4841" spans="5:5">
      <c r="E4841" t="e">
        <f t="shared" si="77"/>
        <v>#N/A</v>
      </c>
    </row>
    <row r="4842" spans="5:5">
      <c r="E4842" t="e">
        <f t="shared" si="77"/>
        <v>#N/A</v>
      </c>
    </row>
    <row r="4843" spans="5:5">
      <c r="E4843" t="e">
        <f t="shared" si="77"/>
        <v>#N/A</v>
      </c>
    </row>
    <row r="4844" spans="5:5">
      <c r="E4844" t="e">
        <f t="shared" si="77"/>
        <v>#N/A</v>
      </c>
    </row>
    <row r="4845" spans="5:5">
      <c r="E4845" t="e">
        <f t="shared" si="77"/>
        <v>#N/A</v>
      </c>
    </row>
    <row r="4846" spans="5:5">
      <c r="E4846" t="e">
        <f t="shared" si="77"/>
        <v>#N/A</v>
      </c>
    </row>
    <row r="4847" spans="5:5">
      <c r="E4847" t="e">
        <f t="shared" si="77"/>
        <v>#N/A</v>
      </c>
    </row>
    <row r="4848" spans="5:5">
      <c r="E4848" t="e">
        <f t="shared" si="77"/>
        <v>#N/A</v>
      </c>
    </row>
    <row r="4849" spans="5:5">
      <c r="E4849" t="e">
        <f t="shared" si="77"/>
        <v>#N/A</v>
      </c>
    </row>
    <row r="4850" spans="5:5">
      <c r="E4850" t="e">
        <f t="shared" si="77"/>
        <v>#N/A</v>
      </c>
    </row>
    <row r="4851" spans="5:5">
      <c r="E4851" t="e">
        <f t="shared" si="77"/>
        <v>#N/A</v>
      </c>
    </row>
    <row r="4852" spans="5:5">
      <c r="E4852" t="e">
        <f t="shared" si="77"/>
        <v>#N/A</v>
      </c>
    </row>
    <row r="4853" spans="5:5">
      <c r="E4853" t="e">
        <f t="shared" si="77"/>
        <v>#N/A</v>
      </c>
    </row>
    <row r="4854" spans="5:5">
      <c r="E4854" t="e">
        <f t="shared" si="77"/>
        <v>#N/A</v>
      </c>
    </row>
    <row r="4855" spans="5:5">
      <c r="E4855" t="e">
        <f t="shared" si="77"/>
        <v>#N/A</v>
      </c>
    </row>
    <row r="4856" spans="5:5">
      <c r="E4856" t="e">
        <f t="shared" si="77"/>
        <v>#N/A</v>
      </c>
    </row>
    <row r="4857" spans="5:5">
      <c r="E4857" t="e">
        <f t="shared" si="77"/>
        <v>#N/A</v>
      </c>
    </row>
    <row r="4858" spans="5:5">
      <c r="E4858" t="e">
        <f t="shared" si="77"/>
        <v>#N/A</v>
      </c>
    </row>
    <row r="4859" spans="5:5">
      <c r="E4859" t="e">
        <f t="shared" si="77"/>
        <v>#N/A</v>
      </c>
    </row>
    <row r="4860" spans="5:5">
      <c r="E4860" t="e">
        <f t="shared" si="77"/>
        <v>#N/A</v>
      </c>
    </row>
    <row r="4861" spans="5:5">
      <c r="E4861" t="e">
        <f t="shared" si="77"/>
        <v>#N/A</v>
      </c>
    </row>
    <row r="4862" spans="5:5">
      <c r="E4862" t="e">
        <f t="shared" si="77"/>
        <v>#N/A</v>
      </c>
    </row>
    <row r="4863" spans="5:5">
      <c r="E4863" t="e">
        <f t="shared" si="77"/>
        <v>#N/A</v>
      </c>
    </row>
    <row r="4864" spans="5:5">
      <c r="E4864" t="e">
        <f t="shared" si="77"/>
        <v>#N/A</v>
      </c>
    </row>
    <row r="4865" spans="5:5">
      <c r="E4865" t="e">
        <f t="shared" si="77"/>
        <v>#N/A</v>
      </c>
    </row>
    <row r="4866" spans="5:5">
      <c r="E4866" t="e">
        <f t="shared" si="77"/>
        <v>#N/A</v>
      </c>
    </row>
    <row r="4867" spans="5:5">
      <c r="E4867" t="e">
        <f t="shared" si="77"/>
        <v>#N/A</v>
      </c>
    </row>
    <row r="4868" spans="5:5">
      <c r="E4868" t="e">
        <f t="shared" si="77"/>
        <v>#N/A</v>
      </c>
    </row>
    <row r="4869" spans="5:5">
      <c r="E4869" t="e">
        <f t="shared" si="77"/>
        <v>#N/A</v>
      </c>
    </row>
    <row r="4870" spans="5:5">
      <c r="E4870" t="e">
        <f t="shared" si="77"/>
        <v>#N/A</v>
      </c>
    </row>
    <row r="4871" spans="5:5">
      <c r="E4871" t="e">
        <f t="shared" si="77"/>
        <v>#N/A</v>
      </c>
    </row>
    <row r="4872" spans="5:5">
      <c r="E4872" t="e">
        <f t="shared" si="77"/>
        <v>#N/A</v>
      </c>
    </row>
    <row r="4873" spans="5:5">
      <c r="E4873" t="e">
        <f t="shared" si="77"/>
        <v>#N/A</v>
      </c>
    </row>
    <row r="4874" spans="5:5">
      <c r="E4874" t="e">
        <f t="shared" si="77"/>
        <v>#N/A</v>
      </c>
    </row>
    <row r="4875" spans="5:5">
      <c r="E4875" t="e">
        <f t="shared" si="77"/>
        <v>#N/A</v>
      </c>
    </row>
    <row r="4876" spans="5:5">
      <c r="E4876" t="e">
        <f t="shared" si="77"/>
        <v>#N/A</v>
      </c>
    </row>
    <row r="4877" spans="5:5">
      <c r="E4877" t="e">
        <f t="shared" ref="E4877:E4940" si="78">VLOOKUP(B4877,$Q$13:$R$61,2,FALSE)</f>
        <v>#N/A</v>
      </c>
    </row>
    <row r="4878" spans="5:5">
      <c r="E4878" t="e">
        <f t="shared" si="78"/>
        <v>#N/A</v>
      </c>
    </row>
    <row r="4879" spans="5:5">
      <c r="E4879" t="e">
        <f t="shared" si="78"/>
        <v>#N/A</v>
      </c>
    </row>
    <row r="4880" spans="5:5">
      <c r="E4880" t="e">
        <f t="shared" si="78"/>
        <v>#N/A</v>
      </c>
    </row>
    <row r="4881" spans="5:5">
      <c r="E4881" t="e">
        <f t="shared" si="78"/>
        <v>#N/A</v>
      </c>
    </row>
    <row r="4882" spans="5:5">
      <c r="E4882" t="e">
        <f t="shared" si="78"/>
        <v>#N/A</v>
      </c>
    </row>
    <row r="4883" spans="5:5">
      <c r="E4883" t="e">
        <f t="shared" si="78"/>
        <v>#N/A</v>
      </c>
    </row>
    <row r="4884" spans="5:5">
      <c r="E4884" t="e">
        <f t="shared" si="78"/>
        <v>#N/A</v>
      </c>
    </row>
    <row r="4885" spans="5:5">
      <c r="E4885" t="e">
        <f t="shared" si="78"/>
        <v>#N/A</v>
      </c>
    </row>
    <row r="4886" spans="5:5">
      <c r="E4886" t="e">
        <f t="shared" si="78"/>
        <v>#N/A</v>
      </c>
    </row>
    <row r="4887" spans="5:5">
      <c r="E4887" t="e">
        <f t="shared" si="78"/>
        <v>#N/A</v>
      </c>
    </row>
    <row r="4888" spans="5:5">
      <c r="E4888" t="e">
        <f t="shared" si="78"/>
        <v>#N/A</v>
      </c>
    </row>
    <row r="4889" spans="5:5">
      <c r="E4889" t="e">
        <f t="shared" si="78"/>
        <v>#N/A</v>
      </c>
    </row>
    <row r="4890" spans="5:5">
      <c r="E4890" t="e">
        <f t="shared" si="78"/>
        <v>#N/A</v>
      </c>
    </row>
    <row r="4891" spans="5:5">
      <c r="E4891" t="e">
        <f t="shared" si="78"/>
        <v>#N/A</v>
      </c>
    </row>
    <row r="4892" spans="5:5">
      <c r="E4892" t="e">
        <f t="shared" si="78"/>
        <v>#N/A</v>
      </c>
    </row>
    <row r="4893" spans="5:5">
      <c r="E4893" t="e">
        <f t="shared" si="78"/>
        <v>#N/A</v>
      </c>
    </row>
    <row r="4894" spans="5:5">
      <c r="E4894" t="e">
        <f t="shared" si="78"/>
        <v>#N/A</v>
      </c>
    </row>
    <row r="4895" spans="5:5">
      <c r="E4895" t="e">
        <f t="shared" si="78"/>
        <v>#N/A</v>
      </c>
    </row>
    <row r="4896" spans="5:5">
      <c r="E4896" t="e">
        <f t="shared" si="78"/>
        <v>#N/A</v>
      </c>
    </row>
    <row r="4897" spans="5:5">
      <c r="E4897" t="e">
        <f t="shared" si="78"/>
        <v>#N/A</v>
      </c>
    </row>
    <row r="4898" spans="5:5">
      <c r="E4898" t="e">
        <f t="shared" si="78"/>
        <v>#N/A</v>
      </c>
    </row>
    <row r="4899" spans="5:5">
      <c r="E4899" t="e">
        <f t="shared" si="78"/>
        <v>#N/A</v>
      </c>
    </row>
    <row r="4900" spans="5:5">
      <c r="E4900" t="e">
        <f t="shared" si="78"/>
        <v>#N/A</v>
      </c>
    </row>
    <row r="4901" spans="5:5">
      <c r="E4901" t="e">
        <f t="shared" si="78"/>
        <v>#N/A</v>
      </c>
    </row>
    <row r="4902" spans="5:5">
      <c r="E4902" t="e">
        <f t="shared" si="78"/>
        <v>#N/A</v>
      </c>
    </row>
    <row r="4903" spans="5:5">
      <c r="E4903" t="e">
        <f t="shared" si="78"/>
        <v>#N/A</v>
      </c>
    </row>
    <row r="4904" spans="5:5">
      <c r="E4904" t="e">
        <f t="shared" si="78"/>
        <v>#N/A</v>
      </c>
    </row>
    <row r="4905" spans="5:5">
      <c r="E4905" t="e">
        <f t="shared" si="78"/>
        <v>#N/A</v>
      </c>
    </row>
    <row r="4906" spans="5:5">
      <c r="E4906" t="e">
        <f t="shared" si="78"/>
        <v>#N/A</v>
      </c>
    </row>
    <row r="4907" spans="5:5">
      <c r="E4907" t="e">
        <f t="shared" si="78"/>
        <v>#N/A</v>
      </c>
    </row>
    <row r="4908" spans="5:5">
      <c r="E4908" t="e">
        <f t="shared" si="78"/>
        <v>#N/A</v>
      </c>
    </row>
    <row r="4909" spans="5:5">
      <c r="E4909" t="e">
        <f t="shared" si="78"/>
        <v>#N/A</v>
      </c>
    </row>
    <row r="4910" spans="5:5">
      <c r="E4910" t="e">
        <f t="shared" si="78"/>
        <v>#N/A</v>
      </c>
    </row>
    <row r="4911" spans="5:5">
      <c r="E4911" t="e">
        <f t="shared" si="78"/>
        <v>#N/A</v>
      </c>
    </row>
    <row r="4912" spans="5:5">
      <c r="E4912" t="e">
        <f t="shared" si="78"/>
        <v>#N/A</v>
      </c>
    </row>
    <row r="4913" spans="5:5">
      <c r="E4913" t="e">
        <f t="shared" si="78"/>
        <v>#N/A</v>
      </c>
    </row>
    <row r="4914" spans="5:5">
      <c r="E4914" t="e">
        <f t="shared" si="78"/>
        <v>#N/A</v>
      </c>
    </row>
    <row r="4915" spans="5:5">
      <c r="E4915" t="e">
        <f t="shared" si="78"/>
        <v>#N/A</v>
      </c>
    </row>
    <row r="4916" spans="5:5">
      <c r="E4916" t="e">
        <f t="shared" si="78"/>
        <v>#N/A</v>
      </c>
    </row>
    <row r="4917" spans="5:5">
      <c r="E4917" t="e">
        <f t="shared" si="78"/>
        <v>#N/A</v>
      </c>
    </row>
    <row r="4918" spans="5:5">
      <c r="E4918" t="e">
        <f t="shared" si="78"/>
        <v>#N/A</v>
      </c>
    </row>
    <row r="4919" spans="5:5">
      <c r="E4919" t="e">
        <f t="shared" si="78"/>
        <v>#N/A</v>
      </c>
    </row>
    <row r="4920" spans="5:5">
      <c r="E4920" t="e">
        <f t="shared" si="78"/>
        <v>#N/A</v>
      </c>
    </row>
    <row r="4921" spans="5:5">
      <c r="E4921" t="e">
        <f t="shared" si="78"/>
        <v>#N/A</v>
      </c>
    </row>
    <row r="4922" spans="5:5">
      <c r="E4922" t="e">
        <f t="shared" si="78"/>
        <v>#N/A</v>
      </c>
    </row>
    <row r="4923" spans="5:5">
      <c r="E4923" t="e">
        <f t="shared" si="78"/>
        <v>#N/A</v>
      </c>
    </row>
    <row r="4924" spans="5:5">
      <c r="E4924" t="e">
        <f t="shared" si="78"/>
        <v>#N/A</v>
      </c>
    </row>
    <row r="4925" spans="5:5">
      <c r="E4925" t="e">
        <f t="shared" si="78"/>
        <v>#N/A</v>
      </c>
    </row>
    <row r="4926" spans="5:5">
      <c r="E4926" t="e">
        <f t="shared" si="78"/>
        <v>#N/A</v>
      </c>
    </row>
    <row r="4927" spans="5:5">
      <c r="E4927" t="e">
        <f t="shared" si="78"/>
        <v>#N/A</v>
      </c>
    </row>
    <row r="4928" spans="5:5">
      <c r="E4928" t="e">
        <f t="shared" si="78"/>
        <v>#N/A</v>
      </c>
    </row>
    <row r="4929" spans="5:5">
      <c r="E4929" t="e">
        <f t="shared" si="78"/>
        <v>#N/A</v>
      </c>
    </row>
    <row r="4930" spans="5:5">
      <c r="E4930" t="e">
        <f t="shared" si="78"/>
        <v>#N/A</v>
      </c>
    </row>
    <row r="4931" spans="5:5">
      <c r="E4931" t="e">
        <f t="shared" si="78"/>
        <v>#N/A</v>
      </c>
    </row>
    <row r="4932" spans="5:5">
      <c r="E4932" t="e">
        <f t="shared" si="78"/>
        <v>#N/A</v>
      </c>
    </row>
    <row r="4933" spans="5:5">
      <c r="E4933" t="e">
        <f t="shared" si="78"/>
        <v>#N/A</v>
      </c>
    </row>
    <row r="4934" spans="5:5">
      <c r="E4934" t="e">
        <f t="shared" si="78"/>
        <v>#N/A</v>
      </c>
    </row>
    <row r="4935" spans="5:5">
      <c r="E4935" t="e">
        <f t="shared" si="78"/>
        <v>#N/A</v>
      </c>
    </row>
    <row r="4936" spans="5:5">
      <c r="E4936" t="e">
        <f t="shared" si="78"/>
        <v>#N/A</v>
      </c>
    </row>
    <row r="4937" spans="5:5">
      <c r="E4937" t="e">
        <f t="shared" si="78"/>
        <v>#N/A</v>
      </c>
    </row>
    <row r="4938" spans="5:5">
      <c r="E4938" t="e">
        <f t="shared" si="78"/>
        <v>#N/A</v>
      </c>
    </row>
    <row r="4939" spans="5:5">
      <c r="E4939" t="e">
        <f t="shared" si="78"/>
        <v>#N/A</v>
      </c>
    </row>
    <row r="4940" spans="5:5">
      <c r="E4940" t="e">
        <f t="shared" si="78"/>
        <v>#N/A</v>
      </c>
    </row>
    <row r="4941" spans="5:5">
      <c r="E4941" t="e">
        <f t="shared" ref="E4941:E5004" si="79">VLOOKUP(B4941,$Q$13:$R$61,2,FALSE)</f>
        <v>#N/A</v>
      </c>
    </row>
    <row r="4942" spans="5:5">
      <c r="E4942" t="e">
        <f t="shared" si="79"/>
        <v>#N/A</v>
      </c>
    </row>
    <row r="4943" spans="5:5">
      <c r="E4943" t="e">
        <f t="shared" si="79"/>
        <v>#N/A</v>
      </c>
    </row>
    <row r="4944" spans="5:5">
      <c r="E4944" t="e">
        <f t="shared" si="79"/>
        <v>#N/A</v>
      </c>
    </row>
    <row r="4945" spans="5:5">
      <c r="E4945" t="e">
        <f t="shared" si="79"/>
        <v>#N/A</v>
      </c>
    </row>
    <row r="4946" spans="5:5">
      <c r="E4946" t="e">
        <f t="shared" si="79"/>
        <v>#N/A</v>
      </c>
    </row>
    <row r="4947" spans="5:5">
      <c r="E4947" t="e">
        <f t="shared" si="79"/>
        <v>#N/A</v>
      </c>
    </row>
    <row r="4948" spans="5:5">
      <c r="E4948" t="e">
        <f t="shared" si="79"/>
        <v>#N/A</v>
      </c>
    </row>
    <row r="4949" spans="5:5">
      <c r="E4949" t="e">
        <f t="shared" si="79"/>
        <v>#N/A</v>
      </c>
    </row>
    <row r="4950" spans="5:5">
      <c r="E4950" t="e">
        <f t="shared" si="79"/>
        <v>#N/A</v>
      </c>
    </row>
    <row r="4951" spans="5:5">
      <c r="E4951" t="e">
        <f t="shared" si="79"/>
        <v>#N/A</v>
      </c>
    </row>
    <row r="4952" spans="5:5">
      <c r="E4952" t="e">
        <f t="shared" si="79"/>
        <v>#N/A</v>
      </c>
    </row>
    <row r="4953" spans="5:5">
      <c r="E4953" t="e">
        <f t="shared" si="79"/>
        <v>#N/A</v>
      </c>
    </row>
    <row r="4954" spans="5:5">
      <c r="E4954" t="e">
        <f t="shared" si="79"/>
        <v>#N/A</v>
      </c>
    </row>
    <row r="4955" spans="5:5">
      <c r="E4955" t="e">
        <f t="shared" si="79"/>
        <v>#N/A</v>
      </c>
    </row>
    <row r="4956" spans="5:5">
      <c r="E4956" t="e">
        <f t="shared" si="79"/>
        <v>#N/A</v>
      </c>
    </row>
    <row r="4957" spans="5:5">
      <c r="E4957" t="e">
        <f t="shared" si="79"/>
        <v>#N/A</v>
      </c>
    </row>
    <row r="4958" spans="5:5">
      <c r="E4958" t="e">
        <f t="shared" si="79"/>
        <v>#N/A</v>
      </c>
    </row>
    <row r="4959" spans="5:5">
      <c r="E4959" t="e">
        <f t="shared" si="79"/>
        <v>#N/A</v>
      </c>
    </row>
    <row r="4960" spans="5:5">
      <c r="E4960" t="e">
        <f t="shared" si="79"/>
        <v>#N/A</v>
      </c>
    </row>
    <row r="4961" spans="5:5">
      <c r="E4961" t="e">
        <f t="shared" si="79"/>
        <v>#N/A</v>
      </c>
    </row>
    <row r="4962" spans="5:5">
      <c r="E4962" t="e">
        <f t="shared" si="79"/>
        <v>#N/A</v>
      </c>
    </row>
    <row r="4963" spans="5:5">
      <c r="E4963" t="e">
        <f t="shared" si="79"/>
        <v>#N/A</v>
      </c>
    </row>
    <row r="4964" spans="5:5">
      <c r="E4964" t="e">
        <f t="shared" si="79"/>
        <v>#N/A</v>
      </c>
    </row>
    <row r="4965" spans="5:5">
      <c r="E4965" t="e">
        <f t="shared" si="79"/>
        <v>#N/A</v>
      </c>
    </row>
    <row r="4966" spans="5:5">
      <c r="E4966" t="e">
        <f t="shared" si="79"/>
        <v>#N/A</v>
      </c>
    </row>
    <row r="4967" spans="5:5">
      <c r="E4967" t="e">
        <f t="shared" si="79"/>
        <v>#N/A</v>
      </c>
    </row>
    <row r="4968" spans="5:5">
      <c r="E4968" t="e">
        <f t="shared" si="79"/>
        <v>#N/A</v>
      </c>
    </row>
    <row r="4969" spans="5:5">
      <c r="E4969" t="e">
        <f t="shared" si="79"/>
        <v>#N/A</v>
      </c>
    </row>
    <row r="4970" spans="5:5">
      <c r="E4970" t="e">
        <f t="shared" si="79"/>
        <v>#N/A</v>
      </c>
    </row>
    <row r="4971" spans="5:5">
      <c r="E4971" t="e">
        <f t="shared" si="79"/>
        <v>#N/A</v>
      </c>
    </row>
    <row r="4972" spans="5:5">
      <c r="E4972" t="e">
        <f t="shared" si="79"/>
        <v>#N/A</v>
      </c>
    </row>
    <row r="4973" spans="5:5">
      <c r="E4973" t="e">
        <f t="shared" si="79"/>
        <v>#N/A</v>
      </c>
    </row>
    <row r="4974" spans="5:5">
      <c r="E4974" t="e">
        <f t="shared" si="79"/>
        <v>#N/A</v>
      </c>
    </row>
    <row r="4975" spans="5:5">
      <c r="E4975" t="e">
        <f t="shared" si="79"/>
        <v>#N/A</v>
      </c>
    </row>
    <row r="4976" spans="5:5">
      <c r="E4976" t="e">
        <f t="shared" si="79"/>
        <v>#N/A</v>
      </c>
    </row>
    <row r="4977" spans="5:5">
      <c r="E4977" t="e">
        <f t="shared" si="79"/>
        <v>#N/A</v>
      </c>
    </row>
    <row r="4978" spans="5:5">
      <c r="E4978" t="e">
        <f t="shared" si="79"/>
        <v>#N/A</v>
      </c>
    </row>
    <row r="4979" spans="5:5">
      <c r="E4979" t="e">
        <f t="shared" si="79"/>
        <v>#N/A</v>
      </c>
    </row>
    <row r="4980" spans="5:5">
      <c r="E4980" t="e">
        <f t="shared" si="79"/>
        <v>#N/A</v>
      </c>
    </row>
    <row r="4981" spans="5:5">
      <c r="E4981" t="e">
        <f t="shared" si="79"/>
        <v>#N/A</v>
      </c>
    </row>
    <row r="4982" spans="5:5">
      <c r="E4982" t="e">
        <f t="shared" si="79"/>
        <v>#N/A</v>
      </c>
    </row>
    <row r="4983" spans="5:5">
      <c r="E4983" t="e">
        <f t="shared" si="79"/>
        <v>#N/A</v>
      </c>
    </row>
    <row r="4984" spans="5:5">
      <c r="E4984" t="e">
        <f t="shared" si="79"/>
        <v>#N/A</v>
      </c>
    </row>
    <row r="4985" spans="5:5">
      <c r="E4985" t="e">
        <f t="shared" si="79"/>
        <v>#N/A</v>
      </c>
    </row>
    <row r="4986" spans="5:5">
      <c r="E4986" t="e">
        <f t="shared" si="79"/>
        <v>#N/A</v>
      </c>
    </row>
    <row r="4987" spans="5:5">
      <c r="E4987" t="e">
        <f t="shared" si="79"/>
        <v>#N/A</v>
      </c>
    </row>
    <row r="4988" spans="5:5">
      <c r="E4988" t="e">
        <f t="shared" si="79"/>
        <v>#N/A</v>
      </c>
    </row>
    <row r="4989" spans="5:5">
      <c r="E4989" t="e">
        <f t="shared" si="79"/>
        <v>#N/A</v>
      </c>
    </row>
    <row r="4990" spans="5:5">
      <c r="E4990" t="e">
        <f t="shared" si="79"/>
        <v>#N/A</v>
      </c>
    </row>
    <row r="4991" spans="5:5">
      <c r="E4991" t="e">
        <f t="shared" si="79"/>
        <v>#N/A</v>
      </c>
    </row>
    <row r="4992" spans="5:5">
      <c r="E4992" t="e">
        <f t="shared" si="79"/>
        <v>#N/A</v>
      </c>
    </row>
    <row r="4993" spans="5:5">
      <c r="E4993" t="e">
        <f t="shared" si="79"/>
        <v>#N/A</v>
      </c>
    </row>
    <row r="4994" spans="5:5">
      <c r="E4994" t="e">
        <f t="shared" si="79"/>
        <v>#N/A</v>
      </c>
    </row>
    <row r="4995" spans="5:5">
      <c r="E4995" t="e">
        <f t="shared" si="79"/>
        <v>#N/A</v>
      </c>
    </row>
    <row r="4996" spans="5:5">
      <c r="E4996" t="e">
        <f t="shared" si="79"/>
        <v>#N/A</v>
      </c>
    </row>
    <row r="4997" spans="5:5">
      <c r="E4997" t="e">
        <f t="shared" si="79"/>
        <v>#N/A</v>
      </c>
    </row>
    <row r="4998" spans="5:5">
      <c r="E4998" t="e">
        <f t="shared" si="79"/>
        <v>#N/A</v>
      </c>
    </row>
    <row r="4999" spans="5:5">
      <c r="E4999" t="e">
        <f t="shared" si="79"/>
        <v>#N/A</v>
      </c>
    </row>
    <row r="5000" spans="5:5">
      <c r="E5000" t="e">
        <f t="shared" si="79"/>
        <v>#N/A</v>
      </c>
    </row>
    <row r="5001" spans="5:5">
      <c r="E5001" t="e">
        <f t="shared" si="79"/>
        <v>#N/A</v>
      </c>
    </row>
    <row r="5002" spans="5:5">
      <c r="E5002" t="e">
        <f t="shared" si="79"/>
        <v>#N/A</v>
      </c>
    </row>
    <row r="5003" spans="5:5">
      <c r="E5003" t="e">
        <f t="shared" si="79"/>
        <v>#N/A</v>
      </c>
    </row>
    <row r="5004" spans="5:5">
      <c r="E5004" t="e">
        <f t="shared" si="79"/>
        <v>#N/A</v>
      </c>
    </row>
    <row r="5005" spans="5:5">
      <c r="E5005" t="e">
        <f t="shared" ref="E5005:E5068" si="80">VLOOKUP(B5005,$Q$13:$R$61,2,FALSE)</f>
        <v>#N/A</v>
      </c>
    </row>
    <row r="5006" spans="5:5">
      <c r="E5006" t="e">
        <f t="shared" si="80"/>
        <v>#N/A</v>
      </c>
    </row>
    <row r="5007" spans="5:5">
      <c r="E5007" t="e">
        <f t="shared" si="80"/>
        <v>#N/A</v>
      </c>
    </row>
    <row r="5008" spans="5:5">
      <c r="E5008" t="e">
        <f t="shared" si="80"/>
        <v>#N/A</v>
      </c>
    </row>
    <row r="5009" spans="5:5">
      <c r="E5009" t="e">
        <f t="shared" si="80"/>
        <v>#N/A</v>
      </c>
    </row>
    <row r="5010" spans="5:5">
      <c r="E5010" t="e">
        <f t="shared" si="80"/>
        <v>#N/A</v>
      </c>
    </row>
    <row r="5011" spans="5:5">
      <c r="E5011" t="e">
        <f t="shared" si="80"/>
        <v>#N/A</v>
      </c>
    </row>
    <row r="5012" spans="5:5">
      <c r="E5012" t="e">
        <f t="shared" si="80"/>
        <v>#N/A</v>
      </c>
    </row>
    <row r="5013" spans="5:5">
      <c r="E5013" t="e">
        <f t="shared" si="80"/>
        <v>#N/A</v>
      </c>
    </row>
    <row r="5014" spans="5:5">
      <c r="E5014" t="e">
        <f t="shared" si="80"/>
        <v>#N/A</v>
      </c>
    </row>
    <row r="5015" spans="5:5">
      <c r="E5015" t="e">
        <f t="shared" si="80"/>
        <v>#N/A</v>
      </c>
    </row>
    <row r="5016" spans="5:5">
      <c r="E5016" t="e">
        <f t="shared" si="80"/>
        <v>#N/A</v>
      </c>
    </row>
    <row r="5017" spans="5:5">
      <c r="E5017" t="e">
        <f t="shared" si="80"/>
        <v>#N/A</v>
      </c>
    </row>
    <row r="5018" spans="5:5">
      <c r="E5018" t="e">
        <f t="shared" si="80"/>
        <v>#N/A</v>
      </c>
    </row>
    <row r="5019" spans="5:5">
      <c r="E5019" t="e">
        <f t="shared" si="80"/>
        <v>#N/A</v>
      </c>
    </row>
    <row r="5020" spans="5:5">
      <c r="E5020" t="e">
        <f t="shared" si="80"/>
        <v>#N/A</v>
      </c>
    </row>
    <row r="5021" spans="5:5">
      <c r="E5021" t="e">
        <f t="shared" si="80"/>
        <v>#N/A</v>
      </c>
    </row>
    <row r="5022" spans="5:5">
      <c r="E5022" t="e">
        <f t="shared" si="80"/>
        <v>#N/A</v>
      </c>
    </row>
    <row r="5023" spans="5:5">
      <c r="E5023" t="e">
        <f t="shared" si="80"/>
        <v>#N/A</v>
      </c>
    </row>
    <row r="5024" spans="5:5">
      <c r="E5024" t="e">
        <f t="shared" si="80"/>
        <v>#N/A</v>
      </c>
    </row>
    <row r="5025" spans="5:5">
      <c r="E5025" t="e">
        <f t="shared" si="80"/>
        <v>#N/A</v>
      </c>
    </row>
    <row r="5026" spans="5:5">
      <c r="E5026" t="e">
        <f t="shared" si="80"/>
        <v>#N/A</v>
      </c>
    </row>
    <row r="5027" spans="5:5">
      <c r="E5027" t="e">
        <f t="shared" si="80"/>
        <v>#N/A</v>
      </c>
    </row>
    <row r="5028" spans="5:5">
      <c r="E5028" t="e">
        <f t="shared" si="80"/>
        <v>#N/A</v>
      </c>
    </row>
    <row r="5029" spans="5:5">
      <c r="E5029" t="e">
        <f t="shared" si="80"/>
        <v>#N/A</v>
      </c>
    </row>
    <row r="5030" spans="5:5">
      <c r="E5030" t="e">
        <f t="shared" si="80"/>
        <v>#N/A</v>
      </c>
    </row>
    <row r="5031" spans="5:5">
      <c r="E5031" t="e">
        <f t="shared" si="80"/>
        <v>#N/A</v>
      </c>
    </row>
    <row r="5032" spans="5:5">
      <c r="E5032" t="e">
        <f t="shared" si="80"/>
        <v>#N/A</v>
      </c>
    </row>
    <row r="5033" spans="5:5">
      <c r="E5033" t="e">
        <f t="shared" si="80"/>
        <v>#N/A</v>
      </c>
    </row>
    <row r="5034" spans="5:5">
      <c r="E5034" t="e">
        <f t="shared" si="80"/>
        <v>#N/A</v>
      </c>
    </row>
    <row r="5035" spans="5:5">
      <c r="E5035" t="e">
        <f t="shared" si="80"/>
        <v>#N/A</v>
      </c>
    </row>
    <row r="5036" spans="5:5">
      <c r="E5036" t="e">
        <f t="shared" si="80"/>
        <v>#N/A</v>
      </c>
    </row>
    <row r="5037" spans="5:5">
      <c r="E5037" t="e">
        <f t="shared" si="80"/>
        <v>#N/A</v>
      </c>
    </row>
    <row r="5038" spans="5:5">
      <c r="E5038" t="e">
        <f t="shared" si="80"/>
        <v>#N/A</v>
      </c>
    </row>
    <row r="5039" spans="5:5">
      <c r="E5039" t="e">
        <f t="shared" si="80"/>
        <v>#N/A</v>
      </c>
    </row>
    <row r="5040" spans="5:5">
      <c r="E5040" t="e">
        <f t="shared" si="80"/>
        <v>#N/A</v>
      </c>
    </row>
    <row r="5041" spans="5:5">
      <c r="E5041" t="e">
        <f t="shared" si="80"/>
        <v>#N/A</v>
      </c>
    </row>
    <row r="5042" spans="5:5">
      <c r="E5042" t="e">
        <f t="shared" si="80"/>
        <v>#N/A</v>
      </c>
    </row>
    <row r="5043" spans="5:5">
      <c r="E5043" t="e">
        <f t="shared" si="80"/>
        <v>#N/A</v>
      </c>
    </row>
    <row r="5044" spans="5:5">
      <c r="E5044" t="e">
        <f t="shared" si="80"/>
        <v>#N/A</v>
      </c>
    </row>
    <row r="5045" spans="5:5">
      <c r="E5045" t="e">
        <f t="shared" si="80"/>
        <v>#N/A</v>
      </c>
    </row>
    <row r="5046" spans="5:5">
      <c r="E5046" t="e">
        <f t="shared" si="80"/>
        <v>#N/A</v>
      </c>
    </row>
    <row r="5047" spans="5:5">
      <c r="E5047" t="e">
        <f t="shared" si="80"/>
        <v>#N/A</v>
      </c>
    </row>
    <row r="5048" spans="5:5">
      <c r="E5048" t="e">
        <f t="shared" si="80"/>
        <v>#N/A</v>
      </c>
    </row>
    <row r="5049" spans="5:5">
      <c r="E5049" t="e">
        <f t="shared" si="80"/>
        <v>#N/A</v>
      </c>
    </row>
    <row r="5050" spans="5:5">
      <c r="E5050" t="e">
        <f t="shared" si="80"/>
        <v>#N/A</v>
      </c>
    </row>
    <row r="5051" spans="5:5">
      <c r="E5051" t="e">
        <f t="shared" si="80"/>
        <v>#N/A</v>
      </c>
    </row>
    <row r="5052" spans="5:5">
      <c r="E5052" t="e">
        <f t="shared" si="80"/>
        <v>#N/A</v>
      </c>
    </row>
    <row r="5053" spans="5:5">
      <c r="E5053" t="e">
        <f t="shared" si="80"/>
        <v>#N/A</v>
      </c>
    </row>
    <row r="5054" spans="5:5">
      <c r="E5054" t="e">
        <f t="shared" si="80"/>
        <v>#N/A</v>
      </c>
    </row>
    <row r="5055" spans="5:5">
      <c r="E5055" t="e">
        <f t="shared" si="80"/>
        <v>#N/A</v>
      </c>
    </row>
    <row r="5056" spans="5:5">
      <c r="E5056" t="e">
        <f t="shared" si="80"/>
        <v>#N/A</v>
      </c>
    </row>
    <row r="5057" spans="5:5">
      <c r="E5057" t="e">
        <f t="shared" si="80"/>
        <v>#N/A</v>
      </c>
    </row>
    <row r="5058" spans="5:5">
      <c r="E5058" t="e">
        <f t="shared" si="80"/>
        <v>#N/A</v>
      </c>
    </row>
    <row r="5059" spans="5:5">
      <c r="E5059" t="e">
        <f t="shared" si="80"/>
        <v>#N/A</v>
      </c>
    </row>
    <row r="5060" spans="5:5">
      <c r="E5060" t="e">
        <f t="shared" si="80"/>
        <v>#N/A</v>
      </c>
    </row>
    <row r="5061" spans="5:5">
      <c r="E5061" t="e">
        <f t="shared" si="80"/>
        <v>#N/A</v>
      </c>
    </row>
    <row r="5062" spans="5:5">
      <c r="E5062" t="e">
        <f t="shared" si="80"/>
        <v>#N/A</v>
      </c>
    </row>
    <row r="5063" spans="5:5">
      <c r="E5063" t="e">
        <f t="shared" si="80"/>
        <v>#N/A</v>
      </c>
    </row>
    <row r="5064" spans="5:5">
      <c r="E5064" t="e">
        <f t="shared" si="80"/>
        <v>#N/A</v>
      </c>
    </row>
    <row r="5065" spans="5:5">
      <c r="E5065" t="e">
        <f t="shared" si="80"/>
        <v>#N/A</v>
      </c>
    </row>
    <row r="5066" spans="5:5">
      <c r="E5066" t="e">
        <f t="shared" si="80"/>
        <v>#N/A</v>
      </c>
    </row>
    <row r="5067" spans="5:5">
      <c r="E5067" t="e">
        <f t="shared" si="80"/>
        <v>#N/A</v>
      </c>
    </row>
    <row r="5068" spans="5:5">
      <c r="E5068" t="e">
        <f t="shared" si="80"/>
        <v>#N/A</v>
      </c>
    </row>
    <row r="5069" spans="5:5">
      <c r="E5069" t="e">
        <f t="shared" ref="E5069:E5132" si="81">VLOOKUP(B5069,$Q$13:$R$61,2,FALSE)</f>
        <v>#N/A</v>
      </c>
    </row>
    <row r="5070" spans="5:5">
      <c r="E5070" t="e">
        <f t="shared" si="81"/>
        <v>#N/A</v>
      </c>
    </row>
    <row r="5071" spans="5:5">
      <c r="E5071" t="e">
        <f t="shared" si="81"/>
        <v>#N/A</v>
      </c>
    </row>
    <row r="5072" spans="5:5">
      <c r="E5072" t="e">
        <f t="shared" si="81"/>
        <v>#N/A</v>
      </c>
    </row>
    <row r="5073" spans="5:5">
      <c r="E5073" t="e">
        <f t="shared" si="81"/>
        <v>#N/A</v>
      </c>
    </row>
    <row r="5074" spans="5:5">
      <c r="E5074" t="e">
        <f t="shared" si="81"/>
        <v>#N/A</v>
      </c>
    </row>
    <row r="5075" spans="5:5">
      <c r="E5075" t="e">
        <f t="shared" si="81"/>
        <v>#N/A</v>
      </c>
    </row>
    <row r="5076" spans="5:5">
      <c r="E5076" t="e">
        <f t="shared" si="81"/>
        <v>#N/A</v>
      </c>
    </row>
    <row r="5077" spans="5:5">
      <c r="E5077" t="e">
        <f t="shared" si="81"/>
        <v>#N/A</v>
      </c>
    </row>
    <row r="5078" spans="5:5">
      <c r="E5078" t="e">
        <f t="shared" si="81"/>
        <v>#N/A</v>
      </c>
    </row>
    <row r="5079" spans="5:5">
      <c r="E5079" t="e">
        <f t="shared" si="81"/>
        <v>#N/A</v>
      </c>
    </row>
    <row r="5080" spans="5:5">
      <c r="E5080" t="e">
        <f t="shared" si="81"/>
        <v>#N/A</v>
      </c>
    </row>
    <row r="5081" spans="5:5">
      <c r="E5081" t="e">
        <f t="shared" si="81"/>
        <v>#N/A</v>
      </c>
    </row>
    <row r="5082" spans="5:5">
      <c r="E5082" t="e">
        <f t="shared" si="81"/>
        <v>#N/A</v>
      </c>
    </row>
    <row r="5083" spans="5:5">
      <c r="E5083" t="e">
        <f t="shared" si="81"/>
        <v>#N/A</v>
      </c>
    </row>
    <row r="5084" spans="5:5">
      <c r="E5084" t="e">
        <f t="shared" si="81"/>
        <v>#N/A</v>
      </c>
    </row>
    <row r="5085" spans="5:5">
      <c r="E5085" t="e">
        <f t="shared" si="81"/>
        <v>#N/A</v>
      </c>
    </row>
    <row r="5086" spans="5:5">
      <c r="E5086" t="e">
        <f t="shared" si="81"/>
        <v>#N/A</v>
      </c>
    </row>
    <row r="5087" spans="5:5">
      <c r="E5087" t="e">
        <f t="shared" si="81"/>
        <v>#N/A</v>
      </c>
    </row>
    <row r="5088" spans="5:5">
      <c r="E5088" t="e">
        <f t="shared" si="81"/>
        <v>#N/A</v>
      </c>
    </row>
    <row r="5089" spans="5:5">
      <c r="E5089" t="e">
        <f t="shared" si="81"/>
        <v>#N/A</v>
      </c>
    </row>
    <row r="5090" spans="5:5">
      <c r="E5090" t="e">
        <f t="shared" si="81"/>
        <v>#N/A</v>
      </c>
    </row>
    <row r="5091" spans="5:5">
      <c r="E5091" t="e">
        <f t="shared" si="81"/>
        <v>#N/A</v>
      </c>
    </row>
    <row r="5092" spans="5:5">
      <c r="E5092" t="e">
        <f t="shared" si="81"/>
        <v>#N/A</v>
      </c>
    </row>
    <row r="5093" spans="5:5">
      <c r="E5093" t="e">
        <f t="shared" si="81"/>
        <v>#N/A</v>
      </c>
    </row>
    <row r="5094" spans="5:5">
      <c r="E5094" t="e">
        <f t="shared" si="81"/>
        <v>#N/A</v>
      </c>
    </row>
    <row r="5095" spans="5:5">
      <c r="E5095" t="e">
        <f t="shared" si="81"/>
        <v>#N/A</v>
      </c>
    </row>
    <row r="5096" spans="5:5">
      <c r="E5096" t="e">
        <f t="shared" si="81"/>
        <v>#N/A</v>
      </c>
    </row>
    <row r="5097" spans="5:5">
      <c r="E5097" t="e">
        <f t="shared" si="81"/>
        <v>#N/A</v>
      </c>
    </row>
    <row r="5098" spans="5:5">
      <c r="E5098" t="e">
        <f t="shared" si="81"/>
        <v>#N/A</v>
      </c>
    </row>
    <row r="5099" spans="5:5">
      <c r="E5099" t="e">
        <f t="shared" si="81"/>
        <v>#N/A</v>
      </c>
    </row>
    <row r="5100" spans="5:5">
      <c r="E5100" t="e">
        <f t="shared" si="81"/>
        <v>#N/A</v>
      </c>
    </row>
    <row r="5101" spans="5:5">
      <c r="E5101" t="e">
        <f t="shared" si="81"/>
        <v>#N/A</v>
      </c>
    </row>
    <row r="5102" spans="5:5">
      <c r="E5102" t="e">
        <f t="shared" si="81"/>
        <v>#N/A</v>
      </c>
    </row>
    <row r="5103" spans="5:5">
      <c r="E5103" t="e">
        <f t="shared" si="81"/>
        <v>#N/A</v>
      </c>
    </row>
    <row r="5104" spans="5:5">
      <c r="E5104" t="e">
        <f t="shared" si="81"/>
        <v>#N/A</v>
      </c>
    </row>
    <row r="5105" spans="5:5">
      <c r="E5105" t="e">
        <f t="shared" si="81"/>
        <v>#N/A</v>
      </c>
    </row>
    <row r="5106" spans="5:5">
      <c r="E5106" t="e">
        <f t="shared" si="81"/>
        <v>#N/A</v>
      </c>
    </row>
    <row r="5107" spans="5:5">
      <c r="E5107" t="e">
        <f t="shared" si="81"/>
        <v>#N/A</v>
      </c>
    </row>
    <row r="5108" spans="5:5">
      <c r="E5108" t="e">
        <f t="shared" si="81"/>
        <v>#N/A</v>
      </c>
    </row>
    <row r="5109" spans="5:5">
      <c r="E5109" t="e">
        <f t="shared" si="81"/>
        <v>#N/A</v>
      </c>
    </row>
    <row r="5110" spans="5:5">
      <c r="E5110" t="e">
        <f t="shared" si="81"/>
        <v>#N/A</v>
      </c>
    </row>
    <row r="5111" spans="5:5">
      <c r="E5111" t="e">
        <f t="shared" si="81"/>
        <v>#N/A</v>
      </c>
    </row>
    <row r="5112" spans="5:5">
      <c r="E5112" t="e">
        <f t="shared" si="81"/>
        <v>#N/A</v>
      </c>
    </row>
    <row r="5113" spans="5:5">
      <c r="E5113" t="e">
        <f t="shared" si="81"/>
        <v>#N/A</v>
      </c>
    </row>
    <row r="5114" spans="5:5">
      <c r="E5114" t="e">
        <f t="shared" si="81"/>
        <v>#N/A</v>
      </c>
    </row>
    <row r="5115" spans="5:5">
      <c r="E5115" t="e">
        <f t="shared" si="81"/>
        <v>#N/A</v>
      </c>
    </row>
    <row r="5116" spans="5:5">
      <c r="E5116" t="e">
        <f t="shared" si="81"/>
        <v>#N/A</v>
      </c>
    </row>
    <row r="5117" spans="5:5">
      <c r="E5117" t="e">
        <f t="shared" si="81"/>
        <v>#N/A</v>
      </c>
    </row>
    <row r="5118" spans="5:5">
      <c r="E5118" t="e">
        <f t="shared" si="81"/>
        <v>#N/A</v>
      </c>
    </row>
    <row r="5119" spans="5:5">
      <c r="E5119" t="e">
        <f t="shared" si="81"/>
        <v>#N/A</v>
      </c>
    </row>
    <row r="5120" spans="5:5">
      <c r="E5120" t="e">
        <f t="shared" si="81"/>
        <v>#N/A</v>
      </c>
    </row>
    <row r="5121" spans="5:5">
      <c r="E5121" t="e">
        <f t="shared" si="81"/>
        <v>#N/A</v>
      </c>
    </row>
    <row r="5122" spans="5:5">
      <c r="E5122" t="e">
        <f t="shared" si="81"/>
        <v>#N/A</v>
      </c>
    </row>
    <row r="5123" spans="5:5">
      <c r="E5123" t="e">
        <f t="shared" si="81"/>
        <v>#N/A</v>
      </c>
    </row>
    <row r="5124" spans="5:5">
      <c r="E5124" t="e">
        <f t="shared" si="81"/>
        <v>#N/A</v>
      </c>
    </row>
    <row r="5125" spans="5:5">
      <c r="E5125" t="e">
        <f t="shared" si="81"/>
        <v>#N/A</v>
      </c>
    </row>
    <row r="5126" spans="5:5">
      <c r="E5126" t="e">
        <f t="shared" si="81"/>
        <v>#N/A</v>
      </c>
    </row>
    <row r="5127" spans="5:5">
      <c r="E5127" t="e">
        <f t="shared" si="81"/>
        <v>#N/A</v>
      </c>
    </row>
    <row r="5128" spans="5:5">
      <c r="E5128" t="e">
        <f t="shared" si="81"/>
        <v>#N/A</v>
      </c>
    </row>
    <row r="5129" spans="5:5">
      <c r="E5129" t="e">
        <f t="shared" si="81"/>
        <v>#N/A</v>
      </c>
    </row>
    <row r="5130" spans="5:5">
      <c r="E5130" t="e">
        <f t="shared" si="81"/>
        <v>#N/A</v>
      </c>
    </row>
    <row r="5131" spans="5:5">
      <c r="E5131" t="e">
        <f t="shared" si="81"/>
        <v>#N/A</v>
      </c>
    </row>
    <row r="5132" spans="5:5">
      <c r="E5132" t="e">
        <f t="shared" si="81"/>
        <v>#N/A</v>
      </c>
    </row>
    <row r="5133" spans="5:5">
      <c r="E5133" t="e">
        <f t="shared" ref="E5133:E5196" si="82">VLOOKUP(B5133,$Q$13:$R$61,2,FALSE)</f>
        <v>#N/A</v>
      </c>
    </row>
    <row r="5134" spans="5:5">
      <c r="E5134" t="e">
        <f t="shared" si="82"/>
        <v>#N/A</v>
      </c>
    </row>
    <row r="5135" spans="5:5">
      <c r="E5135" t="e">
        <f t="shared" si="82"/>
        <v>#N/A</v>
      </c>
    </row>
    <row r="5136" spans="5:5">
      <c r="E5136" t="e">
        <f t="shared" si="82"/>
        <v>#N/A</v>
      </c>
    </row>
    <row r="5137" spans="5:5">
      <c r="E5137" t="e">
        <f t="shared" si="82"/>
        <v>#N/A</v>
      </c>
    </row>
    <row r="5138" spans="5:5">
      <c r="E5138" t="e">
        <f t="shared" si="82"/>
        <v>#N/A</v>
      </c>
    </row>
    <row r="5139" spans="5:5">
      <c r="E5139" t="e">
        <f t="shared" si="82"/>
        <v>#N/A</v>
      </c>
    </row>
    <row r="5140" spans="5:5">
      <c r="E5140" t="e">
        <f t="shared" si="82"/>
        <v>#N/A</v>
      </c>
    </row>
    <row r="5141" spans="5:5">
      <c r="E5141" t="e">
        <f t="shared" si="82"/>
        <v>#N/A</v>
      </c>
    </row>
    <row r="5142" spans="5:5">
      <c r="E5142" t="e">
        <f t="shared" si="82"/>
        <v>#N/A</v>
      </c>
    </row>
    <row r="5143" spans="5:5">
      <c r="E5143" t="e">
        <f t="shared" si="82"/>
        <v>#N/A</v>
      </c>
    </row>
    <row r="5144" spans="5:5">
      <c r="E5144" t="e">
        <f t="shared" si="82"/>
        <v>#N/A</v>
      </c>
    </row>
    <row r="5145" spans="5:5">
      <c r="E5145" t="e">
        <f t="shared" si="82"/>
        <v>#N/A</v>
      </c>
    </row>
    <row r="5146" spans="5:5">
      <c r="E5146" t="e">
        <f t="shared" si="82"/>
        <v>#N/A</v>
      </c>
    </row>
    <row r="5147" spans="5:5">
      <c r="E5147" t="e">
        <f t="shared" si="82"/>
        <v>#N/A</v>
      </c>
    </row>
    <row r="5148" spans="5:5">
      <c r="E5148" t="e">
        <f t="shared" si="82"/>
        <v>#N/A</v>
      </c>
    </row>
    <row r="5149" spans="5:5">
      <c r="E5149" t="e">
        <f t="shared" si="82"/>
        <v>#N/A</v>
      </c>
    </row>
    <row r="5150" spans="5:5">
      <c r="E5150" t="e">
        <f t="shared" si="82"/>
        <v>#N/A</v>
      </c>
    </row>
    <row r="5151" spans="5:5">
      <c r="E5151" t="e">
        <f t="shared" si="82"/>
        <v>#N/A</v>
      </c>
    </row>
    <row r="5152" spans="5:5">
      <c r="E5152" t="e">
        <f t="shared" si="82"/>
        <v>#N/A</v>
      </c>
    </row>
    <row r="5153" spans="5:5">
      <c r="E5153" t="e">
        <f t="shared" si="82"/>
        <v>#N/A</v>
      </c>
    </row>
    <row r="5154" spans="5:5">
      <c r="E5154" t="e">
        <f t="shared" si="82"/>
        <v>#N/A</v>
      </c>
    </row>
    <row r="5155" spans="5:5">
      <c r="E5155" t="e">
        <f t="shared" si="82"/>
        <v>#N/A</v>
      </c>
    </row>
    <row r="5156" spans="5:5">
      <c r="E5156" t="e">
        <f t="shared" si="82"/>
        <v>#N/A</v>
      </c>
    </row>
    <row r="5157" spans="5:5">
      <c r="E5157" t="e">
        <f t="shared" si="82"/>
        <v>#N/A</v>
      </c>
    </row>
    <row r="5158" spans="5:5">
      <c r="E5158" t="e">
        <f t="shared" si="82"/>
        <v>#N/A</v>
      </c>
    </row>
    <row r="5159" spans="5:5">
      <c r="E5159" t="e">
        <f t="shared" si="82"/>
        <v>#N/A</v>
      </c>
    </row>
    <row r="5160" spans="5:5">
      <c r="E5160" t="e">
        <f t="shared" si="82"/>
        <v>#N/A</v>
      </c>
    </row>
    <row r="5161" spans="5:5">
      <c r="E5161" t="e">
        <f t="shared" si="82"/>
        <v>#N/A</v>
      </c>
    </row>
    <row r="5162" spans="5:5">
      <c r="E5162" t="e">
        <f t="shared" si="82"/>
        <v>#N/A</v>
      </c>
    </row>
    <row r="5163" spans="5:5">
      <c r="E5163" t="e">
        <f t="shared" si="82"/>
        <v>#N/A</v>
      </c>
    </row>
    <row r="5164" spans="5:5">
      <c r="E5164" t="e">
        <f t="shared" si="82"/>
        <v>#N/A</v>
      </c>
    </row>
    <row r="5165" spans="5:5">
      <c r="E5165" t="e">
        <f t="shared" si="82"/>
        <v>#N/A</v>
      </c>
    </row>
    <row r="5166" spans="5:5">
      <c r="E5166" t="e">
        <f t="shared" si="82"/>
        <v>#N/A</v>
      </c>
    </row>
    <row r="5167" spans="5:5">
      <c r="E5167" t="e">
        <f t="shared" si="82"/>
        <v>#N/A</v>
      </c>
    </row>
    <row r="5168" spans="5:5">
      <c r="E5168" t="e">
        <f t="shared" si="82"/>
        <v>#N/A</v>
      </c>
    </row>
    <row r="5169" spans="5:5">
      <c r="E5169" t="e">
        <f t="shared" si="82"/>
        <v>#N/A</v>
      </c>
    </row>
    <row r="5170" spans="5:5">
      <c r="E5170" t="e">
        <f t="shared" si="82"/>
        <v>#N/A</v>
      </c>
    </row>
    <row r="5171" spans="5:5">
      <c r="E5171" t="e">
        <f t="shared" si="82"/>
        <v>#N/A</v>
      </c>
    </row>
    <row r="5172" spans="5:5">
      <c r="E5172" t="e">
        <f t="shared" si="82"/>
        <v>#N/A</v>
      </c>
    </row>
    <row r="5173" spans="5:5">
      <c r="E5173" t="e">
        <f t="shared" si="82"/>
        <v>#N/A</v>
      </c>
    </row>
    <row r="5174" spans="5:5">
      <c r="E5174" t="e">
        <f t="shared" si="82"/>
        <v>#N/A</v>
      </c>
    </row>
    <row r="5175" spans="5:5">
      <c r="E5175" t="e">
        <f t="shared" si="82"/>
        <v>#N/A</v>
      </c>
    </row>
    <row r="5176" spans="5:5">
      <c r="E5176" t="e">
        <f t="shared" si="82"/>
        <v>#N/A</v>
      </c>
    </row>
    <row r="5177" spans="5:5">
      <c r="E5177" t="e">
        <f t="shared" si="82"/>
        <v>#N/A</v>
      </c>
    </row>
    <row r="5178" spans="5:5">
      <c r="E5178" t="e">
        <f t="shared" si="82"/>
        <v>#N/A</v>
      </c>
    </row>
    <row r="5179" spans="5:5">
      <c r="E5179" t="e">
        <f t="shared" si="82"/>
        <v>#N/A</v>
      </c>
    </row>
    <row r="5180" spans="5:5">
      <c r="E5180" t="e">
        <f t="shared" si="82"/>
        <v>#N/A</v>
      </c>
    </row>
    <row r="5181" spans="5:5">
      <c r="E5181" t="e">
        <f t="shared" si="82"/>
        <v>#N/A</v>
      </c>
    </row>
    <row r="5182" spans="5:5">
      <c r="E5182" t="e">
        <f t="shared" si="82"/>
        <v>#N/A</v>
      </c>
    </row>
    <row r="5183" spans="5:5">
      <c r="E5183" t="e">
        <f t="shared" si="82"/>
        <v>#N/A</v>
      </c>
    </row>
    <row r="5184" spans="5:5">
      <c r="E5184" t="e">
        <f t="shared" si="82"/>
        <v>#N/A</v>
      </c>
    </row>
    <row r="5185" spans="5:5">
      <c r="E5185" t="e">
        <f t="shared" si="82"/>
        <v>#N/A</v>
      </c>
    </row>
    <row r="5186" spans="5:5">
      <c r="E5186" t="e">
        <f t="shared" si="82"/>
        <v>#N/A</v>
      </c>
    </row>
    <row r="5187" spans="5:5">
      <c r="E5187" t="e">
        <f t="shared" si="82"/>
        <v>#N/A</v>
      </c>
    </row>
    <row r="5188" spans="5:5">
      <c r="E5188" t="e">
        <f t="shared" si="82"/>
        <v>#N/A</v>
      </c>
    </row>
    <row r="5189" spans="5:5">
      <c r="E5189" t="e">
        <f t="shared" si="82"/>
        <v>#N/A</v>
      </c>
    </row>
    <row r="5190" spans="5:5">
      <c r="E5190" t="e">
        <f t="shared" si="82"/>
        <v>#N/A</v>
      </c>
    </row>
    <row r="5191" spans="5:5">
      <c r="E5191" t="e">
        <f t="shared" si="82"/>
        <v>#N/A</v>
      </c>
    </row>
    <row r="5192" spans="5:5">
      <c r="E5192" t="e">
        <f t="shared" si="82"/>
        <v>#N/A</v>
      </c>
    </row>
    <row r="5193" spans="5:5">
      <c r="E5193" t="e">
        <f t="shared" si="82"/>
        <v>#N/A</v>
      </c>
    </row>
    <row r="5194" spans="5:5">
      <c r="E5194" t="e">
        <f t="shared" si="82"/>
        <v>#N/A</v>
      </c>
    </row>
    <row r="5195" spans="5:5">
      <c r="E5195" t="e">
        <f t="shared" si="82"/>
        <v>#N/A</v>
      </c>
    </row>
    <row r="5196" spans="5:5">
      <c r="E5196" t="e">
        <f t="shared" si="82"/>
        <v>#N/A</v>
      </c>
    </row>
    <row r="5197" spans="5:5">
      <c r="E5197" t="e">
        <f t="shared" ref="E5197:E5260" si="83">VLOOKUP(B5197,$Q$13:$R$61,2,FALSE)</f>
        <v>#N/A</v>
      </c>
    </row>
    <row r="5198" spans="5:5">
      <c r="E5198" t="e">
        <f t="shared" si="83"/>
        <v>#N/A</v>
      </c>
    </row>
    <row r="5199" spans="5:5">
      <c r="E5199" t="e">
        <f t="shared" si="83"/>
        <v>#N/A</v>
      </c>
    </row>
    <row r="5200" spans="5:5">
      <c r="E5200" t="e">
        <f t="shared" si="83"/>
        <v>#N/A</v>
      </c>
    </row>
    <row r="5201" spans="5:5">
      <c r="E5201" t="e">
        <f t="shared" si="83"/>
        <v>#N/A</v>
      </c>
    </row>
    <row r="5202" spans="5:5">
      <c r="E5202" t="e">
        <f t="shared" si="83"/>
        <v>#N/A</v>
      </c>
    </row>
    <row r="5203" spans="5:5">
      <c r="E5203" t="e">
        <f t="shared" si="83"/>
        <v>#N/A</v>
      </c>
    </row>
    <row r="5204" spans="5:5">
      <c r="E5204" t="e">
        <f t="shared" si="83"/>
        <v>#N/A</v>
      </c>
    </row>
    <row r="5205" spans="5:5">
      <c r="E5205" t="e">
        <f t="shared" si="83"/>
        <v>#N/A</v>
      </c>
    </row>
    <row r="5206" spans="5:5">
      <c r="E5206" t="e">
        <f t="shared" si="83"/>
        <v>#N/A</v>
      </c>
    </row>
    <row r="5207" spans="5:5">
      <c r="E5207" t="e">
        <f t="shared" si="83"/>
        <v>#N/A</v>
      </c>
    </row>
    <row r="5208" spans="5:5">
      <c r="E5208" t="e">
        <f t="shared" si="83"/>
        <v>#N/A</v>
      </c>
    </row>
    <row r="5209" spans="5:5">
      <c r="E5209" t="e">
        <f t="shared" si="83"/>
        <v>#N/A</v>
      </c>
    </row>
    <row r="5210" spans="5:5">
      <c r="E5210" t="e">
        <f t="shared" si="83"/>
        <v>#N/A</v>
      </c>
    </row>
    <row r="5211" spans="5:5">
      <c r="E5211" t="e">
        <f t="shared" si="83"/>
        <v>#N/A</v>
      </c>
    </row>
    <row r="5212" spans="5:5">
      <c r="E5212" t="e">
        <f t="shared" si="83"/>
        <v>#N/A</v>
      </c>
    </row>
    <row r="5213" spans="5:5">
      <c r="E5213" t="e">
        <f t="shared" si="83"/>
        <v>#N/A</v>
      </c>
    </row>
    <row r="5214" spans="5:5">
      <c r="E5214" t="e">
        <f t="shared" si="83"/>
        <v>#N/A</v>
      </c>
    </row>
    <row r="5215" spans="5:5">
      <c r="E5215" t="e">
        <f t="shared" si="83"/>
        <v>#N/A</v>
      </c>
    </row>
    <row r="5216" spans="5:5">
      <c r="E5216" t="e">
        <f t="shared" si="83"/>
        <v>#N/A</v>
      </c>
    </row>
    <row r="5217" spans="5:5">
      <c r="E5217" t="e">
        <f t="shared" si="83"/>
        <v>#N/A</v>
      </c>
    </row>
    <row r="5218" spans="5:5">
      <c r="E5218" t="e">
        <f t="shared" si="83"/>
        <v>#N/A</v>
      </c>
    </row>
    <row r="5219" spans="5:5">
      <c r="E5219" t="e">
        <f t="shared" si="83"/>
        <v>#N/A</v>
      </c>
    </row>
    <row r="5220" spans="5:5">
      <c r="E5220" t="e">
        <f t="shared" si="83"/>
        <v>#N/A</v>
      </c>
    </row>
    <row r="5221" spans="5:5">
      <c r="E5221" t="e">
        <f t="shared" si="83"/>
        <v>#N/A</v>
      </c>
    </row>
    <row r="5222" spans="5:5">
      <c r="E5222" t="e">
        <f t="shared" si="83"/>
        <v>#N/A</v>
      </c>
    </row>
    <row r="5223" spans="5:5">
      <c r="E5223" t="e">
        <f t="shared" si="83"/>
        <v>#N/A</v>
      </c>
    </row>
    <row r="5224" spans="5:5">
      <c r="E5224" t="e">
        <f t="shared" si="83"/>
        <v>#N/A</v>
      </c>
    </row>
    <row r="5225" spans="5:5">
      <c r="E5225" t="e">
        <f t="shared" si="83"/>
        <v>#N/A</v>
      </c>
    </row>
    <row r="5226" spans="5:5">
      <c r="E5226" t="e">
        <f t="shared" si="83"/>
        <v>#N/A</v>
      </c>
    </row>
    <row r="5227" spans="5:5">
      <c r="E5227" t="e">
        <f t="shared" si="83"/>
        <v>#N/A</v>
      </c>
    </row>
    <row r="5228" spans="5:5">
      <c r="E5228" t="e">
        <f t="shared" si="83"/>
        <v>#N/A</v>
      </c>
    </row>
    <row r="5229" spans="5:5">
      <c r="E5229" t="e">
        <f t="shared" si="83"/>
        <v>#N/A</v>
      </c>
    </row>
    <row r="5230" spans="5:5">
      <c r="E5230" t="e">
        <f t="shared" si="83"/>
        <v>#N/A</v>
      </c>
    </row>
    <row r="5231" spans="5:5">
      <c r="E5231" t="e">
        <f t="shared" si="83"/>
        <v>#N/A</v>
      </c>
    </row>
    <row r="5232" spans="5:5">
      <c r="E5232" t="e">
        <f t="shared" si="83"/>
        <v>#N/A</v>
      </c>
    </row>
    <row r="5233" spans="5:5">
      <c r="E5233" t="e">
        <f t="shared" si="83"/>
        <v>#N/A</v>
      </c>
    </row>
    <row r="5234" spans="5:5">
      <c r="E5234" t="e">
        <f t="shared" si="83"/>
        <v>#N/A</v>
      </c>
    </row>
    <row r="5235" spans="5:5">
      <c r="E5235" t="e">
        <f t="shared" si="83"/>
        <v>#N/A</v>
      </c>
    </row>
    <row r="5236" spans="5:5">
      <c r="E5236" t="e">
        <f t="shared" si="83"/>
        <v>#N/A</v>
      </c>
    </row>
    <row r="5237" spans="5:5">
      <c r="E5237" t="e">
        <f t="shared" si="83"/>
        <v>#N/A</v>
      </c>
    </row>
    <row r="5238" spans="5:5">
      <c r="E5238" t="e">
        <f t="shared" si="83"/>
        <v>#N/A</v>
      </c>
    </row>
    <row r="5239" spans="5:5">
      <c r="E5239" t="e">
        <f t="shared" si="83"/>
        <v>#N/A</v>
      </c>
    </row>
    <row r="5240" spans="5:5">
      <c r="E5240" t="e">
        <f t="shared" si="83"/>
        <v>#N/A</v>
      </c>
    </row>
    <row r="5241" spans="5:5">
      <c r="E5241" t="e">
        <f t="shared" si="83"/>
        <v>#N/A</v>
      </c>
    </row>
    <row r="5242" spans="5:5">
      <c r="E5242" t="e">
        <f t="shared" si="83"/>
        <v>#N/A</v>
      </c>
    </row>
    <row r="5243" spans="5:5">
      <c r="E5243" t="e">
        <f t="shared" si="83"/>
        <v>#N/A</v>
      </c>
    </row>
    <row r="5244" spans="5:5">
      <c r="E5244" t="e">
        <f t="shared" si="83"/>
        <v>#N/A</v>
      </c>
    </row>
    <row r="5245" spans="5:5">
      <c r="E5245" t="e">
        <f t="shared" si="83"/>
        <v>#N/A</v>
      </c>
    </row>
    <row r="5246" spans="5:5">
      <c r="E5246" t="e">
        <f t="shared" si="83"/>
        <v>#N/A</v>
      </c>
    </row>
    <row r="5247" spans="5:5">
      <c r="E5247" t="e">
        <f t="shared" si="83"/>
        <v>#N/A</v>
      </c>
    </row>
    <row r="5248" spans="5:5">
      <c r="E5248" t="e">
        <f t="shared" si="83"/>
        <v>#N/A</v>
      </c>
    </row>
    <row r="5249" spans="5:5">
      <c r="E5249" t="e">
        <f t="shared" si="83"/>
        <v>#N/A</v>
      </c>
    </row>
    <row r="5250" spans="5:5">
      <c r="E5250" t="e">
        <f t="shared" si="83"/>
        <v>#N/A</v>
      </c>
    </row>
    <row r="5251" spans="5:5">
      <c r="E5251" t="e">
        <f t="shared" si="83"/>
        <v>#N/A</v>
      </c>
    </row>
    <row r="5252" spans="5:5">
      <c r="E5252" t="e">
        <f t="shared" si="83"/>
        <v>#N/A</v>
      </c>
    </row>
    <row r="5253" spans="5:5">
      <c r="E5253" t="e">
        <f t="shared" si="83"/>
        <v>#N/A</v>
      </c>
    </row>
    <row r="5254" spans="5:5">
      <c r="E5254" t="e">
        <f t="shared" si="83"/>
        <v>#N/A</v>
      </c>
    </row>
    <row r="5255" spans="5:5">
      <c r="E5255" t="e">
        <f t="shared" si="83"/>
        <v>#N/A</v>
      </c>
    </row>
    <row r="5256" spans="5:5">
      <c r="E5256" t="e">
        <f t="shared" si="83"/>
        <v>#N/A</v>
      </c>
    </row>
    <row r="5257" spans="5:5">
      <c r="E5257" t="e">
        <f t="shared" si="83"/>
        <v>#N/A</v>
      </c>
    </row>
    <row r="5258" spans="5:5">
      <c r="E5258" t="e">
        <f t="shared" si="83"/>
        <v>#N/A</v>
      </c>
    </row>
    <row r="5259" spans="5:5">
      <c r="E5259" t="e">
        <f t="shared" si="83"/>
        <v>#N/A</v>
      </c>
    </row>
    <row r="5260" spans="5:5">
      <c r="E5260" t="e">
        <f t="shared" si="83"/>
        <v>#N/A</v>
      </c>
    </row>
    <row r="5261" spans="5:5">
      <c r="E5261" t="e">
        <f t="shared" ref="E5261:E5324" si="84">VLOOKUP(B5261,$Q$13:$R$61,2,FALSE)</f>
        <v>#N/A</v>
      </c>
    </row>
    <row r="5262" spans="5:5">
      <c r="E5262" t="e">
        <f t="shared" si="84"/>
        <v>#N/A</v>
      </c>
    </row>
    <row r="5263" spans="5:5">
      <c r="E5263" t="e">
        <f t="shared" si="84"/>
        <v>#N/A</v>
      </c>
    </row>
    <row r="5264" spans="5:5">
      <c r="E5264" t="e">
        <f t="shared" si="84"/>
        <v>#N/A</v>
      </c>
    </row>
    <row r="5265" spans="5:5">
      <c r="E5265" t="e">
        <f t="shared" si="84"/>
        <v>#N/A</v>
      </c>
    </row>
    <row r="5266" spans="5:5">
      <c r="E5266" t="e">
        <f t="shared" si="84"/>
        <v>#N/A</v>
      </c>
    </row>
    <row r="5267" spans="5:5">
      <c r="E5267" t="e">
        <f t="shared" si="84"/>
        <v>#N/A</v>
      </c>
    </row>
    <row r="5268" spans="5:5">
      <c r="E5268" t="e">
        <f t="shared" si="84"/>
        <v>#N/A</v>
      </c>
    </row>
    <row r="5269" spans="5:5">
      <c r="E5269" t="e">
        <f t="shared" si="84"/>
        <v>#N/A</v>
      </c>
    </row>
    <row r="5270" spans="5:5">
      <c r="E5270" t="e">
        <f t="shared" si="84"/>
        <v>#N/A</v>
      </c>
    </row>
    <row r="5271" spans="5:5">
      <c r="E5271" t="e">
        <f t="shared" si="84"/>
        <v>#N/A</v>
      </c>
    </row>
    <row r="5272" spans="5:5">
      <c r="E5272" t="e">
        <f t="shared" si="84"/>
        <v>#N/A</v>
      </c>
    </row>
    <row r="5273" spans="5:5">
      <c r="E5273" t="e">
        <f t="shared" si="84"/>
        <v>#N/A</v>
      </c>
    </row>
    <row r="5274" spans="5:5">
      <c r="E5274" t="e">
        <f t="shared" si="84"/>
        <v>#N/A</v>
      </c>
    </row>
    <row r="5275" spans="5:5">
      <c r="E5275" t="e">
        <f t="shared" si="84"/>
        <v>#N/A</v>
      </c>
    </row>
    <row r="5276" spans="5:5">
      <c r="E5276" t="e">
        <f t="shared" si="84"/>
        <v>#N/A</v>
      </c>
    </row>
    <row r="5277" spans="5:5">
      <c r="E5277" t="e">
        <f t="shared" si="84"/>
        <v>#N/A</v>
      </c>
    </row>
    <row r="5278" spans="5:5">
      <c r="E5278" t="e">
        <f t="shared" si="84"/>
        <v>#N/A</v>
      </c>
    </row>
    <row r="5279" spans="5:5">
      <c r="E5279" t="e">
        <f t="shared" si="84"/>
        <v>#N/A</v>
      </c>
    </row>
    <row r="5280" spans="5:5">
      <c r="E5280" t="e">
        <f t="shared" si="84"/>
        <v>#N/A</v>
      </c>
    </row>
    <row r="5281" spans="5:5">
      <c r="E5281" t="e">
        <f t="shared" si="84"/>
        <v>#N/A</v>
      </c>
    </row>
    <row r="5282" spans="5:5">
      <c r="E5282" t="e">
        <f t="shared" si="84"/>
        <v>#N/A</v>
      </c>
    </row>
    <row r="5283" spans="5:5">
      <c r="E5283" t="e">
        <f t="shared" si="84"/>
        <v>#N/A</v>
      </c>
    </row>
    <row r="5284" spans="5:5">
      <c r="E5284" t="e">
        <f t="shared" si="84"/>
        <v>#N/A</v>
      </c>
    </row>
    <row r="5285" spans="5:5">
      <c r="E5285" t="e">
        <f t="shared" si="84"/>
        <v>#N/A</v>
      </c>
    </row>
    <row r="5286" spans="5:5">
      <c r="E5286" t="e">
        <f t="shared" si="84"/>
        <v>#N/A</v>
      </c>
    </row>
    <row r="5287" spans="5:5">
      <c r="E5287" t="e">
        <f t="shared" si="84"/>
        <v>#N/A</v>
      </c>
    </row>
    <row r="5288" spans="5:5">
      <c r="E5288" t="e">
        <f t="shared" si="84"/>
        <v>#N/A</v>
      </c>
    </row>
    <row r="5289" spans="5:5">
      <c r="E5289" t="e">
        <f t="shared" si="84"/>
        <v>#N/A</v>
      </c>
    </row>
    <row r="5290" spans="5:5">
      <c r="E5290" t="e">
        <f t="shared" si="84"/>
        <v>#N/A</v>
      </c>
    </row>
    <row r="5291" spans="5:5">
      <c r="E5291" t="e">
        <f t="shared" si="84"/>
        <v>#N/A</v>
      </c>
    </row>
    <row r="5292" spans="5:5">
      <c r="E5292" t="e">
        <f t="shared" si="84"/>
        <v>#N/A</v>
      </c>
    </row>
    <row r="5293" spans="5:5">
      <c r="E5293" t="e">
        <f t="shared" si="84"/>
        <v>#N/A</v>
      </c>
    </row>
    <row r="5294" spans="5:5">
      <c r="E5294" t="e">
        <f t="shared" si="84"/>
        <v>#N/A</v>
      </c>
    </row>
    <row r="5295" spans="5:5">
      <c r="E5295" t="e">
        <f t="shared" si="84"/>
        <v>#N/A</v>
      </c>
    </row>
    <row r="5296" spans="5:5">
      <c r="E5296" t="e">
        <f t="shared" si="84"/>
        <v>#N/A</v>
      </c>
    </row>
    <row r="5297" spans="5:5">
      <c r="E5297" t="e">
        <f t="shared" si="84"/>
        <v>#N/A</v>
      </c>
    </row>
    <row r="5298" spans="5:5">
      <c r="E5298" t="e">
        <f t="shared" si="84"/>
        <v>#N/A</v>
      </c>
    </row>
    <row r="5299" spans="5:5">
      <c r="E5299" t="e">
        <f t="shared" si="84"/>
        <v>#N/A</v>
      </c>
    </row>
    <row r="5300" spans="5:5">
      <c r="E5300" t="e">
        <f t="shared" si="84"/>
        <v>#N/A</v>
      </c>
    </row>
    <row r="5301" spans="5:5">
      <c r="E5301" t="e">
        <f t="shared" si="84"/>
        <v>#N/A</v>
      </c>
    </row>
    <row r="5302" spans="5:5">
      <c r="E5302" t="e">
        <f t="shared" si="84"/>
        <v>#N/A</v>
      </c>
    </row>
    <row r="5303" spans="5:5">
      <c r="E5303" t="e">
        <f t="shared" si="84"/>
        <v>#N/A</v>
      </c>
    </row>
    <row r="5304" spans="5:5">
      <c r="E5304" t="e">
        <f t="shared" si="84"/>
        <v>#N/A</v>
      </c>
    </row>
    <row r="5305" spans="5:5">
      <c r="E5305" t="e">
        <f t="shared" si="84"/>
        <v>#N/A</v>
      </c>
    </row>
    <row r="5306" spans="5:5">
      <c r="E5306" t="e">
        <f t="shared" si="84"/>
        <v>#N/A</v>
      </c>
    </row>
    <row r="5307" spans="5:5">
      <c r="E5307" t="e">
        <f t="shared" si="84"/>
        <v>#N/A</v>
      </c>
    </row>
    <row r="5308" spans="5:5">
      <c r="E5308" t="e">
        <f t="shared" si="84"/>
        <v>#N/A</v>
      </c>
    </row>
    <row r="5309" spans="5:5">
      <c r="E5309" t="e">
        <f t="shared" si="84"/>
        <v>#N/A</v>
      </c>
    </row>
    <row r="5310" spans="5:5">
      <c r="E5310" t="e">
        <f t="shared" si="84"/>
        <v>#N/A</v>
      </c>
    </row>
    <row r="5311" spans="5:5">
      <c r="E5311" t="e">
        <f t="shared" si="84"/>
        <v>#N/A</v>
      </c>
    </row>
    <row r="5312" spans="5:5">
      <c r="E5312" t="e">
        <f t="shared" si="84"/>
        <v>#N/A</v>
      </c>
    </row>
    <row r="5313" spans="5:5">
      <c r="E5313" t="e">
        <f t="shared" si="84"/>
        <v>#N/A</v>
      </c>
    </row>
    <row r="5314" spans="5:5">
      <c r="E5314" t="e">
        <f t="shared" si="84"/>
        <v>#N/A</v>
      </c>
    </row>
    <row r="5315" spans="5:5">
      <c r="E5315" t="e">
        <f t="shared" si="84"/>
        <v>#N/A</v>
      </c>
    </row>
    <row r="5316" spans="5:5">
      <c r="E5316" t="e">
        <f t="shared" si="84"/>
        <v>#N/A</v>
      </c>
    </row>
    <row r="5317" spans="5:5">
      <c r="E5317" t="e">
        <f t="shared" si="84"/>
        <v>#N/A</v>
      </c>
    </row>
    <row r="5318" spans="5:5">
      <c r="E5318" t="e">
        <f t="shared" si="84"/>
        <v>#N/A</v>
      </c>
    </row>
    <row r="5319" spans="5:5">
      <c r="E5319" t="e">
        <f t="shared" si="84"/>
        <v>#N/A</v>
      </c>
    </row>
    <row r="5320" spans="5:5">
      <c r="E5320" t="e">
        <f t="shared" si="84"/>
        <v>#N/A</v>
      </c>
    </row>
    <row r="5321" spans="5:5">
      <c r="E5321" t="e">
        <f t="shared" si="84"/>
        <v>#N/A</v>
      </c>
    </row>
    <row r="5322" spans="5:5">
      <c r="E5322" t="e">
        <f t="shared" si="84"/>
        <v>#N/A</v>
      </c>
    </row>
    <row r="5323" spans="5:5">
      <c r="E5323" t="e">
        <f t="shared" si="84"/>
        <v>#N/A</v>
      </c>
    </row>
    <row r="5324" spans="5:5">
      <c r="E5324" t="e">
        <f t="shared" si="84"/>
        <v>#N/A</v>
      </c>
    </row>
    <row r="5325" spans="5:5">
      <c r="E5325" t="e">
        <f t="shared" ref="E5325:E5388" si="85">VLOOKUP(B5325,$Q$13:$R$61,2,FALSE)</f>
        <v>#N/A</v>
      </c>
    </row>
    <row r="5326" spans="5:5">
      <c r="E5326" t="e">
        <f t="shared" si="85"/>
        <v>#N/A</v>
      </c>
    </row>
    <row r="5327" spans="5:5">
      <c r="E5327" t="e">
        <f t="shared" si="85"/>
        <v>#N/A</v>
      </c>
    </row>
    <row r="5328" spans="5:5">
      <c r="E5328" t="e">
        <f t="shared" si="85"/>
        <v>#N/A</v>
      </c>
    </row>
    <row r="5329" spans="5:5">
      <c r="E5329" t="e">
        <f t="shared" si="85"/>
        <v>#N/A</v>
      </c>
    </row>
    <row r="5330" spans="5:5">
      <c r="E5330" t="e">
        <f t="shared" si="85"/>
        <v>#N/A</v>
      </c>
    </row>
    <row r="5331" spans="5:5">
      <c r="E5331" t="e">
        <f t="shared" si="85"/>
        <v>#N/A</v>
      </c>
    </row>
    <row r="5332" spans="5:5">
      <c r="E5332" t="e">
        <f t="shared" si="85"/>
        <v>#N/A</v>
      </c>
    </row>
    <row r="5333" spans="5:5">
      <c r="E5333" t="e">
        <f t="shared" si="85"/>
        <v>#N/A</v>
      </c>
    </row>
    <row r="5334" spans="5:5">
      <c r="E5334" t="e">
        <f t="shared" si="85"/>
        <v>#N/A</v>
      </c>
    </row>
    <row r="5335" spans="5:5">
      <c r="E5335" t="e">
        <f t="shared" si="85"/>
        <v>#N/A</v>
      </c>
    </row>
    <row r="5336" spans="5:5">
      <c r="E5336" t="e">
        <f t="shared" si="85"/>
        <v>#N/A</v>
      </c>
    </row>
    <row r="5337" spans="5:5">
      <c r="E5337" t="e">
        <f t="shared" si="85"/>
        <v>#N/A</v>
      </c>
    </row>
    <row r="5338" spans="5:5">
      <c r="E5338" t="e">
        <f t="shared" si="85"/>
        <v>#N/A</v>
      </c>
    </row>
    <row r="5339" spans="5:5">
      <c r="E5339" t="e">
        <f t="shared" si="85"/>
        <v>#N/A</v>
      </c>
    </row>
    <row r="5340" spans="5:5">
      <c r="E5340" t="e">
        <f t="shared" si="85"/>
        <v>#N/A</v>
      </c>
    </row>
    <row r="5341" spans="5:5">
      <c r="E5341" t="e">
        <f t="shared" si="85"/>
        <v>#N/A</v>
      </c>
    </row>
    <row r="5342" spans="5:5">
      <c r="E5342" t="e">
        <f t="shared" si="85"/>
        <v>#N/A</v>
      </c>
    </row>
    <row r="5343" spans="5:5">
      <c r="E5343" t="e">
        <f t="shared" si="85"/>
        <v>#N/A</v>
      </c>
    </row>
    <row r="5344" spans="5:5">
      <c r="E5344" t="e">
        <f t="shared" si="85"/>
        <v>#N/A</v>
      </c>
    </row>
    <row r="5345" spans="5:5">
      <c r="E5345" t="e">
        <f t="shared" si="85"/>
        <v>#N/A</v>
      </c>
    </row>
    <row r="5346" spans="5:5">
      <c r="E5346" t="e">
        <f t="shared" si="85"/>
        <v>#N/A</v>
      </c>
    </row>
    <row r="5347" spans="5:5">
      <c r="E5347" t="e">
        <f t="shared" si="85"/>
        <v>#N/A</v>
      </c>
    </row>
    <row r="5348" spans="5:5">
      <c r="E5348" t="e">
        <f t="shared" si="85"/>
        <v>#N/A</v>
      </c>
    </row>
    <row r="5349" spans="5:5">
      <c r="E5349" t="e">
        <f t="shared" si="85"/>
        <v>#N/A</v>
      </c>
    </row>
    <row r="5350" spans="5:5">
      <c r="E5350" t="e">
        <f t="shared" si="85"/>
        <v>#N/A</v>
      </c>
    </row>
    <row r="5351" spans="5:5">
      <c r="E5351" t="e">
        <f t="shared" si="85"/>
        <v>#N/A</v>
      </c>
    </row>
    <row r="5352" spans="5:5">
      <c r="E5352" t="e">
        <f t="shared" si="85"/>
        <v>#N/A</v>
      </c>
    </row>
    <row r="5353" spans="5:5">
      <c r="E5353" t="e">
        <f t="shared" si="85"/>
        <v>#N/A</v>
      </c>
    </row>
    <row r="5354" spans="5:5">
      <c r="E5354" t="e">
        <f t="shared" si="85"/>
        <v>#N/A</v>
      </c>
    </row>
    <row r="5355" spans="5:5">
      <c r="E5355" t="e">
        <f t="shared" si="85"/>
        <v>#N/A</v>
      </c>
    </row>
    <row r="5356" spans="5:5">
      <c r="E5356" t="e">
        <f t="shared" si="85"/>
        <v>#N/A</v>
      </c>
    </row>
    <row r="5357" spans="5:5">
      <c r="E5357" t="e">
        <f t="shared" si="85"/>
        <v>#N/A</v>
      </c>
    </row>
    <row r="5358" spans="5:5">
      <c r="E5358" t="e">
        <f t="shared" si="85"/>
        <v>#N/A</v>
      </c>
    </row>
    <row r="5359" spans="5:5">
      <c r="E5359" t="e">
        <f t="shared" si="85"/>
        <v>#N/A</v>
      </c>
    </row>
    <row r="5360" spans="5:5">
      <c r="E5360" t="e">
        <f t="shared" si="85"/>
        <v>#N/A</v>
      </c>
    </row>
    <row r="5361" spans="5:5">
      <c r="E5361" t="e">
        <f t="shared" si="85"/>
        <v>#N/A</v>
      </c>
    </row>
    <row r="5362" spans="5:5">
      <c r="E5362" t="e">
        <f t="shared" si="85"/>
        <v>#N/A</v>
      </c>
    </row>
    <row r="5363" spans="5:5">
      <c r="E5363" t="e">
        <f t="shared" si="85"/>
        <v>#N/A</v>
      </c>
    </row>
    <row r="5364" spans="5:5">
      <c r="E5364" t="e">
        <f t="shared" si="85"/>
        <v>#N/A</v>
      </c>
    </row>
    <row r="5365" spans="5:5">
      <c r="E5365" t="e">
        <f t="shared" si="85"/>
        <v>#N/A</v>
      </c>
    </row>
    <row r="5366" spans="5:5">
      <c r="E5366" t="e">
        <f t="shared" si="85"/>
        <v>#N/A</v>
      </c>
    </row>
    <row r="5367" spans="5:5">
      <c r="E5367" t="e">
        <f t="shared" si="85"/>
        <v>#N/A</v>
      </c>
    </row>
    <row r="5368" spans="5:5">
      <c r="E5368" t="e">
        <f t="shared" si="85"/>
        <v>#N/A</v>
      </c>
    </row>
    <row r="5369" spans="5:5">
      <c r="E5369" t="e">
        <f t="shared" si="85"/>
        <v>#N/A</v>
      </c>
    </row>
    <row r="5370" spans="5:5">
      <c r="E5370" t="e">
        <f t="shared" si="85"/>
        <v>#N/A</v>
      </c>
    </row>
    <row r="5371" spans="5:5">
      <c r="E5371" t="e">
        <f t="shared" si="85"/>
        <v>#N/A</v>
      </c>
    </row>
    <row r="5372" spans="5:5">
      <c r="E5372" t="e">
        <f t="shared" si="85"/>
        <v>#N/A</v>
      </c>
    </row>
    <row r="5373" spans="5:5">
      <c r="E5373" t="e">
        <f t="shared" si="85"/>
        <v>#N/A</v>
      </c>
    </row>
    <row r="5374" spans="5:5">
      <c r="E5374" t="e">
        <f t="shared" si="85"/>
        <v>#N/A</v>
      </c>
    </row>
    <row r="5375" spans="5:5">
      <c r="E5375" t="e">
        <f t="shared" si="85"/>
        <v>#N/A</v>
      </c>
    </row>
    <row r="5376" spans="5:5">
      <c r="E5376" t="e">
        <f t="shared" si="85"/>
        <v>#N/A</v>
      </c>
    </row>
    <row r="5377" spans="5:5">
      <c r="E5377" t="e">
        <f t="shared" si="85"/>
        <v>#N/A</v>
      </c>
    </row>
    <row r="5378" spans="5:5">
      <c r="E5378" t="e">
        <f t="shared" si="85"/>
        <v>#N/A</v>
      </c>
    </row>
    <row r="5379" spans="5:5">
      <c r="E5379" t="e">
        <f t="shared" si="85"/>
        <v>#N/A</v>
      </c>
    </row>
    <row r="5380" spans="5:5">
      <c r="E5380" t="e">
        <f t="shared" si="85"/>
        <v>#N/A</v>
      </c>
    </row>
    <row r="5381" spans="5:5">
      <c r="E5381" t="e">
        <f t="shared" si="85"/>
        <v>#N/A</v>
      </c>
    </row>
    <row r="5382" spans="5:5">
      <c r="E5382" t="e">
        <f t="shared" si="85"/>
        <v>#N/A</v>
      </c>
    </row>
    <row r="5383" spans="5:5">
      <c r="E5383" t="e">
        <f t="shared" si="85"/>
        <v>#N/A</v>
      </c>
    </row>
    <row r="5384" spans="5:5">
      <c r="E5384" t="e">
        <f t="shared" si="85"/>
        <v>#N/A</v>
      </c>
    </row>
    <row r="5385" spans="5:5">
      <c r="E5385" t="e">
        <f t="shared" si="85"/>
        <v>#N/A</v>
      </c>
    </row>
    <row r="5386" spans="5:5">
      <c r="E5386" t="e">
        <f t="shared" si="85"/>
        <v>#N/A</v>
      </c>
    </row>
    <row r="5387" spans="5:5">
      <c r="E5387" t="e">
        <f t="shared" si="85"/>
        <v>#N/A</v>
      </c>
    </row>
    <row r="5388" spans="5:5">
      <c r="E5388" t="e">
        <f t="shared" si="85"/>
        <v>#N/A</v>
      </c>
    </row>
    <row r="5389" spans="5:5">
      <c r="E5389" t="e">
        <f t="shared" ref="E5389:E5452" si="86">VLOOKUP(B5389,$Q$13:$R$61,2,FALSE)</f>
        <v>#N/A</v>
      </c>
    </row>
    <row r="5390" spans="5:5">
      <c r="E5390" t="e">
        <f t="shared" si="86"/>
        <v>#N/A</v>
      </c>
    </row>
    <row r="5391" spans="5:5">
      <c r="E5391" t="e">
        <f t="shared" si="86"/>
        <v>#N/A</v>
      </c>
    </row>
    <row r="5392" spans="5:5">
      <c r="E5392" t="e">
        <f t="shared" si="86"/>
        <v>#N/A</v>
      </c>
    </row>
    <row r="5393" spans="5:5">
      <c r="E5393" t="e">
        <f t="shared" si="86"/>
        <v>#N/A</v>
      </c>
    </row>
    <row r="5394" spans="5:5">
      <c r="E5394" t="e">
        <f t="shared" si="86"/>
        <v>#N/A</v>
      </c>
    </row>
    <row r="5395" spans="5:5">
      <c r="E5395" t="e">
        <f t="shared" si="86"/>
        <v>#N/A</v>
      </c>
    </row>
    <row r="5396" spans="5:5">
      <c r="E5396" t="e">
        <f t="shared" si="86"/>
        <v>#N/A</v>
      </c>
    </row>
    <row r="5397" spans="5:5">
      <c r="E5397" t="e">
        <f t="shared" si="86"/>
        <v>#N/A</v>
      </c>
    </row>
    <row r="5398" spans="5:5">
      <c r="E5398" t="e">
        <f t="shared" si="86"/>
        <v>#N/A</v>
      </c>
    </row>
    <row r="5399" spans="5:5">
      <c r="E5399" t="e">
        <f t="shared" si="86"/>
        <v>#N/A</v>
      </c>
    </row>
    <row r="5400" spans="5:5">
      <c r="E5400" t="e">
        <f t="shared" si="86"/>
        <v>#N/A</v>
      </c>
    </row>
    <row r="5401" spans="5:5">
      <c r="E5401" t="e">
        <f t="shared" si="86"/>
        <v>#N/A</v>
      </c>
    </row>
    <row r="5402" spans="5:5">
      <c r="E5402" t="e">
        <f t="shared" si="86"/>
        <v>#N/A</v>
      </c>
    </row>
    <row r="5403" spans="5:5">
      <c r="E5403" t="e">
        <f t="shared" si="86"/>
        <v>#N/A</v>
      </c>
    </row>
    <row r="5404" spans="5:5">
      <c r="E5404" t="e">
        <f t="shared" si="86"/>
        <v>#N/A</v>
      </c>
    </row>
    <row r="5405" spans="5:5">
      <c r="E5405" t="e">
        <f t="shared" si="86"/>
        <v>#N/A</v>
      </c>
    </row>
    <row r="5406" spans="5:5">
      <c r="E5406" t="e">
        <f t="shared" si="86"/>
        <v>#N/A</v>
      </c>
    </row>
    <row r="5407" spans="5:5">
      <c r="E5407" t="e">
        <f t="shared" si="86"/>
        <v>#N/A</v>
      </c>
    </row>
    <row r="5408" spans="5:5">
      <c r="E5408" t="e">
        <f t="shared" si="86"/>
        <v>#N/A</v>
      </c>
    </row>
    <row r="5409" spans="5:5">
      <c r="E5409" t="e">
        <f t="shared" si="86"/>
        <v>#N/A</v>
      </c>
    </row>
    <row r="5410" spans="5:5">
      <c r="E5410" t="e">
        <f t="shared" si="86"/>
        <v>#N/A</v>
      </c>
    </row>
    <row r="5411" spans="5:5">
      <c r="E5411" t="e">
        <f t="shared" si="86"/>
        <v>#N/A</v>
      </c>
    </row>
    <row r="5412" spans="5:5">
      <c r="E5412" t="e">
        <f t="shared" si="86"/>
        <v>#N/A</v>
      </c>
    </row>
    <row r="5413" spans="5:5">
      <c r="E5413" t="e">
        <f t="shared" si="86"/>
        <v>#N/A</v>
      </c>
    </row>
    <row r="5414" spans="5:5">
      <c r="E5414" t="e">
        <f t="shared" si="86"/>
        <v>#N/A</v>
      </c>
    </row>
    <row r="5415" spans="5:5">
      <c r="E5415" t="e">
        <f t="shared" si="86"/>
        <v>#N/A</v>
      </c>
    </row>
    <row r="5416" spans="5:5">
      <c r="E5416" t="e">
        <f t="shared" si="86"/>
        <v>#N/A</v>
      </c>
    </row>
    <row r="5417" spans="5:5">
      <c r="E5417" t="e">
        <f t="shared" si="86"/>
        <v>#N/A</v>
      </c>
    </row>
    <row r="5418" spans="5:5">
      <c r="E5418" t="e">
        <f t="shared" si="86"/>
        <v>#N/A</v>
      </c>
    </row>
    <row r="5419" spans="5:5">
      <c r="E5419" t="e">
        <f t="shared" si="86"/>
        <v>#N/A</v>
      </c>
    </row>
    <row r="5420" spans="5:5">
      <c r="E5420" t="e">
        <f t="shared" si="86"/>
        <v>#N/A</v>
      </c>
    </row>
    <row r="5421" spans="5:5">
      <c r="E5421" t="e">
        <f t="shared" si="86"/>
        <v>#N/A</v>
      </c>
    </row>
    <row r="5422" spans="5:5">
      <c r="E5422" t="e">
        <f t="shared" si="86"/>
        <v>#N/A</v>
      </c>
    </row>
    <row r="5423" spans="5:5">
      <c r="E5423" t="e">
        <f t="shared" si="86"/>
        <v>#N/A</v>
      </c>
    </row>
    <row r="5424" spans="5:5">
      <c r="E5424" t="e">
        <f t="shared" si="86"/>
        <v>#N/A</v>
      </c>
    </row>
    <row r="5425" spans="5:5">
      <c r="E5425" t="e">
        <f t="shared" si="86"/>
        <v>#N/A</v>
      </c>
    </row>
    <row r="5426" spans="5:5">
      <c r="E5426" t="e">
        <f t="shared" si="86"/>
        <v>#N/A</v>
      </c>
    </row>
    <row r="5427" spans="5:5">
      <c r="E5427" t="e">
        <f t="shared" si="86"/>
        <v>#N/A</v>
      </c>
    </row>
    <row r="5428" spans="5:5">
      <c r="E5428" t="e">
        <f t="shared" si="86"/>
        <v>#N/A</v>
      </c>
    </row>
    <row r="5429" spans="5:5">
      <c r="E5429" t="e">
        <f t="shared" si="86"/>
        <v>#N/A</v>
      </c>
    </row>
    <row r="5430" spans="5:5">
      <c r="E5430" t="e">
        <f t="shared" si="86"/>
        <v>#N/A</v>
      </c>
    </row>
    <row r="5431" spans="5:5">
      <c r="E5431" t="e">
        <f t="shared" si="86"/>
        <v>#N/A</v>
      </c>
    </row>
    <row r="5432" spans="5:5">
      <c r="E5432" t="e">
        <f t="shared" si="86"/>
        <v>#N/A</v>
      </c>
    </row>
    <row r="5433" spans="5:5">
      <c r="E5433" t="e">
        <f t="shared" si="86"/>
        <v>#N/A</v>
      </c>
    </row>
    <row r="5434" spans="5:5">
      <c r="E5434" t="e">
        <f t="shared" si="86"/>
        <v>#N/A</v>
      </c>
    </row>
    <row r="5435" spans="5:5">
      <c r="E5435" t="e">
        <f t="shared" si="86"/>
        <v>#N/A</v>
      </c>
    </row>
    <row r="5436" spans="5:5">
      <c r="E5436" t="e">
        <f t="shared" si="86"/>
        <v>#N/A</v>
      </c>
    </row>
    <row r="5437" spans="5:5">
      <c r="E5437" t="e">
        <f t="shared" si="86"/>
        <v>#N/A</v>
      </c>
    </row>
    <row r="5438" spans="5:5">
      <c r="E5438" t="e">
        <f t="shared" si="86"/>
        <v>#N/A</v>
      </c>
    </row>
    <row r="5439" spans="5:5">
      <c r="E5439" t="e">
        <f t="shared" si="86"/>
        <v>#N/A</v>
      </c>
    </row>
    <row r="5440" spans="5:5">
      <c r="E5440" t="e">
        <f t="shared" si="86"/>
        <v>#N/A</v>
      </c>
    </row>
    <row r="5441" spans="5:5">
      <c r="E5441" t="e">
        <f t="shared" si="86"/>
        <v>#N/A</v>
      </c>
    </row>
    <row r="5442" spans="5:5">
      <c r="E5442" t="e">
        <f t="shared" si="86"/>
        <v>#N/A</v>
      </c>
    </row>
    <row r="5443" spans="5:5">
      <c r="E5443" t="e">
        <f t="shared" si="86"/>
        <v>#N/A</v>
      </c>
    </row>
    <row r="5444" spans="5:5">
      <c r="E5444" t="e">
        <f t="shared" si="86"/>
        <v>#N/A</v>
      </c>
    </row>
    <row r="5445" spans="5:5">
      <c r="E5445" t="e">
        <f t="shared" si="86"/>
        <v>#N/A</v>
      </c>
    </row>
    <row r="5446" spans="5:5">
      <c r="E5446" t="e">
        <f t="shared" si="86"/>
        <v>#N/A</v>
      </c>
    </row>
    <row r="5447" spans="5:5">
      <c r="E5447" t="e">
        <f t="shared" si="86"/>
        <v>#N/A</v>
      </c>
    </row>
    <row r="5448" spans="5:5">
      <c r="E5448" t="e">
        <f t="shared" si="86"/>
        <v>#N/A</v>
      </c>
    </row>
    <row r="5449" spans="5:5">
      <c r="E5449" t="e">
        <f t="shared" si="86"/>
        <v>#N/A</v>
      </c>
    </row>
    <row r="5450" spans="5:5">
      <c r="E5450" t="e">
        <f t="shared" si="86"/>
        <v>#N/A</v>
      </c>
    </row>
    <row r="5451" spans="5:5">
      <c r="E5451" t="e">
        <f t="shared" si="86"/>
        <v>#N/A</v>
      </c>
    </row>
    <row r="5452" spans="5:5">
      <c r="E5452" t="e">
        <f t="shared" si="86"/>
        <v>#N/A</v>
      </c>
    </row>
    <row r="5453" spans="5:5">
      <c r="E5453" t="e">
        <f t="shared" ref="E5453:E5516" si="87">VLOOKUP(B5453,$Q$13:$R$61,2,FALSE)</f>
        <v>#N/A</v>
      </c>
    </row>
    <row r="5454" spans="5:5">
      <c r="E5454" t="e">
        <f t="shared" si="87"/>
        <v>#N/A</v>
      </c>
    </row>
    <row r="5455" spans="5:5">
      <c r="E5455" t="e">
        <f t="shared" si="87"/>
        <v>#N/A</v>
      </c>
    </row>
    <row r="5456" spans="5:5">
      <c r="E5456" t="e">
        <f t="shared" si="87"/>
        <v>#N/A</v>
      </c>
    </row>
    <row r="5457" spans="5:5">
      <c r="E5457" t="e">
        <f t="shared" si="87"/>
        <v>#N/A</v>
      </c>
    </row>
    <row r="5458" spans="5:5">
      <c r="E5458" t="e">
        <f t="shared" si="87"/>
        <v>#N/A</v>
      </c>
    </row>
    <row r="5459" spans="5:5">
      <c r="E5459" t="e">
        <f t="shared" si="87"/>
        <v>#N/A</v>
      </c>
    </row>
    <row r="5460" spans="5:5">
      <c r="E5460" t="e">
        <f t="shared" si="87"/>
        <v>#N/A</v>
      </c>
    </row>
    <row r="5461" spans="5:5">
      <c r="E5461" t="e">
        <f t="shared" si="87"/>
        <v>#N/A</v>
      </c>
    </row>
    <row r="5462" spans="5:5">
      <c r="E5462" t="e">
        <f t="shared" si="87"/>
        <v>#N/A</v>
      </c>
    </row>
    <row r="5463" spans="5:5">
      <c r="E5463" t="e">
        <f t="shared" si="87"/>
        <v>#N/A</v>
      </c>
    </row>
    <row r="5464" spans="5:5">
      <c r="E5464" t="e">
        <f t="shared" si="87"/>
        <v>#N/A</v>
      </c>
    </row>
    <row r="5465" spans="5:5">
      <c r="E5465" t="e">
        <f t="shared" si="87"/>
        <v>#N/A</v>
      </c>
    </row>
    <row r="5466" spans="5:5">
      <c r="E5466" t="e">
        <f t="shared" si="87"/>
        <v>#N/A</v>
      </c>
    </row>
    <row r="5467" spans="5:5">
      <c r="E5467" t="e">
        <f t="shared" si="87"/>
        <v>#N/A</v>
      </c>
    </row>
    <row r="5468" spans="5:5">
      <c r="E5468" t="e">
        <f t="shared" si="87"/>
        <v>#N/A</v>
      </c>
    </row>
    <row r="5469" spans="5:5">
      <c r="E5469" t="e">
        <f t="shared" si="87"/>
        <v>#N/A</v>
      </c>
    </row>
    <row r="5470" spans="5:5">
      <c r="E5470" t="e">
        <f t="shared" si="87"/>
        <v>#N/A</v>
      </c>
    </row>
    <row r="5471" spans="5:5">
      <c r="E5471" t="e">
        <f t="shared" si="87"/>
        <v>#N/A</v>
      </c>
    </row>
    <row r="5472" spans="5:5">
      <c r="E5472" t="e">
        <f t="shared" si="87"/>
        <v>#N/A</v>
      </c>
    </row>
    <row r="5473" spans="5:5">
      <c r="E5473" t="e">
        <f t="shared" si="87"/>
        <v>#N/A</v>
      </c>
    </row>
    <row r="5474" spans="5:5">
      <c r="E5474" t="e">
        <f t="shared" si="87"/>
        <v>#N/A</v>
      </c>
    </row>
    <row r="5475" spans="5:5">
      <c r="E5475" t="e">
        <f t="shared" si="87"/>
        <v>#N/A</v>
      </c>
    </row>
    <row r="5476" spans="5:5">
      <c r="E5476" t="e">
        <f t="shared" si="87"/>
        <v>#N/A</v>
      </c>
    </row>
    <row r="5477" spans="5:5">
      <c r="E5477" t="e">
        <f t="shared" si="87"/>
        <v>#N/A</v>
      </c>
    </row>
    <row r="5478" spans="5:5">
      <c r="E5478" t="e">
        <f t="shared" si="87"/>
        <v>#N/A</v>
      </c>
    </row>
    <row r="5479" spans="5:5">
      <c r="E5479" t="e">
        <f t="shared" si="87"/>
        <v>#N/A</v>
      </c>
    </row>
    <row r="5480" spans="5:5">
      <c r="E5480" t="e">
        <f t="shared" si="87"/>
        <v>#N/A</v>
      </c>
    </row>
    <row r="5481" spans="5:5">
      <c r="E5481" t="e">
        <f t="shared" si="87"/>
        <v>#N/A</v>
      </c>
    </row>
    <row r="5482" spans="5:5">
      <c r="E5482" t="e">
        <f t="shared" si="87"/>
        <v>#N/A</v>
      </c>
    </row>
    <row r="5483" spans="5:5">
      <c r="E5483" t="e">
        <f t="shared" si="87"/>
        <v>#N/A</v>
      </c>
    </row>
    <row r="5484" spans="5:5">
      <c r="E5484" t="e">
        <f t="shared" si="87"/>
        <v>#N/A</v>
      </c>
    </row>
    <row r="5485" spans="5:5">
      <c r="E5485" t="e">
        <f t="shared" si="87"/>
        <v>#N/A</v>
      </c>
    </row>
    <row r="5486" spans="5:5">
      <c r="E5486" t="e">
        <f t="shared" si="87"/>
        <v>#N/A</v>
      </c>
    </row>
    <row r="5487" spans="5:5">
      <c r="E5487" t="e">
        <f t="shared" si="87"/>
        <v>#N/A</v>
      </c>
    </row>
    <row r="5488" spans="5:5">
      <c r="E5488" t="e">
        <f t="shared" si="87"/>
        <v>#N/A</v>
      </c>
    </row>
    <row r="5489" spans="5:5">
      <c r="E5489" t="e">
        <f t="shared" si="87"/>
        <v>#N/A</v>
      </c>
    </row>
    <row r="5490" spans="5:5">
      <c r="E5490" t="e">
        <f t="shared" si="87"/>
        <v>#N/A</v>
      </c>
    </row>
    <row r="5491" spans="5:5">
      <c r="E5491" t="e">
        <f t="shared" si="87"/>
        <v>#N/A</v>
      </c>
    </row>
    <row r="5492" spans="5:5">
      <c r="E5492" t="e">
        <f t="shared" si="87"/>
        <v>#N/A</v>
      </c>
    </row>
    <row r="5493" spans="5:5">
      <c r="E5493" t="e">
        <f t="shared" si="87"/>
        <v>#N/A</v>
      </c>
    </row>
    <row r="5494" spans="5:5">
      <c r="E5494" t="e">
        <f t="shared" si="87"/>
        <v>#N/A</v>
      </c>
    </row>
    <row r="5495" spans="5:5">
      <c r="E5495" t="e">
        <f t="shared" si="87"/>
        <v>#N/A</v>
      </c>
    </row>
    <row r="5496" spans="5:5">
      <c r="E5496" t="e">
        <f t="shared" si="87"/>
        <v>#N/A</v>
      </c>
    </row>
    <row r="5497" spans="5:5">
      <c r="E5497" t="e">
        <f t="shared" si="87"/>
        <v>#N/A</v>
      </c>
    </row>
    <row r="5498" spans="5:5">
      <c r="E5498" t="e">
        <f t="shared" si="87"/>
        <v>#N/A</v>
      </c>
    </row>
    <row r="5499" spans="5:5">
      <c r="E5499" t="e">
        <f t="shared" si="87"/>
        <v>#N/A</v>
      </c>
    </row>
    <row r="5500" spans="5:5">
      <c r="E5500" t="e">
        <f t="shared" si="87"/>
        <v>#N/A</v>
      </c>
    </row>
    <row r="5501" spans="5:5">
      <c r="E5501" t="e">
        <f t="shared" si="87"/>
        <v>#N/A</v>
      </c>
    </row>
    <row r="5502" spans="5:5">
      <c r="E5502" t="e">
        <f t="shared" si="87"/>
        <v>#N/A</v>
      </c>
    </row>
    <row r="5503" spans="5:5">
      <c r="E5503" t="e">
        <f t="shared" si="87"/>
        <v>#N/A</v>
      </c>
    </row>
    <row r="5504" spans="5:5">
      <c r="E5504" t="e">
        <f t="shared" si="87"/>
        <v>#N/A</v>
      </c>
    </row>
    <row r="5505" spans="5:5">
      <c r="E5505" t="e">
        <f t="shared" si="87"/>
        <v>#N/A</v>
      </c>
    </row>
    <row r="5506" spans="5:5">
      <c r="E5506" t="e">
        <f t="shared" si="87"/>
        <v>#N/A</v>
      </c>
    </row>
    <row r="5507" spans="5:5">
      <c r="E5507" t="e">
        <f t="shared" si="87"/>
        <v>#N/A</v>
      </c>
    </row>
    <row r="5508" spans="5:5">
      <c r="E5508" t="e">
        <f t="shared" si="87"/>
        <v>#N/A</v>
      </c>
    </row>
    <row r="5509" spans="5:5">
      <c r="E5509" t="e">
        <f t="shared" si="87"/>
        <v>#N/A</v>
      </c>
    </row>
    <row r="5510" spans="5:5">
      <c r="E5510" t="e">
        <f t="shared" si="87"/>
        <v>#N/A</v>
      </c>
    </row>
    <row r="5511" spans="5:5">
      <c r="E5511" t="e">
        <f t="shared" si="87"/>
        <v>#N/A</v>
      </c>
    </row>
    <row r="5512" spans="5:5">
      <c r="E5512" t="e">
        <f t="shared" si="87"/>
        <v>#N/A</v>
      </c>
    </row>
    <row r="5513" spans="5:5">
      <c r="E5513" t="e">
        <f t="shared" si="87"/>
        <v>#N/A</v>
      </c>
    </row>
    <row r="5514" spans="5:5">
      <c r="E5514" t="e">
        <f t="shared" si="87"/>
        <v>#N/A</v>
      </c>
    </row>
    <row r="5515" spans="5:5">
      <c r="E5515" t="e">
        <f t="shared" si="87"/>
        <v>#N/A</v>
      </c>
    </row>
    <row r="5516" spans="5:5">
      <c r="E5516" t="e">
        <f t="shared" si="87"/>
        <v>#N/A</v>
      </c>
    </row>
    <row r="5517" spans="5:5">
      <c r="E5517" t="e">
        <f t="shared" ref="E5517:E5580" si="88">VLOOKUP(B5517,$Q$13:$R$61,2,FALSE)</f>
        <v>#N/A</v>
      </c>
    </row>
    <row r="5518" spans="5:5">
      <c r="E5518" t="e">
        <f t="shared" si="88"/>
        <v>#N/A</v>
      </c>
    </row>
    <row r="5519" spans="5:5">
      <c r="E5519" t="e">
        <f t="shared" si="88"/>
        <v>#N/A</v>
      </c>
    </row>
    <row r="5520" spans="5:5">
      <c r="E5520" t="e">
        <f t="shared" si="88"/>
        <v>#N/A</v>
      </c>
    </row>
    <row r="5521" spans="5:5">
      <c r="E5521" t="e">
        <f t="shared" si="88"/>
        <v>#N/A</v>
      </c>
    </row>
    <row r="5522" spans="5:5">
      <c r="E5522" t="e">
        <f t="shared" si="88"/>
        <v>#N/A</v>
      </c>
    </row>
    <row r="5523" spans="5:5">
      <c r="E5523" t="e">
        <f t="shared" si="88"/>
        <v>#N/A</v>
      </c>
    </row>
    <row r="5524" spans="5:5">
      <c r="E5524" t="e">
        <f t="shared" si="88"/>
        <v>#N/A</v>
      </c>
    </row>
    <row r="5525" spans="5:5">
      <c r="E5525" t="e">
        <f t="shared" si="88"/>
        <v>#N/A</v>
      </c>
    </row>
    <row r="5526" spans="5:5">
      <c r="E5526" t="e">
        <f t="shared" si="88"/>
        <v>#N/A</v>
      </c>
    </row>
    <row r="5527" spans="5:5">
      <c r="E5527" t="e">
        <f t="shared" si="88"/>
        <v>#N/A</v>
      </c>
    </row>
    <row r="5528" spans="5:5">
      <c r="E5528" t="e">
        <f t="shared" si="88"/>
        <v>#N/A</v>
      </c>
    </row>
    <row r="5529" spans="5:5">
      <c r="E5529" t="e">
        <f t="shared" si="88"/>
        <v>#N/A</v>
      </c>
    </row>
    <row r="5530" spans="5:5">
      <c r="E5530" t="e">
        <f t="shared" si="88"/>
        <v>#N/A</v>
      </c>
    </row>
    <row r="5531" spans="5:5">
      <c r="E5531" t="e">
        <f t="shared" si="88"/>
        <v>#N/A</v>
      </c>
    </row>
    <row r="5532" spans="5:5">
      <c r="E5532" t="e">
        <f t="shared" si="88"/>
        <v>#N/A</v>
      </c>
    </row>
    <row r="5533" spans="5:5">
      <c r="E5533" t="e">
        <f t="shared" si="88"/>
        <v>#N/A</v>
      </c>
    </row>
    <row r="5534" spans="5:5">
      <c r="E5534" t="e">
        <f t="shared" si="88"/>
        <v>#N/A</v>
      </c>
    </row>
    <row r="5535" spans="5:5">
      <c r="E5535" t="e">
        <f t="shared" si="88"/>
        <v>#N/A</v>
      </c>
    </row>
    <row r="5536" spans="5:5">
      <c r="E5536" t="e">
        <f t="shared" si="88"/>
        <v>#N/A</v>
      </c>
    </row>
    <row r="5537" spans="5:5">
      <c r="E5537" t="e">
        <f t="shared" si="88"/>
        <v>#N/A</v>
      </c>
    </row>
    <row r="5538" spans="5:5">
      <c r="E5538" t="e">
        <f t="shared" si="88"/>
        <v>#N/A</v>
      </c>
    </row>
    <row r="5539" spans="5:5">
      <c r="E5539" t="e">
        <f t="shared" si="88"/>
        <v>#N/A</v>
      </c>
    </row>
    <row r="5540" spans="5:5">
      <c r="E5540" t="e">
        <f t="shared" si="88"/>
        <v>#N/A</v>
      </c>
    </row>
    <row r="5541" spans="5:5">
      <c r="E5541" t="e">
        <f t="shared" si="88"/>
        <v>#N/A</v>
      </c>
    </row>
    <row r="5542" spans="5:5">
      <c r="E5542" t="e">
        <f t="shared" si="88"/>
        <v>#N/A</v>
      </c>
    </row>
    <row r="5543" spans="5:5">
      <c r="E5543" t="e">
        <f t="shared" si="88"/>
        <v>#N/A</v>
      </c>
    </row>
    <row r="5544" spans="5:5">
      <c r="E5544" t="e">
        <f t="shared" si="88"/>
        <v>#N/A</v>
      </c>
    </row>
    <row r="5545" spans="5:5">
      <c r="E5545" t="e">
        <f t="shared" si="88"/>
        <v>#N/A</v>
      </c>
    </row>
    <row r="5546" spans="5:5">
      <c r="E5546" t="e">
        <f t="shared" si="88"/>
        <v>#N/A</v>
      </c>
    </row>
    <row r="5547" spans="5:5">
      <c r="E5547" t="e">
        <f t="shared" si="88"/>
        <v>#N/A</v>
      </c>
    </row>
    <row r="5548" spans="5:5">
      <c r="E5548" t="e">
        <f t="shared" si="88"/>
        <v>#N/A</v>
      </c>
    </row>
    <row r="5549" spans="5:5">
      <c r="E5549" t="e">
        <f t="shared" si="88"/>
        <v>#N/A</v>
      </c>
    </row>
    <row r="5550" spans="5:5">
      <c r="E5550" t="e">
        <f t="shared" si="88"/>
        <v>#N/A</v>
      </c>
    </row>
    <row r="5551" spans="5:5">
      <c r="E5551" t="e">
        <f t="shared" si="88"/>
        <v>#N/A</v>
      </c>
    </row>
    <row r="5552" spans="5:5">
      <c r="E5552" t="e">
        <f t="shared" si="88"/>
        <v>#N/A</v>
      </c>
    </row>
    <row r="5553" spans="5:5">
      <c r="E5553" t="e">
        <f t="shared" si="88"/>
        <v>#N/A</v>
      </c>
    </row>
    <row r="5554" spans="5:5">
      <c r="E5554" t="e">
        <f t="shared" si="88"/>
        <v>#N/A</v>
      </c>
    </row>
    <row r="5555" spans="5:5">
      <c r="E5555" t="e">
        <f t="shared" si="88"/>
        <v>#N/A</v>
      </c>
    </row>
    <row r="5556" spans="5:5">
      <c r="E5556" t="e">
        <f t="shared" si="88"/>
        <v>#N/A</v>
      </c>
    </row>
    <row r="5557" spans="5:5">
      <c r="E5557" t="e">
        <f t="shared" si="88"/>
        <v>#N/A</v>
      </c>
    </row>
    <row r="5558" spans="5:5">
      <c r="E5558" t="e">
        <f t="shared" si="88"/>
        <v>#N/A</v>
      </c>
    </row>
    <row r="5559" spans="5:5">
      <c r="E5559" t="e">
        <f t="shared" si="88"/>
        <v>#N/A</v>
      </c>
    </row>
    <row r="5560" spans="5:5">
      <c r="E5560" t="e">
        <f t="shared" si="88"/>
        <v>#N/A</v>
      </c>
    </row>
    <row r="5561" spans="5:5">
      <c r="E5561" t="e">
        <f t="shared" si="88"/>
        <v>#N/A</v>
      </c>
    </row>
    <row r="5562" spans="5:5">
      <c r="E5562" t="e">
        <f t="shared" si="88"/>
        <v>#N/A</v>
      </c>
    </row>
    <row r="5563" spans="5:5">
      <c r="E5563" t="e">
        <f t="shared" si="88"/>
        <v>#N/A</v>
      </c>
    </row>
    <row r="5564" spans="5:5">
      <c r="E5564" t="e">
        <f t="shared" si="88"/>
        <v>#N/A</v>
      </c>
    </row>
    <row r="5565" spans="5:5">
      <c r="E5565" t="e">
        <f t="shared" si="88"/>
        <v>#N/A</v>
      </c>
    </row>
    <row r="5566" spans="5:5">
      <c r="E5566" t="e">
        <f t="shared" si="88"/>
        <v>#N/A</v>
      </c>
    </row>
    <row r="5567" spans="5:5">
      <c r="E5567" t="e">
        <f t="shared" si="88"/>
        <v>#N/A</v>
      </c>
    </row>
    <row r="5568" spans="5:5">
      <c r="E5568" t="e">
        <f t="shared" si="88"/>
        <v>#N/A</v>
      </c>
    </row>
    <row r="5569" spans="5:5">
      <c r="E5569" t="e">
        <f t="shared" si="88"/>
        <v>#N/A</v>
      </c>
    </row>
    <row r="5570" spans="5:5">
      <c r="E5570" t="e">
        <f t="shared" si="88"/>
        <v>#N/A</v>
      </c>
    </row>
    <row r="5571" spans="5:5">
      <c r="E5571" t="e">
        <f t="shared" si="88"/>
        <v>#N/A</v>
      </c>
    </row>
    <row r="5572" spans="5:5">
      <c r="E5572" t="e">
        <f t="shared" si="88"/>
        <v>#N/A</v>
      </c>
    </row>
    <row r="5573" spans="5:5">
      <c r="E5573" t="e">
        <f t="shared" si="88"/>
        <v>#N/A</v>
      </c>
    </row>
    <row r="5574" spans="5:5">
      <c r="E5574" t="e">
        <f t="shared" si="88"/>
        <v>#N/A</v>
      </c>
    </row>
    <row r="5575" spans="5:5">
      <c r="E5575" t="e">
        <f t="shared" si="88"/>
        <v>#N/A</v>
      </c>
    </row>
    <row r="5576" spans="5:5">
      <c r="E5576" t="e">
        <f t="shared" si="88"/>
        <v>#N/A</v>
      </c>
    </row>
    <row r="5577" spans="5:5">
      <c r="E5577" t="e">
        <f t="shared" si="88"/>
        <v>#N/A</v>
      </c>
    </row>
    <row r="5578" spans="5:5">
      <c r="E5578" t="e">
        <f t="shared" si="88"/>
        <v>#N/A</v>
      </c>
    </row>
    <row r="5579" spans="5:5">
      <c r="E5579" t="e">
        <f t="shared" si="88"/>
        <v>#N/A</v>
      </c>
    </row>
    <row r="5580" spans="5:5">
      <c r="E5580" t="e">
        <f t="shared" si="88"/>
        <v>#N/A</v>
      </c>
    </row>
    <row r="5581" spans="5:5">
      <c r="E5581" t="e">
        <f t="shared" ref="E5581:E5644" si="89">VLOOKUP(B5581,$Q$13:$R$61,2,FALSE)</f>
        <v>#N/A</v>
      </c>
    </row>
    <row r="5582" spans="5:5">
      <c r="E5582" t="e">
        <f t="shared" si="89"/>
        <v>#N/A</v>
      </c>
    </row>
    <row r="5583" spans="5:5">
      <c r="E5583" t="e">
        <f t="shared" si="89"/>
        <v>#N/A</v>
      </c>
    </row>
    <row r="5584" spans="5:5">
      <c r="E5584" t="e">
        <f t="shared" si="89"/>
        <v>#N/A</v>
      </c>
    </row>
    <row r="5585" spans="5:5">
      <c r="E5585" t="e">
        <f t="shared" si="89"/>
        <v>#N/A</v>
      </c>
    </row>
    <row r="5586" spans="5:5">
      <c r="E5586" t="e">
        <f t="shared" si="89"/>
        <v>#N/A</v>
      </c>
    </row>
    <row r="5587" spans="5:5">
      <c r="E5587" t="e">
        <f t="shared" si="89"/>
        <v>#N/A</v>
      </c>
    </row>
    <row r="5588" spans="5:5">
      <c r="E5588" t="e">
        <f t="shared" si="89"/>
        <v>#N/A</v>
      </c>
    </row>
    <row r="5589" spans="5:5">
      <c r="E5589" t="e">
        <f t="shared" si="89"/>
        <v>#N/A</v>
      </c>
    </row>
    <row r="5590" spans="5:5">
      <c r="E5590" t="e">
        <f t="shared" si="89"/>
        <v>#N/A</v>
      </c>
    </row>
    <row r="5591" spans="5:5">
      <c r="E5591" t="e">
        <f t="shared" si="89"/>
        <v>#N/A</v>
      </c>
    </row>
    <row r="5592" spans="5:5">
      <c r="E5592" t="e">
        <f t="shared" si="89"/>
        <v>#N/A</v>
      </c>
    </row>
    <row r="5593" spans="5:5">
      <c r="E5593" t="e">
        <f t="shared" si="89"/>
        <v>#N/A</v>
      </c>
    </row>
    <row r="5594" spans="5:5">
      <c r="E5594" t="e">
        <f t="shared" si="89"/>
        <v>#N/A</v>
      </c>
    </row>
    <row r="5595" spans="5:5">
      <c r="E5595" t="e">
        <f t="shared" si="89"/>
        <v>#N/A</v>
      </c>
    </row>
    <row r="5596" spans="5:5">
      <c r="E5596" t="e">
        <f t="shared" si="89"/>
        <v>#N/A</v>
      </c>
    </row>
    <row r="5597" spans="5:5">
      <c r="E5597" t="e">
        <f t="shared" si="89"/>
        <v>#N/A</v>
      </c>
    </row>
    <row r="5598" spans="5:5">
      <c r="E5598" t="e">
        <f t="shared" si="89"/>
        <v>#N/A</v>
      </c>
    </row>
    <row r="5599" spans="5:5">
      <c r="E5599" t="e">
        <f t="shared" si="89"/>
        <v>#N/A</v>
      </c>
    </row>
    <row r="5600" spans="5:5">
      <c r="E5600" t="e">
        <f t="shared" si="89"/>
        <v>#N/A</v>
      </c>
    </row>
    <row r="5601" spans="5:5">
      <c r="E5601" t="e">
        <f t="shared" si="89"/>
        <v>#N/A</v>
      </c>
    </row>
    <row r="5602" spans="5:5">
      <c r="E5602" t="e">
        <f t="shared" si="89"/>
        <v>#N/A</v>
      </c>
    </row>
    <row r="5603" spans="5:5">
      <c r="E5603" t="e">
        <f t="shared" si="89"/>
        <v>#N/A</v>
      </c>
    </row>
    <row r="5604" spans="5:5">
      <c r="E5604" t="e">
        <f t="shared" si="89"/>
        <v>#N/A</v>
      </c>
    </row>
    <row r="5605" spans="5:5">
      <c r="E5605" t="e">
        <f t="shared" si="89"/>
        <v>#N/A</v>
      </c>
    </row>
    <row r="5606" spans="5:5">
      <c r="E5606" t="e">
        <f t="shared" si="89"/>
        <v>#N/A</v>
      </c>
    </row>
    <row r="5607" spans="5:5">
      <c r="E5607" t="e">
        <f t="shared" si="89"/>
        <v>#N/A</v>
      </c>
    </row>
    <row r="5608" spans="5:5">
      <c r="E5608" t="e">
        <f t="shared" si="89"/>
        <v>#N/A</v>
      </c>
    </row>
    <row r="5609" spans="5:5">
      <c r="E5609" t="e">
        <f t="shared" si="89"/>
        <v>#N/A</v>
      </c>
    </row>
    <row r="5610" spans="5:5">
      <c r="E5610" t="e">
        <f t="shared" si="89"/>
        <v>#N/A</v>
      </c>
    </row>
    <row r="5611" spans="5:5">
      <c r="E5611" t="e">
        <f t="shared" si="89"/>
        <v>#N/A</v>
      </c>
    </row>
    <row r="5612" spans="5:5">
      <c r="E5612" t="e">
        <f t="shared" si="89"/>
        <v>#N/A</v>
      </c>
    </row>
    <row r="5613" spans="5:5">
      <c r="E5613" t="e">
        <f t="shared" si="89"/>
        <v>#N/A</v>
      </c>
    </row>
    <row r="5614" spans="5:5">
      <c r="E5614" t="e">
        <f t="shared" si="89"/>
        <v>#N/A</v>
      </c>
    </row>
    <row r="5615" spans="5:5">
      <c r="E5615" t="e">
        <f t="shared" si="89"/>
        <v>#N/A</v>
      </c>
    </row>
    <row r="5616" spans="5:5">
      <c r="E5616" t="e">
        <f t="shared" si="89"/>
        <v>#N/A</v>
      </c>
    </row>
    <row r="5617" spans="5:5">
      <c r="E5617" t="e">
        <f t="shared" si="89"/>
        <v>#N/A</v>
      </c>
    </row>
    <row r="5618" spans="5:5">
      <c r="E5618" t="e">
        <f t="shared" si="89"/>
        <v>#N/A</v>
      </c>
    </row>
    <row r="5619" spans="5:5">
      <c r="E5619" t="e">
        <f t="shared" si="89"/>
        <v>#N/A</v>
      </c>
    </row>
    <row r="5620" spans="5:5">
      <c r="E5620" t="e">
        <f t="shared" si="89"/>
        <v>#N/A</v>
      </c>
    </row>
    <row r="5621" spans="5:5">
      <c r="E5621" t="e">
        <f t="shared" si="89"/>
        <v>#N/A</v>
      </c>
    </row>
    <row r="5622" spans="5:5">
      <c r="E5622" t="e">
        <f t="shared" si="89"/>
        <v>#N/A</v>
      </c>
    </row>
    <row r="5623" spans="5:5">
      <c r="E5623" t="e">
        <f t="shared" si="89"/>
        <v>#N/A</v>
      </c>
    </row>
    <row r="5624" spans="5:5">
      <c r="E5624" t="e">
        <f t="shared" si="89"/>
        <v>#N/A</v>
      </c>
    </row>
    <row r="5625" spans="5:5">
      <c r="E5625" t="e">
        <f t="shared" si="89"/>
        <v>#N/A</v>
      </c>
    </row>
    <row r="5626" spans="5:5">
      <c r="E5626" t="e">
        <f t="shared" si="89"/>
        <v>#N/A</v>
      </c>
    </row>
    <row r="5627" spans="5:5">
      <c r="E5627" t="e">
        <f t="shared" si="89"/>
        <v>#N/A</v>
      </c>
    </row>
    <row r="5628" spans="5:5">
      <c r="E5628" t="e">
        <f t="shared" si="89"/>
        <v>#N/A</v>
      </c>
    </row>
    <row r="5629" spans="5:5">
      <c r="E5629" t="e">
        <f t="shared" si="89"/>
        <v>#N/A</v>
      </c>
    </row>
    <row r="5630" spans="5:5">
      <c r="E5630" t="e">
        <f t="shared" si="89"/>
        <v>#N/A</v>
      </c>
    </row>
    <row r="5631" spans="5:5">
      <c r="E5631" t="e">
        <f t="shared" si="89"/>
        <v>#N/A</v>
      </c>
    </row>
    <row r="5632" spans="5:5">
      <c r="E5632" t="e">
        <f t="shared" si="89"/>
        <v>#N/A</v>
      </c>
    </row>
    <row r="5633" spans="5:5">
      <c r="E5633" t="e">
        <f t="shared" si="89"/>
        <v>#N/A</v>
      </c>
    </row>
    <row r="5634" spans="5:5">
      <c r="E5634" t="e">
        <f t="shared" si="89"/>
        <v>#N/A</v>
      </c>
    </row>
    <row r="5635" spans="5:5">
      <c r="E5635" t="e">
        <f t="shared" si="89"/>
        <v>#N/A</v>
      </c>
    </row>
    <row r="5636" spans="5:5">
      <c r="E5636" t="e">
        <f t="shared" si="89"/>
        <v>#N/A</v>
      </c>
    </row>
    <row r="5637" spans="5:5">
      <c r="E5637" t="e">
        <f t="shared" si="89"/>
        <v>#N/A</v>
      </c>
    </row>
    <row r="5638" spans="5:5">
      <c r="E5638" t="e">
        <f t="shared" si="89"/>
        <v>#N/A</v>
      </c>
    </row>
    <row r="5639" spans="5:5">
      <c r="E5639" t="e">
        <f t="shared" si="89"/>
        <v>#N/A</v>
      </c>
    </row>
    <row r="5640" spans="5:5">
      <c r="E5640" t="e">
        <f t="shared" si="89"/>
        <v>#N/A</v>
      </c>
    </row>
    <row r="5641" spans="5:5">
      <c r="E5641" t="e">
        <f t="shared" si="89"/>
        <v>#N/A</v>
      </c>
    </row>
    <row r="5642" spans="5:5">
      <c r="E5642" t="e">
        <f t="shared" si="89"/>
        <v>#N/A</v>
      </c>
    </row>
    <row r="5643" spans="5:5">
      <c r="E5643" t="e">
        <f t="shared" si="89"/>
        <v>#N/A</v>
      </c>
    </row>
    <row r="5644" spans="5:5">
      <c r="E5644" t="e">
        <f t="shared" si="89"/>
        <v>#N/A</v>
      </c>
    </row>
    <row r="5645" spans="5:5">
      <c r="E5645" t="e">
        <f t="shared" ref="E5645:E5708" si="90">VLOOKUP(B5645,$Q$13:$R$61,2,FALSE)</f>
        <v>#N/A</v>
      </c>
    </row>
    <row r="5646" spans="5:5">
      <c r="E5646" t="e">
        <f t="shared" si="90"/>
        <v>#N/A</v>
      </c>
    </row>
    <row r="5647" spans="5:5">
      <c r="E5647" t="e">
        <f t="shared" si="90"/>
        <v>#N/A</v>
      </c>
    </row>
    <row r="5648" spans="5:5">
      <c r="E5648" t="e">
        <f t="shared" si="90"/>
        <v>#N/A</v>
      </c>
    </row>
    <row r="5649" spans="5:5">
      <c r="E5649" t="e">
        <f t="shared" si="90"/>
        <v>#N/A</v>
      </c>
    </row>
    <row r="5650" spans="5:5">
      <c r="E5650" t="e">
        <f t="shared" si="90"/>
        <v>#N/A</v>
      </c>
    </row>
    <row r="5651" spans="5:5">
      <c r="E5651" t="e">
        <f t="shared" si="90"/>
        <v>#N/A</v>
      </c>
    </row>
    <row r="5652" spans="5:5">
      <c r="E5652" t="e">
        <f t="shared" si="90"/>
        <v>#N/A</v>
      </c>
    </row>
    <row r="5653" spans="5:5">
      <c r="E5653" t="e">
        <f t="shared" si="90"/>
        <v>#N/A</v>
      </c>
    </row>
    <row r="5654" spans="5:5">
      <c r="E5654" t="e">
        <f t="shared" si="90"/>
        <v>#N/A</v>
      </c>
    </row>
    <row r="5655" spans="5:5">
      <c r="E5655" t="e">
        <f t="shared" si="90"/>
        <v>#N/A</v>
      </c>
    </row>
    <row r="5656" spans="5:5">
      <c r="E5656" t="e">
        <f t="shared" si="90"/>
        <v>#N/A</v>
      </c>
    </row>
    <row r="5657" spans="5:5">
      <c r="E5657" t="e">
        <f t="shared" si="90"/>
        <v>#N/A</v>
      </c>
    </row>
    <row r="5658" spans="5:5">
      <c r="E5658" t="e">
        <f t="shared" si="90"/>
        <v>#N/A</v>
      </c>
    </row>
    <row r="5659" spans="5:5">
      <c r="E5659" t="e">
        <f t="shared" si="90"/>
        <v>#N/A</v>
      </c>
    </row>
    <row r="5660" spans="5:5">
      <c r="E5660" t="e">
        <f t="shared" si="90"/>
        <v>#N/A</v>
      </c>
    </row>
    <row r="5661" spans="5:5">
      <c r="E5661" t="e">
        <f t="shared" si="90"/>
        <v>#N/A</v>
      </c>
    </row>
    <row r="5662" spans="5:5">
      <c r="E5662" t="e">
        <f t="shared" si="90"/>
        <v>#N/A</v>
      </c>
    </row>
    <row r="5663" spans="5:5">
      <c r="E5663" t="e">
        <f t="shared" si="90"/>
        <v>#N/A</v>
      </c>
    </row>
    <row r="5664" spans="5:5">
      <c r="E5664" t="e">
        <f t="shared" si="90"/>
        <v>#N/A</v>
      </c>
    </row>
    <row r="5665" spans="5:5">
      <c r="E5665" t="e">
        <f t="shared" si="90"/>
        <v>#N/A</v>
      </c>
    </row>
    <row r="5666" spans="5:5">
      <c r="E5666" t="e">
        <f t="shared" si="90"/>
        <v>#N/A</v>
      </c>
    </row>
    <row r="5667" spans="5:5">
      <c r="E5667" t="e">
        <f t="shared" si="90"/>
        <v>#N/A</v>
      </c>
    </row>
    <row r="5668" spans="5:5">
      <c r="E5668" t="e">
        <f t="shared" si="90"/>
        <v>#N/A</v>
      </c>
    </row>
    <row r="5669" spans="5:5">
      <c r="E5669" t="e">
        <f t="shared" si="90"/>
        <v>#N/A</v>
      </c>
    </row>
    <row r="5670" spans="5:5">
      <c r="E5670" t="e">
        <f t="shared" si="90"/>
        <v>#N/A</v>
      </c>
    </row>
    <row r="5671" spans="5:5">
      <c r="E5671" t="e">
        <f t="shared" si="90"/>
        <v>#N/A</v>
      </c>
    </row>
    <row r="5672" spans="5:5">
      <c r="E5672" t="e">
        <f t="shared" si="90"/>
        <v>#N/A</v>
      </c>
    </row>
    <row r="5673" spans="5:5">
      <c r="E5673" t="e">
        <f t="shared" si="90"/>
        <v>#N/A</v>
      </c>
    </row>
    <row r="5674" spans="5:5">
      <c r="E5674" t="e">
        <f t="shared" si="90"/>
        <v>#N/A</v>
      </c>
    </row>
    <row r="5675" spans="5:5">
      <c r="E5675" t="e">
        <f t="shared" si="90"/>
        <v>#N/A</v>
      </c>
    </row>
    <row r="5676" spans="5:5">
      <c r="E5676" t="e">
        <f t="shared" si="90"/>
        <v>#N/A</v>
      </c>
    </row>
    <row r="5677" spans="5:5">
      <c r="E5677" t="e">
        <f t="shared" si="90"/>
        <v>#N/A</v>
      </c>
    </row>
    <row r="5678" spans="5:5">
      <c r="E5678" t="e">
        <f t="shared" si="90"/>
        <v>#N/A</v>
      </c>
    </row>
    <row r="5679" spans="5:5">
      <c r="E5679" t="e">
        <f t="shared" si="90"/>
        <v>#N/A</v>
      </c>
    </row>
    <row r="5680" spans="5:5">
      <c r="E5680" t="e">
        <f t="shared" si="90"/>
        <v>#N/A</v>
      </c>
    </row>
    <row r="5681" spans="5:5">
      <c r="E5681" t="e">
        <f t="shared" si="90"/>
        <v>#N/A</v>
      </c>
    </row>
    <row r="5682" spans="5:5">
      <c r="E5682" t="e">
        <f t="shared" si="90"/>
        <v>#N/A</v>
      </c>
    </row>
    <row r="5683" spans="5:5">
      <c r="E5683" t="e">
        <f t="shared" si="90"/>
        <v>#N/A</v>
      </c>
    </row>
    <row r="5684" spans="5:5">
      <c r="E5684" t="e">
        <f t="shared" si="90"/>
        <v>#N/A</v>
      </c>
    </row>
    <row r="5685" spans="5:5">
      <c r="E5685" t="e">
        <f t="shared" si="90"/>
        <v>#N/A</v>
      </c>
    </row>
    <row r="5686" spans="5:5">
      <c r="E5686" t="e">
        <f t="shared" si="90"/>
        <v>#N/A</v>
      </c>
    </row>
    <row r="5687" spans="5:5">
      <c r="E5687" t="e">
        <f t="shared" si="90"/>
        <v>#N/A</v>
      </c>
    </row>
    <row r="5688" spans="5:5">
      <c r="E5688" t="e">
        <f t="shared" si="90"/>
        <v>#N/A</v>
      </c>
    </row>
    <row r="5689" spans="5:5">
      <c r="E5689" t="e">
        <f t="shared" si="90"/>
        <v>#N/A</v>
      </c>
    </row>
    <row r="5690" spans="5:5">
      <c r="E5690" t="e">
        <f t="shared" si="90"/>
        <v>#N/A</v>
      </c>
    </row>
    <row r="5691" spans="5:5">
      <c r="E5691" t="e">
        <f t="shared" si="90"/>
        <v>#N/A</v>
      </c>
    </row>
    <row r="5692" spans="5:5">
      <c r="E5692" t="e">
        <f t="shared" si="90"/>
        <v>#N/A</v>
      </c>
    </row>
    <row r="5693" spans="5:5">
      <c r="E5693" t="e">
        <f t="shared" si="90"/>
        <v>#N/A</v>
      </c>
    </row>
    <row r="5694" spans="5:5">
      <c r="E5694" t="e">
        <f t="shared" si="90"/>
        <v>#N/A</v>
      </c>
    </row>
    <row r="5695" spans="5:5">
      <c r="E5695" t="e">
        <f t="shared" si="90"/>
        <v>#N/A</v>
      </c>
    </row>
    <row r="5696" spans="5:5">
      <c r="E5696" t="e">
        <f t="shared" si="90"/>
        <v>#N/A</v>
      </c>
    </row>
    <row r="5697" spans="5:5">
      <c r="E5697" t="e">
        <f t="shared" si="90"/>
        <v>#N/A</v>
      </c>
    </row>
    <row r="5698" spans="5:5">
      <c r="E5698" t="e">
        <f t="shared" si="90"/>
        <v>#N/A</v>
      </c>
    </row>
    <row r="5699" spans="5:5">
      <c r="E5699" t="e">
        <f t="shared" si="90"/>
        <v>#N/A</v>
      </c>
    </row>
    <row r="5700" spans="5:5">
      <c r="E5700" t="e">
        <f t="shared" si="90"/>
        <v>#N/A</v>
      </c>
    </row>
    <row r="5701" spans="5:5">
      <c r="E5701" t="e">
        <f t="shared" si="90"/>
        <v>#N/A</v>
      </c>
    </row>
    <row r="5702" spans="5:5">
      <c r="E5702" t="e">
        <f t="shared" si="90"/>
        <v>#N/A</v>
      </c>
    </row>
    <row r="5703" spans="5:5">
      <c r="E5703" t="e">
        <f t="shared" si="90"/>
        <v>#N/A</v>
      </c>
    </row>
    <row r="5704" spans="5:5">
      <c r="E5704" t="e">
        <f t="shared" si="90"/>
        <v>#N/A</v>
      </c>
    </row>
    <row r="5705" spans="5:5">
      <c r="E5705" t="e">
        <f t="shared" si="90"/>
        <v>#N/A</v>
      </c>
    </row>
    <row r="5706" spans="5:5">
      <c r="E5706" t="e">
        <f t="shared" si="90"/>
        <v>#N/A</v>
      </c>
    </row>
    <row r="5707" spans="5:5">
      <c r="E5707" t="e">
        <f t="shared" si="90"/>
        <v>#N/A</v>
      </c>
    </row>
    <row r="5708" spans="5:5">
      <c r="E5708" t="e">
        <f t="shared" si="90"/>
        <v>#N/A</v>
      </c>
    </row>
    <row r="5709" spans="5:5">
      <c r="E5709" t="e">
        <f t="shared" ref="E5709:E5772" si="91">VLOOKUP(B5709,$Q$13:$R$61,2,FALSE)</f>
        <v>#N/A</v>
      </c>
    </row>
    <row r="5710" spans="5:5">
      <c r="E5710" t="e">
        <f t="shared" si="91"/>
        <v>#N/A</v>
      </c>
    </row>
    <row r="5711" spans="5:5">
      <c r="E5711" t="e">
        <f t="shared" si="91"/>
        <v>#N/A</v>
      </c>
    </row>
    <row r="5712" spans="5:5">
      <c r="E5712" t="e">
        <f t="shared" si="91"/>
        <v>#N/A</v>
      </c>
    </row>
    <row r="5713" spans="5:5">
      <c r="E5713" t="e">
        <f t="shared" si="91"/>
        <v>#N/A</v>
      </c>
    </row>
    <row r="5714" spans="5:5">
      <c r="E5714" t="e">
        <f t="shared" si="91"/>
        <v>#N/A</v>
      </c>
    </row>
    <row r="5715" spans="5:5">
      <c r="E5715" t="e">
        <f t="shared" si="91"/>
        <v>#N/A</v>
      </c>
    </row>
    <row r="5716" spans="5:5">
      <c r="E5716" t="e">
        <f t="shared" si="91"/>
        <v>#N/A</v>
      </c>
    </row>
    <row r="5717" spans="5:5">
      <c r="E5717" t="e">
        <f t="shared" si="91"/>
        <v>#N/A</v>
      </c>
    </row>
    <row r="5718" spans="5:5">
      <c r="E5718" t="e">
        <f t="shared" si="91"/>
        <v>#N/A</v>
      </c>
    </row>
    <row r="5719" spans="5:5">
      <c r="E5719" t="e">
        <f t="shared" si="91"/>
        <v>#N/A</v>
      </c>
    </row>
    <row r="5720" spans="5:5">
      <c r="E5720" t="e">
        <f t="shared" si="91"/>
        <v>#N/A</v>
      </c>
    </row>
    <row r="5721" spans="5:5">
      <c r="E5721" t="e">
        <f t="shared" si="91"/>
        <v>#N/A</v>
      </c>
    </row>
    <row r="5722" spans="5:5">
      <c r="E5722" t="e">
        <f t="shared" si="91"/>
        <v>#N/A</v>
      </c>
    </row>
    <row r="5723" spans="5:5">
      <c r="E5723" t="e">
        <f t="shared" si="91"/>
        <v>#N/A</v>
      </c>
    </row>
    <row r="5724" spans="5:5">
      <c r="E5724" t="e">
        <f t="shared" si="91"/>
        <v>#N/A</v>
      </c>
    </row>
    <row r="5725" spans="5:5">
      <c r="E5725" t="e">
        <f t="shared" si="91"/>
        <v>#N/A</v>
      </c>
    </row>
    <row r="5726" spans="5:5">
      <c r="E5726" t="e">
        <f t="shared" si="91"/>
        <v>#N/A</v>
      </c>
    </row>
    <row r="5727" spans="5:5">
      <c r="E5727" t="e">
        <f t="shared" si="91"/>
        <v>#N/A</v>
      </c>
    </row>
    <row r="5728" spans="5:5">
      <c r="E5728" t="e">
        <f t="shared" si="91"/>
        <v>#N/A</v>
      </c>
    </row>
    <row r="5729" spans="5:5">
      <c r="E5729" t="e">
        <f t="shared" si="91"/>
        <v>#N/A</v>
      </c>
    </row>
    <row r="5730" spans="5:5">
      <c r="E5730" t="e">
        <f t="shared" si="91"/>
        <v>#N/A</v>
      </c>
    </row>
    <row r="5731" spans="5:5">
      <c r="E5731" t="e">
        <f t="shared" si="91"/>
        <v>#N/A</v>
      </c>
    </row>
    <row r="5732" spans="5:5">
      <c r="E5732" t="e">
        <f t="shared" si="91"/>
        <v>#N/A</v>
      </c>
    </row>
    <row r="5733" spans="5:5">
      <c r="E5733" t="e">
        <f t="shared" si="91"/>
        <v>#N/A</v>
      </c>
    </row>
    <row r="5734" spans="5:5">
      <c r="E5734" t="e">
        <f t="shared" si="91"/>
        <v>#N/A</v>
      </c>
    </row>
    <row r="5735" spans="5:5">
      <c r="E5735" t="e">
        <f t="shared" si="91"/>
        <v>#N/A</v>
      </c>
    </row>
    <row r="5736" spans="5:5">
      <c r="E5736" t="e">
        <f t="shared" si="91"/>
        <v>#N/A</v>
      </c>
    </row>
    <row r="5737" spans="5:5">
      <c r="E5737" t="e">
        <f t="shared" si="91"/>
        <v>#N/A</v>
      </c>
    </row>
    <row r="5738" spans="5:5">
      <c r="E5738" t="e">
        <f t="shared" si="91"/>
        <v>#N/A</v>
      </c>
    </row>
    <row r="5739" spans="5:5">
      <c r="E5739" t="e">
        <f t="shared" si="91"/>
        <v>#N/A</v>
      </c>
    </row>
    <row r="5740" spans="5:5">
      <c r="E5740" t="e">
        <f t="shared" si="91"/>
        <v>#N/A</v>
      </c>
    </row>
    <row r="5741" spans="5:5">
      <c r="E5741" t="e">
        <f t="shared" si="91"/>
        <v>#N/A</v>
      </c>
    </row>
    <row r="5742" spans="5:5">
      <c r="E5742" t="e">
        <f t="shared" si="91"/>
        <v>#N/A</v>
      </c>
    </row>
    <row r="5743" spans="5:5">
      <c r="E5743" t="e">
        <f t="shared" si="91"/>
        <v>#N/A</v>
      </c>
    </row>
    <row r="5744" spans="5:5">
      <c r="E5744" t="e">
        <f t="shared" si="91"/>
        <v>#N/A</v>
      </c>
    </row>
    <row r="5745" spans="5:5">
      <c r="E5745" t="e">
        <f t="shared" si="91"/>
        <v>#N/A</v>
      </c>
    </row>
    <row r="5746" spans="5:5">
      <c r="E5746" t="e">
        <f t="shared" si="91"/>
        <v>#N/A</v>
      </c>
    </row>
    <row r="5747" spans="5:5">
      <c r="E5747" t="e">
        <f t="shared" si="91"/>
        <v>#N/A</v>
      </c>
    </row>
    <row r="5748" spans="5:5">
      <c r="E5748" t="e">
        <f t="shared" si="91"/>
        <v>#N/A</v>
      </c>
    </row>
    <row r="5749" spans="5:5">
      <c r="E5749" t="e">
        <f t="shared" si="91"/>
        <v>#N/A</v>
      </c>
    </row>
    <row r="5750" spans="5:5">
      <c r="E5750" t="e">
        <f t="shared" si="91"/>
        <v>#N/A</v>
      </c>
    </row>
    <row r="5751" spans="5:5">
      <c r="E5751" t="e">
        <f t="shared" si="91"/>
        <v>#N/A</v>
      </c>
    </row>
    <row r="5752" spans="5:5">
      <c r="E5752" t="e">
        <f t="shared" si="91"/>
        <v>#N/A</v>
      </c>
    </row>
    <row r="5753" spans="5:5">
      <c r="E5753" t="e">
        <f t="shared" si="91"/>
        <v>#N/A</v>
      </c>
    </row>
    <row r="5754" spans="5:5">
      <c r="E5754" t="e">
        <f t="shared" si="91"/>
        <v>#N/A</v>
      </c>
    </row>
    <row r="5755" spans="5:5">
      <c r="E5755" t="e">
        <f t="shared" si="91"/>
        <v>#N/A</v>
      </c>
    </row>
    <row r="5756" spans="5:5">
      <c r="E5756" t="e">
        <f t="shared" si="91"/>
        <v>#N/A</v>
      </c>
    </row>
    <row r="5757" spans="5:5">
      <c r="E5757" t="e">
        <f t="shared" si="91"/>
        <v>#N/A</v>
      </c>
    </row>
    <row r="5758" spans="5:5">
      <c r="E5758" t="e">
        <f t="shared" si="91"/>
        <v>#N/A</v>
      </c>
    </row>
    <row r="5759" spans="5:5">
      <c r="E5759" t="e">
        <f t="shared" si="91"/>
        <v>#N/A</v>
      </c>
    </row>
    <row r="5760" spans="5:5">
      <c r="E5760" t="e">
        <f t="shared" si="91"/>
        <v>#N/A</v>
      </c>
    </row>
    <row r="5761" spans="5:5">
      <c r="E5761" t="e">
        <f t="shared" si="91"/>
        <v>#N/A</v>
      </c>
    </row>
    <row r="5762" spans="5:5">
      <c r="E5762" t="e">
        <f t="shared" si="91"/>
        <v>#N/A</v>
      </c>
    </row>
    <row r="5763" spans="5:5">
      <c r="E5763" t="e">
        <f t="shared" si="91"/>
        <v>#N/A</v>
      </c>
    </row>
    <row r="5764" spans="5:5">
      <c r="E5764" t="e">
        <f t="shared" si="91"/>
        <v>#N/A</v>
      </c>
    </row>
    <row r="5765" spans="5:5">
      <c r="E5765" t="e">
        <f t="shared" si="91"/>
        <v>#N/A</v>
      </c>
    </row>
    <row r="5766" spans="5:5">
      <c r="E5766" t="e">
        <f t="shared" si="91"/>
        <v>#N/A</v>
      </c>
    </row>
    <row r="5767" spans="5:5">
      <c r="E5767" t="e">
        <f t="shared" si="91"/>
        <v>#N/A</v>
      </c>
    </row>
    <row r="5768" spans="5:5">
      <c r="E5768" t="e">
        <f t="shared" si="91"/>
        <v>#N/A</v>
      </c>
    </row>
    <row r="5769" spans="5:5">
      <c r="E5769" t="e">
        <f t="shared" si="91"/>
        <v>#N/A</v>
      </c>
    </row>
    <row r="5770" spans="5:5">
      <c r="E5770" t="e">
        <f t="shared" si="91"/>
        <v>#N/A</v>
      </c>
    </row>
    <row r="5771" spans="5:5">
      <c r="E5771" t="e">
        <f t="shared" si="91"/>
        <v>#N/A</v>
      </c>
    </row>
    <row r="5772" spans="5:5">
      <c r="E5772" t="e">
        <f t="shared" si="91"/>
        <v>#N/A</v>
      </c>
    </row>
    <row r="5773" spans="5:5">
      <c r="E5773" t="e">
        <f t="shared" ref="E5773:E5836" si="92">VLOOKUP(B5773,$Q$13:$R$61,2,FALSE)</f>
        <v>#N/A</v>
      </c>
    </row>
    <row r="5774" spans="5:5">
      <c r="E5774" t="e">
        <f t="shared" si="92"/>
        <v>#N/A</v>
      </c>
    </row>
    <row r="5775" spans="5:5">
      <c r="E5775" t="e">
        <f t="shared" si="92"/>
        <v>#N/A</v>
      </c>
    </row>
    <row r="5776" spans="5:5">
      <c r="E5776" t="e">
        <f t="shared" si="92"/>
        <v>#N/A</v>
      </c>
    </row>
    <row r="5777" spans="5:5">
      <c r="E5777" t="e">
        <f t="shared" si="92"/>
        <v>#N/A</v>
      </c>
    </row>
    <row r="5778" spans="5:5">
      <c r="E5778" t="e">
        <f t="shared" si="92"/>
        <v>#N/A</v>
      </c>
    </row>
    <row r="5779" spans="5:5">
      <c r="E5779" t="e">
        <f t="shared" si="92"/>
        <v>#N/A</v>
      </c>
    </row>
    <row r="5780" spans="5:5">
      <c r="E5780" t="e">
        <f t="shared" si="92"/>
        <v>#N/A</v>
      </c>
    </row>
    <row r="5781" spans="5:5">
      <c r="E5781" t="e">
        <f t="shared" si="92"/>
        <v>#N/A</v>
      </c>
    </row>
    <row r="5782" spans="5:5">
      <c r="E5782" t="e">
        <f t="shared" si="92"/>
        <v>#N/A</v>
      </c>
    </row>
    <row r="5783" spans="5:5">
      <c r="E5783" t="e">
        <f t="shared" si="92"/>
        <v>#N/A</v>
      </c>
    </row>
    <row r="5784" spans="5:5">
      <c r="E5784" t="e">
        <f t="shared" si="92"/>
        <v>#N/A</v>
      </c>
    </row>
    <row r="5785" spans="5:5">
      <c r="E5785" t="e">
        <f t="shared" si="92"/>
        <v>#N/A</v>
      </c>
    </row>
    <row r="5786" spans="5:5">
      <c r="E5786" t="e">
        <f t="shared" si="92"/>
        <v>#N/A</v>
      </c>
    </row>
    <row r="5787" spans="5:5">
      <c r="E5787" t="e">
        <f t="shared" si="92"/>
        <v>#N/A</v>
      </c>
    </row>
    <row r="5788" spans="5:5">
      <c r="E5788" t="e">
        <f t="shared" si="92"/>
        <v>#N/A</v>
      </c>
    </row>
    <row r="5789" spans="5:5">
      <c r="E5789" t="e">
        <f t="shared" si="92"/>
        <v>#N/A</v>
      </c>
    </row>
    <row r="5790" spans="5:5">
      <c r="E5790" t="e">
        <f t="shared" si="92"/>
        <v>#N/A</v>
      </c>
    </row>
    <row r="5791" spans="5:5">
      <c r="E5791" t="e">
        <f t="shared" si="92"/>
        <v>#N/A</v>
      </c>
    </row>
    <row r="5792" spans="5:5">
      <c r="E5792" t="e">
        <f t="shared" si="92"/>
        <v>#N/A</v>
      </c>
    </row>
    <row r="5793" spans="5:5">
      <c r="E5793" t="e">
        <f t="shared" si="92"/>
        <v>#N/A</v>
      </c>
    </row>
    <row r="5794" spans="5:5">
      <c r="E5794" t="e">
        <f t="shared" si="92"/>
        <v>#N/A</v>
      </c>
    </row>
    <row r="5795" spans="5:5">
      <c r="E5795" t="e">
        <f t="shared" si="92"/>
        <v>#N/A</v>
      </c>
    </row>
    <row r="5796" spans="5:5">
      <c r="E5796" t="e">
        <f t="shared" si="92"/>
        <v>#N/A</v>
      </c>
    </row>
    <row r="5797" spans="5:5">
      <c r="E5797" t="e">
        <f t="shared" si="92"/>
        <v>#N/A</v>
      </c>
    </row>
    <row r="5798" spans="5:5">
      <c r="E5798" t="e">
        <f t="shared" si="92"/>
        <v>#N/A</v>
      </c>
    </row>
    <row r="5799" spans="5:5">
      <c r="E5799" t="e">
        <f t="shared" si="92"/>
        <v>#N/A</v>
      </c>
    </row>
    <row r="5800" spans="5:5">
      <c r="E5800" t="e">
        <f t="shared" si="92"/>
        <v>#N/A</v>
      </c>
    </row>
    <row r="5801" spans="5:5">
      <c r="E5801" t="e">
        <f t="shared" si="92"/>
        <v>#N/A</v>
      </c>
    </row>
    <row r="5802" spans="5:5">
      <c r="E5802" t="e">
        <f t="shared" si="92"/>
        <v>#N/A</v>
      </c>
    </row>
    <row r="5803" spans="5:5">
      <c r="E5803" t="e">
        <f t="shared" si="92"/>
        <v>#N/A</v>
      </c>
    </row>
    <row r="5804" spans="5:5">
      <c r="E5804" t="e">
        <f t="shared" si="92"/>
        <v>#N/A</v>
      </c>
    </row>
    <row r="5805" spans="5:5">
      <c r="E5805" t="e">
        <f t="shared" si="92"/>
        <v>#N/A</v>
      </c>
    </row>
    <row r="5806" spans="5:5">
      <c r="E5806" t="e">
        <f t="shared" si="92"/>
        <v>#N/A</v>
      </c>
    </row>
    <row r="5807" spans="5:5">
      <c r="E5807" t="e">
        <f t="shared" si="92"/>
        <v>#N/A</v>
      </c>
    </row>
    <row r="5808" spans="5:5">
      <c r="E5808" t="e">
        <f t="shared" si="92"/>
        <v>#N/A</v>
      </c>
    </row>
    <row r="5809" spans="5:5">
      <c r="E5809" t="e">
        <f t="shared" si="92"/>
        <v>#N/A</v>
      </c>
    </row>
    <row r="5810" spans="5:5">
      <c r="E5810" t="e">
        <f t="shared" si="92"/>
        <v>#N/A</v>
      </c>
    </row>
    <row r="5811" spans="5:5">
      <c r="E5811" t="e">
        <f t="shared" si="92"/>
        <v>#N/A</v>
      </c>
    </row>
    <row r="5812" spans="5:5">
      <c r="E5812" t="e">
        <f t="shared" si="92"/>
        <v>#N/A</v>
      </c>
    </row>
    <row r="5813" spans="5:5">
      <c r="E5813" t="e">
        <f t="shared" si="92"/>
        <v>#N/A</v>
      </c>
    </row>
    <row r="5814" spans="5:5">
      <c r="E5814" t="e">
        <f t="shared" si="92"/>
        <v>#N/A</v>
      </c>
    </row>
    <row r="5815" spans="5:5">
      <c r="E5815" t="e">
        <f t="shared" si="92"/>
        <v>#N/A</v>
      </c>
    </row>
    <row r="5816" spans="5:5">
      <c r="E5816" t="e">
        <f t="shared" si="92"/>
        <v>#N/A</v>
      </c>
    </row>
    <row r="5817" spans="5:5">
      <c r="E5817" t="e">
        <f t="shared" si="92"/>
        <v>#N/A</v>
      </c>
    </row>
    <row r="5818" spans="5:5">
      <c r="E5818" t="e">
        <f t="shared" si="92"/>
        <v>#N/A</v>
      </c>
    </row>
    <row r="5819" spans="5:5">
      <c r="E5819" t="e">
        <f t="shared" si="92"/>
        <v>#N/A</v>
      </c>
    </row>
    <row r="5820" spans="5:5">
      <c r="E5820" t="e">
        <f t="shared" si="92"/>
        <v>#N/A</v>
      </c>
    </row>
    <row r="5821" spans="5:5">
      <c r="E5821" t="e">
        <f t="shared" si="92"/>
        <v>#N/A</v>
      </c>
    </row>
    <row r="5822" spans="5:5">
      <c r="E5822" t="e">
        <f t="shared" si="92"/>
        <v>#N/A</v>
      </c>
    </row>
    <row r="5823" spans="5:5">
      <c r="E5823" t="e">
        <f t="shared" si="92"/>
        <v>#N/A</v>
      </c>
    </row>
    <row r="5824" spans="5:5">
      <c r="E5824" t="e">
        <f t="shared" si="92"/>
        <v>#N/A</v>
      </c>
    </row>
    <row r="5825" spans="5:5">
      <c r="E5825" t="e">
        <f t="shared" si="92"/>
        <v>#N/A</v>
      </c>
    </row>
    <row r="5826" spans="5:5">
      <c r="E5826" t="e">
        <f t="shared" si="92"/>
        <v>#N/A</v>
      </c>
    </row>
    <row r="5827" spans="5:5">
      <c r="E5827" t="e">
        <f t="shared" si="92"/>
        <v>#N/A</v>
      </c>
    </row>
    <row r="5828" spans="5:5">
      <c r="E5828" t="e">
        <f t="shared" si="92"/>
        <v>#N/A</v>
      </c>
    </row>
    <row r="5829" spans="5:5">
      <c r="E5829" t="e">
        <f t="shared" si="92"/>
        <v>#N/A</v>
      </c>
    </row>
    <row r="5830" spans="5:5">
      <c r="E5830" t="e">
        <f t="shared" si="92"/>
        <v>#N/A</v>
      </c>
    </row>
    <row r="5831" spans="5:5">
      <c r="E5831" t="e">
        <f t="shared" si="92"/>
        <v>#N/A</v>
      </c>
    </row>
    <row r="5832" spans="5:5">
      <c r="E5832" t="e">
        <f t="shared" si="92"/>
        <v>#N/A</v>
      </c>
    </row>
    <row r="5833" spans="5:5">
      <c r="E5833" t="e">
        <f t="shared" si="92"/>
        <v>#N/A</v>
      </c>
    </row>
    <row r="5834" spans="5:5">
      <c r="E5834" t="e">
        <f t="shared" si="92"/>
        <v>#N/A</v>
      </c>
    </row>
    <row r="5835" spans="5:5">
      <c r="E5835" t="e">
        <f t="shared" si="92"/>
        <v>#N/A</v>
      </c>
    </row>
    <row r="5836" spans="5:5">
      <c r="E5836" t="e">
        <f t="shared" si="92"/>
        <v>#N/A</v>
      </c>
    </row>
    <row r="5837" spans="5:5">
      <c r="E5837" t="e">
        <f t="shared" ref="E5837:E5900" si="93">VLOOKUP(B5837,$Q$13:$R$61,2,FALSE)</f>
        <v>#N/A</v>
      </c>
    </row>
    <row r="5838" spans="5:5">
      <c r="E5838" t="e">
        <f t="shared" si="93"/>
        <v>#N/A</v>
      </c>
    </row>
    <row r="5839" spans="5:5">
      <c r="E5839" t="e">
        <f t="shared" si="93"/>
        <v>#N/A</v>
      </c>
    </row>
    <row r="5840" spans="5:5">
      <c r="E5840" t="e">
        <f t="shared" si="93"/>
        <v>#N/A</v>
      </c>
    </row>
    <row r="5841" spans="5:5">
      <c r="E5841" t="e">
        <f t="shared" si="93"/>
        <v>#N/A</v>
      </c>
    </row>
    <row r="5842" spans="5:5">
      <c r="E5842" t="e">
        <f t="shared" si="93"/>
        <v>#N/A</v>
      </c>
    </row>
    <row r="5843" spans="5:5">
      <c r="E5843" t="e">
        <f t="shared" si="93"/>
        <v>#N/A</v>
      </c>
    </row>
    <row r="5844" spans="5:5">
      <c r="E5844" t="e">
        <f t="shared" si="93"/>
        <v>#N/A</v>
      </c>
    </row>
    <row r="5845" spans="5:5">
      <c r="E5845" t="e">
        <f t="shared" si="93"/>
        <v>#N/A</v>
      </c>
    </row>
    <row r="5846" spans="5:5">
      <c r="E5846" t="e">
        <f t="shared" si="93"/>
        <v>#N/A</v>
      </c>
    </row>
    <row r="5847" spans="5:5">
      <c r="E5847" t="e">
        <f t="shared" si="93"/>
        <v>#N/A</v>
      </c>
    </row>
    <row r="5848" spans="5:5">
      <c r="E5848" t="e">
        <f t="shared" si="93"/>
        <v>#N/A</v>
      </c>
    </row>
    <row r="5849" spans="5:5">
      <c r="E5849" t="e">
        <f t="shared" si="93"/>
        <v>#N/A</v>
      </c>
    </row>
    <row r="5850" spans="5:5">
      <c r="E5850" t="e">
        <f t="shared" si="93"/>
        <v>#N/A</v>
      </c>
    </row>
    <row r="5851" spans="5:5">
      <c r="E5851" t="e">
        <f t="shared" si="93"/>
        <v>#N/A</v>
      </c>
    </row>
    <row r="5852" spans="5:5">
      <c r="E5852" t="e">
        <f t="shared" si="93"/>
        <v>#N/A</v>
      </c>
    </row>
    <row r="5853" spans="5:5">
      <c r="E5853" t="e">
        <f t="shared" si="93"/>
        <v>#N/A</v>
      </c>
    </row>
    <row r="5854" spans="5:5">
      <c r="E5854" t="e">
        <f t="shared" si="93"/>
        <v>#N/A</v>
      </c>
    </row>
    <row r="5855" spans="5:5">
      <c r="E5855" t="e">
        <f t="shared" si="93"/>
        <v>#N/A</v>
      </c>
    </row>
    <row r="5856" spans="5:5">
      <c r="E5856" t="e">
        <f t="shared" si="93"/>
        <v>#N/A</v>
      </c>
    </row>
    <row r="5857" spans="5:5">
      <c r="E5857" t="e">
        <f t="shared" si="93"/>
        <v>#N/A</v>
      </c>
    </row>
    <row r="5858" spans="5:5">
      <c r="E5858" t="e">
        <f t="shared" si="93"/>
        <v>#N/A</v>
      </c>
    </row>
    <row r="5859" spans="5:5">
      <c r="E5859" t="e">
        <f t="shared" si="93"/>
        <v>#N/A</v>
      </c>
    </row>
    <row r="5860" spans="5:5">
      <c r="E5860" t="e">
        <f t="shared" si="93"/>
        <v>#N/A</v>
      </c>
    </row>
    <row r="5861" spans="5:5">
      <c r="E5861" t="e">
        <f t="shared" si="93"/>
        <v>#N/A</v>
      </c>
    </row>
    <row r="5862" spans="5:5">
      <c r="E5862" t="e">
        <f t="shared" si="93"/>
        <v>#N/A</v>
      </c>
    </row>
    <row r="5863" spans="5:5">
      <c r="E5863" t="e">
        <f t="shared" si="93"/>
        <v>#N/A</v>
      </c>
    </row>
    <row r="5864" spans="5:5">
      <c r="E5864" t="e">
        <f t="shared" si="93"/>
        <v>#N/A</v>
      </c>
    </row>
    <row r="5865" spans="5:5">
      <c r="E5865" t="e">
        <f t="shared" si="93"/>
        <v>#N/A</v>
      </c>
    </row>
    <row r="5866" spans="5:5">
      <c r="E5866" t="e">
        <f t="shared" si="93"/>
        <v>#N/A</v>
      </c>
    </row>
    <row r="5867" spans="5:5">
      <c r="E5867" t="e">
        <f t="shared" si="93"/>
        <v>#N/A</v>
      </c>
    </row>
    <row r="5868" spans="5:5">
      <c r="E5868" t="e">
        <f t="shared" si="93"/>
        <v>#N/A</v>
      </c>
    </row>
    <row r="5869" spans="5:5">
      <c r="E5869" t="e">
        <f t="shared" si="93"/>
        <v>#N/A</v>
      </c>
    </row>
    <row r="5870" spans="5:5">
      <c r="E5870" t="e">
        <f t="shared" si="93"/>
        <v>#N/A</v>
      </c>
    </row>
    <row r="5871" spans="5:5">
      <c r="E5871" t="e">
        <f t="shared" si="93"/>
        <v>#N/A</v>
      </c>
    </row>
    <row r="5872" spans="5:5">
      <c r="E5872" t="e">
        <f t="shared" si="93"/>
        <v>#N/A</v>
      </c>
    </row>
    <row r="5873" spans="5:5">
      <c r="E5873" t="e">
        <f t="shared" si="93"/>
        <v>#N/A</v>
      </c>
    </row>
    <row r="5874" spans="5:5">
      <c r="E5874" t="e">
        <f t="shared" si="93"/>
        <v>#N/A</v>
      </c>
    </row>
    <row r="5875" spans="5:5">
      <c r="E5875" t="e">
        <f t="shared" si="93"/>
        <v>#N/A</v>
      </c>
    </row>
    <row r="5876" spans="5:5">
      <c r="E5876" t="e">
        <f t="shared" si="93"/>
        <v>#N/A</v>
      </c>
    </row>
    <row r="5877" spans="5:5">
      <c r="E5877" t="e">
        <f t="shared" si="93"/>
        <v>#N/A</v>
      </c>
    </row>
    <row r="5878" spans="5:5">
      <c r="E5878" t="e">
        <f t="shared" si="93"/>
        <v>#N/A</v>
      </c>
    </row>
    <row r="5879" spans="5:5">
      <c r="E5879" t="e">
        <f t="shared" si="93"/>
        <v>#N/A</v>
      </c>
    </row>
    <row r="5880" spans="5:5">
      <c r="E5880" t="e">
        <f t="shared" si="93"/>
        <v>#N/A</v>
      </c>
    </row>
    <row r="5881" spans="5:5">
      <c r="E5881" t="e">
        <f t="shared" si="93"/>
        <v>#N/A</v>
      </c>
    </row>
    <row r="5882" spans="5:5">
      <c r="E5882" t="e">
        <f t="shared" si="93"/>
        <v>#N/A</v>
      </c>
    </row>
    <row r="5883" spans="5:5">
      <c r="E5883" t="e">
        <f t="shared" si="93"/>
        <v>#N/A</v>
      </c>
    </row>
    <row r="5884" spans="5:5">
      <c r="E5884" t="e">
        <f t="shared" si="93"/>
        <v>#N/A</v>
      </c>
    </row>
    <row r="5885" spans="5:5">
      <c r="E5885" t="e">
        <f t="shared" si="93"/>
        <v>#N/A</v>
      </c>
    </row>
    <row r="5886" spans="5:5">
      <c r="E5886" t="e">
        <f t="shared" si="93"/>
        <v>#N/A</v>
      </c>
    </row>
    <row r="5887" spans="5:5">
      <c r="E5887" t="e">
        <f t="shared" si="93"/>
        <v>#N/A</v>
      </c>
    </row>
    <row r="5888" spans="5:5">
      <c r="E5888" t="e">
        <f t="shared" si="93"/>
        <v>#N/A</v>
      </c>
    </row>
    <row r="5889" spans="5:5">
      <c r="E5889" t="e">
        <f t="shared" si="93"/>
        <v>#N/A</v>
      </c>
    </row>
    <row r="5890" spans="5:5">
      <c r="E5890" t="e">
        <f t="shared" si="93"/>
        <v>#N/A</v>
      </c>
    </row>
    <row r="5891" spans="5:5">
      <c r="E5891" t="e">
        <f t="shared" si="93"/>
        <v>#N/A</v>
      </c>
    </row>
    <row r="5892" spans="5:5">
      <c r="E5892" t="e">
        <f t="shared" si="93"/>
        <v>#N/A</v>
      </c>
    </row>
    <row r="5893" spans="5:5">
      <c r="E5893" t="e">
        <f t="shared" si="93"/>
        <v>#N/A</v>
      </c>
    </row>
    <row r="5894" spans="5:5">
      <c r="E5894" t="e">
        <f t="shared" si="93"/>
        <v>#N/A</v>
      </c>
    </row>
    <row r="5895" spans="5:5">
      <c r="E5895" t="e">
        <f t="shared" si="93"/>
        <v>#N/A</v>
      </c>
    </row>
    <row r="5896" spans="5:5">
      <c r="E5896" t="e">
        <f t="shared" si="93"/>
        <v>#N/A</v>
      </c>
    </row>
    <row r="5897" spans="5:5">
      <c r="E5897" t="e">
        <f t="shared" si="93"/>
        <v>#N/A</v>
      </c>
    </row>
    <row r="5898" spans="5:5">
      <c r="E5898" t="e">
        <f t="shared" si="93"/>
        <v>#N/A</v>
      </c>
    </row>
    <row r="5899" spans="5:5">
      <c r="E5899" t="e">
        <f t="shared" si="93"/>
        <v>#N/A</v>
      </c>
    </row>
    <row r="5900" spans="5:5">
      <c r="E5900" t="e">
        <f t="shared" si="93"/>
        <v>#N/A</v>
      </c>
    </row>
    <row r="5901" spans="5:5">
      <c r="E5901" t="e">
        <f t="shared" ref="E5901:E5964" si="94">VLOOKUP(B5901,$Q$13:$R$61,2,FALSE)</f>
        <v>#N/A</v>
      </c>
    </row>
    <row r="5902" spans="5:5">
      <c r="E5902" t="e">
        <f t="shared" si="94"/>
        <v>#N/A</v>
      </c>
    </row>
    <row r="5903" spans="5:5">
      <c r="E5903" t="e">
        <f t="shared" si="94"/>
        <v>#N/A</v>
      </c>
    </row>
    <row r="5904" spans="5:5">
      <c r="E5904" t="e">
        <f t="shared" si="94"/>
        <v>#N/A</v>
      </c>
    </row>
    <row r="5905" spans="5:5">
      <c r="E5905" t="e">
        <f t="shared" si="94"/>
        <v>#N/A</v>
      </c>
    </row>
    <row r="5906" spans="5:5">
      <c r="E5906" t="e">
        <f t="shared" si="94"/>
        <v>#N/A</v>
      </c>
    </row>
    <row r="5907" spans="5:5">
      <c r="E5907" t="e">
        <f t="shared" si="94"/>
        <v>#N/A</v>
      </c>
    </row>
    <row r="5908" spans="5:5">
      <c r="E5908" t="e">
        <f t="shared" si="94"/>
        <v>#N/A</v>
      </c>
    </row>
    <row r="5909" spans="5:5">
      <c r="E5909" t="e">
        <f t="shared" si="94"/>
        <v>#N/A</v>
      </c>
    </row>
    <row r="5910" spans="5:5">
      <c r="E5910" t="e">
        <f t="shared" si="94"/>
        <v>#N/A</v>
      </c>
    </row>
    <row r="5911" spans="5:5">
      <c r="E5911" t="e">
        <f t="shared" si="94"/>
        <v>#N/A</v>
      </c>
    </row>
    <row r="5912" spans="5:5">
      <c r="E5912" t="e">
        <f t="shared" si="94"/>
        <v>#N/A</v>
      </c>
    </row>
    <row r="5913" spans="5:5">
      <c r="E5913" t="e">
        <f t="shared" si="94"/>
        <v>#N/A</v>
      </c>
    </row>
    <row r="5914" spans="5:5">
      <c r="E5914" t="e">
        <f t="shared" si="94"/>
        <v>#N/A</v>
      </c>
    </row>
    <row r="5915" spans="5:5">
      <c r="E5915" t="e">
        <f t="shared" si="94"/>
        <v>#N/A</v>
      </c>
    </row>
    <row r="5916" spans="5:5">
      <c r="E5916" t="e">
        <f t="shared" si="94"/>
        <v>#N/A</v>
      </c>
    </row>
    <row r="5917" spans="5:5">
      <c r="E5917" t="e">
        <f t="shared" si="94"/>
        <v>#N/A</v>
      </c>
    </row>
    <row r="5918" spans="5:5">
      <c r="E5918" t="e">
        <f t="shared" si="94"/>
        <v>#N/A</v>
      </c>
    </row>
    <row r="5919" spans="5:5">
      <c r="E5919" t="e">
        <f t="shared" si="94"/>
        <v>#N/A</v>
      </c>
    </row>
    <row r="5920" spans="5:5">
      <c r="E5920" t="e">
        <f t="shared" si="94"/>
        <v>#N/A</v>
      </c>
    </row>
    <row r="5921" spans="5:5">
      <c r="E5921" t="e">
        <f t="shared" si="94"/>
        <v>#N/A</v>
      </c>
    </row>
    <row r="5922" spans="5:5">
      <c r="E5922" t="e">
        <f t="shared" si="94"/>
        <v>#N/A</v>
      </c>
    </row>
    <row r="5923" spans="5:5">
      <c r="E5923" t="e">
        <f t="shared" si="94"/>
        <v>#N/A</v>
      </c>
    </row>
    <row r="5924" spans="5:5">
      <c r="E5924" t="e">
        <f t="shared" si="94"/>
        <v>#N/A</v>
      </c>
    </row>
    <row r="5925" spans="5:5">
      <c r="E5925" t="e">
        <f t="shared" si="94"/>
        <v>#N/A</v>
      </c>
    </row>
    <row r="5926" spans="5:5">
      <c r="E5926" t="e">
        <f t="shared" si="94"/>
        <v>#N/A</v>
      </c>
    </row>
    <row r="5927" spans="5:5">
      <c r="E5927" t="e">
        <f t="shared" si="94"/>
        <v>#N/A</v>
      </c>
    </row>
    <row r="5928" spans="5:5">
      <c r="E5928" t="e">
        <f t="shared" si="94"/>
        <v>#N/A</v>
      </c>
    </row>
    <row r="5929" spans="5:5">
      <c r="E5929" t="e">
        <f t="shared" si="94"/>
        <v>#N/A</v>
      </c>
    </row>
    <row r="5930" spans="5:5">
      <c r="E5930" t="e">
        <f t="shared" si="94"/>
        <v>#N/A</v>
      </c>
    </row>
    <row r="5931" spans="5:5">
      <c r="E5931" t="e">
        <f t="shared" si="94"/>
        <v>#N/A</v>
      </c>
    </row>
    <row r="5932" spans="5:5">
      <c r="E5932" t="e">
        <f t="shared" si="94"/>
        <v>#N/A</v>
      </c>
    </row>
    <row r="5933" spans="5:5">
      <c r="E5933" t="e">
        <f t="shared" si="94"/>
        <v>#N/A</v>
      </c>
    </row>
    <row r="5934" spans="5:5">
      <c r="E5934" t="e">
        <f t="shared" si="94"/>
        <v>#N/A</v>
      </c>
    </row>
    <row r="5935" spans="5:5">
      <c r="E5935" t="e">
        <f t="shared" si="94"/>
        <v>#N/A</v>
      </c>
    </row>
    <row r="5936" spans="5:5">
      <c r="E5936" t="e">
        <f t="shared" si="94"/>
        <v>#N/A</v>
      </c>
    </row>
    <row r="5937" spans="5:5">
      <c r="E5937" t="e">
        <f t="shared" si="94"/>
        <v>#N/A</v>
      </c>
    </row>
    <row r="5938" spans="5:5">
      <c r="E5938" t="e">
        <f t="shared" si="94"/>
        <v>#N/A</v>
      </c>
    </row>
    <row r="5939" spans="5:5">
      <c r="E5939" t="e">
        <f t="shared" si="94"/>
        <v>#N/A</v>
      </c>
    </row>
    <row r="5940" spans="5:5">
      <c r="E5940" t="e">
        <f t="shared" si="94"/>
        <v>#N/A</v>
      </c>
    </row>
    <row r="5941" spans="5:5">
      <c r="E5941" t="e">
        <f t="shared" si="94"/>
        <v>#N/A</v>
      </c>
    </row>
    <row r="5942" spans="5:5">
      <c r="E5942" t="e">
        <f t="shared" si="94"/>
        <v>#N/A</v>
      </c>
    </row>
    <row r="5943" spans="5:5">
      <c r="E5943" t="e">
        <f t="shared" si="94"/>
        <v>#N/A</v>
      </c>
    </row>
    <row r="5944" spans="5:5">
      <c r="E5944" t="e">
        <f t="shared" si="94"/>
        <v>#N/A</v>
      </c>
    </row>
    <row r="5945" spans="5:5">
      <c r="E5945" t="e">
        <f t="shared" si="94"/>
        <v>#N/A</v>
      </c>
    </row>
    <row r="5946" spans="5:5">
      <c r="E5946" t="e">
        <f t="shared" si="94"/>
        <v>#N/A</v>
      </c>
    </row>
    <row r="5947" spans="5:5">
      <c r="E5947" t="e">
        <f t="shared" si="94"/>
        <v>#N/A</v>
      </c>
    </row>
    <row r="5948" spans="5:5">
      <c r="E5948" t="e">
        <f t="shared" si="94"/>
        <v>#N/A</v>
      </c>
    </row>
    <row r="5949" spans="5:5">
      <c r="E5949" t="e">
        <f t="shared" si="94"/>
        <v>#N/A</v>
      </c>
    </row>
    <row r="5950" spans="5:5">
      <c r="E5950" t="e">
        <f t="shared" si="94"/>
        <v>#N/A</v>
      </c>
    </row>
    <row r="5951" spans="5:5">
      <c r="E5951" t="e">
        <f t="shared" si="94"/>
        <v>#N/A</v>
      </c>
    </row>
    <row r="5952" spans="5:5">
      <c r="E5952" t="e">
        <f t="shared" si="94"/>
        <v>#N/A</v>
      </c>
    </row>
    <row r="5953" spans="5:5">
      <c r="E5953" t="e">
        <f t="shared" si="94"/>
        <v>#N/A</v>
      </c>
    </row>
    <row r="5954" spans="5:5">
      <c r="E5954" t="e">
        <f t="shared" si="94"/>
        <v>#N/A</v>
      </c>
    </row>
    <row r="5955" spans="5:5">
      <c r="E5955" t="e">
        <f t="shared" si="94"/>
        <v>#N/A</v>
      </c>
    </row>
    <row r="5956" spans="5:5">
      <c r="E5956" t="e">
        <f t="shared" si="94"/>
        <v>#N/A</v>
      </c>
    </row>
    <row r="5957" spans="5:5">
      <c r="E5957" t="e">
        <f t="shared" si="94"/>
        <v>#N/A</v>
      </c>
    </row>
    <row r="5958" spans="5:5">
      <c r="E5958" t="e">
        <f t="shared" si="94"/>
        <v>#N/A</v>
      </c>
    </row>
    <row r="5959" spans="5:5">
      <c r="E5959" t="e">
        <f t="shared" si="94"/>
        <v>#N/A</v>
      </c>
    </row>
    <row r="5960" spans="5:5">
      <c r="E5960" t="e">
        <f t="shared" si="94"/>
        <v>#N/A</v>
      </c>
    </row>
    <row r="5961" spans="5:5">
      <c r="E5961" t="e">
        <f t="shared" si="94"/>
        <v>#N/A</v>
      </c>
    </row>
    <row r="5962" spans="5:5">
      <c r="E5962" t="e">
        <f t="shared" si="94"/>
        <v>#N/A</v>
      </c>
    </row>
    <row r="5963" spans="5:5">
      <c r="E5963" t="e">
        <f t="shared" si="94"/>
        <v>#N/A</v>
      </c>
    </row>
    <row r="5964" spans="5:5">
      <c r="E5964" t="e">
        <f t="shared" si="94"/>
        <v>#N/A</v>
      </c>
    </row>
    <row r="5965" spans="5:5">
      <c r="E5965" t="e">
        <f t="shared" ref="E5965:E6028" si="95">VLOOKUP(B5965,$Q$13:$R$61,2,FALSE)</f>
        <v>#N/A</v>
      </c>
    </row>
    <row r="5966" spans="5:5">
      <c r="E5966" t="e">
        <f t="shared" si="95"/>
        <v>#N/A</v>
      </c>
    </row>
    <row r="5967" spans="5:5">
      <c r="E5967" t="e">
        <f t="shared" si="95"/>
        <v>#N/A</v>
      </c>
    </row>
    <row r="5968" spans="5:5">
      <c r="E5968" t="e">
        <f t="shared" si="95"/>
        <v>#N/A</v>
      </c>
    </row>
    <row r="5969" spans="5:5">
      <c r="E5969" t="e">
        <f t="shared" si="95"/>
        <v>#N/A</v>
      </c>
    </row>
    <row r="5970" spans="5:5">
      <c r="E5970" t="e">
        <f t="shared" si="95"/>
        <v>#N/A</v>
      </c>
    </row>
    <row r="5971" spans="5:5">
      <c r="E5971" t="e">
        <f t="shared" si="95"/>
        <v>#N/A</v>
      </c>
    </row>
    <row r="5972" spans="5:5">
      <c r="E5972" t="e">
        <f t="shared" si="95"/>
        <v>#N/A</v>
      </c>
    </row>
    <row r="5973" spans="5:5">
      <c r="E5973" t="e">
        <f t="shared" si="95"/>
        <v>#N/A</v>
      </c>
    </row>
    <row r="5974" spans="5:5">
      <c r="E5974" t="e">
        <f t="shared" si="95"/>
        <v>#N/A</v>
      </c>
    </row>
    <row r="5975" spans="5:5">
      <c r="E5975" t="e">
        <f t="shared" si="95"/>
        <v>#N/A</v>
      </c>
    </row>
    <row r="5976" spans="5:5">
      <c r="E5976" t="e">
        <f t="shared" si="95"/>
        <v>#N/A</v>
      </c>
    </row>
    <row r="5977" spans="5:5">
      <c r="E5977" t="e">
        <f t="shared" si="95"/>
        <v>#N/A</v>
      </c>
    </row>
    <row r="5978" spans="5:5">
      <c r="E5978" t="e">
        <f t="shared" si="95"/>
        <v>#N/A</v>
      </c>
    </row>
    <row r="5979" spans="5:5">
      <c r="E5979" t="e">
        <f t="shared" si="95"/>
        <v>#N/A</v>
      </c>
    </row>
    <row r="5980" spans="5:5">
      <c r="E5980" t="e">
        <f t="shared" si="95"/>
        <v>#N/A</v>
      </c>
    </row>
    <row r="5981" spans="5:5">
      <c r="E5981" t="e">
        <f t="shared" si="95"/>
        <v>#N/A</v>
      </c>
    </row>
    <row r="5982" spans="5:5">
      <c r="E5982" t="e">
        <f t="shared" si="95"/>
        <v>#N/A</v>
      </c>
    </row>
    <row r="5983" spans="5:5">
      <c r="E5983" t="e">
        <f t="shared" si="95"/>
        <v>#N/A</v>
      </c>
    </row>
    <row r="5984" spans="5:5">
      <c r="E5984" t="e">
        <f t="shared" si="95"/>
        <v>#N/A</v>
      </c>
    </row>
    <row r="5985" spans="5:5">
      <c r="E5985" t="e">
        <f t="shared" si="95"/>
        <v>#N/A</v>
      </c>
    </row>
    <row r="5986" spans="5:5">
      <c r="E5986" t="e">
        <f t="shared" si="95"/>
        <v>#N/A</v>
      </c>
    </row>
    <row r="5987" spans="5:5">
      <c r="E5987" t="e">
        <f t="shared" si="95"/>
        <v>#N/A</v>
      </c>
    </row>
    <row r="5988" spans="5:5">
      <c r="E5988" t="e">
        <f t="shared" si="95"/>
        <v>#N/A</v>
      </c>
    </row>
    <row r="5989" spans="5:5">
      <c r="E5989" t="e">
        <f t="shared" si="95"/>
        <v>#N/A</v>
      </c>
    </row>
    <row r="5990" spans="5:5">
      <c r="E5990" t="e">
        <f t="shared" si="95"/>
        <v>#N/A</v>
      </c>
    </row>
    <row r="5991" spans="5:5">
      <c r="E5991" t="e">
        <f t="shared" si="95"/>
        <v>#N/A</v>
      </c>
    </row>
    <row r="5992" spans="5:5">
      <c r="E5992" t="e">
        <f t="shared" si="95"/>
        <v>#N/A</v>
      </c>
    </row>
    <row r="5993" spans="5:5">
      <c r="E5993" t="e">
        <f t="shared" si="95"/>
        <v>#N/A</v>
      </c>
    </row>
    <row r="5994" spans="5:5">
      <c r="E5994" t="e">
        <f t="shared" si="95"/>
        <v>#N/A</v>
      </c>
    </row>
    <row r="5995" spans="5:5">
      <c r="E5995" t="e">
        <f t="shared" si="95"/>
        <v>#N/A</v>
      </c>
    </row>
    <row r="5996" spans="5:5">
      <c r="E5996" t="e">
        <f t="shared" si="95"/>
        <v>#N/A</v>
      </c>
    </row>
    <row r="5997" spans="5:5">
      <c r="E5997" t="e">
        <f t="shared" si="95"/>
        <v>#N/A</v>
      </c>
    </row>
    <row r="5998" spans="5:5">
      <c r="E5998" t="e">
        <f t="shared" si="95"/>
        <v>#N/A</v>
      </c>
    </row>
    <row r="5999" spans="5:5">
      <c r="E5999" t="e">
        <f t="shared" si="95"/>
        <v>#N/A</v>
      </c>
    </row>
    <row r="6000" spans="5:5">
      <c r="E6000" t="e">
        <f t="shared" si="95"/>
        <v>#N/A</v>
      </c>
    </row>
    <row r="6001" spans="5:5">
      <c r="E6001" t="e">
        <f t="shared" si="95"/>
        <v>#N/A</v>
      </c>
    </row>
    <row r="6002" spans="5:5">
      <c r="E6002" t="e">
        <f t="shared" si="95"/>
        <v>#N/A</v>
      </c>
    </row>
    <row r="6003" spans="5:5">
      <c r="E6003" t="e">
        <f t="shared" si="95"/>
        <v>#N/A</v>
      </c>
    </row>
    <row r="6004" spans="5:5">
      <c r="E6004" t="e">
        <f t="shared" si="95"/>
        <v>#N/A</v>
      </c>
    </row>
    <row r="6005" spans="5:5">
      <c r="E6005" t="e">
        <f t="shared" si="95"/>
        <v>#N/A</v>
      </c>
    </row>
    <row r="6006" spans="5:5">
      <c r="E6006" t="e">
        <f t="shared" si="95"/>
        <v>#N/A</v>
      </c>
    </row>
    <row r="6007" spans="5:5">
      <c r="E6007" t="e">
        <f t="shared" si="95"/>
        <v>#N/A</v>
      </c>
    </row>
    <row r="6008" spans="5:5">
      <c r="E6008" t="e">
        <f t="shared" si="95"/>
        <v>#N/A</v>
      </c>
    </row>
    <row r="6009" spans="5:5">
      <c r="E6009" t="e">
        <f t="shared" si="95"/>
        <v>#N/A</v>
      </c>
    </row>
    <row r="6010" spans="5:5">
      <c r="E6010" t="e">
        <f t="shared" si="95"/>
        <v>#N/A</v>
      </c>
    </row>
    <row r="6011" spans="5:5">
      <c r="E6011" t="e">
        <f t="shared" si="95"/>
        <v>#N/A</v>
      </c>
    </row>
    <row r="6012" spans="5:5">
      <c r="E6012" t="e">
        <f t="shared" si="95"/>
        <v>#N/A</v>
      </c>
    </row>
    <row r="6013" spans="5:5">
      <c r="E6013" t="e">
        <f t="shared" si="95"/>
        <v>#N/A</v>
      </c>
    </row>
    <row r="6014" spans="5:5">
      <c r="E6014" t="e">
        <f t="shared" si="95"/>
        <v>#N/A</v>
      </c>
    </row>
    <row r="6015" spans="5:5">
      <c r="E6015" t="e">
        <f t="shared" si="95"/>
        <v>#N/A</v>
      </c>
    </row>
    <row r="6016" spans="5:5">
      <c r="E6016" t="e">
        <f t="shared" si="95"/>
        <v>#N/A</v>
      </c>
    </row>
    <row r="6017" spans="5:5">
      <c r="E6017" t="e">
        <f t="shared" si="95"/>
        <v>#N/A</v>
      </c>
    </row>
    <row r="6018" spans="5:5">
      <c r="E6018" t="e">
        <f t="shared" si="95"/>
        <v>#N/A</v>
      </c>
    </row>
    <row r="6019" spans="5:5">
      <c r="E6019" t="e">
        <f t="shared" si="95"/>
        <v>#N/A</v>
      </c>
    </row>
    <row r="6020" spans="5:5">
      <c r="E6020" t="e">
        <f t="shared" si="95"/>
        <v>#N/A</v>
      </c>
    </row>
    <row r="6021" spans="5:5">
      <c r="E6021" t="e">
        <f t="shared" si="95"/>
        <v>#N/A</v>
      </c>
    </row>
    <row r="6022" spans="5:5">
      <c r="E6022" t="e">
        <f t="shared" si="95"/>
        <v>#N/A</v>
      </c>
    </row>
    <row r="6023" spans="5:5">
      <c r="E6023" t="e">
        <f t="shared" si="95"/>
        <v>#N/A</v>
      </c>
    </row>
    <row r="6024" spans="5:5">
      <c r="E6024" t="e">
        <f t="shared" si="95"/>
        <v>#N/A</v>
      </c>
    </row>
    <row r="6025" spans="5:5">
      <c r="E6025" t="e">
        <f t="shared" si="95"/>
        <v>#N/A</v>
      </c>
    </row>
    <row r="6026" spans="5:5">
      <c r="E6026" t="e">
        <f t="shared" si="95"/>
        <v>#N/A</v>
      </c>
    </row>
    <row r="6027" spans="5:5">
      <c r="E6027" t="e">
        <f t="shared" si="95"/>
        <v>#N/A</v>
      </c>
    </row>
    <row r="6028" spans="5:5">
      <c r="E6028" t="e">
        <f t="shared" si="95"/>
        <v>#N/A</v>
      </c>
    </row>
    <row r="6029" spans="5:5">
      <c r="E6029" t="e">
        <f t="shared" ref="E6029:E6092" si="96">VLOOKUP(B6029,$Q$13:$R$61,2,FALSE)</f>
        <v>#N/A</v>
      </c>
    </row>
    <row r="6030" spans="5:5">
      <c r="E6030" t="e">
        <f t="shared" si="96"/>
        <v>#N/A</v>
      </c>
    </row>
    <row r="6031" spans="5:5">
      <c r="E6031" t="e">
        <f t="shared" si="96"/>
        <v>#N/A</v>
      </c>
    </row>
    <row r="6032" spans="5:5">
      <c r="E6032" t="e">
        <f t="shared" si="96"/>
        <v>#N/A</v>
      </c>
    </row>
    <row r="6033" spans="5:5">
      <c r="E6033" t="e">
        <f t="shared" si="96"/>
        <v>#N/A</v>
      </c>
    </row>
    <row r="6034" spans="5:5">
      <c r="E6034" t="e">
        <f t="shared" si="96"/>
        <v>#N/A</v>
      </c>
    </row>
    <row r="6035" spans="5:5">
      <c r="E6035" t="e">
        <f t="shared" si="96"/>
        <v>#N/A</v>
      </c>
    </row>
    <row r="6036" spans="5:5">
      <c r="E6036" t="e">
        <f t="shared" si="96"/>
        <v>#N/A</v>
      </c>
    </row>
    <row r="6037" spans="5:5">
      <c r="E6037" t="e">
        <f t="shared" si="96"/>
        <v>#N/A</v>
      </c>
    </row>
    <row r="6038" spans="5:5">
      <c r="E6038" t="e">
        <f t="shared" si="96"/>
        <v>#N/A</v>
      </c>
    </row>
    <row r="6039" spans="5:5">
      <c r="E6039" t="e">
        <f t="shared" si="96"/>
        <v>#N/A</v>
      </c>
    </row>
    <row r="6040" spans="5:5">
      <c r="E6040" t="e">
        <f t="shared" si="96"/>
        <v>#N/A</v>
      </c>
    </row>
    <row r="6041" spans="5:5">
      <c r="E6041" t="e">
        <f t="shared" si="96"/>
        <v>#N/A</v>
      </c>
    </row>
    <row r="6042" spans="5:5">
      <c r="E6042" t="e">
        <f t="shared" si="96"/>
        <v>#N/A</v>
      </c>
    </row>
    <row r="6043" spans="5:5">
      <c r="E6043" t="e">
        <f t="shared" si="96"/>
        <v>#N/A</v>
      </c>
    </row>
    <row r="6044" spans="5:5">
      <c r="E6044" t="e">
        <f t="shared" si="96"/>
        <v>#N/A</v>
      </c>
    </row>
    <row r="6045" spans="5:5">
      <c r="E6045" t="e">
        <f t="shared" si="96"/>
        <v>#N/A</v>
      </c>
    </row>
    <row r="6046" spans="5:5">
      <c r="E6046" t="e">
        <f t="shared" si="96"/>
        <v>#N/A</v>
      </c>
    </row>
    <row r="6047" spans="5:5">
      <c r="E6047" t="e">
        <f t="shared" si="96"/>
        <v>#N/A</v>
      </c>
    </row>
    <row r="6048" spans="5:5">
      <c r="E6048" t="e">
        <f t="shared" si="96"/>
        <v>#N/A</v>
      </c>
    </row>
    <row r="6049" spans="5:5">
      <c r="E6049" t="e">
        <f t="shared" si="96"/>
        <v>#N/A</v>
      </c>
    </row>
    <row r="6050" spans="5:5">
      <c r="E6050" t="e">
        <f t="shared" si="96"/>
        <v>#N/A</v>
      </c>
    </row>
    <row r="6051" spans="5:5">
      <c r="E6051" t="e">
        <f t="shared" si="96"/>
        <v>#N/A</v>
      </c>
    </row>
    <row r="6052" spans="5:5">
      <c r="E6052" t="e">
        <f t="shared" si="96"/>
        <v>#N/A</v>
      </c>
    </row>
    <row r="6053" spans="5:5">
      <c r="E6053" t="e">
        <f t="shared" si="96"/>
        <v>#N/A</v>
      </c>
    </row>
    <row r="6054" spans="5:5">
      <c r="E6054" t="e">
        <f t="shared" si="96"/>
        <v>#N/A</v>
      </c>
    </row>
    <row r="6055" spans="5:5">
      <c r="E6055" t="e">
        <f t="shared" si="96"/>
        <v>#N/A</v>
      </c>
    </row>
    <row r="6056" spans="5:5">
      <c r="E6056" t="e">
        <f t="shared" si="96"/>
        <v>#N/A</v>
      </c>
    </row>
    <row r="6057" spans="5:5">
      <c r="E6057" t="e">
        <f t="shared" si="96"/>
        <v>#N/A</v>
      </c>
    </row>
    <row r="6058" spans="5:5">
      <c r="E6058" t="e">
        <f t="shared" si="96"/>
        <v>#N/A</v>
      </c>
    </row>
    <row r="6059" spans="5:5">
      <c r="E6059" t="e">
        <f t="shared" si="96"/>
        <v>#N/A</v>
      </c>
    </row>
    <row r="6060" spans="5:5">
      <c r="E6060" t="e">
        <f t="shared" si="96"/>
        <v>#N/A</v>
      </c>
    </row>
    <row r="6061" spans="5:5">
      <c r="E6061" t="e">
        <f t="shared" si="96"/>
        <v>#N/A</v>
      </c>
    </row>
    <row r="6062" spans="5:5">
      <c r="E6062" t="e">
        <f t="shared" si="96"/>
        <v>#N/A</v>
      </c>
    </row>
    <row r="6063" spans="5:5">
      <c r="E6063" t="e">
        <f t="shared" si="96"/>
        <v>#N/A</v>
      </c>
    </row>
    <row r="6064" spans="5:5">
      <c r="E6064" t="e">
        <f t="shared" si="96"/>
        <v>#N/A</v>
      </c>
    </row>
    <row r="6065" spans="5:5">
      <c r="E6065" t="e">
        <f t="shared" si="96"/>
        <v>#N/A</v>
      </c>
    </row>
    <row r="6066" spans="5:5">
      <c r="E6066" t="e">
        <f t="shared" si="96"/>
        <v>#N/A</v>
      </c>
    </row>
    <row r="6067" spans="5:5">
      <c r="E6067" t="e">
        <f t="shared" si="96"/>
        <v>#N/A</v>
      </c>
    </row>
    <row r="6068" spans="5:5">
      <c r="E6068" t="e">
        <f t="shared" si="96"/>
        <v>#N/A</v>
      </c>
    </row>
    <row r="6069" spans="5:5">
      <c r="E6069" t="e">
        <f t="shared" si="96"/>
        <v>#N/A</v>
      </c>
    </row>
    <row r="6070" spans="5:5">
      <c r="E6070" t="e">
        <f t="shared" si="96"/>
        <v>#N/A</v>
      </c>
    </row>
    <row r="6071" spans="5:5">
      <c r="E6071" t="e">
        <f t="shared" si="96"/>
        <v>#N/A</v>
      </c>
    </row>
    <row r="6072" spans="5:5">
      <c r="E6072" t="e">
        <f t="shared" si="96"/>
        <v>#N/A</v>
      </c>
    </row>
    <row r="6073" spans="5:5">
      <c r="E6073" t="e">
        <f t="shared" si="96"/>
        <v>#N/A</v>
      </c>
    </row>
    <row r="6074" spans="5:5">
      <c r="E6074" t="e">
        <f t="shared" si="96"/>
        <v>#N/A</v>
      </c>
    </row>
    <row r="6075" spans="5:5">
      <c r="E6075" t="e">
        <f t="shared" si="96"/>
        <v>#N/A</v>
      </c>
    </row>
    <row r="6076" spans="5:5">
      <c r="E6076" t="e">
        <f t="shared" si="96"/>
        <v>#N/A</v>
      </c>
    </row>
    <row r="6077" spans="5:5">
      <c r="E6077" t="e">
        <f t="shared" si="96"/>
        <v>#N/A</v>
      </c>
    </row>
    <row r="6078" spans="5:5">
      <c r="E6078" t="e">
        <f t="shared" si="96"/>
        <v>#N/A</v>
      </c>
    </row>
    <row r="6079" spans="5:5">
      <c r="E6079" t="e">
        <f t="shared" si="96"/>
        <v>#N/A</v>
      </c>
    </row>
    <row r="6080" spans="5:5">
      <c r="E6080" t="e">
        <f t="shared" si="96"/>
        <v>#N/A</v>
      </c>
    </row>
    <row r="6081" spans="5:5">
      <c r="E6081" t="e">
        <f t="shared" si="96"/>
        <v>#N/A</v>
      </c>
    </row>
    <row r="6082" spans="5:5">
      <c r="E6082" t="e">
        <f t="shared" si="96"/>
        <v>#N/A</v>
      </c>
    </row>
    <row r="6083" spans="5:5">
      <c r="E6083" t="e">
        <f t="shared" si="96"/>
        <v>#N/A</v>
      </c>
    </row>
    <row r="6084" spans="5:5">
      <c r="E6084" t="e">
        <f t="shared" si="96"/>
        <v>#N/A</v>
      </c>
    </row>
    <row r="6085" spans="5:5">
      <c r="E6085" t="e">
        <f t="shared" si="96"/>
        <v>#N/A</v>
      </c>
    </row>
    <row r="6086" spans="5:5">
      <c r="E6086" t="e">
        <f t="shared" si="96"/>
        <v>#N/A</v>
      </c>
    </row>
    <row r="6087" spans="5:5">
      <c r="E6087" t="e">
        <f t="shared" si="96"/>
        <v>#N/A</v>
      </c>
    </row>
    <row r="6088" spans="5:5">
      <c r="E6088" t="e">
        <f t="shared" si="96"/>
        <v>#N/A</v>
      </c>
    </row>
    <row r="6089" spans="5:5">
      <c r="E6089" t="e">
        <f t="shared" si="96"/>
        <v>#N/A</v>
      </c>
    </row>
    <row r="6090" spans="5:5">
      <c r="E6090" t="e">
        <f t="shared" si="96"/>
        <v>#N/A</v>
      </c>
    </row>
    <row r="6091" spans="5:5">
      <c r="E6091" t="e">
        <f t="shared" si="96"/>
        <v>#N/A</v>
      </c>
    </row>
    <row r="6092" spans="5:5">
      <c r="E6092" t="e">
        <f t="shared" si="96"/>
        <v>#N/A</v>
      </c>
    </row>
    <row r="6093" spans="5:5">
      <c r="E6093" t="e">
        <f t="shared" ref="E6093:E6156" si="97">VLOOKUP(B6093,$Q$13:$R$61,2,FALSE)</f>
        <v>#N/A</v>
      </c>
    </row>
    <row r="6094" spans="5:5">
      <c r="E6094" t="e">
        <f t="shared" si="97"/>
        <v>#N/A</v>
      </c>
    </row>
    <row r="6095" spans="5:5">
      <c r="E6095" t="e">
        <f t="shared" si="97"/>
        <v>#N/A</v>
      </c>
    </row>
    <row r="6096" spans="5:5">
      <c r="E6096" t="e">
        <f t="shared" si="97"/>
        <v>#N/A</v>
      </c>
    </row>
    <row r="6097" spans="5:5">
      <c r="E6097" t="e">
        <f t="shared" si="97"/>
        <v>#N/A</v>
      </c>
    </row>
    <row r="6098" spans="5:5">
      <c r="E6098" t="e">
        <f t="shared" si="97"/>
        <v>#N/A</v>
      </c>
    </row>
    <row r="6099" spans="5:5">
      <c r="E6099" t="e">
        <f t="shared" si="97"/>
        <v>#N/A</v>
      </c>
    </row>
    <row r="6100" spans="5:5">
      <c r="E6100" t="e">
        <f t="shared" si="97"/>
        <v>#N/A</v>
      </c>
    </row>
    <row r="6101" spans="5:5">
      <c r="E6101" t="e">
        <f t="shared" si="97"/>
        <v>#N/A</v>
      </c>
    </row>
    <row r="6102" spans="5:5">
      <c r="E6102" t="e">
        <f t="shared" si="97"/>
        <v>#N/A</v>
      </c>
    </row>
    <row r="6103" spans="5:5">
      <c r="E6103" t="e">
        <f t="shared" si="97"/>
        <v>#N/A</v>
      </c>
    </row>
    <row r="6104" spans="5:5">
      <c r="E6104" t="e">
        <f t="shared" si="97"/>
        <v>#N/A</v>
      </c>
    </row>
    <row r="6105" spans="5:5">
      <c r="E6105" t="e">
        <f t="shared" si="97"/>
        <v>#N/A</v>
      </c>
    </row>
    <row r="6106" spans="5:5">
      <c r="E6106" t="e">
        <f t="shared" si="97"/>
        <v>#N/A</v>
      </c>
    </row>
    <row r="6107" spans="5:5">
      <c r="E6107" t="e">
        <f t="shared" si="97"/>
        <v>#N/A</v>
      </c>
    </row>
    <row r="6108" spans="5:5">
      <c r="E6108" t="e">
        <f t="shared" si="97"/>
        <v>#N/A</v>
      </c>
    </row>
    <row r="6109" spans="5:5">
      <c r="E6109" t="e">
        <f t="shared" si="97"/>
        <v>#N/A</v>
      </c>
    </row>
    <row r="6110" spans="5:5">
      <c r="E6110" t="e">
        <f t="shared" si="97"/>
        <v>#N/A</v>
      </c>
    </row>
    <row r="6111" spans="5:5">
      <c r="E6111" t="e">
        <f t="shared" si="97"/>
        <v>#N/A</v>
      </c>
    </row>
    <row r="6112" spans="5:5">
      <c r="E6112" t="e">
        <f t="shared" si="97"/>
        <v>#N/A</v>
      </c>
    </row>
    <row r="6113" spans="5:5">
      <c r="E6113" t="e">
        <f t="shared" si="97"/>
        <v>#N/A</v>
      </c>
    </row>
    <row r="6114" spans="5:5">
      <c r="E6114" t="e">
        <f t="shared" si="97"/>
        <v>#N/A</v>
      </c>
    </row>
    <row r="6115" spans="5:5">
      <c r="E6115" t="e">
        <f t="shared" si="97"/>
        <v>#N/A</v>
      </c>
    </row>
    <row r="6116" spans="5:5">
      <c r="E6116" t="e">
        <f t="shared" si="97"/>
        <v>#N/A</v>
      </c>
    </row>
    <row r="6117" spans="5:5">
      <c r="E6117" t="e">
        <f t="shared" si="97"/>
        <v>#N/A</v>
      </c>
    </row>
    <row r="6118" spans="5:5">
      <c r="E6118" t="e">
        <f t="shared" si="97"/>
        <v>#N/A</v>
      </c>
    </row>
    <row r="6119" spans="5:5">
      <c r="E6119" t="e">
        <f t="shared" si="97"/>
        <v>#N/A</v>
      </c>
    </row>
    <row r="6120" spans="5:5">
      <c r="E6120" t="e">
        <f t="shared" si="97"/>
        <v>#N/A</v>
      </c>
    </row>
    <row r="6121" spans="5:5">
      <c r="E6121" t="e">
        <f t="shared" si="97"/>
        <v>#N/A</v>
      </c>
    </row>
    <row r="6122" spans="5:5">
      <c r="E6122" t="e">
        <f t="shared" si="97"/>
        <v>#N/A</v>
      </c>
    </row>
    <row r="6123" spans="5:5">
      <c r="E6123" t="e">
        <f t="shared" si="97"/>
        <v>#N/A</v>
      </c>
    </row>
    <row r="6124" spans="5:5">
      <c r="E6124" t="e">
        <f t="shared" si="97"/>
        <v>#N/A</v>
      </c>
    </row>
    <row r="6125" spans="5:5">
      <c r="E6125" t="e">
        <f t="shared" si="97"/>
        <v>#N/A</v>
      </c>
    </row>
    <row r="6126" spans="5:5">
      <c r="E6126" t="e">
        <f t="shared" si="97"/>
        <v>#N/A</v>
      </c>
    </row>
    <row r="6127" spans="5:5">
      <c r="E6127" t="e">
        <f t="shared" si="97"/>
        <v>#N/A</v>
      </c>
    </row>
    <row r="6128" spans="5:5">
      <c r="E6128" t="e">
        <f t="shared" si="97"/>
        <v>#N/A</v>
      </c>
    </row>
    <row r="6129" spans="5:5">
      <c r="E6129" t="e">
        <f t="shared" si="97"/>
        <v>#N/A</v>
      </c>
    </row>
    <row r="6130" spans="5:5">
      <c r="E6130" t="e">
        <f t="shared" si="97"/>
        <v>#N/A</v>
      </c>
    </row>
    <row r="6131" spans="5:5">
      <c r="E6131" t="e">
        <f t="shared" si="97"/>
        <v>#N/A</v>
      </c>
    </row>
    <row r="6132" spans="5:5">
      <c r="E6132" t="e">
        <f t="shared" si="97"/>
        <v>#N/A</v>
      </c>
    </row>
    <row r="6133" spans="5:5">
      <c r="E6133" t="e">
        <f t="shared" si="97"/>
        <v>#N/A</v>
      </c>
    </row>
    <row r="6134" spans="5:5">
      <c r="E6134" t="e">
        <f t="shared" si="97"/>
        <v>#N/A</v>
      </c>
    </row>
    <row r="6135" spans="5:5">
      <c r="E6135" t="e">
        <f t="shared" si="97"/>
        <v>#N/A</v>
      </c>
    </row>
    <row r="6136" spans="5:5">
      <c r="E6136" t="e">
        <f t="shared" si="97"/>
        <v>#N/A</v>
      </c>
    </row>
    <row r="6137" spans="5:5">
      <c r="E6137" t="e">
        <f t="shared" si="97"/>
        <v>#N/A</v>
      </c>
    </row>
    <row r="6138" spans="5:5">
      <c r="E6138" t="e">
        <f t="shared" si="97"/>
        <v>#N/A</v>
      </c>
    </row>
    <row r="6139" spans="5:5">
      <c r="E6139" t="e">
        <f t="shared" si="97"/>
        <v>#N/A</v>
      </c>
    </row>
    <row r="6140" spans="5:5">
      <c r="E6140" t="e">
        <f t="shared" si="97"/>
        <v>#N/A</v>
      </c>
    </row>
    <row r="6141" spans="5:5">
      <c r="E6141" t="e">
        <f t="shared" si="97"/>
        <v>#N/A</v>
      </c>
    </row>
    <row r="6142" spans="5:5">
      <c r="E6142" t="e">
        <f t="shared" si="97"/>
        <v>#N/A</v>
      </c>
    </row>
    <row r="6143" spans="5:5">
      <c r="E6143" t="e">
        <f t="shared" si="97"/>
        <v>#N/A</v>
      </c>
    </row>
    <row r="6144" spans="5:5">
      <c r="E6144" t="e">
        <f t="shared" si="97"/>
        <v>#N/A</v>
      </c>
    </row>
    <row r="6145" spans="5:5">
      <c r="E6145" t="e">
        <f t="shared" si="97"/>
        <v>#N/A</v>
      </c>
    </row>
    <row r="6146" spans="5:5">
      <c r="E6146" t="e">
        <f t="shared" si="97"/>
        <v>#N/A</v>
      </c>
    </row>
    <row r="6147" spans="5:5">
      <c r="E6147" t="e">
        <f t="shared" si="97"/>
        <v>#N/A</v>
      </c>
    </row>
    <row r="6148" spans="5:5">
      <c r="E6148" t="e">
        <f t="shared" si="97"/>
        <v>#N/A</v>
      </c>
    </row>
    <row r="6149" spans="5:5">
      <c r="E6149" t="e">
        <f t="shared" si="97"/>
        <v>#N/A</v>
      </c>
    </row>
    <row r="6150" spans="5:5">
      <c r="E6150" t="e">
        <f t="shared" si="97"/>
        <v>#N/A</v>
      </c>
    </row>
    <row r="6151" spans="5:5">
      <c r="E6151" t="e">
        <f t="shared" si="97"/>
        <v>#N/A</v>
      </c>
    </row>
    <row r="6152" spans="5:5">
      <c r="E6152" t="e">
        <f t="shared" si="97"/>
        <v>#N/A</v>
      </c>
    </row>
    <row r="6153" spans="5:5">
      <c r="E6153" t="e">
        <f t="shared" si="97"/>
        <v>#N/A</v>
      </c>
    </row>
    <row r="6154" spans="5:5">
      <c r="E6154" t="e">
        <f t="shared" si="97"/>
        <v>#N/A</v>
      </c>
    </row>
    <row r="6155" spans="5:5">
      <c r="E6155" t="e">
        <f t="shared" si="97"/>
        <v>#N/A</v>
      </c>
    </row>
    <row r="6156" spans="5:5">
      <c r="E6156" t="e">
        <f t="shared" si="97"/>
        <v>#N/A</v>
      </c>
    </row>
    <row r="6157" spans="5:5">
      <c r="E6157" t="e">
        <f t="shared" ref="E6157:E6220" si="98">VLOOKUP(B6157,$Q$13:$R$61,2,FALSE)</f>
        <v>#N/A</v>
      </c>
    </row>
    <row r="6158" spans="5:5">
      <c r="E6158" t="e">
        <f t="shared" si="98"/>
        <v>#N/A</v>
      </c>
    </row>
    <row r="6159" spans="5:5">
      <c r="E6159" t="e">
        <f t="shared" si="98"/>
        <v>#N/A</v>
      </c>
    </row>
    <row r="6160" spans="5:5">
      <c r="E6160" t="e">
        <f t="shared" si="98"/>
        <v>#N/A</v>
      </c>
    </row>
    <row r="6161" spans="5:5">
      <c r="E6161" t="e">
        <f t="shared" si="98"/>
        <v>#N/A</v>
      </c>
    </row>
    <row r="6162" spans="5:5">
      <c r="E6162" t="e">
        <f t="shared" si="98"/>
        <v>#N/A</v>
      </c>
    </row>
    <row r="6163" spans="5:5">
      <c r="E6163" t="e">
        <f t="shared" si="98"/>
        <v>#N/A</v>
      </c>
    </row>
    <row r="6164" spans="5:5">
      <c r="E6164" t="e">
        <f t="shared" si="98"/>
        <v>#N/A</v>
      </c>
    </row>
    <row r="6165" spans="5:5">
      <c r="E6165" t="e">
        <f t="shared" si="98"/>
        <v>#N/A</v>
      </c>
    </row>
    <row r="6166" spans="5:5">
      <c r="E6166" t="e">
        <f t="shared" si="98"/>
        <v>#N/A</v>
      </c>
    </row>
    <row r="6167" spans="5:5">
      <c r="E6167" t="e">
        <f t="shared" si="98"/>
        <v>#N/A</v>
      </c>
    </row>
    <row r="6168" spans="5:5">
      <c r="E6168" t="e">
        <f t="shared" si="98"/>
        <v>#N/A</v>
      </c>
    </row>
    <row r="6169" spans="5:5">
      <c r="E6169" t="e">
        <f t="shared" si="98"/>
        <v>#N/A</v>
      </c>
    </row>
    <row r="6170" spans="5:5">
      <c r="E6170" t="e">
        <f t="shared" si="98"/>
        <v>#N/A</v>
      </c>
    </row>
    <row r="6171" spans="5:5">
      <c r="E6171" t="e">
        <f t="shared" si="98"/>
        <v>#N/A</v>
      </c>
    </row>
    <row r="6172" spans="5:5">
      <c r="E6172" t="e">
        <f t="shared" si="98"/>
        <v>#N/A</v>
      </c>
    </row>
    <row r="6173" spans="5:5">
      <c r="E6173" t="e">
        <f t="shared" si="98"/>
        <v>#N/A</v>
      </c>
    </row>
    <row r="6174" spans="5:5">
      <c r="E6174" t="e">
        <f t="shared" si="98"/>
        <v>#N/A</v>
      </c>
    </row>
    <row r="6175" spans="5:5">
      <c r="E6175" t="e">
        <f t="shared" si="98"/>
        <v>#N/A</v>
      </c>
    </row>
    <row r="6176" spans="5:5">
      <c r="E6176" t="e">
        <f t="shared" si="98"/>
        <v>#N/A</v>
      </c>
    </row>
    <row r="6177" spans="5:5">
      <c r="E6177" t="e">
        <f t="shared" si="98"/>
        <v>#N/A</v>
      </c>
    </row>
    <row r="6178" spans="5:5">
      <c r="E6178" t="e">
        <f t="shared" si="98"/>
        <v>#N/A</v>
      </c>
    </row>
    <row r="6179" spans="5:5">
      <c r="E6179" t="e">
        <f t="shared" si="98"/>
        <v>#N/A</v>
      </c>
    </row>
    <row r="6180" spans="5:5">
      <c r="E6180" t="e">
        <f t="shared" si="98"/>
        <v>#N/A</v>
      </c>
    </row>
    <row r="6181" spans="5:5">
      <c r="E6181" t="e">
        <f t="shared" si="98"/>
        <v>#N/A</v>
      </c>
    </row>
    <row r="6182" spans="5:5">
      <c r="E6182" t="e">
        <f t="shared" si="98"/>
        <v>#N/A</v>
      </c>
    </row>
    <row r="6183" spans="5:5">
      <c r="E6183" t="e">
        <f t="shared" si="98"/>
        <v>#N/A</v>
      </c>
    </row>
    <row r="6184" spans="5:5">
      <c r="E6184" t="e">
        <f t="shared" si="98"/>
        <v>#N/A</v>
      </c>
    </row>
    <row r="6185" spans="5:5">
      <c r="E6185" t="e">
        <f t="shared" si="98"/>
        <v>#N/A</v>
      </c>
    </row>
    <row r="6186" spans="5:5">
      <c r="E6186" t="e">
        <f t="shared" si="98"/>
        <v>#N/A</v>
      </c>
    </row>
    <row r="6187" spans="5:5">
      <c r="E6187" t="e">
        <f t="shared" si="98"/>
        <v>#N/A</v>
      </c>
    </row>
    <row r="6188" spans="5:5">
      <c r="E6188" t="e">
        <f t="shared" si="98"/>
        <v>#N/A</v>
      </c>
    </row>
    <row r="6189" spans="5:5">
      <c r="E6189" t="e">
        <f t="shared" si="98"/>
        <v>#N/A</v>
      </c>
    </row>
    <row r="6190" spans="5:5">
      <c r="E6190" t="e">
        <f t="shared" si="98"/>
        <v>#N/A</v>
      </c>
    </row>
    <row r="6191" spans="5:5">
      <c r="E6191" t="e">
        <f t="shared" si="98"/>
        <v>#N/A</v>
      </c>
    </row>
    <row r="6192" spans="5:5">
      <c r="E6192" t="e">
        <f t="shared" si="98"/>
        <v>#N/A</v>
      </c>
    </row>
    <row r="6193" spans="5:5">
      <c r="E6193" t="e">
        <f t="shared" si="98"/>
        <v>#N/A</v>
      </c>
    </row>
    <row r="6194" spans="5:5">
      <c r="E6194" t="e">
        <f t="shared" si="98"/>
        <v>#N/A</v>
      </c>
    </row>
    <row r="6195" spans="5:5">
      <c r="E6195" t="e">
        <f t="shared" si="98"/>
        <v>#N/A</v>
      </c>
    </row>
    <row r="6196" spans="5:5">
      <c r="E6196" t="e">
        <f t="shared" si="98"/>
        <v>#N/A</v>
      </c>
    </row>
    <row r="6197" spans="5:5">
      <c r="E6197" t="e">
        <f t="shared" si="98"/>
        <v>#N/A</v>
      </c>
    </row>
    <row r="6198" spans="5:5">
      <c r="E6198" t="e">
        <f t="shared" si="98"/>
        <v>#N/A</v>
      </c>
    </row>
    <row r="6199" spans="5:5">
      <c r="E6199" t="e">
        <f t="shared" si="98"/>
        <v>#N/A</v>
      </c>
    </row>
    <row r="6200" spans="5:5">
      <c r="E6200" t="e">
        <f t="shared" si="98"/>
        <v>#N/A</v>
      </c>
    </row>
    <row r="6201" spans="5:5">
      <c r="E6201" t="e">
        <f t="shared" si="98"/>
        <v>#N/A</v>
      </c>
    </row>
    <row r="6202" spans="5:5">
      <c r="E6202" t="e">
        <f t="shared" si="98"/>
        <v>#N/A</v>
      </c>
    </row>
    <row r="6203" spans="5:5">
      <c r="E6203" t="e">
        <f t="shared" si="98"/>
        <v>#N/A</v>
      </c>
    </row>
    <row r="6204" spans="5:5">
      <c r="E6204" t="e">
        <f t="shared" si="98"/>
        <v>#N/A</v>
      </c>
    </row>
    <row r="6205" spans="5:5">
      <c r="E6205" t="e">
        <f t="shared" si="98"/>
        <v>#N/A</v>
      </c>
    </row>
    <row r="6206" spans="5:5">
      <c r="E6206" t="e">
        <f t="shared" si="98"/>
        <v>#N/A</v>
      </c>
    </row>
    <row r="6207" spans="5:5">
      <c r="E6207" t="e">
        <f t="shared" si="98"/>
        <v>#N/A</v>
      </c>
    </row>
    <row r="6208" spans="5:5">
      <c r="E6208" t="e">
        <f t="shared" si="98"/>
        <v>#N/A</v>
      </c>
    </row>
    <row r="6209" spans="5:5">
      <c r="E6209" t="e">
        <f t="shared" si="98"/>
        <v>#N/A</v>
      </c>
    </row>
    <row r="6210" spans="5:5">
      <c r="E6210" t="e">
        <f t="shared" si="98"/>
        <v>#N/A</v>
      </c>
    </row>
    <row r="6211" spans="5:5">
      <c r="E6211" t="e">
        <f t="shared" si="98"/>
        <v>#N/A</v>
      </c>
    </row>
    <row r="6212" spans="5:5">
      <c r="E6212" t="e">
        <f t="shared" si="98"/>
        <v>#N/A</v>
      </c>
    </row>
    <row r="6213" spans="5:5">
      <c r="E6213" t="e">
        <f t="shared" si="98"/>
        <v>#N/A</v>
      </c>
    </row>
    <row r="6214" spans="5:5">
      <c r="E6214" t="e">
        <f t="shared" si="98"/>
        <v>#N/A</v>
      </c>
    </row>
    <row r="6215" spans="5:5">
      <c r="E6215" t="e">
        <f t="shared" si="98"/>
        <v>#N/A</v>
      </c>
    </row>
    <row r="6216" spans="5:5">
      <c r="E6216" t="e">
        <f t="shared" si="98"/>
        <v>#N/A</v>
      </c>
    </row>
    <row r="6217" spans="5:5">
      <c r="E6217" t="e">
        <f t="shared" si="98"/>
        <v>#N/A</v>
      </c>
    </row>
    <row r="6218" spans="5:5">
      <c r="E6218" t="e">
        <f t="shared" si="98"/>
        <v>#N/A</v>
      </c>
    </row>
    <row r="6219" spans="5:5">
      <c r="E6219" t="e">
        <f t="shared" si="98"/>
        <v>#N/A</v>
      </c>
    </row>
    <row r="6220" spans="5:5">
      <c r="E6220" t="e">
        <f t="shared" si="98"/>
        <v>#N/A</v>
      </c>
    </row>
    <row r="6221" spans="5:5">
      <c r="E6221" t="e">
        <f t="shared" ref="E6221:E6284" si="99">VLOOKUP(B6221,$Q$13:$R$61,2,FALSE)</f>
        <v>#N/A</v>
      </c>
    </row>
    <row r="6222" spans="5:5">
      <c r="E6222" t="e">
        <f t="shared" si="99"/>
        <v>#N/A</v>
      </c>
    </row>
    <row r="6223" spans="5:5">
      <c r="E6223" t="e">
        <f t="shared" si="99"/>
        <v>#N/A</v>
      </c>
    </row>
    <row r="6224" spans="5:5">
      <c r="E6224" t="e">
        <f t="shared" si="99"/>
        <v>#N/A</v>
      </c>
    </row>
    <row r="6225" spans="5:5">
      <c r="E6225" t="e">
        <f t="shared" si="99"/>
        <v>#N/A</v>
      </c>
    </row>
    <row r="6226" spans="5:5">
      <c r="E6226" t="e">
        <f t="shared" si="99"/>
        <v>#N/A</v>
      </c>
    </row>
    <row r="6227" spans="5:5">
      <c r="E6227" t="e">
        <f t="shared" si="99"/>
        <v>#N/A</v>
      </c>
    </row>
    <row r="6228" spans="5:5">
      <c r="E6228" t="e">
        <f t="shared" si="99"/>
        <v>#N/A</v>
      </c>
    </row>
    <row r="6229" spans="5:5">
      <c r="E6229" t="e">
        <f t="shared" si="99"/>
        <v>#N/A</v>
      </c>
    </row>
    <row r="6230" spans="5:5">
      <c r="E6230" t="e">
        <f t="shared" si="99"/>
        <v>#N/A</v>
      </c>
    </row>
    <row r="6231" spans="5:5">
      <c r="E6231" t="e">
        <f t="shared" si="99"/>
        <v>#N/A</v>
      </c>
    </row>
    <row r="6232" spans="5:5">
      <c r="E6232" t="e">
        <f t="shared" si="99"/>
        <v>#N/A</v>
      </c>
    </row>
    <row r="6233" spans="5:5">
      <c r="E6233" t="e">
        <f t="shared" si="99"/>
        <v>#N/A</v>
      </c>
    </row>
    <row r="6234" spans="5:5">
      <c r="E6234" t="e">
        <f t="shared" si="99"/>
        <v>#N/A</v>
      </c>
    </row>
    <row r="6235" spans="5:5">
      <c r="E6235" t="e">
        <f t="shared" si="99"/>
        <v>#N/A</v>
      </c>
    </row>
    <row r="6236" spans="5:5">
      <c r="E6236" t="e">
        <f t="shared" si="99"/>
        <v>#N/A</v>
      </c>
    </row>
    <row r="6237" spans="5:5">
      <c r="E6237" t="e">
        <f t="shared" si="99"/>
        <v>#N/A</v>
      </c>
    </row>
    <row r="6238" spans="5:5">
      <c r="E6238" t="e">
        <f t="shared" si="99"/>
        <v>#N/A</v>
      </c>
    </row>
    <row r="6239" spans="5:5">
      <c r="E6239" t="e">
        <f t="shared" si="99"/>
        <v>#N/A</v>
      </c>
    </row>
    <row r="6240" spans="5:5">
      <c r="E6240" t="e">
        <f t="shared" si="99"/>
        <v>#N/A</v>
      </c>
    </row>
    <row r="6241" spans="5:5">
      <c r="E6241" t="e">
        <f t="shared" si="99"/>
        <v>#N/A</v>
      </c>
    </row>
    <row r="6242" spans="5:5">
      <c r="E6242" t="e">
        <f t="shared" si="99"/>
        <v>#N/A</v>
      </c>
    </row>
    <row r="6243" spans="5:5">
      <c r="E6243" t="e">
        <f t="shared" si="99"/>
        <v>#N/A</v>
      </c>
    </row>
    <row r="6244" spans="5:5">
      <c r="E6244" t="e">
        <f t="shared" si="99"/>
        <v>#N/A</v>
      </c>
    </row>
    <row r="6245" spans="5:5">
      <c r="E6245" t="e">
        <f t="shared" si="99"/>
        <v>#N/A</v>
      </c>
    </row>
    <row r="6246" spans="5:5">
      <c r="E6246" t="e">
        <f t="shared" si="99"/>
        <v>#N/A</v>
      </c>
    </row>
    <row r="6247" spans="5:5">
      <c r="E6247" t="e">
        <f t="shared" si="99"/>
        <v>#N/A</v>
      </c>
    </row>
    <row r="6248" spans="5:5">
      <c r="E6248" t="e">
        <f t="shared" si="99"/>
        <v>#N/A</v>
      </c>
    </row>
    <row r="6249" spans="5:5">
      <c r="E6249" t="e">
        <f t="shared" si="99"/>
        <v>#N/A</v>
      </c>
    </row>
    <row r="6250" spans="5:5">
      <c r="E6250" t="e">
        <f t="shared" si="99"/>
        <v>#N/A</v>
      </c>
    </row>
    <row r="6251" spans="5:5">
      <c r="E6251" t="e">
        <f t="shared" si="99"/>
        <v>#N/A</v>
      </c>
    </row>
    <row r="6252" spans="5:5">
      <c r="E6252" t="e">
        <f t="shared" si="99"/>
        <v>#N/A</v>
      </c>
    </row>
    <row r="6253" spans="5:5">
      <c r="E6253" t="e">
        <f t="shared" si="99"/>
        <v>#N/A</v>
      </c>
    </row>
    <row r="6254" spans="5:5">
      <c r="E6254" t="e">
        <f t="shared" si="99"/>
        <v>#N/A</v>
      </c>
    </row>
    <row r="6255" spans="5:5">
      <c r="E6255" t="e">
        <f t="shared" si="99"/>
        <v>#N/A</v>
      </c>
    </row>
    <row r="6256" spans="5:5">
      <c r="E6256" t="e">
        <f t="shared" si="99"/>
        <v>#N/A</v>
      </c>
    </row>
    <row r="6257" spans="5:5">
      <c r="E6257" t="e">
        <f t="shared" si="99"/>
        <v>#N/A</v>
      </c>
    </row>
    <row r="6258" spans="5:5">
      <c r="E6258" t="e">
        <f t="shared" si="99"/>
        <v>#N/A</v>
      </c>
    </row>
    <row r="6259" spans="5:5">
      <c r="E6259" t="e">
        <f t="shared" si="99"/>
        <v>#N/A</v>
      </c>
    </row>
    <row r="6260" spans="5:5">
      <c r="E6260" t="e">
        <f t="shared" si="99"/>
        <v>#N/A</v>
      </c>
    </row>
    <row r="6261" spans="5:5">
      <c r="E6261" t="e">
        <f t="shared" si="99"/>
        <v>#N/A</v>
      </c>
    </row>
    <row r="6262" spans="5:5">
      <c r="E6262" t="e">
        <f t="shared" si="99"/>
        <v>#N/A</v>
      </c>
    </row>
    <row r="6263" spans="5:5">
      <c r="E6263" t="e">
        <f t="shared" si="99"/>
        <v>#N/A</v>
      </c>
    </row>
    <row r="6264" spans="5:5">
      <c r="E6264" t="e">
        <f t="shared" si="99"/>
        <v>#N/A</v>
      </c>
    </row>
    <row r="6265" spans="5:5">
      <c r="E6265" t="e">
        <f t="shared" si="99"/>
        <v>#N/A</v>
      </c>
    </row>
    <row r="6266" spans="5:5">
      <c r="E6266" t="e">
        <f t="shared" si="99"/>
        <v>#N/A</v>
      </c>
    </row>
    <row r="6267" spans="5:5">
      <c r="E6267" t="e">
        <f t="shared" si="99"/>
        <v>#N/A</v>
      </c>
    </row>
    <row r="6268" spans="5:5">
      <c r="E6268" t="e">
        <f t="shared" si="99"/>
        <v>#N/A</v>
      </c>
    </row>
    <row r="6269" spans="5:5">
      <c r="E6269" t="e">
        <f t="shared" si="99"/>
        <v>#N/A</v>
      </c>
    </row>
    <row r="6270" spans="5:5">
      <c r="E6270" t="e">
        <f t="shared" si="99"/>
        <v>#N/A</v>
      </c>
    </row>
    <row r="6271" spans="5:5">
      <c r="E6271" t="e">
        <f t="shared" si="99"/>
        <v>#N/A</v>
      </c>
    </row>
    <row r="6272" spans="5:5">
      <c r="E6272" t="e">
        <f t="shared" si="99"/>
        <v>#N/A</v>
      </c>
    </row>
    <row r="6273" spans="5:5">
      <c r="E6273" t="e">
        <f t="shared" si="99"/>
        <v>#N/A</v>
      </c>
    </row>
    <row r="6274" spans="5:5">
      <c r="E6274" t="e">
        <f t="shared" si="99"/>
        <v>#N/A</v>
      </c>
    </row>
    <row r="6275" spans="5:5">
      <c r="E6275" t="e">
        <f t="shared" si="99"/>
        <v>#N/A</v>
      </c>
    </row>
    <row r="6276" spans="5:5">
      <c r="E6276" t="e">
        <f t="shared" si="99"/>
        <v>#N/A</v>
      </c>
    </row>
    <row r="6277" spans="5:5">
      <c r="E6277" t="e">
        <f t="shared" si="99"/>
        <v>#N/A</v>
      </c>
    </row>
    <row r="6278" spans="5:5">
      <c r="E6278" t="e">
        <f t="shared" si="99"/>
        <v>#N/A</v>
      </c>
    </row>
    <row r="6279" spans="5:5">
      <c r="E6279" t="e">
        <f t="shared" si="99"/>
        <v>#N/A</v>
      </c>
    </row>
    <row r="6280" spans="5:5">
      <c r="E6280" t="e">
        <f t="shared" si="99"/>
        <v>#N/A</v>
      </c>
    </row>
    <row r="6281" spans="5:5">
      <c r="E6281" t="e">
        <f t="shared" si="99"/>
        <v>#N/A</v>
      </c>
    </row>
    <row r="6282" spans="5:5">
      <c r="E6282" t="e">
        <f t="shared" si="99"/>
        <v>#N/A</v>
      </c>
    </row>
    <row r="6283" spans="5:5">
      <c r="E6283" t="e">
        <f t="shared" si="99"/>
        <v>#N/A</v>
      </c>
    </row>
    <row r="6284" spans="5:5">
      <c r="E6284" t="e">
        <f t="shared" si="99"/>
        <v>#N/A</v>
      </c>
    </row>
    <row r="6285" spans="5:5">
      <c r="E6285" t="e">
        <f t="shared" ref="E6285:E6348" si="100">VLOOKUP(B6285,$Q$13:$R$61,2,FALSE)</f>
        <v>#N/A</v>
      </c>
    </row>
    <row r="6286" spans="5:5">
      <c r="E6286" t="e">
        <f t="shared" si="100"/>
        <v>#N/A</v>
      </c>
    </row>
    <row r="6287" spans="5:5">
      <c r="E6287" t="e">
        <f t="shared" si="100"/>
        <v>#N/A</v>
      </c>
    </row>
    <row r="6288" spans="5:5">
      <c r="E6288" t="e">
        <f t="shared" si="100"/>
        <v>#N/A</v>
      </c>
    </row>
    <row r="6289" spans="5:5">
      <c r="E6289" t="e">
        <f t="shared" si="100"/>
        <v>#N/A</v>
      </c>
    </row>
    <row r="6290" spans="5:5">
      <c r="E6290" t="e">
        <f t="shared" si="100"/>
        <v>#N/A</v>
      </c>
    </row>
    <row r="6291" spans="5:5">
      <c r="E6291" t="e">
        <f t="shared" si="100"/>
        <v>#N/A</v>
      </c>
    </row>
    <row r="6292" spans="5:5">
      <c r="E6292" t="e">
        <f t="shared" si="100"/>
        <v>#N/A</v>
      </c>
    </row>
    <row r="6293" spans="5:5">
      <c r="E6293" t="e">
        <f t="shared" si="100"/>
        <v>#N/A</v>
      </c>
    </row>
    <row r="6294" spans="5:5">
      <c r="E6294" t="e">
        <f t="shared" si="100"/>
        <v>#N/A</v>
      </c>
    </row>
    <row r="6295" spans="5:5">
      <c r="E6295" t="e">
        <f t="shared" si="100"/>
        <v>#N/A</v>
      </c>
    </row>
    <row r="6296" spans="5:5">
      <c r="E6296" t="e">
        <f t="shared" si="100"/>
        <v>#N/A</v>
      </c>
    </row>
    <row r="6297" spans="5:5">
      <c r="E6297" t="e">
        <f t="shared" si="100"/>
        <v>#N/A</v>
      </c>
    </row>
    <row r="6298" spans="5:5">
      <c r="E6298" t="e">
        <f t="shared" si="100"/>
        <v>#N/A</v>
      </c>
    </row>
    <row r="6299" spans="5:5">
      <c r="E6299" t="e">
        <f t="shared" si="100"/>
        <v>#N/A</v>
      </c>
    </row>
    <row r="6300" spans="5:5">
      <c r="E6300" t="e">
        <f t="shared" si="100"/>
        <v>#N/A</v>
      </c>
    </row>
    <row r="6301" spans="5:5">
      <c r="E6301" t="e">
        <f t="shared" si="100"/>
        <v>#N/A</v>
      </c>
    </row>
    <row r="6302" spans="5:5">
      <c r="E6302" t="e">
        <f t="shared" si="100"/>
        <v>#N/A</v>
      </c>
    </row>
    <row r="6303" spans="5:5">
      <c r="E6303" t="e">
        <f t="shared" si="100"/>
        <v>#N/A</v>
      </c>
    </row>
    <row r="6304" spans="5:5">
      <c r="E6304" t="e">
        <f t="shared" si="100"/>
        <v>#N/A</v>
      </c>
    </row>
    <row r="6305" spans="5:5">
      <c r="E6305" t="e">
        <f t="shared" si="100"/>
        <v>#N/A</v>
      </c>
    </row>
    <row r="6306" spans="5:5">
      <c r="E6306" t="e">
        <f t="shared" si="100"/>
        <v>#N/A</v>
      </c>
    </row>
    <row r="6307" spans="5:5">
      <c r="E6307" t="e">
        <f t="shared" si="100"/>
        <v>#N/A</v>
      </c>
    </row>
    <row r="6308" spans="5:5">
      <c r="E6308" t="e">
        <f t="shared" si="100"/>
        <v>#N/A</v>
      </c>
    </row>
    <row r="6309" spans="5:5">
      <c r="E6309" t="e">
        <f t="shared" si="100"/>
        <v>#N/A</v>
      </c>
    </row>
    <row r="6310" spans="5:5">
      <c r="E6310" t="e">
        <f t="shared" si="100"/>
        <v>#N/A</v>
      </c>
    </row>
    <row r="6311" spans="5:5">
      <c r="E6311" t="e">
        <f t="shared" si="100"/>
        <v>#N/A</v>
      </c>
    </row>
    <row r="6312" spans="5:5">
      <c r="E6312" t="e">
        <f t="shared" si="100"/>
        <v>#N/A</v>
      </c>
    </row>
    <row r="6313" spans="5:5">
      <c r="E6313" t="e">
        <f t="shared" si="100"/>
        <v>#N/A</v>
      </c>
    </row>
    <row r="6314" spans="5:5">
      <c r="E6314" t="e">
        <f t="shared" si="100"/>
        <v>#N/A</v>
      </c>
    </row>
    <row r="6315" spans="5:5">
      <c r="E6315" t="e">
        <f t="shared" si="100"/>
        <v>#N/A</v>
      </c>
    </row>
    <row r="6316" spans="5:5">
      <c r="E6316" t="e">
        <f t="shared" si="100"/>
        <v>#N/A</v>
      </c>
    </row>
    <row r="6317" spans="5:5">
      <c r="E6317" t="e">
        <f t="shared" si="100"/>
        <v>#N/A</v>
      </c>
    </row>
    <row r="6318" spans="5:5">
      <c r="E6318" t="e">
        <f t="shared" si="100"/>
        <v>#N/A</v>
      </c>
    </row>
    <row r="6319" spans="5:5">
      <c r="E6319" t="e">
        <f t="shared" si="100"/>
        <v>#N/A</v>
      </c>
    </row>
    <row r="6320" spans="5:5">
      <c r="E6320" t="e">
        <f t="shared" si="100"/>
        <v>#N/A</v>
      </c>
    </row>
    <row r="6321" spans="5:5">
      <c r="E6321" t="e">
        <f t="shared" si="100"/>
        <v>#N/A</v>
      </c>
    </row>
    <row r="6322" spans="5:5">
      <c r="E6322" t="e">
        <f t="shared" si="100"/>
        <v>#N/A</v>
      </c>
    </row>
    <row r="6323" spans="5:5">
      <c r="E6323" t="e">
        <f t="shared" si="100"/>
        <v>#N/A</v>
      </c>
    </row>
    <row r="6324" spans="5:5">
      <c r="E6324" t="e">
        <f t="shared" si="100"/>
        <v>#N/A</v>
      </c>
    </row>
    <row r="6325" spans="5:5">
      <c r="E6325" t="e">
        <f t="shared" si="100"/>
        <v>#N/A</v>
      </c>
    </row>
    <row r="6326" spans="5:5">
      <c r="E6326" t="e">
        <f t="shared" si="100"/>
        <v>#N/A</v>
      </c>
    </row>
    <row r="6327" spans="5:5">
      <c r="E6327" t="e">
        <f t="shared" si="100"/>
        <v>#N/A</v>
      </c>
    </row>
    <row r="6328" spans="5:5">
      <c r="E6328" t="e">
        <f t="shared" si="100"/>
        <v>#N/A</v>
      </c>
    </row>
    <row r="6329" spans="5:5">
      <c r="E6329" t="e">
        <f t="shared" si="100"/>
        <v>#N/A</v>
      </c>
    </row>
    <row r="6330" spans="5:5">
      <c r="E6330" t="e">
        <f t="shared" si="100"/>
        <v>#N/A</v>
      </c>
    </row>
    <row r="6331" spans="5:5">
      <c r="E6331" t="e">
        <f t="shared" si="100"/>
        <v>#N/A</v>
      </c>
    </row>
    <row r="6332" spans="5:5">
      <c r="E6332" t="e">
        <f t="shared" si="100"/>
        <v>#N/A</v>
      </c>
    </row>
    <row r="6333" spans="5:5">
      <c r="E6333" t="e">
        <f t="shared" si="100"/>
        <v>#N/A</v>
      </c>
    </row>
    <row r="6334" spans="5:5">
      <c r="E6334" t="e">
        <f t="shared" si="100"/>
        <v>#N/A</v>
      </c>
    </row>
    <row r="6335" spans="5:5">
      <c r="E6335" t="e">
        <f t="shared" si="100"/>
        <v>#N/A</v>
      </c>
    </row>
    <row r="6336" spans="5:5">
      <c r="E6336" t="e">
        <f t="shared" si="100"/>
        <v>#N/A</v>
      </c>
    </row>
    <row r="6337" spans="5:5">
      <c r="E6337" t="e">
        <f t="shared" si="100"/>
        <v>#N/A</v>
      </c>
    </row>
    <row r="6338" spans="5:5">
      <c r="E6338" t="e">
        <f t="shared" si="100"/>
        <v>#N/A</v>
      </c>
    </row>
    <row r="6339" spans="5:5">
      <c r="E6339" t="e">
        <f t="shared" si="100"/>
        <v>#N/A</v>
      </c>
    </row>
    <row r="6340" spans="5:5">
      <c r="E6340" t="e">
        <f t="shared" si="100"/>
        <v>#N/A</v>
      </c>
    </row>
    <row r="6341" spans="5:5">
      <c r="E6341" t="e">
        <f t="shared" si="100"/>
        <v>#N/A</v>
      </c>
    </row>
    <row r="6342" spans="5:5">
      <c r="E6342" t="e">
        <f t="shared" si="100"/>
        <v>#N/A</v>
      </c>
    </row>
    <row r="6343" spans="5:5">
      <c r="E6343" t="e">
        <f t="shared" si="100"/>
        <v>#N/A</v>
      </c>
    </row>
    <row r="6344" spans="5:5">
      <c r="E6344" t="e">
        <f t="shared" si="100"/>
        <v>#N/A</v>
      </c>
    </row>
    <row r="6345" spans="5:5">
      <c r="E6345" t="e">
        <f t="shared" si="100"/>
        <v>#N/A</v>
      </c>
    </row>
    <row r="6346" spans="5:5">
      <c r="E6346" t="e">
        <f t="shared" si="100"/>
        <v>#N/A</v>
      </c>
    </row>
    <row r="6347" spans="5:5">
      <c r="E6347" t="e">
        <f t="shared" si="100"/>
        <v>#N/A</v>
      </c>
    </row>
    <row r="6348" spans="5:5">
      <c r="E6348" t="e">
        <f t="shared" si="100"/>
        <v>#N/A</v>
      </c>
    </row>
    <row r="6349" spans="5:5">
      <c r="E6349" t="e">
        <f t="shared" ref="E6349:E6412" si="101">VLOOKUP(B6349,$Q$13:$R$61,2,FALSE)</f>
        <v>#N/A</v>
      </c>
    </row>
    <row r="6350" spans="5:5">
      <c r="E6350" t="e">
        <f t="shared" si="101"/>
        <v>#N/A</v>
      </c>
    </row>
    <row r="6351" spans="5:5">
      <c r="E6351" t="e">
        <f t="shared" si="101"/>
        <v>#N/A</v>
      </c>
    </row>
    <row r="6352" spans="5:5">
      <c r="E6352" t="e">
        <f t="shared" si="101"/>
        <v>#N/A</v>
      </c>
    </row>
    <row r="6353" spans="5:5">
      <c r="E6353" t="e">
        <f t="shared" si="101"/>
        <v>#N/A</v>
      </c>
    </row>
    <row r="6354" spans="5:5">
      <c r="E6354" t="e">
        <f t="shared" si="101"/>
        <v>#N/A</v>
      </c>
    </row>
    <row r="6355" spans="5:5">
      <c r="E6355" t="e">
        <f t="shared" si="101"/>
        <v>#N/A</v>
      </c>
    </row>
    <row r="6356" spans="5:5">
      <c r="E6356" t="e">
        <f t="shared" si="101"/>
        <v>#N/A</v>
      </c>
    </row>
    <row r="6357" spans="5:5">
      <c r="E6357" t="e">
        <f t="shared" si="101"/>
        <v>#N/A</v>
      </c>
    </row>
    <row r="6358" spans="5:5">
      <c r="E6358" t="e">
        <f t="shared" si="101"/>
        <v>#N/A</v>
      </c>
    </row>
    <row r="6359" spans="5:5">
      <c r="E6359" t="e">
        <f t="shared" si="101"/>
        <v>#N/A</v>
      </c>
    </row>
    <row r="6360" spans="5:5">
      <c r="E6360" t="e">
        <f t="shared" si="101"/>
        <v>#N/A</v>
      </c>
    </row>
    <row r="6361" spans="5:5">
      <c r="E6361" t="e">
        <f t="shared" si="101"/>
        <v>#N/A</v>
      </c>
    </row>
    <row r="6362" spans="5:5">
      <c r="E6362" t="e">
        <f t="shared" si="101"/>
        <v>#N/A</v>
      </c>
    </row>
    <row r="6363" spans="5:5">
      <c r="E6363" t="e">
        <f t="shared" si="101"/>
        <v>#N/A</v>
      </c>
    </row>
    <row r="6364" spans="5:5">
      <c r="E6364" t="e">
        <f t="shared" si="101"/>
        <v>#N/A</v>
      </c>
    </row>
    <row r="6365" spans="5:5">
      <c r="E6365" t="e">
        <f t="shared" si="101"/>
        <v>#N/A</v>
      </c>
    </row>
    <row r="6366" spans="5:5">
      <c r="E6366" t="e">
        <f t="shared" si="101"/>
        <v>#N/A</v>
      </c>
    </row>
    <row r="6367" spans="5:5">
      <c r="E6367" t="e">
        <f t="shared" si="101"/>
        <v>#N/A</v>
      </c>
    </row>
    <row r="6368" spans="5:5">
      <c r="E6368" t="e">
        <f t="shared" si="101"/>
        <v>#N/A</v>
      </c>
    </row>
    <row r="6369" spans="5:5">
      <c r="E6369" t="e">
        <f t="shared" si="101"/>
        <v>#N/A</v>
      </c>
    </row>
    <row r="6370" spans="5:5">
      <c r="E6370" t="e">
        <f t="shared" si="101"/>
        <v>#N/A</v>
      </c>
    </row>
    <row r="6371" spans="5:5">
      <c r="E6371" t="e">
        <f t="shared" si="101"/>
        <v>#N/A</v>
      </c>
    </row>
    <row r="6372" spans="5:5">
      <c r="E6372" t="e">
        <f t="shared" si="101"/>
        <v>#N/A</v>
      </c>
    </row>
    <row r="6373" spans="5:5">
      <c r="E6373" t="e">
        <f t="shared" si="101"/>
        <v>#N/A</v>
      </c>
    </row>
    <row r="6374" spans="5:5">
      <c r="E6374" t="e">
        <f t="shared" si="101"/>
        <v>#N/A</v>
      </c>
    </row>
    <row r="6375" spans="5:5">
      <c r="E6375" t="e">
        <f t="shared" si="101"/>
        <v>#N/A</v>
      </c>
    </row>
    <row r="6376" spans="5:5">
      <c r="E6376" t="e">
        <f t="shared" si="101"/>
        <v>#N/A</v>
      </c>
    </row>
    <row r="6377" spans="5:5">
      <c r="E6377" t="e">
        <f t="shared" si="101"/>
        <v>#N/A</v>
      </c>
    </row>
    <row r="6378" spans="5:5">
      <c r="E6378" t="e">
        <f t="shared" si="101"/>
        <v>#N/A</v>
      </c>
    </row>
    <row r="6379" spans="5:5">
      <c r="E6379" t="e">
        <f t="shared" si="101"/>
        <v>#N/A</v>
      </c>
    </row>
    <row r="6380" spans="5:5">
      <c r="E6380" t="e">
        <f t="shared" si="101"/>
        <v>#N/A</v>
      </c>
    </row>
    <row r="6381" spans="5:5">
      <c r="E6381" t="e">
        <f t="shared" si="101"/>
        <v>#N/A</v>
      </c>
    </row>
    <row r="6382" spans="5:5">
      <c r="E6382" t="e">
        <f t="shared" si="101"/>
        <v>#N/A</v>
      </c>
    </row>
    <row r="6383" spans="5:5">
      <c r="E6383" t="e">
        <f t="shared" si="101"/>
        <v>#N/A</v>
      </c>
    </row>
    <row r="6384" spans="5:5">
      <c r="E6384" t="e">
        <f t="shared" si="101"/>
        <v>#N/A</v>
      </c>
    </row>
    <row r="6385" spans="5:5">
      <c r="E6385" t="e">
        <f t="shared" si="101"/>
        <v>#N/A</v>
      </c>
    </row>
    <row r="6386" spans="5:5">
      <c r="E6386" t="e">
        <f t="shared" si="101"/>
        <v>#N/A</v>
      </c>
    </row>
    <row r="6387" spans="5:5">
      <c r="E6387" t="e">
        <f t="shared" si="101"/>
        <v>#N/A</v>
      </c>
    </row>
    <row r="6388" spans="5:5">
      <c r="E6388" t="e">
        <f t="shared" si="101"/>
        <v>#N/A</v>
      </c>
    </row>
    <row r="6389" spans="5:5">
      <c r="E6389" t="e">
        <f t="shared" si="101"/>
        <v>#N/A</v>
      </c>
    </row>
    <row r="6390" spans="5:5">
      <c r="E6390" t="e">
        <f t="shared" si="101"/>
        <v>#N/A</v>
      </c>
    </row>
    <row r="6391" spans="5:5">
      <c r="E6391" t="e">
        <f t="shared" si="101"/>
        <v>#N/A</v>
      </c>
    </row>
    <row r="6392" spans="5:5">
      <c r="E6392" t="e">
        <f t="shared" si="101"/>
        <v>#N/A</v>
      </c>
    </row>
    <row r="6393" spans="5:5">
      <c r="E6393" t="e">
        <f t="shared" si="101"/>
        <v>#N/A</v>
      </c>
    </row>
    <row r="6394" spans="5:5">
      <c r="E6394" t="e">
        <f t="shared" si="101"/>
        <v>#N/A</v>
      </c>
    </row>
    <row r="6395" spans="5:5">
      <c r="E6395" t="e">
        <f t="shared" si="101"/>
        <v>#N/A</v>
      </c>
    </row>
    <row r="6396" spans="5:5">
      <c r="E6396" t="e">
        <f t="shared" si="101"/>
        <v>#N/A</v>
      </c>
    </row>
    <row r="6397" spans="5:5">
      <c r="E6397" t="e">
        <f t="shared" si="101"/>
        <v>#N/A</v>
      </c>
    </row>
    <row r="6398" spans="5:5">
      <c r="E6398" t="e">
        <f t="shared" si="101"/>
        <v>#N/A</v>
      </c>
    </row>
    <row r="6399" spans="5:5">
      <c r="E6399" t="e">
        <f t="shared" si="101"/>
        <v>#N/A</v>
      </c>
    </row>
    <row r="6400" spans="5:5">
      <c r="E6400" t="e">
        <f t="shared" si="101"/>
        <v>#N/A</v>
      </c>
    </row>
    <row r="6401" spans="5:5">
      <c r="E6401" t="e">
        <f t="shared" si="101"/>
        <v>#N/A</v>
      </c>
    </row>
    <row r="6402" spans="5:5">
      <c r="E6402" t="e">
        <f t="shared" si="101"/>
        <v>#N/A</v>
      </c>
    </row>
    <row r="6403" spans="5:5">
      <c r="E6403" t="e">
        <f t="shared" si="101"/>
        <v>#N/A</v>
      </c>
    </row>
    <row r="6404" spans="5:5">
      <c r="E6404" t="e">
        <f t="shared" si="101"/>
        <v>#N/A</v>
      </c>
    </row>
    <row r="6405" spans="5:5">
      <c r="E6405" t="e">
        <f t="shared" si="101"/>
        <v>#N/A</v>
      </c>
    </row>
    <row r="6406" spans="5:5">
      <c r="E6406" t="e">
        <f t="shared" si="101"/>
        <v>#N/A</v>
      </c>
    </row>
    <row r="6407" spans="5:5">
      <c r="E6407" t="e">
        <f t="shared" si="101"/>
        <v>#N/A</v>
      </c>
    </row>
    <row r="6408" spans="5:5">
      <c r="E6408" t="e">
        <f t="shared" si="101"/>
        <v>#N/A</v>
      </c>
    </row>
    <row r="6409" spans="5:5">
      <c r="E6409" t="e">
        <f t="shared" si="101"/>
        <v>#N/A</v>
      </c>
    </row>
    <row r="6410" spans="5:5">
      <c r="E6410" t="e">
        <f t="shared" si="101"/>
        <v>#N/A</v>
      </c>
    </row>
    <row r="6411" spans="5:5">
      <c r="E6411" t="e">
        <f t="shared" si="101"/>
        <v>#N/A</v>
      </c>
    </row>
    <row r="6412" spans="5:5">
      <c r="E6412" t="e">
        <f t="shared" si="101"/>
        <v>#N/A</v>
      </c>
    </row>
    <row r="6413" spans="5:5">
      <c r="E6413" t="e">
        <f t="shared" ref="E6413:E6476" si="102">VLOOKUP(B6413,$Q$13:$R$61,2,FALSE)</f>
        <v>#N/A</v>
      </c>
    </row>
    <row r="6414" spans="5:5">
      <c r="E6414" t="e">
        <f t="shared" si="102"/>
        <v>#N/A</v>
      </c>
    </row>
    <row r="6415" spans="5:5">
      <c r="E6415" t="e">
        <f t="shared" si="102"/>
        <v>#N/A</v>
      </c>
    </row>
    <row r="6416" spans="5:5">
      <c r="E6416" t="e">
        <f t="shared" si="102"/>
        <v>#N/A</v>
      </c>
    </row>
    <row r="6417" spans="5:5">
      <c r="E6417" t="e">
        <f t="shared" si="102"/>
        <v>#N/A</v>
      </c>
    </row>
    <row r="6418" spans="5:5">
      <c r="E6418" t="e">
        <f t="shared" si="102"/>
        <v>#N/A</v>
      </c>
    </row>
    <row r="6419" spans="5:5">
      <c r="E6419" t="e">
        <f t="shared" si="102"/>
        <v>#N/A</v>
      </c>
    </row>
    <row r="6420" spans="5:5">
      <c r="E6420" t="e">
        <f t="shared" si="102"/>
        <v>#N/A</v>
      </c>
    </row>
    <row r="6421" spans="5:5">
      <c r="E6421" t="e">
        <f t="shared" si="102"/>
        <v>#N/A</v>
      </c>
    </row>
    <row r="6422" spans="5:5">
      <c r="E6422" t="e">
        <f t="shared" si="102"/>
        <v>#N/A</v>
      </c>
    </row>
    <row r="6423" spans="5:5">
      <c r="E6423" t="e">
        <f t="shared" si="102"/>
        <v>#N/A</v>
      </c>
    </row>
    <row r="6424" spans="5:5">
      <c r="E6424" t="e">
        <f t="shared" si="102"/>
        <v>#N/A</v>
      </c>
    </row>
    <row r="6425" spans="5:5">
      <c r="E6425" t="e">
        <f t="shared" si="102"/>
        <v>#N/A</v>
      </c>
    </row>
    <row r="6426" spans="5:5">
      <c r="E6426" t="e">
        <f t="shared" si="102"/>
        <v>#N/A</v>
      </c>
    </row>
    <row r="6427" spans="5:5">
      <c r="E6427" t="e">
        <f t="shared" si="102"/>
        <v>#N/A</v>
      </c>
    </row>
    <row r="6428" spans="5:5">
      <c r="E6428" t="e">
        <f t="shared" si="102"/>
        <v>#N/A</v>
      </c>
    </row>
    <row r="6429" spans="5:5">
      <c r="E6429" t="e">
        <f t="shared" si="102"/>
        <v>#N/A</v>
      </c>
    </row>
    <row r="6430" spans="5:5">
      <c r="E6430" t="e">
        <f t="shared" si="102"/>
        <v>#N/A</v>
      </c>
    </row>
    <row r="6431" spans="5:5">
      <c r="E6431" t="e">
        <f t="shared" si="102"/>
        <v>#N/A</v>
      </c>
    </row>
    <row r="6432" spans="5:5">
      <c r="E6432" t="e">
        <f t="shared" si="102"/>
        <v>#N/A</v>
      </c>
    </row>
    <row r="6433" spans="5:5">
      <c r="E6433" t="e">
        <f t="shared" si="102"/>
        <v>#N/A</v>
      </c>
    </row>
    <row r="6434" spans="5:5">
      <c r="E6434" t="e">
        <f t="shared" si="102"/>
        <v>#N/A</v>
      </c>
    </row>
    <row r="6435" spans="5:5">
      <c r="E6435" t="e">
        <f t="shared" si="102"/>
        <v>#N/A</v>
      </c>
    </row>
    <row r="6436" spans="5:5">
      <c r="E6436" t="e">
        <f t="shared" si="102"/>
        <v>#N/A</v>
      </c>
    </row>
    <row r="6437" spans="5:5">
      <c r="E6437" t="e">
        <f t="shared" si="102"/>
        <v>#N/A</v>
      </c>
    </row>
    <row r="6438" spans="5:5">
      <c r="E6438" t="e">
        <f t="shared" si="102"/>
        <v>#N/A</v>
      </c>
    </row>
    <row r="6439" spans="5:5">
      <c r="E6439" t="e">
        <f t="shared" si="102"/>
        <v>#N/A</v>
      </c>
    </row>
    <row r="6440" spans="5:5">
      <c r="E6440" t="e">
        <f t="shared" si="102"/>
        <v>#N/A</v>
      </c>
    </row>
    <row r="6441" spans="5:5">
      <c r="E6441" t="e">
        <f t="shared" si="102"/>
        <v>#N/A</v>
      </c>
    </row>
    <row r="6442" spans="5:5">
      <c r="E6442" t="e">
        <f t="shared" si="102"/>
        <v>#N/A</v>
      </c>
    </row>
    <row r="6443" spans="5:5">
      <c r="E6443" t="e">
        <f t="shared" si="102"/>
        <v>#N/A</v>
      </c>
    </row>
    <row r="6444" spans="5:5">
      <c r="E6444" t="e">
        <f t="shared" si="102"/>
        <v>#N/A</v>
      </c>
    </row>
    <row r="6445" spans="5:5">
      <c r="E6445" t="e">
        <f t="shared" si="102"/>
        <v>#N/A</v>
      </c>
    </row>
    <row r="6446" spans="5:5">
      <c r="E6446" t="e">
        <f t="shared" si="102"/>
        <v>#N/A</v>
      </c>
    </row>
    <row r="6447" spans="5:5">
      <c r="E6447" t="e">
        <f t="shared" si="102"/>
        <v>#N/A</v>
      </c>
    </row>
    <row r="6448" spans="5:5">
      <c r="E6448" t="e">
        <f t="shared" si="102"/>
        <v>#N/A</v>
      </c>
    </row>
    <row r="6449" spans="5:5">
      <c r="E6449" t="e">
        <f t="shared" si="102"/>
        <v>#N/A</v>
      </c>
    </row>
    <row r="6450" spans="5:5">
      <c r="E6450" t="e">
        <f t="shared" si="102"/>
        <v>#N/A</v>
      </c>
    </row>
    <row r="6451" spans="5:5">
      <c r="E6451" t="e">
        <f t="shared" si="102"/>
        <v>#N/A</v>
      </c>
    </row>
    <row r="6452" spans="5:5">
      <c r="E6452" t="e">
        <f t="shared" si="102"/>
        <v>#N/A</v>
      </c>
    </row>
    <row r="6453" spans="5:5">
      <c r="E6453" t="e">
        <f t="shared" si="102"/>
        <v>#N/A</v>
      </c>
    </row>
    <row r="6454" spans="5:5">
      <c r="E6454" t="e">
        <f t="shared" si="102"/>
        <v>#N/A</v>
      </c>
    </row>
    <row r="6455" spans="5:5">
      <c r="E6455" t="e">
        <f t="shared" si="102"/>
        <v>#N/A</v>
      </c>
    </row>
    <row r="6456" spans="5:5">
      <c r="E6456" t="e">
        <f t="shared" si="102"/>
        <v>#N/A</v>
      </c>
    </row>
    <row r="6457" spans="5:5">
      <c r="E6457" t="e">
        <f t="shared" si="102"/>
        <v>#N/A</v>
      </c>
    </row>
    <row r="6458" spans="5:5">
      <c r="E6458" t="e">
        <f t="shared" si="102"/>
        <v>#N/A</v>
      </c>
    </row>
    <row r="6459" spans="5:5">
      <c r="E6459" t="e">
        <f t="shared" si="102"/>
        <v>#N/A</v>
      </c>
    </row>
    <row r="6460" spans="5:5">
      <c r="E6460" t="e">
        <f t="shared" si="102"/>
        <v>#N/A</v>
      </c>
    </row>
    <row r="6461" spans="5:5">
      <c r="E6461" t="e">
        <f t="shared" si="102"/>
        <v>#N/A</v>
      </c>
    </row>
    <row r="6462" spans="5:5">
      <c r="E6462" t="e">
        <f t="shared" si="102"/>
        <v>#N/A</v>
      </c>
    </row>
    <row r="6463" spans="5:5">
      <c r="E6463" t="e">
        <f t="shared" si="102"/>
        <v>#N/A</v>
      </c>
    </row>
    <row r="6464" spans="5:5">
      <c r="E6464" t="e">
        <f t="shared" si="102"/>
        <v>#N/A</v>
      </c>
    </row>
    <row r="6465" spans="5:5">
      <c r="E6465" t="e">
        <f t="shared" si="102"/>
        <v>#N/A</v>
      </c>
    </row>
    <row r="6466" spans="5:5">
      <c r="E6466" t="e">
        <f t="shared" si="102"/>
        <v>#N/A</v>
      </c>
    </row>
    <row r="6467" spans="5:5">
      <c r="E6467" t="e">
        <f t="shared" si="102"/>
        <v>#N/A</v>
      </c>
    </row>
    <row r="6468" spans="5:5">
      <c r="E6468" t="e">
        <f t="shared" si="102"/>
        <v>#N/A</v>
      </c>
    </row>
    <row r="6469" spans="5:5">
      <c r="E6469" t="e">
        <f t="shared" si="102"/>
        <v>#N/A</v>
      </c>
    </row>
    <row r="6470" spans="5:5">
      <c r="E6470" t="e">
        <f t="shared" si="102"/>
        <v>#N/A</v>
      </c>
    </row>
    <row r="6471" spans="5:5">
      <c r="E6471" t="e">
        <f t="shared" si="102"/>
        <v>#N/A</v>
      </c>
    </row>
    <row r="6472" spans="5:5">
      <c r="E6472" t="e">
        <f t="shared" si="102"/>
        <v>#N/A</v>
      </c>
    </row>
    <row r="6473" spans="5:5">
      <c r="E6473" t="e">
        <f t="shared" si="102"/>
        <v>#N/A</v>
      </c>
    </row>
    <row r="6474" spans="5:5">
      <c r="E6474" t="e">
        <f t="shared" si="102"/>
        <v>#N/A</v>
      </c>
    </row>
    <row r="6475" spans="5:5">
      <c r="E6475" t="e">
        <f t="shared" si="102"/>
        <v>#N/A</v>
      </c>
    </row>
    <row r="6476" spans="5:5">
      <c r="E6476" t="e">
        <f t="shared" si="102"/>
        <v>#N/A</v>
      </c>
    </row>
    <row r="6477" spans="5:5">
      <c r="E6477" t="e">
        <f t="shared" ref="E6477:E6540" si="103">VLOOKUP(B6477,$Q$13:$R$61,2,FALSE)</f>
        <v>#N/A</v>
      </c>
    </row>
    <row r="6478" spans="5:5">
      <c r="E6478" t="e">
        <f t="shared" si="103"/>
        <v>#N/A</v>
      </c>
    </row>
    <row r="6479" spans="5:5">
      <c r="E6479" t="e">
        <f t="shared" si="103"/>
        <v>#N/A</v>
      </c>
    </row>
    <row r="6480" spans="5:5">
      <c r="E6480" t="e">
        <f t="shared" si="103"/>
        <v>#N/A</v>
      </c>
    </row>
    <row r="6481" spans="5:5">
      <c r="E6481" t="e">
        <f t="shared" si="103"/>
        <v>#N/A</v>
      </c>
    </row>
    <row r="6482" spans="5:5">
      <c r="E6482" t="e">
        <f t="shared" si="103"/>
        <v>#N/A</v>
      </c>
    </row>
    <row r="6483" spans="5:5">
      <c r="E6483" t="e">
        <f t="shared" si="103"/>
        <v>#N/A</v>
      </c>
    </row>
    <row r="6484" spans="5:5">
      <c r="E6484" t="e">
        <f t="shared" si="103"/>
        <v>#N/A</v>
      </c>
    </row>
    <row r="6485" spans="5:5">
      <c r="E6485" t="e">
        <f t="shared" si="103"/>
        <v>#N/A</v>
      </c>
    </row>
    <row r="6486" spans="5:5">
      <c r="E6486" t="e">
        <f t="shared" si="103"/>
        <v>#N/A</v>
      </c>
    </row>
    <row r="6487" spans="5:5">
      <c r="E6487" t="e">
        <f t="shared" si="103"/>
        <v>#N/A</v>
      </c>
    </row>
    <row r="6488" spans="5:5">
      <c r="E6488" t="e">
        <f t="shared" si="103"/>
        <v>#N/A</v>
      </c>
    </row>
    <row r="6489" spans="5:5">
      <c r="E6489" t="e">
        <f t="shared" si="103"/>
        <v>#N/A</v>
      </c>
    </row>
    <row r="6490" spans="5:5">
      <c r="E6490" t="e">
        <f t="shared" si="103"/>
        <v>#N/A</v>
      </c>
    </row>
    <row r="6491" spans="5:5">
      <c r="E6491" t="e">
        <f t="shared" si="103"/>
        <v>#N/A</v>
      </c>
    </row>
    <row r="6492" spans="5:5">
      <c r="E6492" t="e">
        <f t="shared" si="103"/>
        <v>#N/A</v>
      </c>
    </row>
    <row r="6493" spans="5:5">
      <c r="E6493" t="e">
        <f t="shared" si="103"/>
        <v>#N/A</v>
      </c>
    </row>
    <row r="6494" spans="5:5">
      <c r="E6494" t="e">
        <f t="shared" si="103"/>
        <v>#N/A</v>
      </c>
    </row>
    <row r="6495" spans="5:5">
      <c r="E6495" t="e">
        <f t="shared" si="103"/>
        <v>#N/A</v>
      </c>
    </row>
    <row r="6496" spans="5:5">
      <c r="E6496" t="e">
        <f t="shared" si="103"/>
        <v>#N/A</v>
      </c>
    </row>
    <row r="6497" spans="5:5">
      <c r="E6497" t="e">
        <f t="shared" si="103"/>
        <v>#N/A</v>
      </c>
    </row>
    <row r="6498" spans="5:5">
      <c r="E6498" t="e">
        <f t="shared" si="103"/>
        <v>#N/A</v>
      </c>
    </row>
    <row r="6499" spans="5:5">
      <c r="E6499" t="e">
        <f t="shared" si="103"/>
        <v>#N/A</v>
      </c>
    </row>
    <row r="6500" spans="5:5">
      <c r="E6500" t="e">
        <f t="shared" si="103"/>
        <v>#N/A</v>
      </c>
    </row>
    <row r="6501" spans="5:5">
      <c r="E6501" t="e">
        <f t="shared" si="103"/>
        <v>#N/A</v>
      </c>
    </row>
    <row r="6502" spans="5:5">
      <c r="E6502" t="e">
        <f t="shared" si="103"/>
        <v>#N/A</v>
      </c>
    </row>
    <row r="6503" spans="5:5">
      <c r="E6503" t="e">
        <f t="shared" si="103"/>
        <v>#N/A</v>
      </c>
    </row>
    <row r="6504" spans="5:5">
      <c r="E6504" t="e">
        <f t="shared" si="103"/>
        <v>#N/A</v>
      </c>
    </row>
    <row r="6505" spans="5:5">
      <c r="E6505" t="e">
        <f t="shared" si="103"/>
        <v>#N/A</v>
      </c>
    </row>
    <row r="6506" spans="5:5">
      <c r="E6506" t="e">
        <f t="shared" si="103"/>
        <v>#N/A</v>
      </c>
    </row>
    <row r="6507" spans="5:5">
      <c r="E6507" t="e">
        <f t="shared" si="103"/>
        <v>#N/A</v>
      </c>
    </row>
    <row r="6508" spans="5:5">
      <c r="E6508" t="e">
        <f t="shared" si="103"/>
        <v>#N/A</v>
      </c>
    </row>
    <row r="6509" spans="5:5">
      <c r="E6509" t="e">
        <f t="shared" si="103"/>
        <v>#N/A</v>
      </c>
    </row>
    <row r="6510" spans="5:5">
      <c r="E6510" t="e">
        <f t="shared" si="103"/>
        <v>#N/A</v>
      </c>
    </row>
    <row r="6511" spans="5:5">
      <c r="E6511" t="e">
        <f t="shared" si="103"/>
        <v>#N/A</v>
      </c>
    </row>
    <row r="6512" spans="5:5">
      <c r="E6512" t="e">
        <f t="shared" si="103"/>
        <v>#N/A</v>
      </c>
    </row>
    <row r="6513" spans="5:5">
      <c r="E6513" t="e">
        <f t="shared" si="103"/>
        <v>#N/A</v>
      </c>
    </row>
    <row r="6514" spans="5:5">
      <c r="E6514" t="e">
        <f t="shared" si="103"/>
        <v>#N/A</v>
      </c>
    </row>
    <row r="6515" spans="5:5">
      <c r="E6515" t="e">
        <f t="shared" si="103"/>
        <v>#N/A</v>
      </c>
    </row>
    <row r="6516" spans="5:5">
      <c r="E6516" t="e">
        <f t="shared" si="103"/>
        <v>#N/A</v>
      </c>
    </row>
    <row r="6517" spans="5:5">
      <c r="E6517" t="e">
        <f t="shared" si="103"/>
        <v>#N/A</v>
      </c>
    </row>
    <row r="6518" spans="5:5">
      <c r="E6518" t="e">
        <f t="shared" si="103"/>
        <v>#N/A</v>
      </c>
    </row>
    <row r="6519" spans="5:5">
      <c r="E6519" t="e">
        <f t="shared" si="103"/>
        <v>#N/A</v>
      </c>
    </row>
    <row r="6520" spans="5:5">
      <c r="E6520" t="e">
        <f t="shared" si="103"/>
        <v>#N/A</v>
      </c>
    </row>
    <row r="6521" spans="5:5">
      <c r="E6521" t="e">
        <f t="shared" si="103"/>
        <v>#N/A</v>
      </c>
    </row>
    <row r="6522" spans="5:5">
      <c r="E6522" t="e">
        <f t="shared" si="103"/>
        <v>#N/A</v>
      </c>
    </row>
    <row r="6523" spans="5:5">
      <c r="E6523" t="e">
        <f t="shared" si="103"/>
        <v>#N/A</v>
      </c>
    </row>
    <row r="6524" spans="5:5">
      <c r="E6524" t="e">
        <f t="shared" si="103"/>
        <v>#N/A</v>
      </c>
    </row>
    <row r="6525" spans="5:5">
      <c r="E6525" t="e">
        <f t="shared" si="103"/>
        <v>#N/A</v>
      </c>
    </row>
    <row r="6526" spans="5:5">
      <c r="E6526" t="e">
        <f t="shared" si="103"/>
        <v>#N/A</v>
      </c>
    </row>
    <row r="6527" spans="5:5">
      <c r="E6527" t="e">
        <f t="shared" si="103"/>
        <v>#N/A</v>
      </c>
    </row>
    <row r="6528" spans="5:5">
      <c r="E6528" t="e">
        <f t="shared" si="103"/>
        <v>#N/A</v>
      </c>
    </row>
    <row r="6529" spans="5:5">
      <c r="E6529" t="e">
        <f t="shared" si="103"/>
        <v>#N/A</v>
      </c>
    </row>
    <row r="6530" spans="5:5">
      <c r="E6530" t="e">
        <f t="shared" si="103"/>
        <v>#N/A</v>
      </c>
    </row>
    <row r="6531" spans="5:5">
      <c r="E6531" t="e">
        <f t="shared" si="103"/>
        <v>#N/A</v>
      </c>
    </row>
    <row r="6532" spans="5:5">
      <c r="E6532" t="e">
        <f t="shared" si="103"/>
        <v>#N/A</v>
      </c>
    </row>
    <row r="6533" spans="5:5">
      <c r="E6533" t="e">
        <f t="shared" si="103"/>
        <v>#N/A</v>
      </c>
    </row>
    <row r="6534" spans="5:5">
      <c r="E6534" t="e">
        <f t="shared" si="103"/>
        <v>#N/A</v>
      </c>
    </row>
    <row r="6535" spans="5:5">
      <c r="E6535" t="e">
        <f t="shared" si="103"/>
        <v>#N/A</v>
      </c>
    </row>
    <row r="6536" spans="5:5">
      <c r="E6536" t="e">
        <f t="shared" si="103"/>
        <v>#N/A</v>
      </c>
    </row>
    <row r="6537" spans="5:5">
      <c r="E6537" t="e">
        <f t="shared" si="103"/>
        <v>#N/A</v>
      </c>
    </row>
    <row r="6538" spans="5:5">
      <c r="E6538" t="e">
        <f t="shared" si="103"/>
        <v>#N/A</v>
      </c>
    </row>
    <row r="6539" spans="5:5">
      <c r="E6539" t="e">
        <f t="shared" si="103"/>
        <v>#N/A</v>
      </c>
    </row>
    <row r="6540" spans="5:5">
      <c r="E6540" t="e">
        <f t="shared" si="103"/>
        <v>#N/A</v>
      </c>
    </row>
    <row r="6541" spans="5:5">
      <c r="E6541" t="e">
        <f t="shared" ref="E6541:E6604" si="104">VLOOKUP(B6541,$Q$13:$R$61,2,FALSE)</f>
        <v>#N/A</v>
      </c>
    </row>
    <row r="6542" spans="5:5">
      <c r="E6542" t="e">
        <f t="shared" si="104"/>
        <v>#N/A</v>
      </c>
    </row>
    <row r="6543" spans="5:5">
      <c r="E6543" t="e">
        <f t="shared" si="104"/>
        <v>#N/A</v>
      </c>
    </row>
    <row r="6544" spans="5:5">
      <c r="E6544" t="e">
        <f t="shared" si="104"/>
        <v>#N/A</v>
      </c>
    </row>
    <row r="6545" spans="5:5">
      <c r="E6545" t="e">
        <f t="shared" si="104"/>
        <v>#N/A</v>
      </c>
    </row>
    <row r="6546" spans="5:5">
      <c r="E6546" t="e">
        <f t="shared" si="104"/>
        <v>#N/A</v>
      </c>
    </row>
    <row r="6547" spans="5:5">
      <c r="E6547" t="e">
        <f t="shared" si="104"/>
        <v>#N/A</v>
      </c>
    </row>
    <row r="6548" spans="5:5">
      <c r="E6548" t="e">
        <f t="shared" si="104"/>
        <v>#N/A</v>
      </c>
    </row>
    <row r="6549" spans="5:5">
      <c r="E6549" t="e">
        <f t="shared" si="104"/>
        <v>#N/A</v>
      </c>
    </row>
    <row r="6550" spans="5:5">
      <c r="E6550" t="e">
        <f t="shared" si="104"/>
        <v>#N/A</v>
      </c>
    </row>
    <row r="6551" spans="5:5">
      <c r="E6551" t="e">
        <f t="shared" si="104"/>
        <v>#N/A</v>
      </c>
    </row>
    <row r="6552" spans="5:5">
      <c r="E6552" t="e">
        <f t="shared" si="104"/>
        <v>#N/A</v>
      </c>
    </row>
    <row r="6553" spans="5:5">
      <c r="E6553" t="e">
        <f t="shared" si="104"/>
        <v>#N/A</v>
      </c>
    </row>
    <row r="6554" spans="5:5">
      <c r="E6554" t="e">
        <f t="shared" si="104"/>
        <v>#N/A</v>
      </c>
    </row>
    <row r="6555" spans="5:5">
      <c r="E6555" t="e">
        <f t="shared" si="104"/>
        <v>#N/A</v>
      </c>
    </row>
    <row r="6556" spans="5:5">
      <c r="E6556" t="e">
        <f t="shared" si="104"/>
        <v>#N/A</v>
      </c>
    </row>
    <row r="6557" spans="5:5">
      <c r="E6557" t="e">
        <f t="shared" si="104"/>
        <v>#N/A</v>
      </c>
    </row>
    <row r="6558" spans="5:5">
      <c r="E6558" t="e">
        <f t="shared" si="104"/>
        <v>#N/A</v>
      </c>
    </row>
    <row r="6559" spans="5:5">
      <c r="E6559" t="e">
        <f t="shared" si="104"/>
        <v>#N/A</v>
      </c>
    </row>
    <row r="6560" spans="5:5">
      <c r="E6560" t="e">
        <f t="shared" si="104"/>
        <v>#N/A</v>
      </c>
    </row>
    <row r="6561" spans="5:5">
      <c r="E6561" t="e">
        <f t="shared" si="104"/>
        <v>#N/A</v>
      </c>
    </row>
    <row r="6562" spans="5:5">
      <c r="E6562" t="e">
        <f t="shared" si="104"/>
        <v>#N/A</v>
      </c>
    </row>
    <row r="6563" spans="5:5">
      <c r="E6563" t="e">
        <f t="shared" si="104"/>
        <v>#N/A</v>
      </c>
    </row>
    <row r="6564" spans="5:5">
      <c r="E6564" t="e">
        <f t="shared" si="104"/>
        <v>#N/A</v>
      </c>
    </row>
    <row r="6565" spans="5:5">
      <c r="E6565" t="e">
        <f t="shared" si="104"/>
        <v>#N/A</v>
      </c>
    </row>
    <row r="6566" spans="5:5">
      <c r="E6566" t="e">
        <f t="shared" si="104"/>
        <v>#N/A</v>
      </c>
    </row>
    <row r="6567" spans="5:5">
      <c r="E6567" t="e">
        <f t="shared" si="104"/>
        <v>#N/A</v>
      </c>
    </row>
    <row r="6568" spans="5:5">
      <c r="E6568" t="e">
        <f t="shared" si="104"/>
        <v>#N/A</v>
      </c>
    </row>
    <row r="6569" spans="5:5">
      <c r="E6569" t="e">
        <f t="shared" si="104"/>
        <v>#N/A</v>
      </c>
    </row>
    <row r="6570" spans="5:5">
      <c r="E6570" t="e">
        <f t="shared" si="104"/>
        <v>#N/A</v>
      </c>
    </row>
    <row r="6571" spans="5:5">
      <c r="E6571" t="e">
        <f t="shared" si="104"/>
        <v>#N/A</v>
      </c>
    </row>
    <row r="6572" spans="5:5">
      <c r="E6572" t="e">
        <f t="shared" si="104"/>
        <v>#N/A</v>
      </c>
    </row>
    <row r="6573" spans="5:5">
      <c r="E6573" t="e">
        <f t="shared" si="104"/>
        <v>#N/A</v>
      </c>
    </row>
    <row r="6574" spans="5:5">
      <c r="E6574" t="e">
        <f t="shared" si="104"/>
        <v>#N/A</v>
      </c>
    </row>
    <row r="6575" spans="5:5">
      <c r="E6575" t="e">
        <f t="shared" si="104"/>
        <v>#N/A</v>
      </c>
    </row>
    <row r="6576" spans="5:5">
      <c r="E6576" t="e">
        <f t="shared" si="104"/>
        <v>#N/A</v>
      </c>
    </row>
    <row r="6577" spans="5:5">
      <c r="E6577" t="e">
        <f t="shared" si="104"/>
        <v>#N/A</v>
      </c>
    </row>
    <row r="6578" spans="5:5">
      <c r="E6578" t="e">
        <f t="shared" si="104"/>
        <v>#N/A</v>
      </c>
    </row>
    <row r="6579" spans="5:5">
      <c r="E6579" t="e">
        <f t="shared" si="104"/>
        <v>#N/A</v>
      </c>
    </row>
    <row r="6580" spans="5:5">
      <c r="E6580" t="e">
        <f t="shared" si="104"/>
        <v>#N/A</v>
      </c>
    </row>
    <row r="6581" spans="5:5">
      <c r="E6581" t="e">
        <f t="shared" si="104"/>
        <v>#N/A</v>
      </c>
    </row>
    <row r="6582" spans="5:5">
      <c r="E6582" t="e">
        <f t="shared" si="104"/>
        <v>#N/A</v>
      </c>
    </row>
    <row r="6583" spans="5:5">
      <c r="E6583" t="e">
        <f t="shared" si="104"/>
        <v>#N/A</v>
      </c>
    </row>
    <row r="6584" spans="5:5">
      <c r="E6584" t="e">
        <f t="shared" si="104"/>
        <v>#N/A</v>
      </c>
    </row>
    <row r="6585" spans="5:5">
      <c r="E6585" t="e">
        <f t="shared" si="104"/>
        <v>#N/A</v>
      </c>
    </row>
    <row r="6586" spans="5:5">
      <c r="E6586" t="e">
        <f t="shared" si="104"/>
        <v>#N/A</v>
      </c>
    </row>
    <row r="6587" spans="5:5">
      <c r="E6587" t="e">
        <f t="shared" si="104"/>
        <v>#N/A</v>
      </c>
    </row>
    <row r="6588" spans="5:5">
      <c r="E6588" t="e">
        <f t="shared" si="104"/>
        <v>#N/A</v>
      </c>
    </row>
    <row r="6589" spans="5:5">
      <c r="E6589" t="e">
        <f t="shared" si="104"/>
        <v>#N/A</v>
      </c>
    </row>
    <row r="6590" spans="5:5">
      <c r="E6590" t="e">
        <f t="shared" si="104"/>
        <v>#N/A</v>
      </c>
    </row>
    <row r="6591" spans="5:5">
      <c r="E6591" t="e">
        <f t="shared" si="104"/>
        <v>#N/A</v>
      </c>
    </row>
    <row r="6592" spans="5:5">
      <c r="E6592" t="e">
        <f t="shared" si="104"/>
        <v>#N/A</v>
      </c>
    </row>
    <row r="6593" spans="5:5">
      <c r="E6593" t="e">
        <f t="shared" si="104"/>
        <v>#N/A</v>
      </c>
    </row>
    <row r="6594" spans="5:5">
      <c r="E6594" t="e">
        <f t="shared" si="104"/>
        <v>#N/A</v>
      </c>
    </row>
    <row r="6595" spans="5:5">
      <c r="E6595" t="e">
        <f t="shared" si="104"/>
        <v>#N/A</v>
      </c>
    </row>
    <row r="6596" spans="5:5">
      <c r="E6596" t="e">
        <f t="shared" si="104"/>
        <v>#N/A</v>
      </c>
    </row>
    <row r="6597" spans="5:5">
      <c r="E6597" t="e">
        <f t="shared" si="104"/>
        <v>#N/A</v>
      </c>
    </row>
    <row r="6598" spans="5:5">
      <c r="E6598" t="e">
        <f t="shared" si="104"/>
        <v>#N/A</v>
      </c>
    </row>
    <row r="6599" spans="5:5">
      <c r="E6599" t="e">
        <f t="shared" si="104"/>
        <v>#N/A</v>
      </c>
    </row>
    <row r="6600" spans="5:5">
      <c r="E6600" t="e">
        <f t="shared" si="104"/>
        <v>#N/A</v>
      </c>
    </row>
    <row r="6601" spans="5:5">
      <c r="E6601" t="e">
        <f t="shared" si="104"/>
        <v>#N/A</v>
      </c>
    </row>
    <row r="6602" spans="5:5">
      <c r="E6602" t="e">
        <f t="shared" si="104"/>
        <v>#N/A</v>
      </c>
    </row>
    <row r="6603" spans="5:5">
      <c r="E6603" t="e">
        <f t="shared" si="104"/>
        <v>#N/A</v>
      </c>
    </row>
    <row r="6604" spans="5:5">
      <c r="E6604" t="e">
        <f t="shared" si="104"/>
        <v>#N/A</v>
      </c>
    </row>
    <row r="6605" spans="5:5">
      <c r="E6605" t="e">
        <f t="shared" ref="E6605:E6668" si="105">VLOOKUP(B6605,$Q$13:$R$61,2,FALSE)</f>
        <v>#N/A</v>
      </c>
    </row>
    <row r="6606" spans="5:5">
      <c r="E6606" t="e">
        <f t="shared" si="105"/>
        <v>#N/A</v>
      </c>
    </row>
    <row r="6607" spans="5:5">
      <c r="E6607" t="e">
        <f t="shared" si="105"/>
        <v>#N/A</v>
      </c>
    </row>
    <row r="6608" spans="5:5">
      <c r="E6608" t="e">
        <f t="shared" si="105"/>
        <v>#N/A</v>
      </c>
    </row>
    <row r="6609" spans="5:5">
      <c r="E6609" t="e">
        <f t="shared" si="105"/>
        <v>#N/A</v>
      </c>
    </row>
    <row r="6610" spans="5:5">
      <c r="E6610" t="e">
        <f t="shared" si="105"/>
        <v>#N/A</v>
      </c>
    </row>
    <row r="6611" spans="5:5">
      <c r="E6611" t="e">
        <f t="shared" si="105"/>
        <v>#N/A</v>
      </c>
    </row>
    <row r="6612" spans="5:5">
      <c r="E6612" t="e">
        <f t="shared" si="105"/>
        <v>#N/A</v>
      </c>
    </row>
    <row r="6613" spans="5:5">
      <c r="E6613" t="e">
        <f t="shared" si="105"/>
        <v>#N/A</v>
      </c>
    </row>
    <row r="6614" spans="5:5">
      <c r="E6614" t="e">
        <f t="shared" si="105"/>
        <v>#N/A</v>
      </c>
    </row>
    <row r="6615" spans="5:5">
      <c r="E6615" t="e">
        <f t="shared" si="105"/>
        <v>#N/A</v>
      </c>
    </row>
    <row r="6616" spans="5:5">
      <c r="E6616" t="e">
        <f t="shared" si="105"/>
        <v>#N/A</v>
      </c>
    </row>
    <row r="6617" spans="5:5">
      <c r="E6617" t="e">
        <f t="shared" si="105"/>
        <v>#N/A</v>
      </c>
    </row>
    <row r="6618" spans="5:5">
      <c r="E6618" t="e">
        <f t="shared" si="105"/>
        <v>#N/A</v>
      </c>
    </row>
    <row r="6619" spans="5:5">
      <c r="E6619" t="e">
        <f t="shared" si="105"/>
        <v>#N/A</v>
      </c>
    </row>
    <row r="6620" spans="5:5">
      <c r="E6620" t="e">
        <f t="shared" si="105"/>
        <v>#N/A</v>
      </c>
    </row>
    <row r="6621" spans="5:5">
      <c r="E6621" t="e">
        <f t="shared" si="105"/>
        <v>#N/A</v>
      </c>
    </row>
    <row r="6622" spans="5:5">
      <c r="E6622" t="e">
        <f t="shared" si="105"/>
        <v>#N/A</v>
      </c>
    </row>
    <row r="6623" spans="5:5">
      <c r="E6623" t="e">
        <f t="shared" si="105"/>
        <v>#N/A</v>
      </c>
    </row>
    <row r="6624" spans="5:5">
      <c r="E6624" t="e">
        <f t="shared" si="105"/>
        <v>#N/A</v>
      </c>
    </row>
    <row r="6625" spans="5:5">
      <c r="E6625" t="e">
        <f t="shared" si="105"/>
        <v>#N/A</v>
      </c>
    </row>
    <row r="6626" spans="5:5">
      <c r="E6626" t="e">
        <f t="shared" si="105"/>
        <v>#N/A</v>
      </c>
    </row>
    <row r="6627" spans="5:5">
      <c r="E6627" t="e">
        <f t="shared" si="105"/>
        <v>#N/A</v>
      </c>
    </row>
    <row r="6628" spans="5:5">
      <c r="E6628" t="e">
        <f t="shared" si="105"/>
        <v>#N/A</v>
      </c>
    </row>
    <row r="6629" spans="5:5">
      <c r="E6629" t="e">
        <f t="shared" si="105"/>
        <v>#N/A</v>
      </c>
    </row>
    <row r="6630" spans="5:5">
      <c r="E6630" t="e">
        <f t="shared" si="105"/>
        <v>#N/A</v>
      </c>
    </row>
    <row r="6631" spans="5:5">
      <c r="E6631" t="e">
        <f t="shared" si="105"/>
        <v>#N/A</v>
      </c>
    </row>
    <row r="6632" spans="5:5">
      <c r="E6632" t="e">
        <f t="shared" si="105"/>
        <v>#N/A</v>
      </c>
    </row>
    <row r="6633" spans="5:5">
      <c r="E6633" t="e">
        <f t="shared" si="105"/>
        <v>#N/A</v>
      </c>
    </row>
    <row r="6634" spans="5:5">
      <c r="E6634" t="e">
        <f t="shared" si="105"/>
        <v>#N/A</v>
      </c>
    </row>
    <row r="6635" spans="5:5">
      <c r="E6635" t="e">
        <f t="shared" si="105"/>
        <v>#N/A</v>
      </c>
    </row>
    <row r="6636" spans="5:5">
      <c r="E6636" t="e">
        <f t="shared" si="105"/>
        <v>#N/A</v>
      </c>
    </row>
    <row r="6637" spans="5:5">
      <c r="E6637" t="e">
        <f t="shared" si="105"/>
        <v>#N/A</v>
      </c>
    </row>
    <row r="6638" spans="5:5">
      <c r="E6638" t="e">
        <f t="shared" si="105"/>
        <v>#N/A</v>
      </c>
    </row>
    <row r="6639" spans="5:5">
      <c r="E6639" t="e">
        <f t="shared" si="105"/>
        <v>#N/A</v>
      </c>
    </row>
    <row r="6640" spans="5:5">
      <c r="E6640" t="e">
        <f t="shared" si="105"/>
        <v>#N/A</v>
      </c>
    </row>
    <row r="6641" spans="5:5">
      <c r="E6641" t="e">
        <f t="shared" si="105"/>
        <v>#N/A</v>
      </c>
    </row>
    <row r="6642" spans="5:5">
      <c r="E6642" t="e">
        <f t="shared" si="105"/>
        <v>#N/A</v>
      </c>
    </row>
    <row r="6643" spans="5:5">
      <c r="E6643" t="e">
        <f t="shared" si="105"/>
        <v>#N/A</v>
      </c>
    </row>
    <row r="6644" spans="5:5">
      <c r="E6644" t="e">
        <f t="shared" si="105"/>
        <v>#N/A</v>
      </c>
    </row>
    <row r="6645" spans="5:5">
      <c r="E6645" t="e">
        <f t="shared" si="105"/>
        <v>#N/A</v>
      </c>
    </row>
    <row r="6646" spans="5:5">
      <c r="E6646" t="e">
        <f t="shared" si="105"/>
        <v>#N/A</v>
      </c>
    </row>
    <row r="6647" spans="5:5">
      <c r="E6647" t="e">
        <f t="shared" si="105"/>
        <v>#N/A</v>
      </c>
    </row>
    <row r="6648" spans="5:5">
      <c r="E6648" t="e">
        <f t="shared" si="105"/>
        <v>#N/A</v>
      </c>
    </row>
    <row r="6649" spans="5:5">
      <c r="E6649" t="e">
        <f t="shared" si="105"/>
        <v>#N/A</v>
      </c>
    </row>
    <row r="6650" spans="5:5">
      <c r="E6650" t="e">
        <f t="shared" si="105"/>
        <v>#N/A</v>
      </c>
    </row>
    <row r="6651" spans="5:5">
      <c r="E6651" t="e">
        <f t="shared" si="105"/>
        <v>#N/A</v>
      </c>
    </row>
    <row r="6652" spans="5:5">
      <c r="E6652" t="e">
        <f t="shared" si="105"/>
        <v>#N/A</v>
      </c>
    </row>
    <row r="6653" spans="5:5">
      <c r="E6653" t="e">
        <f t="shared" si="105"/>
        <v>#N/A</v>
      </c>
    </row>
    <row r="6654" spans="5:5">
      <c r="E6654" t="e">
        <f t="shared" si="105"/>
        <v>#N/A</v>
      </c>
    </row>
    <row r="6655" spans="5:5">
      <c r="E6655" t="e">
        <f t="shared" si="105"/>
        <v>#N/A</v>
      </c>
    </row>
    <row r="6656" spans="5:5">
      <c r="E6656" t="e">
        <f t="shared" si="105"/>
        <v>#N/A</v>
      </c>
    </row>
    <row r="6657" spans="5:5">
      <c r="E6657" t="e">
        <f t="shared" si="105"/>
        <v>#N/A</v>
      </c>
    </row>
    <row r="6658" spans="5:5">
      <c r="E6658" t="e">
        <f t="shared" si="105"/>
        <v>#N/A</v>
      </c>
    </row>
    <row r="6659" spans="5:5">
      <c r="E6659" t="e">
        <f t="shared" si="105"/>
        <v>#N/A</v>
      </c>
    </row>
    <row r="6660" spans="5:5">
      <c r="E6660" t="e">
        <f t="shared" si="105"/>
        <v>#N/A</v>
      </c>
    </row>
    <row r="6661" spans="5:5">
      <c r="E6661" t="e">
        <f t="shared" si="105"/>
        <v>#N/A</v>
      </c>
    </row>
    <row r="6662" spans="5:5">
      <c r="E6662" t="e">
        <f t="shared" si="105"/>
        <v>#N/A</v>
      </c>
    </row>
    <row r="6663" spans="5:5">
      <c r="E6663" t="e">
        <f t="shared" si="105"/>
        <v>#N/A</v>
      </c>
    </row>
    <row r="6664" spans="5:5">
      <c r="E6664" t="e">
        <f t="shared" si="105"/>
        <v>#N/A</v>
      </c>
    </row>
    <row r="6665" spans="5:5">
      <c r="E6665" t="e">
        <f t="shared" si="105"/>
        <v>#N/A</v>
      </c>
    </row>
    <row r="6666" spans="5:5">
      <c r="E6666" t="e">
        <f t="shared" si="105"/>
        <v>#N/A</v>
      </c>
    </row>
    <row r="6667" spans="5:5">
      <c r="E6667" t="e">
        <f t="shared" si="105"/>
        <v>#N/A</v>
      </c>
    </row>
    <row r="6668" spans="5:5">
      <c r="E6668" t="e">
        <f t="shared" si="105"/>
        <v>#N/A</v>
      </c>
    </row>
    <row r="6669" spans="5:5">
      <c r="E6669" t="e">
        <f t="shared" ref="E6669:E6732" si="106">VLOOKUP(B6669,$Q$13:$R$61,2,FALSE)</f>
        <v>#N/A</v>
      </c>
    </row>
    <row r="6670" spans="5:5">
      <c r="E6670" t="e">
        <f t="shared" si="106"/>
        <v>#N/A</v>
      </c>
    </row>
    <row r="6671" spans="5:5">
      <c r="E6671" t="e">
        <f t="shared" si="106"/>
        <v>#N/A</v>
      </c>
    </row>
    <row r="6672" spans="5:5">
      <c r="E6672" t="e">
        <f t="shared" si="106"/>
        <v>#N/A</v>
      </c>
    </row>
    <row r="6673" spans="5:5">
      <c r="E6673" t="e">
        <f t="shared" si="106"/>
        <v>#N/A</v>
      </c>
    </row>
    <row r="6674" spans="5:5">
      <c r="E6674" t="e">
        <f t="shared" si="106"/>
        <v>#N/A</v>
      </c>
    </row>
    <row r="6675" spans="5:5">
      <c r="E6675" t="e">
        <f t="shared" si="106"/>
        <v>#N/A</v>
      </c>
    </row>
    <row r="6676" spans="5:5">
      <c r="E6676" t="e">
        <f t="shared" si="106"/>
        <v>#N/A</v>
      </c>
    </row>
    <row r="6677" spans="5:5">
      <c r="E6677" t="e">
        <f t="shared" si="106"/>
        <v>#N/A</v>
      </c>
    </row>
    <row r="6678" spans="5:5">
      <c r="E6678" t="e">
        <f t="shared" si="106"/>
        <v>#N/A</v>
      </c>
    </row>
    <row r="6679" spans="5:5">
      <c r="E6679" t="e">
        <f t="shared" si="106"/>
        <v>#N/A</v>
      </c>
    </row>
    <row r="6680" spans="5:5">
      <c r="E6680" t="e">
        <f t="shared" si="106"/>
        <v>#N/A</v>
      </c>
    </row>
    <row r="6681" spans="5:5">
      <c r="E6681" t="e">
        <f t="shared" si="106"/>
        <v>#N/A</v>
      </c>
    </row>
    <row r="6682" spans="5:5">
      <c r="E6682" t="e">
        <f t="shared" si="106"/>
        <v>#N/A</v>
      </c>
    </row>
    <row r="6683" spans="5:5">
      <c r="E6683" t="e">
        <f t="shared" si="106"/>
        <v>#N/A</v>
      </c>
    </row>
    <row r="6684" spans="5:5">
      <c r="E6684" t="e">
        <f t="shared" si="106"/>
        <v>#N/A</v>
      </c>
    </row>
    <row r="6685" spans="5:5">
      <c r="E6685" t="e">
        <f t="shared" si="106"/>
        <v>#N/A</v>
      </c>
    </row>
    <row r="6686" spans="5:5">
      <c r="E6686" t="e">
        <f t="shared" si="106"/>
        <v>#N/A</v>
      </c>
    </row>
    <row r="6687" spans="5:5">
      <c r="E6687" t="e">
        <f t="shared" si="106"/>
        <v>#N/A</v>
      </c>
    </row>
    <row r="6688" spans="5:5">
      <c r="E6688" t="e">
        <f t="shared" si="106"/>
        <v>#N/A</v>
      </c>
    </row>
    <row r="6689" spans="5:5">
      <c r="E6689" t="e">
        <f t="shared" si="106"/>
        <v>#N/A</v>
      </c>
    </row>
    <row r="6690" spans="5:5">
      <c r="E6690" t="e">
        <f t="shared" si="106"/>
        <v>#N/A</v>
      </c>
    </row>
    <row r="6691" spans="5:5">
      <c r="E6691" t="e">
        <f t="shared" si="106"/>
        <v>#N/A</v>
      </c>
    </row>
    <row r="6692" spans="5:5">
      <c r="E6692" t="e">
        <f t="shared" si="106"/>
        <v>#N/A</v>
      </c>
    </row>
    <row r="6693" spans="5:5">
      <c r="E6693" t="e">
        <f t="shared" si="106"/>
        <v>#N/A</v>
      </c>
    </row>
    <row r="6694" spans="5:5">
      <c r="E6694" t="e">
        <f t="shared" si="106"/>
        <v>#N/A</v>
      </c>
    </row>
    <row r="6695" spans="5:5">
      <c r="E6695" t="e">
        <f t="shared" si="106"/>
        <v>#N/A</v>
      </c>
    </row>
    <row r="6696" spans="5:5">
      <c r="E6696" t="e">
        <f t="shared" si="106"/>
        <v>#N/A</v>
      </c>
    </row>
    <row r="6697" spans="5:5">
      <c r="E6697" t="e">
        <f t="shared" si="106"/>
        <v>#N/A</v>
      </c>
    </row>
    <row r="6698" spans="5:5">
      <c r="E6698" t="e">
        <f t="shared" si="106"/>
        <v>#N/A</v>
      </c>
    </row>
    <row r="6699" spans="5:5">
      <c r="E6699" t="e">
        <f t="shared" si="106"/>
        <v>#N/A</v>
      </c>
    </row>
    <row r="6700" spans="5:5">
      <c r="E6700" t="e">
        <f t="shared" si="106"/>
        <v>#N/A</v>
      </c>
    </row>
    <row r="6701" spans="5:5">
      <c r="E6701" t="e">
        <f t="shared" si="106"/>
        <v>#N/A</v>
      </c>
    </row>
    <row r="6702" spans="5:5">
      <c r="E6702" t="e">
        <f t="shared" si="106"/>
        <v>#N/A</v>
      </c>
    </row>
    <row r="6703" spans="5:5">
      <c r="E6703" t="e">
        <f t="shared" si="106"/>
        <v>#N/A</v>
      </c>
    </row>
    <row r="6704" spans="5:5">
      <c r="E6704" t="e">
        <f t="shared" si="106"/>
        <v>#N/A</v>
      </c>
    </row>
    <row r="6705" spans="5:5">
      <c r="E6705" t="e">
        <f t="shared" si="106"/>
        <v>#N/A</v>
      </c>
    </row>
    <row r="6706" spans="5:5">
      <c r="E6706" t="e">
        <f t="shared" si="106"/>
        <v>#N/A</v>
      </c>
    </row>
    <row r="6707" spans="5:5">
      <c r="E6707" t="e">
        <f t="shared" si="106"/>
        <v>#N/A</v>
      </c>
    </row>
    <row r="6708" spans="5:5">
      <c r="E6708" t="e">
        <f t="shared" si="106"/>
        <v>#N/A</v>
      </c>
    </row>
    <row r="6709" spans="5:5">
      <c r="E6709" t="e">
        <f t="shared" si="106"/>
        <v>#N/A</v>
      </c>
    </row>
    <row r="6710" spans="5:5">
      <c r="E6710" t="e">
        <f t="shared" si="106"/>
        <v>#N/A</v>
      </c>
    </row>
    <row r="6711" spans="5:5">
      <c r="E6711" t="e">
        <f t="shared" si="106"/>
        <v>#N/A</v>
      </c>
    </row>
    <row r="6712" spans="5:5">
      <c r="E6712" t="e">
        <f t="shared" si="106"/>
        <v>#N/A</v>
      </c>
    </row>
    <row r="6713" spans="5:5">
      <c r="E6713" t="e">
        <f t="shared" si="106"/>
        <v>#N/A</v>
      </c>
    </row>
    <row r="6714" spans="5:5">
      <c r="E6714" t="e">
        <f t="shared" si="106"/>
        <v>#N/A</v>
      </c>
    </row>
    <row r="6715" spans="5:5">
      <c r="E6715" t="e">
        <f t="shared" si="106"/>
        <v>#N/A</v>
      </c>
    </row>
    <row r="6716" spans="5:5">
      <c r="E6716" t="e">
        <f t="shared" si="106"/>
        <v>#N/A</v>
      </c>
    </row>
    <row r="6717" spans="5:5">
      <c r="E6717" t="e">
        <f t="shared" si="106"/>
        <v>#N/A</v>
      </c>
    </row>
    <row r="6718" spans="5:5">
      <c r="E6718" t="e">
        <f t="shared" si="106"/>
        <v>#N/A</v>
      </c>
    </row>
    <row r="6719" spans="5:5">
      <c r="E6719" t="e">
        <f t="shared" si="106"/>
        <v>#N/A</v>
      </c>
    </row>
    <row r="6720" spans="5:5">
      <c r="E6720" t="e">
        <f t="shared" si="106"/>
        <v>#N/A</v>
      </c>
    </row>
    <row r="6721" spans="5:5">
      <c r="E6721" t="e">
        <f t="shared" si="106"/>
        <v>#N/A</v>
      </c>
    </row>
    <row r="6722" spans="5:5">
      <c r="E6722" t="e">
        <f t="shared" si="106"/>
        <v>#N/A</v>
      </c>
    </row>
    <row r="6723" spans="5:5">
      <c r="E6723" t="e">
        <f t="shared" si="106"/>
        <v>#N/A</v>
      </c>
    </row>
    <row r="6724" spans="5:5">
      <c r="E6724" t="e">
        <f t="shared" si="106"/>
        <v>#N/A</v>
      </c>
    </row>
    <row r="6725" spans="5:5">
      <c r="E6725" t="e">
        <f t="shared" si="106"/>
        <v>#N/A</v>
      </c>
    </row>
    <row r="6726" spans="5:5">
      <c r="E6726" t="e">
        <f t="shared" si="106"/>
        <v>#N/A</v>
      </c>
    </row>
    <row r="6727" spans="5:5">
      <c r="E6727" t="e">
        <f t="shared" si="106"/>
        <v>#N/A</v>
      </c>
    </row>
    <row r="6728" spans="5:5">
      <c r="E6728" t="e">
        <f t="shared" si="106"/>
        <v>#N/A</v>
      </c>
    </row>
    <row r="6729" spans="5:5">
      <c r="E6729" t="e">
        <f t="shared" si="106"/>
        <v>#N/A</v>
      </c>
    </row>
    <row r="6730" spans="5:5">
      <c r="E6730" t="e">
        <f t="shared" si="106"/>
        <v>#N/A</v>
      </c>
    </row>
    <row r="6731" spans="5:5">
      <c r="E6731" t="e">
        <f t="shared" si="106"/>
        <v>#N/A</v>
      </c>
    </row>
    <row r="6732" spans="5:5">
      <c r="E6732" t="e">
        <f t="shared" si="106"/>
        <v>#N/A</v>
      </c>
    </row>
    <row r="6733" spans="5:5">
      <c r="E6733" t="e">
        <f t="shared" ref="E6733:E6796" si="107">VLOOKUP(B6733,$Q$13:$R$61,2,FALSE)</f>
        <v>#N/A</v>
      </c>
    </row>
    <row r="6734" spans="5:5">
      <c r="E6734" t="e">
        <f t="shared" si="107"/>
        <v>#N/A</v>
      </c>
    </row>
    <row r="6735" spans="5:5">
      <c r="E6735" t="e">
        <f t="shared" si="107"/>
        <v>#N/A</v>
      </c>
    </row>
    <row r="6736" spans="5:5">
      <c r="E6736" t="e">
        <f t="shared" si="107"/>
        <v>#N/A</v>
      </c>
    </row>
    <row r="6737" spans="5:5">
      <c r="E6737" t="e">
        <f t="shared" si="107"/>
        <v>#N/A</v>
      </c>
    </row>
    <row r="6738" spans="5:5">
      <c r="E6738" t="e">
        <f t="shared" si="107"/>
        <v>#N/A</v>
      </c>
    </row>
    <row r="6739" spans="5:5">
      <c r="E6739" t="e">
        <f t="shared" si="107"/>
        <v>#N/A</v>
      </c>
    </row>
    <row r="6740" spans="5:5">
      <c r="E6740" t="e">
        <f t="shared" si="107"/>
        <v>#N/A</v>
      </c>
    </row>
    <row r="6741" spans="5:5">
      <c r="E6741" t="e">
        <f t="shared" si="107"/>
        <v>#N/A</v>
      </c>
    </row>
    <row r="6742" spans="5:5">
      <c r="E6742" t="e">
        <f t="shared" si="107"/>
        <v>#N/A</v>
      </c>
    </row>
    <row r="6743" spans="5:5">
      <c r="E6743" t="e">
        <f t="shared" si="107"/>
        <v>#N/A</v>
      </c>
    </row>
    <row r="6744" spans="5:5">
      <c r="E6744" t="e">
        <f t="shared" si="107"/>
        <v>#N/A</v>
      </c>
    </row>
    <row r="6745" spans="5:5">
      <c r="E6745" t="e">
        <f t="shared" si="107"/>
        <v>#N/A</v>
      </c>
    </row>
    <row r="6746" spans="5:5">
      <c r="E6746" t="e">
        <f t="shared" si="107"/>
        <v>#N/A</v>
      </c>
    </row>
    <row r="6747" spans="5:5">
      <c r="E6747" t="e">
        <f t="shared" si="107"/>
        <v>#N/A</v>
      </c>
    </row>
    <row r="6748" spans="5:5">
      <c r="E6748" t="e">
        <f t="shared" si="107"/>
        <v>#N/A</v>
      </c>
    </row>
    <row r="6749" spans="5:5">
      <c r="E6749" t="e">
        <f t="shared" si="107"/>
        <v>#N/A</v>
      </c>
    </row>
    <row r="6750" spans="5:5">
      <c r="E6750" t="e">
        <f t="shared" si="107"/>
        <v>#N/A</v>
      </c>
    </row>
    <row r="6751" spans="5:5">
      <c r="E6751" t="e">
        <f t="shared" si="107"/>
        <v>#N/A</v>
      </c>
    </row>
    <row r="6752" spans="5:5">
      <c r="E6752" t="e">
        <f t="shared" si="107"/>
        <v>#N/A</v>
      </c>
    </row>
    <row r="6753" spans="5:5">
      <c r="E6753" t="e">
        <f t="shared" si="107"/>
        <v>#N/A</v>
      </c>
    </row>
    <row r="6754" spans="5:5">
      <c r="E6754" t="e">
        <f t="shared" si="107"/>
        <v>#N/A</v>
      </c>
    </row>
    <row r="6755" spans="5:5">
      <c r="E6755" t="e">
        <f t="shared" si="107"/>
        <v>#N/A</v>
      </c>
    </row>
    <row r="6756" spans="5:5">
      <c r="E6756" t="e">
        <f t="shared" si="107"/>
        <v>#N/A</v>
      </c>
    </row>
    <row r="6757" spans="5:5">
      <c r="E6757" t="e">
        <f t="shared" si="107"/>
        <v>#N/A</v>
      </c>
    </row>
    <row r="6758" spans="5:5">
      <c r="E6758" t="e">
        <f t="shared" si="107"/>
        <v>#N/A</v>
      </c>
    </row>
    <row r="6759" spans="5:5">
      <c r="E6759" t="e">
        <f t="shared" si="107"/>
        <v>#N/A</v>
      </c>
    </row>
    <row r="6760" spans="5:5">
      <c r="E6760" t="e">
        <f t="shared" si="107"/>
        <v>#N/A</v>
      </c>
    </row>
    <row r="6761" spans="5:5">
      <c r="E6761" t="e">
        <f t="shared" si="107"/>
        <v>#N/A</v>
      </c>
    </row>
    <row r="6762" spans="5:5">
      <c r="E6762" t="e">
        <f t="shared" si="107"/>
        <v>#N/A</v>
      </c>
    </row>
    <row r="6763" spans="5:5">
      <c r="E6763" t="e">
        <f t="shared" si="107"/>
        <v>#N/A</v>
      </c>
    </row>
    <row r="6764" spans="5:5">
      <c r="E6764" t="e">
        <f t="shared" si="107"/>
        <v>#N/A</v>
      </c>
    </row>
    <row r="6765" spans="5:5">
      <c r="E6765" t="e">
        <f t="shared" si="107"/>
        <v>#N/A</v>
      </c>
    </row>
    <row r="6766" spans="5:5">
      <c r="E6766" t="e">
        <f t="shared" si="107"/>
        <v>#N/A</v>
      </c>
    </row>
    <row r="6767" spans="5:5">
      <c r="E6767" t="e">
        <f t="shared" si="107"/>
        <v>#N/A</v>
      </c>
    </row>
    <row r="6768" spans="5:5">
      <c r="E6768" t="e">
        <f t="shared" si="107"/>
        <v>#N/A</v>
      </c>
    </row>
    <row r="6769" spans="5:5">
      <c r="E6769" t="e">
        <f t="shared" si="107"/>
        <v>#N/A</v>
      </c>
    </row>
    <row r="6770" spans="5:5">
      <c r="E6770" t="e">
        <f t="shared" si="107"/>
        <v>#N/A</v>
      </c>
    </row>
    <row r="6771" spans="5:5">
      <c r="E6771" t="e">
        <f t="shared" si="107"/>
        <v>#N/A</v>
      </c>
    </row>
    <row r="6772" spans="5:5">
      <c r="E6772" t="e">
        <f t="shared" si="107"/>
        <v>#N/A</v>
      </c>
    </row>
    <row r="6773" spans="5:5">
      <c r="E6773" t="e">
        <f t="shared" si="107"/>
        <v>#N/A</v>
      </c>
    </row>
    <row r="6774" spans="5:5">
      <c r="E6774" t="e">
        <f t="shared" si="107"/>
        <v>#N/A</v>
      </c>
    </row>
    <row r="6775" spans="5:5">
      <c r="E6775" t="e">
        <f t="shared" si="107"/>
        <v>#N/A</v>
      </c>
    </row>
    <row r="6776" spans="5:5">
      <c r="E6776" t="e">
        <f t="shared" si="107"/>
        <v>#N/A</v>
      </c>
    </row>
    <row r="6777" spans="5:5">
      <c r="E6777" t="e">
        <f t="shared" si="107"/>
        <v>#N/A</v>
      </c>
    </row>
    <row r="6778" spans="5:5">
      <c r="E6778" t="e">
        <f t="shared" si="107"/>
        <v>#N/A</v>
      </c>
    </row>
    <row r="6779" spans="5:5">
      <c r="E6779" t="e">
        <f t="shared" si="107"/>
        <v>#N/A</v>
      </c>
    </row>
    <row r="6780" spans="5:5">
      <c r="E6780" t="e">
        <f t="shared" si="107"/>
        <v>#N/A</v>
      </c>
    </row>
    <row r="6781" spans="5:5">
      <c r="E6781" t="e">
        <f t="shared" si="107"/>
        <v>#N/A</v>
      </c>
    </row>
    <row r="6782" spans="5:5">
      <c r="E6782" t="e">
        <f t="shared" si="107"/>
        <v>#N/A</v>
      </c>
    </row>
    <row r="6783" spans="5:5">
      <c r="E6783" t="e">
        <f t="shared" si="107"/>
        <v>#N/A</v>
      </c>
    </row>
    <row r="6784" spans="5:5">
      <c r="E6784" t="e">
        <f t="shared" si="107"/>
        <v>#N/A</v>
      </c>
    </row>
    <row r="6785" spans="5:5">
      <c r="E6785" t="e">
        <f t="shared" si="107"/>
        <v>#N/A</v>
      </c>
    </row>
    <row r="6786" spans="5:5">
      <c r="E6786" t="e">
        <f t="shared" si="107"/>
        <v>#N/A</v>
      </c>
    </row>
    <row r="6787" spans="5:5">
      <c r="E6787" t="e">
        <f t="shared" si="107"/>
        <v>#N/A</v>
      </c>
    </row>
    <row r="6788" spans="5:5">
      <c r="E6788" t="e">
        <f t="shared" si="107"/>
        <v>#N/A</v>
      </c>
    </row>
    <row r="6789" spans="5:5">
      <c r="E6789" t="e">
        <f t="shared" si="107"/>
        <v>#N/A</v>
      </c>
    </row>
    <row r="6790" spans="5:5">
      <c r="E6790" t="e">
        <f t="shared" si="107"/>
        <v>#N/A</v>
      </c>
    </row>
    <row r="6791" spans="5:5">
      <c r="E6791" t="e">
        <f t="shared" si="107"/>
        <v>#N/A</v>
      </c>
    </row>
    <row r="6792" spans="5:5">
      <c r="E6792" t="e">
        <f t="shared" si="107"/>
        <v>#N/A</v>
      </c>
    </row>
    <row r="6793" spans="5:5">
      <c r="E6793" t="e">
        <f t="shared" si="107"/>
        <v>#N/A</v>
      </c>
    </row>
    <row r="6794" spans="5:5">
      <c r="E6794" t="e">
        <f t="shared" si="107"/>
        <v>#N/A</v>
      </c>
    </row>
    <row r="6795" spans="5:5">
      <c r="E6795" t="e">
        <f t="shared" si="107"/>
        <v>#N/A</v>
      </c>
    </row>
    <row r="6796" spans="5:5">
      <c r="E6796" t="e">
        <f t="shared" si="107"/>
        <v>#N/A</v>
      </c>
    </row>
    <row r="6797" spans="5:5">
      <c r="E6797" t="e">
        <f t="shared" ref="E6797:E6860" si="108">VLOOKUP(B6797,$Q$13:$R$61,2,FALSE)</f>
        <v>#N/A</v>
      </c>
    </row>
    <row r="6798" spans="5:5">
      <c r="E6798" t="e">
        <f t="shared" si="108"/>
        <v>#N/A</v>
      </c>
    </row>
    <row r="6799" spans="5:5">
      <c r="E6799" t="e">
        <f t="shared" si="108"/>
        <v>#N/A</v>
      </c>
    </row>
    <row r="6800" spans="5:5">
      <c r="E6800" t="e">
        <f t="shared" si="108"/>
        <v>#N/A</v>
      </c>
    </row>
    <row r="6801" spans="5:5">
      <c r="E6801" t="e">
        <f t="shared" si="108"/>
        <v>#N/A</v>
      </c>
    </row>
    <row r="6802" spans="5:5">
      <c r="E6802" t="e">
        <f t="shared" si="108"/>
        <v>#N/A</v>
      </c>
    </row>
    <row r="6803" spans="5:5">
      <c r="E6803" t="e">
        <f t="shared" si="108"/>
        <v>#N/A</v>
      </c>
    </row>
    <row r="6804" spans="5:5">
      <c r="E6804" t="e">
        <f t="shared" si="108"/>
        <v>#N/A</v>
      </c>
    </row>
    <row r="6805" spans="5:5">
      <c r="E6805" t="e">
        <f t="shared" si="108"/>
        <v>#N/A</v>
      </c>
    </row>
    <row r="6806" spans="5:5">
      <c r="E6806" t="e">
        <f t="shared" si="108"/>
        <v>#N/A</v>
      </c>
    </row>
    <row r="6807" spans="5:5">
      <c r="E6807" t="e">
        <f t="shared" si="108"/>
        <v>#N/A</v>
      </c>
    </row>
    <row r="6808" spans="5:5">
      <c r="E6808" t="e">
        <f t="shared" si="108"/>
        <v>#N/A</v>
      </c>
    </row>
    <row r="6809" spans="5:5">
      <c r="E6809" t="e">
        <f t="shared" si="108"/>
        <v>#N/A</v>
      </c>
    </row>
    <row r="6810" spans="5:5">
      <c r="E6810" t="e">
        <f t="shared" si="108"/>
        <v>#N/A</v>
      </c>
    </row>
    <row r="6811" spans="5:5">
      <c r="E6811" t="e">
        <f t="shared" si="108"/>
        <v>#N/A</v>
      </c>
    </row>
    <row r="6812" spans="5:5">
      <c r="E6812" t="e">
        <f t="shared" si="108"/>
        <v>#N/A</v>
      </c>
    </row>
    <row r="6813" spans="5:5">
      <c r="E6813" t="e">
        <f t="shared" si="108"/>
        <v>#N/A</v>
      </c>
    </row>
    <row r="6814" spans="5:5">
      <c r="E6814" t="e">
        <f t="shared" si="108"/>
        <v>#N/A</v>
      </c>
    </row>
    <row r="6815" spans="5:5">
      <c r="E6815" t="e">
        <f t="shared" si="108"/>
        <v>#N/A</v>
      </c>
    </row>
    <row r="6816" spans="5:5">
      <c r="E6816" t="e">
        <f t="shared" si="108"/>
        <v>#N/A</v>
      </c>
    </row>
    <row r="6817" spans="5:5">
      <c r="E6817" t="e">
        <f t="shared" si="108"/>
        <v>#N/A</v>
      </c>
    </row>
    <row r="6818" spans="5:5">
      <c r="E6818" t="e">
        <f t="shared" si="108"/>
        <v>#N/A</v>
      </c>
    </row>
    <row r="6819" spans="5:5">
      <c r="E6819" t="e">
        <f t="shared" si="108"/>
        <v>#N/A</v>
      </c>
    </row>
    <row r="6820" spans="5:5">
      <c r="E6820" t="e">
        <f t="shared" si="108"/>
        <v>#N/A</v>
      </c>
    </row>
    <row r="6821" spans="5:5">
      <c r="E6821" t="e">
        <f t="shared" si="108"/>
        <v>#N/A</v>
      </c>
    </row>
    <row r="6822" spans="5:5">
      <c r="E6822" t="e">
        <f t="shared" si="108"/>
        <v>#N/A</v>
      </c>
    </row>
    <row r="6823" spans="5:5">
      <c r="E6823" t="e">
        <f t="shared" si="108"/>
        <v>#N/A</v>
      </c>
    </row>
    <row r="6824" spans="5:5">
      <c r="E6824" t="e">
        <f t="shared" si="108"/>
        <v>#N/A</v>
      </c>
    </row>
    <row r="6825" spans="5:5">
      <c r="E6825" t="e">
        <f t="shared" si="108"/>
        <v>#N/A</v>
      </c>
    </row>
    <row r="6826" spans="5:5">
      <c r="E6826" t="e">
        <f t="shared" si="108"/>
        <v>#N/A</v>
      </c>
    </row>
    <row r="6827" spans="5:5">
      <c r="E6827" t="e">
        <f t="shared" si="108"/>
        <v>#N/A</v>
      </c>
    </row>
    <row r="6828" spans="5:5">
      <c r="E6828" t="e">
        <f t="shared" si="108"/>
        <v>#N/A</v>
      </c>
    </row>
    <row r="6829" spans="5:5">
      <c r="E6829" t="e">
        <f t="shared" si="108"/>
        <v>#N/A</v>
      </c>
    </row>
    <row r="6830" spans="5:5">
      <c r="E6830" t="e">
        <f t="shared" si="108"/>
        <v>#N/A</v>
      </c>
    </row>
    <row r="6831" spans="5:5">
      <c r="E6831" t="e">
        <f t="shared" si="108"/>
        <v>#N/A</v>
      </c>
    </row>
    <row r="6832" spans="5:5">
      <c r="E6832" t="e">
        <f t="shared" si="108"/>
        <v>#N/A</v>
      </c>
    </row>
    <row r="6833" spans="5:5">
      <c r="E6833" t="e">
        <f t="shared" si="108"/>
        <v>#N/A</v>
      </c>
    </row>
    <row r="6834" spans="5:5">
      <c r="E6834" t="e">
        <f t="shared" si="108"/>
        <v>#N/A</v>
      </c>
    </row>
    <row r="6835" spans="5:5">
      <c r="E6835" t="e">
        <f t="shared" si="108"/>
        <v>#N/A</v>
      </c>
    </row>
    <row r="6836" spans="5:5">
      <c r="E6836" t="e">
        <f t="shared" si="108"/>
        <v>#N/A</v>
      </c>
    </row>
    <row r="6837" spans="5:5">
      <c r="E6837" t="e">
        <f t="shared" si="108"/>
        <v>#N/A</v>
      </c>
    </row>
    <row r="6838" spans="5:5">
      <c r="E6838" t="e">
        <f t="shared" si="108"/>
        <v>#N/A</v>
      </c>
    </row>
    <row r="6839" spans="5:5">
      <c r="E6839" t="e">
        <f t="shared" si="108"/>
        <v>#N/A</v>
      </c>
    </row>
    <row r="6840" spans="5:5">
      <c r="E6840" t="e">
        <f t="shared" si="108"/>
        <v>#N/A</v>
      </c>
    </row>
    <row r="6841" spans="5:5">
      <c r="E6841" t="e">
        <f t="shared" si="108"/>
        <v>#N/A</v>
      </c>
    </row>
    <row r="6842" spans="5:5">
      <c r="E6842" t="e">
        <f t="shared" si="108"/>
        <v>#N/A</v>
      </c>
    </row>
    <row r="6843" spans="5:5">
      <c r="E6843" t="e">
        <f t="shared" si="108"/>
        <v>#N/A</v>
      </c>
    </row>
    <row r="6844" spans="5:5">
      <c r="E6844" t="e">
        <f t="shared" si="108"/>
        <v>#N/A</v>
      </c>
    </row>
    <row r="6845" spans="5:5">
      <c r="E6845" t="e">
        <f t="shared" si="108"/>
        <v>#N/A</v>
      </c>
    </row>
    <row r="6846" spans="5:5">
      <c r="E6846" t="e">
        <f t="shared" si="108"/>
        <v>#N/A</v>
      </c>
    </row>
    <row r="6847" spans="5:5">
      <c r="E6847" t="e">
        <f t="shared" si="108"/>
        <v>#N/A</v>
      </c>
    </row>
    <row r="6848" spans="5:5">
      <c r="E6848" t="e">
        <f t="shared" si="108"/>
        <v>#N/A</v>
      </c>
    </row>
    <row r="6849" spans="5:5">
      <c r="E6849" t="e">
        <f t="shared" si="108"/>
        <v>#N/A</v>
      </c>
    </row>
    <row r="6850" spans="5:5">
      <c r="E6850" t="e">
        <f t="shared" si="108"/>
        <v>#N/A</v>
      </c>
    </row>
    <row r="6851" spans="5:5">
      <c r="E6851" t="e">
        <f t="shared" si="108"/>
        <v>#N/A</v>
      </c>
    </row>
    <row r="6852" spans="5:5">
      <c r="E6852" t="e">
        <f t="shared" si="108"/>
        <v>#N/A</v>
      </c>
    </row>
    <row r="6853" spans="5:5">
      <c r="E6853" t="e">
        <f t="shared" si="108"/>
        <v>#N/A</v>
      </c>
    </row>
    <row r="6854" spans="5:5">
      <c r="E6854" t="e">
        <f t="shared" si="108"/>
        <v>#N/A</v>
      </c>
    </row>
    <row r="6855" spans="5:5">
      <c r="E6855" t="e">
        <f t="shared" si="108"/>
        <v>#N/A</v>
      </c>
    </row>
    <row r="6856" spans="5:5">
      <c r="E6856" t="e">
        <f t="shared" si="108"/>
        <v>#N/A</v>
      </c>
    </row>
    <row r="6857" spans="5:5">
      <c r="E6857" t="e">
        <f t="shared" si="108"/>
        <v>#N/A</v>
      </c>
    </row>
    <row r="6858" spans="5:5">
      <c r="E6858" t="e">
        <f t="shared" si="108"/>
        <v>#N/A</v>
      </c>
    </row>
    <row r="6859" spans="5:5">
      <c r="E6859" t="e">
        <f t="shared" si="108"/>
        <v>#N/A</v>
      </c>
    </row>
    <row r="6860" spans="5:5">
      <c r="E6860" t="e">
        <f t="shared" si="108"/>
        <v>#N/A</v>
      </c>
    </row>
    <row r="6861" spans="5:5">
      <c r="E6861" t="e">
        <f t="shared" ref="E6861:E6897" si="109">VLOOKUP(B6861,$Q$13:$R$61,2,FALSE)</f>
        <v>#N/A</v>
      </c>
    </row>
    <row r="6862" spans="5:5">
      <c r="E6862" t="e">
        <f t="shared" si="109"/>
        <v>#N/A</v>
      </c>
    </row>
    <row r="6863" spans="5:5">
      <c r="E6863" t="e">
        <f t="shared" si="109"/>
        <v>#N/A</v>
      </c>
    </row>
    <row r="6864" spans="5:5">
      <c r="E6864" t="e">
        <f t="shared" si="109"/>
        <v>#N/A</v>
      </c>
    </row>
    <row r="6865" spans="5:5">
      <c r="E6865" t="e">
        <f t="shared" si="109"/>
        <v>#N/A</v>
      </c>
    </row>
    <row r="6866" spans="5:5">
      <c r="E6866" t="e">
        <f t="shared" si="109"/>
        <v>#N/A</v>
      </c>
    </row>
    <row r="6867" spans="5:5">
      <c r="E6867" t="e">
        <f t="shared" si="109"/>
        <v>#N/A</v>
      </c>
    </row>
    <row r="6868" spans="5:5">
      <c r="E6868" t="e">
        <f t="shared" si="109"/>
        <v>#N/A</v>
      </c>
    </row>
    <row r="6869" spans="5:5">
      <c r="E6869" t="e">
        <f t="shared" si="109"/>
        <v>#N/A</v>
      </c>
    </row>
    <row r="6870" spans="5:5">
      <c r="E6870" t="e">
        <f t="shared" si="109"/>
        <v>#N/A</v>
      </c>
    </row>
    <row r="6871" spans="5:5">
      <c r="E6871" t="e">
        <f t="shared" si="109"/>
        <v>#N/A</v>
      </c>
    </row>
    <row r="6872" spans="5:5">
      <c r="E6872" t="e">
        <f t="shared" si="109"/>
        <v>#N/A</v>
      </c>
    </row>
    <row r="6873" spans="5:5">
      <c r="E6873" t="e">
        <f t="shared" si="109"/>
        <v>#N/A</v>
      </c>
    </row>
    <row r="6874" spans="5:5">
      <c r="E6874" t="e">
        <f t="shared" si="109"/>
        <v>#N/A</v>
      </c>
    </row>
    <row r="6875" spans="5:5">
      <c r="E6875" t="e">
        <f t="shared" si="109"/>
        <v>#N/A</v>
      </c>
    </row>
    <row r="6876" spans="5:5">
      <c r="E6876" t="e">
        <f t="shared" si="109"/>
        <v>#N/A</v>
      </c>
    </row>
    <row r="6877" spans="5:5">
      <c r="E6877" t="e">
        <f t="shared" si="109"/>
        <v>#N/A</v>
      </c>
    </row>
    <row r="6878" spans="5:5">
      <c r="E6878" t="e">
        <f t="shared" si="109"/>
        <v>#N/A</v>
      </c>
    </row>
    <row r="6879" spans="5:5">
      <c r="E6879" t="e">
        <f t="shared" si="109"/>
        <v>#N/A</v>
      </c>
    </row>
    <row r="6880" spans="5:5">
      <c r="E6880" t="e">
        <f t="shared" si="109"/>
        <v>#N/A</v>
      </c>
    </row>
    <row r="6881" spans="5:5">
      <c r="E6881" t="e">
        <f t="shared" si="109"/>
        <v>#N/A</v>
      </c>
    </row>
    <row r="6882" spans="5:5">
      <c r="E6882" t="e">
        <f t="shared" si="109"/>
        <v>#N/A</v>
      </c>
    </row>
    <row r="6883" spans="5:5">
      <c r="E6883" t="e">
        <f t="shared" si="109"/>
        <v>#N/A</v>
      </c>
    </row>
    <row r="6884" spans="5:5">
      <c r="E6884" t="e">
        <f t="shared" si="109"/>
        <v>#N/A</v>
      </c>
    </row>
    <row r="6885" spans="5:5">
      <c r="E6885" t="e">
        <f t="shared" si="109"/>
        <v>#N/A</v>
      </c>
    </row>
    <row r="6886" spans="5:5">
      <c r="E6886" t="e">
        <f t="shared" si="109"/>
        <v>#N/A</v>
      </c>
    </row>
    <row r="6887" spans="5:5">
      <c r="E6887" t="e">
        <f t="shared" si="109"/>
        <v>#N/A</v>
      </c>
    </row>
    <row r="6888" spans="5:5">
      <c r="E6888" t="e">
        <f t="shared" si="109"/>
        <v>#N/A</v>
      </c>
    </row>
    <row r="6889" spans="5:5">
      <c r="E6889" t="e">
        <f t="shared" si="109"/>
        <v>#N/A</v>
      </c>
    </row>
    <row r="6890" spans="5:5">
      <c r="E6890" t="e">
        <f t="shared" si="109"/>
        <v>#N/A</v>
      </c>
    </row>
    <row r="6891" spans="5:5">
      <c r="E6891" t="e">
        <f t="shared" si="109"/>
        <v>#N/A</v>
      </c>
    </row>
    <row r="6892" spans="5:5">
      <c r="E6892" t="e">
        <f t="shared" si="109"/>
        <v>#N/A</v>
      </c>
    </row>
    <row r="6893" spans="5:5">
      <c r="E6893" t="e">
        <f t="shared" si="109"/>
        <v>#N/A</v>
      </c>
    </row>
    <row r="6894" spans="5:5">
      <c r="E6894" t="e">
        <f t="shared" si="109"/>
        <v>#N/A</v>
      </c>
    </row>
    <row r="6895" spans="5:5">
      <c r="E6895" t="e">
        <f t="shared" si="109"/>
        <v>#N/A</v>
      </c>
    </row>
    <row r="6896" spans="5:5">
      <c r="E6896" t="e">
        <f t="shared" si="109"/>
        <v>#N/A</v>
      </c>
    </row>
    <row r="6897" spans="5:5">
      <c r="E6897" t="e">
        <f t="shared" si="109"/>
        <v>#N/A</v>
      </c>
    </row>
  </sheetData>
  <mergeCells count="13">
    <mergeCell ref="T13:U13"/>
    <mergeCell ref="W13:X13"/>
    <mergeCell ref="Q12:R12"/>
    <mergeCell ref="E2:H2"/>
    <mergeCell ref="T12:U12"/>
    <mergeCell ref="W12:X12"/>
    <mergeCell ref="B10:H10"/>
    <mergeCell ref="B9:H9"/>
    <mergeCell ref="B8:H8"/>
    <mergeCell ref="B7:H7"/>
    <mergeCell ref="B6:H6"/>
    <mergeCell ref="B5:H5"/>
    <mergeCell ref="A3:H3"/>
  </mergeCells>
  <conditionalFormatting sqref="I31:N84">
    <cfRule type="expression" dxfId="5" priority="1">
      <formula>ISERROR(I31)</formula>
    </cfRule>
  </conditionalFormatting>
  <hyperlinks>
    <hyperlink ref="E2" location="'Information och Innehåll'!A1" display="Tillbaka till Information och Innehåll"/>
    <hyperlink ref="T15" location="V1.1.1!A1" display="V1.1.1"/>
    <hyperlink ref="T16" location="V1.1.2!A1" display="V1.1.2"/>
    <hyperlink ref="T17" location="V1.1.3!A1" display="V1.1.3"/>
    <hyperlink ref="T18" location="V2.1.1!A1" display="V2.1.1"/>
    <hyperlink ref="T19" location="V2.1.2!A1" display="V2.1.2"/>
    <hyperlink ref="T21" location="V3.1.2!A1" display="V3.1.2"/>
    <hyperlink ref="T20" location="V3.1.1!A1" display="V3.1.1"/>
    <hyperlink ref="T22" location="V3.1.3!A1" display="V3.1.3"/>
    <hyperlink ref="T24" location="V4.1.1!A1" display="V4.1.1"/>
    <hyperlink ref="T25" location="V4.2.1!A1" display="V4.2.1"/>
    <hyperlink ref="T26" location="V4.2.2!A1" display="V4.2.2"/>
    <hyperlink ref="T27" location="V4.2.3!A1" display="V4.2.3"/>
    <hyperlink ref="T28" location="V4.2.4!A1" display="V4.2.4"/>
    <hyperlink ref="T29" location="V5.1.1!A1" display="V5.1.1"/>
    <hyperlink ref="T30" location="V5.1.2!A1" display="V5.1.2"/>
    <hyperlink ref="U15" location="B1.1.1!A1" display="B1.1.1"/>
    <hyperlink ref="U16" location="B1.1.2!A1" display="B1.1.2"/>
    <hyperlink ref="U17" location="B1.2.1!A1" display="B1.2.1"/>
    <hyperlink ref="U18" location="B1.2.2!A1" display="B1.2.2"/>
    <hyperlink ref="U19" location="B1.2.3!A1" display="B1.2.3"/>
    <hyperlink ref="U20" location="B2.1.1!A1" display="B2.1.1"/>
    <hyperlink ref="U22" location="B2.2.1!A1" display="B2.2.1"/>
    <hyperlink ref="U23" location="B2.2.2!A1" display="B2.2.2"/>
    <hyperlink ref="U24" location="B2.2.3!A1" display="B2.2.3"/>
    <hyperlink ref="U25" location="B2.2.4!A1" display="B2.2.4"/>
    <hyperlink ref="U26" location="B3.1.1!A1" display="B3.1.1"/>
    <hyperlink ref="U27" location="B3.1.2!A1" display="B3.1.2"/>
    <hyperlink ref="U30" location="B4.1.1!A1" display="B4.1.1"/>
    <hyperlink ref="U31" location="B5.1.1!A1" display="B5.1.1"/>
    <hyperlink ref="U32" location="B5.1.2!A1" display="B5.1.2"/>
    <hyperlink ref="U33" location="B5.1.3!A1" display="B5.1.3"/>
    <hyperlink ref="U28" location="B3.1.3!A1" display="B3.1.3"/>
    <hyperlink ref="U21" location="B2.1.2!A1" display="B2.1.2"/>
    <hyperlink ref="T31" location="V5.1.3!A1" display="V5.1.3"/>
    <hyperlink ref="U29" location="B3.2.1!A1" display="B3.2.1"/>
    <hyperlink ref="T23" location="B3.2.1!A1" display="V3.2.1"/>
    <hyperlink ref="W15" location="'V1.1.1 DATA'!A1" display="V1.1.1"/>
    <hyperlink ref="W16" location="'V1.1.2 DATA'!A1" display="V1.1.2"/>
    <hyperlink ref="W17" location="'V1.1.3 Data'!A1" display="V1.1.3"/>
    <hyperlink ref="W18" location="'V2.1.1 DATA'!A1" display="V2.1.1"/>
    <hyperlink ref="W19" location="'V2.1.2 DATA'!A1" display="V2.1.2"/>
    <hyperlink ref="W21" location="'V3.1.2 DATA'!A1" display="V3.1.2"/>
    <hyperlink ref="W20" location="'V3.1.1 DATA'!A1" display="V3.1.1"/>
    <hyperlink ref="W22" location="'V3.1.3 DATA'!A1" display="V3.1.3"/>
    <hyperlink ref="W23" location="'V3.2.1 DATA'!A1" display="V3.2.1"/>
    <hyperlink ref="W24" location="'V4.1.1 DATA'!A1" display="V4.1.1"/>
    <hyperlink ref="W25" location="'V4.2.1 DATA'!A1" display="V4.2.1"/>
    <hyperlink ref="W27" location="'V4.2.3 DATA'!A1" display="V4.2.3"/>
    <hyperlink ref="W28" location="'V4.2.4 DATA'!A1" display="V4.2.4"/>
    <hyperlink ref="W29" location="'V5.1.1 DATA'!A1" display="V5.1.1"/>
    <hyperlink ref="W30" location="'V5.1.2 DATA'!A1" display="V5.1.2"/>
    <hyperlink ref="X15" location="'B1.1.1 DATA'!A1" display="B1.1.1"/>
    <hyperlink ref="X16" location="'B1.1.2 DATA'!A1" display="B1.1.2"/>
    <hyperlink ref="X17" location="'B1.2.1 DATA'!A1" display="B1.2.1"/>
    <hyperlink ref="X18" location="'B1.2.2 DATA'!A1" display="B1.2.2"/>
    <hyperlink ref="X19" location="'B1.2.3 DATA'!A1" display="B1.2.3"/>
    <hyperlink ref="X20" location="'B2.1.1 DATA'!A1" display="B2.1.1"/>
    <hyperlink ref="X22" location="'B2.2.1 DATA'!A1" display="B2.2.1"/>
    <hyperlink ref="X23" location="'B2.2.2 DATA'!A1" display="B2.2.2"/>
    <hyperlink ref="X24" location="'B2.2.3 DATA'!A1" display="B2.2.3"/>
    <hyperlink ref="X25" location="'B2.2.4 DATA'!A1" display="B2.2.4"/>
    <hyperlink ref="X26" location="'B3.1.1 DATA'!A1" display="B3.1.1"/>
    <hyperlink ref="X27" location="'B3.1.2 DATA'!A1" display="B3.1.2"/>
    <hyperlink ref="X29" location="'B3.2.1 DATA'!A1" display="B3.2.1"/>
    <hyperlink ref="X30" location="'B4.1.1 DATA'!A1" display="B4.1.1"/>
    <hyperlink ref="X31" location="'B5.1.1 DATA'!A1" display="B5.1.1"/>
    <hyperlink ref="X32" location="'B5.1.2 DATA'!A1" display="B5.1.2"/>
    <hyperlink ref="X33" location="'B5.1.3 DATA'!A1" display="B5.1.3"/>
    <hyperlink ref="X21" location="'B2.1.2 DATA'!A1" display="B2.1.2"/>
    <hyperlink ref="W31" location="'V5.1.3 DATA'!A1" display="V5.1.3"/>
    <hyperlink ref="X28" location="'B3.1.3 DATA'!A1" display="B3.1.3"/>
    <hyperlink ref="W26" location="'V4.2.2 DATA'!A1" display="V4.2.2"/>
  </hyperlinks>
  <pageMargins left="0.7" right="0.7" top="0.75" bottom="0.75" header="0.3" footer="0.3"/>
  <pageSetup paperSize="9" orientation="portrait" r:id="rId1"/>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18366"/>
  </sheetPr>
  <dimension ref="A1:AA56"/>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1" spans="1:20" ht="14.45" customHeight="1"/>
    <row r="2" spans="1:20" ht="14.45" customHeight="1">
      <c r="P2" s="10"/>
      <c r="Q2" s="11"/>
      <c r="R2" s="11"/>
    </row>
    <row r="3" spans="1:20" ht="23.25">
      <c r="B3" s="338" t="s">
        <v>402</v>
      </c>
      <c r="C3" s="338"/>
      <c r="D3" s="338"/>
      <c r="E3" s="338"/>
      <c r="F3" s="338"/>
      <c r="G3" s="338"/>
      <c r="H3" s="338"/>
      <c r="I3" s="338"/>
      <c r="J3" s="338"/>
      <c r="K3" s="338"/>
      <c r="L3" s="338"/>
      <c r="M3" s="338"/>
      <c r="N3" s="338"/>
      <c r="O3" s="338"/>
      <c r="P3" s="338"/>
      <c r="Q3" s="338"/>
      <c r="R3" s="338"/>
      <c r="S3" s="338"/>
      <c r="T3" s="338"/>
    </row>
    <row r="4" spans="1:20" ht="30.75">
      <c r="B4" s="366" t="s">
        <v>646</v>
      </c>
      <c r="C4" s="366"/>
      <c r="D4" s="366"/>
      <c r="E4" s="366"/>
      <c r="F4" s="366"/>
      <c r="G4" s="366"/>
      <c r="H4" s="366"/>
      <c r="I4" s="366"/>
      <c r="J4" s="366"/>
      <c r="K4" s="366"/>
      <c r="L4" s="366"/>
      <c r="M4" s="366"/>
      <c r="N4" s="366"/>
      <c r="O4" s="366"/>
      <c r="P4" s="366"/>
      <c r="Q4" s="366"/>
      <c r="R4" s="366"/>
      <c r="S4" s="366"/>
      <c r="T4" s="366"/>
    </row>
    <row r="5" spans="1:20" ht="18">
      <c r="B5" s="340" t="s">
        <v>51</v>
      </c>
      <c r="C5" s="340"/>
      <c r="D5" s="340"/>
      <c r="E5" s="340"/>
      <c r="F5" s="340"/>
      <c r="G5" s="340"/>
      <c r="H5" s="340"/>
      <c r="I5" s="340"/>
      <c r="J5" s="340"/>
      <c r="K5" s="340"/>
      <c r="L5" s="340"/>
      <c r="M5" s="340"/>
      <c r="N5" s="340"/>
      <c r="O5" s="340"/>
      <c r="P5" s="340"/>
      <c r="Q5" s="340"/>
      <c r="R5" s="340"/>
      <c r="S5" s="340"/>
      <c r="T5" s="340"/>
    </row>
    <row r="6" spans="1:20" ht="14.45" customHeight="1">
      <c r="P6" s="11"/>
      <c r="Q6" s="11"/>
      <c r="R6" s="11"/>
    </row>
    <row r="7" spans="1:20" ht="14.45" customHeight="1">
      <c r="B7" s="26" t="s">
        <v>35</v>
      </c>
      <c r="E7" s="27">
        <v>42977</v>
      </c>
      <c r="P7" s="11"/>
      <c r="Q7" s="11"/>
      <c r="R7" s="342" t="s">
        <v>44</v>
      </c>
      <c r="S7" s="342"/>
      <c r="T7" s="342"/>
    </row>
    <row r="8" spans="1:20" ht="14.45" customHeight="1">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14.45" customHeight="1">
      <c r="B10" s="33"/>
      <c r="C10" s="33"/>
      <c r="D10" s="33"/>
      <c r="E10" s="33"/>
      <c r="F10" s="33"/>
      <c r="G10" s="33"/>
      <c r="H10" s="33"/>
      <c r="I10" s="33"/>
      <c r="J10" s="33"/>
      <c r="K10" s="33"/>
      <c r="L10" s="33"/>
      <c r="N10" s="4"/>
      <c r="O10" s="4"/>
      <c r="P10" s="4"/>
      <c r="Q10" s="4"/>
      <c r="R10" s="4"/>
      <c r="S10" s="4"/>
      <c r="T10" s="4"/>
    </row>
    <row r="11" spans="1:20" ht="14.45" customHeight="1">
      <c r="B11" s="336" t="s">
        <v>40</v>
      </c>
      <c r="C11" s="336"/>
      <c r="D11" s="336"/>
      <c r="E11" s="336"/>
      <c r="F11" s="336"/>
      <c r="G11" s="336"/>
      <c r="H11" s="336"/>
      <c r="I11" s="336"/>
      <c r="J11" s="336"/>
      <c r="K11" s="336"/>
      <c r="L11" s="336"/>
      <c r="N11" s="11" t="s">
        <v>59</v>
      </c>
      <c r="O11" s="11" t="s">
        <v>286</v>
      </c>
      <c r="P11" s="11"/>
      <c r="Q11" s="11"/>
    </row>
    <row r="12" spans="1:20" ht="14.45" customHeight="1">
      <c r="B12" s="1"/>
      <c r="C12" s="337" t="s">
        <v>623</v>
      </c>
      <c r="D12" s="337"/>
      <c r="E12" s="337"/>
      <c r="F12" s="337"/>
      <c r="G12" s="337"/>
      <c r="H12" s="337"/>
      <c r="I12" s="337"/>
      <c r="J12" s="337"/>
      <c r="K12" s="337"/>
      <c r="L12" s="337"/>
      <c r="N12" s="11" t="s">
        <v>287</v>
      </c>
      <c r="O12" s="11" t="s">
        <v>5</v>
      </c>
      <c r="P12" s="11" t="s">
        <v>6</v>
      </c>
      <c r="Q12" s="11" t="s">
        <v>42</v>
      </c>
    </row>
    <row r="13" spans="1:20" ht="14.45" customHeight="1">
      <c r="B13" s="32"/>
      <c r="C13" s="332" t="s">
        <v>624</v>
      </c>
      <c r="D13" s="332"/>
      <c r="E13" s="332"/>
      <c r="F13" s="332"/>
      <c r="G13" s="332"/>
      <c r="H13" s="332"/>
      <c r="I13" s="332"/>
      <c r="J13" s="332"/>
      <c r="K13" s="332"/>
      <c r="L13" s="332"/>
      <c r="N13" s="110">
        <v>2010</v>
      </c>
      <c r="O13" s="205">
        <v>2.65</v>
      </c>
      <c r="P13" s="205">
        <v>1.1200000000000001</v>
      </c>
      <c r="Q13" s="205">
        <v>1.91</v>
      </c>
    </row>
    <row r="14" spans="1:20" ht="14.45" customHeight="1">
      <c r="B14" s="32"/>
      <c r="C14" s="333" t="s">
        <v>292</v>
      </c>
      <c r="D14" s="333"/>
      <c r="E14" s="333"/>
      <c r="F14" s="333"/>
      <c r="G14" s="333"/>
      <c r="H14" s="333"/>
      <c r="I14" s="333"/>
      <c r="J14" s="333"/>
      <c r="K14" s="333"/>
      <c r="L14" s="333"/>
      <c r="N14" s="110">
        <v>2011</v>
      </c>
      <c r="O14" s="205">
        <v>1.6</v>
      </c>
      <c r="P14" s="205">
        <v>2.2599999999999998</v>
      </c>
      <c r="Q14" s="205">
        <v>1.92</v>
      </c>
    </row>
    <row r="15" spans="1:20" ht="14.45" customHeight="1">
      <c r="B15" s="32"/>
      <c r="C15" s="333" t="s">
        <v>627</v>
      </c>
      <c r="D15" s="333"/>
      <c r="E15" s="333"/>
      <c r="F15" s="333"/>
      <c r="G15" s="333"/>
      <c r="H15" s="333"/>
      <c r="I15" s="333"/>
      <c r="J15" s="333"/>
      <c r="K15" s="333"/>
      <c r="L15" s="333"/>
      <c r="N15" s="110">
        <v>2012</v>
      </c>
      <c r="O15" s="205">
        <v>1.6</v>
      </c>
      <c r="P15" s="205">
        <v>1.7</v>
      </c>
      <c r="Q15" s="205">
        <v>1.65</v>
      </c>
    </row>
    <row r="16" spans="1:20" ht="14.45" customHeight="1">
      <c r="A16" s="3"/>
      <c r="B16" s="1"/>
      <c r="C16" s="1"/>
      <c r="D16" s="1"/>
      <c r="E16" s="1"/>
      <c r="F16" s="1"/>
      <c r="G16" s="1"/>
      <c r="H16" s="1"/>
      <c r="I16" s="1"/>
      <c r="J16" s="1"/>
      <c r="K16" s="1"/>
      <c r="L16" s="4"/>
      <c r="N16" s="110">
        <v>2013</v>
      </c>
      <c r="O16" s="205">
        <v>2.13</v>
      </c>
      <c r="P16" s="205">
        <v>1.1299999999999999</v>
      </c>
      <c r="Q16" s="205">
        <v>1.65</v>
      </c>
    </row>
    <row r="17" spans="1:26" ht="14.45" customHeight="1">
      <c r="A17" s="3"/>
      <c r="B17" s="30" t="s">
        <v>41</v>
      </c>
      <c r="C17" s="4"/>
      <c r="D17" s="4"/>
      <c r="E17" s="4"/>
      <c r="F17" s="4"/>
      <c r="G17" s="4"/>
      <c r="H17" s="4"/>
      <c r="I17" s="4"/>
      <c r="J17" s="4"/>
      <c r="K17" s="4"/>
      <c r="L17" s="4"/>
      <c r="N17" s="110">
        <v>2014</v>
      </c>
      <c r="O17" s="205">
        <v>2.64</v>
      </c>
      <c r="P17" s="205">
        <v>2.2400000000000002</v>
      </c>
      <c r="Q17" s="205">
        <v>2.4500000000000002</v>
      </c>
    </row>
    <row r="18" spans="1:26" ht="14.45" customHeight="1">
      <c r="A18" s="3"/>
      <c r="B18" s="4"/>
      <c r="C18" s="362" t="s">
        <v>295</v>
      </c>
      <c r="D18" s="362"/>
      <c r="E18" s="362"/>
      <c r="F18" s="362"/>
      <c r="G18" s="362"/>
      <c r="H18" s="362"/>
      <c r="I18" s="362"/>
      <c r="J18" s="362"/>
      <c r="K18" s="362"/>
      <c r="L18" s="362"/>
      <c r="N18" s="110">
        <v>2015</v>
      </c>
      <c r="O18" s="205">
        <v>2.09</v>
      </c>
      <c r="P18" s="205">
        <v>0</v>
      </c>
      <c r="Q18" s="205">
        <v>1.08</v>
      </c>
    </row>
    <row r="19" spans="1:26" ht="14.45" customHeight="1">
      <c r="A19" s="3"/>
      <c r="B19" s="4"/>
      <c r="C19" s="362" t="s">
        <v>296</v>
      </c>
      <c r="D19" s="362"/>
      <c r="E19" s="362"/>
      <c r="F19" s="362"/>
      <c r="G19" s="362"/>
      <c r="H19" s="362"/>
      <c r="I19" s="362"/>
      <c r="J19" s="362"/>
      <c r="K19" s="362"/>
      <c r="L19" s="362"/>
      <c r="N19" s="110">
        <v>2016</v>
      </c>
      <c r="O19" s="205"/>
      <c r="P19" s="205"/>
      <c r="Q19" s="205"/>
    </row>
    <row r="20" spans="1:26" ht="14.45" customHeight="1">
      <c r="A20" s="3"/>
      <c r="B20" s="4"/>
      <c r="C20" s="353" t="s">
        <v>371</v>
      </c>
      <c r="D20" s="353"/>
      <c r="E20" s="353"/>
      <c r="F20" s="353"/>
      <c r="G20" s="353"/>
      <c r="H20" s="353"/>
      <c r="I20" s="353"/>
      <c r="J20" s="353"/>
      <c r="K20" s="353"/>
      <c r="L20" s="353"/>
      <c r="N20" s="110">
        <v>2017</v>
      </c>
      <c r="O20" s="205"/>
      <c r="P20" s="205"/>
      <c r="Q20" s="205"/>
    </row>
    <row r="21" spans="1:26" ht="14.45" customHeight="1">
      <c r="A21" s="3"/>
      <c r="B21" s="4"/>
      <c r="C21" s="48" t="str">
        <f>"--&gt;"</f>
        <v>--&gt;</v>
      </c>
      <c r="D21" s="334" t="s">
        <v>60</v>
      </c>
      <c r="E21" s="334"/>
      <c r="F21" s="334"/>
      <c r="G21" s="334"/>
      <c r="H21" s="334"/>
      <c r="I21" s="334"/>
      <c r="J21" s="334"/>
      <c r="K21" s="334"/>
      <c r="L21" s="334"/>
      <c r="N21" s="110">
        <v>2018</v>
      </c>
      <c r="O21" s="205"/>
      <c r="P21" s="205"/>
      <c r="Q21" s="205"/>
    </row>
    <row r="22" spans="1:26" ht="14.45" customHeight="1">
      <c r="A22" s="3"/>
      <c r="B22" s="4"/>
      <c r="C22" s="4"/>
      <c r="D22" s="334"/>
      <c r="E22" s="334"/>
      <c r="F22" s="334"/>
      <c r="G22" s="334"/>
      <c r="H22" s="334"/>
      <c r="I22" s="334"/>
      <c r="J22" s="334"/>
      <c r="K22" s="334"/>
      <c r="L22" s="334"/>
      <c r="N22" s="110">
        <v>2019</v>
      </c>
      <c r="O22" s="205"/>
      <c r="P22" s="205"/>
      <c r="Q22" s="205"/>
    </row>
    <row r="23" spans="1:26" ht="14.45" customHeight="1">
      <c r="A23" s="3"/>
      <c r="B23" s="4"/>
      <c r="C23" s="333" t="s">
        <v>356</v>
      </c>
      <c r="D23" s="333"/>
      <c r="E23" s="333"/>
      <c r="F23" s="333"/>
      <c r="G23" s="333"/>
      <c r="H23" s="333"/>
      <c r="I23" s="333"/>
      <c r="J23" s="333"/>
      <c r="K23" s="333"/>
      <c r="L23" s="333"/>
      <c r="N23" s="110">
        <v>2020</v>
      </c>
      <c r="O23" s="205"/>
      <c r="P23" s="205"/>
      <c r="Q23" s="205"/>
    </row>
    <row r="24" spans="1:26" ht="14.45" customHeight="1">
      <c r="A24" s="3"/>
      <c r="B24" s="4"/>
      <c r="C24" s="333"/>
      <c r="D24" s="333"/>
      <c r="E24" s="333"/>
      <c r="F24" s="333"/>
      <c r="G24" s="333"/>
      <c r="H24" s="333"/>
      <c r="I24" s="333"/>
      <c r="J24" s="333"/>
      <c r="K24" s="333"/>
      <c r="L24" s="333"/>
      <c r="N24" s="110">
        <v>2021</v>
      </c>
      <c r="O24" s="205"/>
      <c r="P24" s="205"/>
      <c r="Q24" s="205"/>
    </row>
    <row r="25" spans="1:26" ht="14.45" customHeight="1">
      <c r="A25" s="3"/>
      <c r="B25" s="4"/>
      <c r="C25" s="333"/>
      <c r="D25" s="333"/>
      <c r="E25" s="333"/>
      <c r="F25" s="333"/>
      <c r="G25" s="333"/>
      <c r="H25" s="333"/>
      <c r="I25" s="333"/>
      <c r="J25" s="333"/>
      <c r="K25" s="333"/>
      <c r="L25" s="333"/>
      <c r="N25" s="110">
        <v>2022</v>
      </c>
      <c r="O25" s="205"/>
      <c r="P25" s="205"/>
      <c r="Q25" s="205"/>
    </row>
    <row r="26" spans="1:26" ht="14.45" customHeight="1">
      <c r="A26" s="3"/>
      <c r="B26" s="1"/>
      <c r="C26" s="335" t="s">
        <v>323</v>
      </c>
      <c r="D26" s="335"/>
      <c r="E26" s="335"/>
      <c r="F26" s="335"/>
      <c r="G26" s="335"/>
      <c r="H26" s="335"/>
      <c r="I26" s="335"/>
      <c r="J26" s="335"/>
      <c r="K26" s="335"/>
      <c r="L26" s="335"/>
      <c r="N26" s="110">
        <v>2023</v>
      </c>
      <c r="O26" s="205"/>
      <c r="P26" s="205"/>
      <c r="Q26" s="205"/>
    </row>
    <row r="27" spans="1:26" ht="14.45" customHeight="1">
      <c r="B27" s="1"/>
      <c r="C27" s="335"/>
      <c r="D27" s="335"/>
      <c r="E27" s="335"/>
      <c r="F27" s="335"/>
      <c r="G27" s="335"/>
      <c r="H27" s="335"/>
      <c r="I27" s="335"/>
      <c r="J27" s="335"/>
      <c r="K27" s="335"/>
      <c r="L27" s="335"/>
      <c r="N27" s="110">
        <v>2024</v>
      </c>
      <c r="O27" s="205"/>
      <c r="P27" s="205"/>
      <c r="Q27" s="205"/>
    </row>
    <row r="28" spans="1:26" ht="14.45" customHeight="1">
      <c r="B28" s="1"/>
      <c r="C28" s="335"/>
      <c r="D28" s="335"/>
      <c r="E28" s="335"/>
      <c r="F28" s="335"/>
      <c r="G28" s="335"/>
      <c r="H28" s="335"/>
      <c r="I28" s="335"/>
      <c r="J28" s="335"/>
      <c r="K28" s="335"/>
      <c r="L28" s="335"/>
      <c r="N28" s="110">
        <v>2025</v>
      </c>
      <c r="O28" s="205"/>
      <c r="P28" s="205"/>
      <c r="Q28" s="205"/>
    </row>
    <row r="29" spans="1:26" ht="14.45" customHeight="1">
      <c r="B29" s="1"/>
      <c r="C29" s="47"/>
      <c r="D29" s="47"/>
      <c r="E29" s="47"/>
      <c r="F29" s="47"/>
      <c r="G29" s="47"/>
      <c r="H29" s="47"/>
      <c r="I29" s="47"/>
      <c r="J29" s="47"/>
      <c r="K29" s="47"/>
      <c r="L29" s="47"/>
    </row>
    <row r="30" spans="1:26" ht="14.45" customHeight="1">
      <c r="B30" s="4"/>
      <c r="C30" s="1"/>
      <c r="D30" s="1"/>
      <c r="E30" s="1"/>
      <c r="F30" s="1"/>
      <c r="G30" s="1"/>
      <c r="H30" s="1"/>
      <c r="I30" s="1"/>
      <c r="J30" s="1"/>
      <c r="K30" s="1"/>
      <c r="L30" s="1"/>
      <c r="M30" s="9"/>
      <c r="N30" s="4"/>
      <c r="O30" s="34"/>
      <c r="P30" s="35"/>
      <c r="Q30" s="35"/>
      <c r="R30" s="35"/>
      <c r="S30" s="35"/>
      <c r="T30" s="4"/>
    </row>
    <row r="31" spans="1:26">
      <c r="A31" s="3"/>
      <c r="B31" s="9"/>
      <c r="C31" s="9"/>
      <c r="D31" s="9"/>
      <c r="E31" s="9"/>
      <c r="F31" s="9"/>
      <c r="G31" s="9"/>
      <c r="H31" s="9"/>
      <c r="I31" s="9"/>
      <c r="J31" s="9"/>
      <c r="K31" s="9"/>
      <c r="L31" s="9"/>
      <c r="M31" s="11"/>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7" ht="23.25">
      <c r="B34" s="1"/>
      <c r="C34" s="22"/>
      <c r="D34" s="22"/>
      <c r="E34" s="22"/>
      <c r="F34" s="22"/>
      <c r="G34" s="22"/>
      <c r="H34" s="22"/>
      <c r="I34" s="22"/>
      <c r="J34" s="22"/>
      <c r="K34" s="22"/>
      <c r="L34" s="22"/>
      <c r="M34" s="4"/>
      <c r="N34" s="1"/>
      <c r="O34" s="1"/>
      <c r="P34" s="1"/>
      <c r="Q34" s="1"/>
      <c r="R34" s="1"/>
      <c r="S34" s="1"/>
      <c r="T34" s="1"/>
      <c r="V34" s="56" t="s">
        <v>61</v>
      </c>
      <c r="W34" s="56" t="s">
        <v>62</v>
      </c>
      <c r="X34" s="11"/>
      <c r="Y34" s="56" t="s">
        <v>61</v>
      </c>
      <c r="Z34" s="56" t="s">
        <v>62</v>
      </c>
    </row>
    <row r="35" spans="1:27">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7">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7">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7">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7">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7">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7">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7">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7">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7">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7">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7">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row>
    <row r="47" spans="1:27">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c r="AA47" s="9"/>
    </row>
    <row r="48" spans="1:27">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c r="AA48" s="9"/>
    </row>
    <row r="49" spans="2:27">
      <c r="B49" s="1"/>
      <c r="C49" s="1"/>
      <c r="D49" s="1"/>
      <c r="E49" s="1"/>
      <c r="F49" s="1"/>
      <c r="G49" s="1"/>
      <c r="H49" s="1"/>
      <c r="I49" s="1"/>
      <c r="J49" s="1"/>
      <c r="K49" s="1"/>
      <c r="L49" s="1"/>
      <c r="M49" s="1"/>
      <c r="N49" s="1"/>
      <c r="O49" s="1"/>
      <c r="P49" s="1"/>
      <c r="Q49" s="1"/>
      <c r="R49" s="1"/>
      <c r="S49" s="1"/>
      <c r="T49" s="1"/>
      <c r="V49" s="244" t="s">
        <v>445</v>
      </c>
      <c r="W49" s="244" t="s">
        <v>462</v>
      </c>
      <c r="X49" s="9"/>
      <c r="Y49" s="244" t="s">
        <v>445</v>
      </c>
      <c r="Z49" s="244" t="s">
        <v>462</v>
      </c>
      <c r="AA49" s="9"/>
    </row>
    <row r="50" spans="2:27">
      <c r="B50" s="1"/>
      <c r="C50" s="1"/>
      <c r="D50" s="1"/>
      <c r="E50" s="1"/>
      <c r="F50" s="1"/>
      <c r="G50" s="1"/>
      <c r="H50" s="1"/>
      <c r="I50" s="1"/>
      <c r="J50" s="1"/>
      <c r="K50" s="1"/>
      <c r="L50" s="1"/>
      <c r="M50" s="1"/>
      <c r="N50" s="1"/>
      <c r="O50" s="1"/>
      <c r="P50" s="1"/>
      <c r="Q50" s="1"/>
      <c r="R50" s="1"/>
      <c r="S50" s="1"/>
      <c r="T50" s="1"/>
      <c r="V50" s="246" t="s">
        <v>446</v>
      </c>
      <c r="W50" s="244" t="s">
        <v>463</v>
      </c>
      <c r="X50" s="9"/>
      <c r="Y50" s="246" t="s">
        <v>446</v>
      </c>
      <c r="Z50" s="244" t="s">
        <v>463</v>
      </c>
      <c r="AA50" s="9"/>
    </row>
    <row r="51" spans="2:27">
      <c r="B51" s="1"/>
      <c r="C51" s="1"/>
      <c r="D51" s="1"/>
      <c r="E51" s="1"/>
      <c r="F51" s="1"/>
      <c r="G51" s="1"/>
      <c r="H51" s="1"/>
      <c r="I51" s="1"/>
      <c r="J51" s="1"/>
      <c r="K51" s="1"/>
      <c r="L51" s="1"/>
      <c r="M51" s="1"/>
      <c r="N51" s="1"/>
      <c r="O51" s="1"/>
      <c r="P51" s="1"/>
      <c r="Q51" s="1"/>
      <c r="R51" s="1"/>
      <c r="S51" s="1"/>
      <c r="T51" s="1"/>
      <c r="V51" s="247" t="s">
        <v>447</v>
      </c>
      <c r="W51" s="244" t="s">
        <v>464</v>
      </c>
      <c r="X51" s="9"/>
      <c r="Y51" s="247" t="s">
        <v>447</v>
      </c>
      <c r="Z51" s="244" t="s">
        <v>464</v>
      </c>
      <c r="AA51" s="9"/>
    </row>
    <row r="52" spans="2:27">
      <c r="B52" s="1"/>
      <c r="C52" s="1"/>
      <c r="D52" s="1"/>
      <c r="E52" s="1"/>
      <c r="F52" s="1"/>
      <c r="G52" s="1"/>
      <c r="H52" s="1"/>
      <c r="I52" s="1"/>
      <c r="J52" s="1"/>
      <c r="K52" s="1"/>
      <c r="L52" s="1"/>
      <c r="M52" s="1"/>
      <c r="N52" s="1"/>
      <c r="O52" s="1"/>
      <c r="P52" s="1"/>
      <c r="Q52" s="1"/>
      <c r="R52" s="1"/>
      <c r="S52" s="1"/>
      <c r="T52" s="1"/>
      <c r="V52" s="295"/>
      <c r="W52" s="244" t="s">
        <v>465</v>
      </c>
      <c r="X52" s="9"/>
      <c r="Y52" s="284"/>
      <c r="Z52" s="244" t="s">
        <v>465</v>
      </c>
      <c r="AA52" s="9"/>
    </row>
    <row r="53" spans="2:27">
      <c r="B53" s="1"/>
      <c r="C53" s="1"/>
      <c r="D53" s="1"/>
      <c r="E53" s="1"/>
      <c r="F53" s="1"/>
      <c r="G53" s="1"/>
      <c r="H53" s="1"/>
      <c r="I53" s="1"/>
      <c r="J53" s="1"/>
      <c r="K53" s="1"/>
      <c r="L53" s="1"/>
      <c r="M53" s="1"/>
      <c r="N53" s="1"/>
      <c r="O53" s="1"/>
      <c r="P53" s="1"/>
      <c r="Q53" s="1"/>
      <c r="R53" s="1"/>
      <c r="S53" s="1"/>
      <c r="T53" s="1"/>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row r="56" spans="2:27">
      <c r="V56" s="9"/>
      <c r="W56" s="9"/>
      <c r="X56" s="9"/>
      <c r="Y56" s="9"/>
      <c r="Z56" s="9"/>
      <c r="AA56" s="9"/>
    </row>
  </sheetData>
  <sheetProtection sort="0" autoFilter="0" pivotTables="0"/>
  <mergeCells count="22">
    <mergeCell ref="B3:T3"/>
    <mergeCell ref="B4:T4"/>
    <mergeCell ref="B5:T5"/>
    <mergeCell ref="R7:T7"/>
    <mergeCell ref="B9:L9"/>
    <mergeCell ref="N9:T9"/>
    <mergeCell ref="Y32:Z32"/>
    <mergeCell ref="Y33:Z33"/>
    <mergeCell ref="V32:W32"/>
    <mergeCell ref="V33:W33"/>
    <mergeCell ref="B11:L11"/>
    <mergeCell ref="C12:L12"/>
    <mergeCell ref="C13:L13"/>
    <mergeCell ref="B32:T32"/>
    <mergeCell ref="D21:L22"/>
    <mergeCell ref="C23:L25"/>
    <mergeCell ref="C26:L28"/>
    <mergeCell ref="C14:L14"/>
    <mergeCell ref="C15:L15"/>
    <mergeCell ref="C18:L18"/>
    <mergeCell ref="C19:L19"/>
    <mergeCell ref="C20:L20"/>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B49073"/>
  </sheetPr>
  <dimension ref="A1:X59"/>
  <sheetViews>
    <sheetView showGridLines="0" showRowColHeaders="0" zoomScale="70" zoomScaleNormal="70" workbookViewId="0"/>
  </sheetViews>
  <sheetFormatPr defaultRowHeight="14.25"/>
  <cols>
    <col min="1" max="1" width="5.796875" customWidth="1"/>
    <col min="2" max="17" width="12.796875" customWidth="1"/>
    <col min="18" max="18" width="5.796875" customWidth="1"/>
    <col min="19" max="20" width="12.796875" customWidth="1"/>
    <col min="21" max="21" width="2.796875" customWidth="1"/>
    <col min="22" max="23" width="12.796875" customWidth="1"/>
  </cols>
  <sheetData>
    <row r="1" spans="1:24" ht="15.75">
      <c r="A1" s="16" t="s">
        <v>58</v>
      </c>
    </row>
    <row r="2" spans="1:24" ht="15.75">
      <c r="A2" s="26" t="s">
        <v>35</v>
      </c>
      <c r="C2" s="27">
        <v>42977</v>
      </c>
      <c r="G2" s="27"/>
      <c r="N2" s="342" t="s">
        <v>44</v>
      </c>
      <c r="O2" s="342"/>
      <c r="P2" s="342"/>
      <c r="Q2" s="342"/>
    </row>
    <row r="3" spans="1:24" ht="23.65" thickBot="1">
      <c r="A3" s="343" t="s">
        <v>7</v>
      </c>
      <c r="B3" s="343"/>
      <c r="C3" s="343"/>
      <c r="D3" s="343"/>
      <c r="E3" s="343"/>
      <c r="F3" s="343"/>
      <c r="G3" s="343"/>
      <c r="H3" s="343"/>
      <c r="I3" s="343"/>
      <c r="J3" s="343"/>
      <c r="K3" s="343"/>
      <c r="L3" s="343"/>
      <c r="M3" s="343"/>
      <c r="N3" s="343"/>
      <c r="O3" s="343"/>
      <c r="P3" s="343"/>
      <c r="Q3" s="343"/>
      <c r="S3" s="321" t="s">
        <v>46</v>
      </c>
      <c r="T3" s="321"/>
      <c r="U3" s="11"/>
      <c r="V3" s="318" t="s">
        <v>46</v>
      </c>
      <c r="W3" s="318"/>
    </row>
    <row r="4" spans="1:24">
      <c r="A4" s="119"/>
      <c r="B4" s="119"/>
      <c r="C4" s="119"/>
      <c r="D4" s="119"/>
      <c r="E4" s="119"/>
      <c r="F4" s="119"/>
      <c r="G4" s="119"/>
      <c r="H4" s="119"/>
      <c r="I4" s="119"/>
      <c r="J4" s="119"/>
      <c r="K4" s="119"/>
      <c r="L4" s="119"/>
      <c r="M4" s="119"/>
      <c r="N4" s="119"/>
      <c r="O4" s="119"/>
      <c r="P4" s="119"/>
      <c r="Q4" s="119"/>
      <c r="S4" s="319" t="s">
        <v>65</v>
      </c>
      <c r="T4" s="320"/>
      <c r="U4" s="11"/>
      <c r="V4" s="319" t="s">
        <v>66</v>
      </c>
      <c r="W4" s="320"/>
    </row>
    <row r="5" spans="1:24">
      <c r="A5" s="119"/>
      <c r="B5" s="337" t="s">
        <v>374</v>
      </c>
      <c r="C5" s="337"/>
      <c r="D5" s="337"/>
      <c r="E5" s="337"/>
      <c r="F5" s="337"/>
      <c r="G5" s="337"/>
      <c r="H5" s="337"/>
      <c r="I5" s="337"/>
      <c r="J5" s="337"/>
      <c r="K5" s="337"/>
      <c r="L5" s="119"/>
      <c r="M5" s="119"/>
      <c r="N5" s="119"/>
      <c r="O5" s="119"/>
      <c r="P5" s="119"/>
      <c r="Q5" s="119"/>
      <c r="S5" s="56" t="s">
        <v>61</v>
      </c>
      <c r="T5" s="56" t="s">
        <v>62</v>
      </c>
      <c r="U5" s="11"/>
      <c r="V5" s="56" t="s">
        <v>61</v>
      </c>
      <c r="W5" s="56" t="s">
        <v>62</v>
      </c>
    </row>
    <row r="6" spans="1:24">
      <c r="A6" s="119"/>
      <c r="B6" s="337" t="s">
        <v>330</v>
      </c>
      <c r="C6" s="337"/>
      <c r="D6" s="337"/>
      <c r="E6" s="337"/>
      <c r="F6" s="337"/>
      <c r="G6" s="337"/>
      <c r="H6" s="337"/>
      <c r="I6" s="337"/>
      <c r="J6" s="337"/>
      <c r="K6" s="337"/>
      <c r="L6" s="119"/>
      <c r="M6" s="119"/>
      <c r="N6" s="119"/>
      <c r="O6" s="119"/>
      <c r="P6" s="119"/>
      <c r="Q6" s="119"/>
      <c r="S6" s="244" t="s">
        <v>392</v>
      </c>
      <c r="T6" s="244" t="s">
        <v>448</v>
      </c>
      <c r="U6" s="11"/>
      <c r="V6" s="244" t="s">
        <v>392</v>
      </c>
      <c r="W6" s="244" t="s">
        <v>448</v>
      </c>
    </row>
    <row r="7" spans="1:24">
      <c r="A7" s="119"/>
      <c r="B7" s="333" t="s">
        <v>625</v>
      </c>
      <c r="C7" s="333"/>
      <c r="D7" s="333"/>
      <c r="E7" s="333"/>
      <c r="F7" s="333"/>
      <c r="G7" s="333"/>
      <c r="H7" s="333"/>
      <c r="I7" s="333"/>
      <c r="J7" s="333"/>
      <c r="K7" s="333"/>
      <c r="L7" s="119"/>
      <c r="M7" s="119"/>
      <c r="N7" s="119"/>
      <c r="O7" s="119"/>
      <c r="P7" s="119"/>
      <c r="Q7" s="119"/>
      <c r="S7" s="244" t="s">
        <v>393</v>
      </c>
      <c r="T7" s="244" t="s">
        <v>449</v>
      </c>
      <c r="U7" s="11"/>
      <c r="V7" s="244" t="s">
        <v>393</v>
      </c>
      <c r="W7" s="244" t="s">
        <v>449</v>
      </c>
    </row>
    <row r="8" spans="1:24">
      <c r="A8" s="119"/>
      <c r="B8" s="333" t="s">
        <v>626</v>
      </c>
      <c r="C8" s="333"/>
      <c r="D8" s="333"/>
      <c r="E8" s="333"/>
      <c r="F8" s="333"/>
      <c r="G8" s="333"/>
      <c r="H8" s="333"/>
      <c r="I8" s="333"/>
      <c r="J8" s="333"/>
      <c r="K8" s="333"/>
      <c r="L8" s="119"/>
      <c r="M8" s="119"/>
      <c r="N8" s="119"/>
      <c r="O8" s="119"/>
      <c r="P8" s="119"/>
      <c r="Q8" s="119"/>
      <c r="S8" s="244" t="s">
        <v>394</v>
      </c>
      <c r="T8" s="244" t="s">
        <v>450</v>
      </c>
      <c r="U8" s="11"/>
      <c r="V8" s="244" t="s">
        <v>394</v>
      </c>
      <c r="W8" s="244" t="s">
        <v>450</v>
      </c>
    </row>
    <row r="9" spans="1:24">
      <c r="A9" s="119"/>
      <c r="B9" s="119"/>
      <c r="C9" s="119"/>
      <c r="D9" s="119"/>
      <c r="E9" s="119"/>
      <c r="F9" s="119"/>
      <c r="G9" s="119"/>
      <c r="H9" s="119"/>
      <c r="I9" s="119"/>
      <c r="J9" s="119"/>
      <c r="K9" s="119"/>
      <c r="L9" s="119"/>
      <c r="M9" s="119"/>
      <c r="N9" s="119"/>
      <c r="O9" s="119"/>
      <c r="P9" s="119"/>
      <c r="Q9" s="119"/>
      <c r="S9" s="244" t="s">
        <v>434</v>
      </c>
      <c r="T9" s="244" t="s">
        <v>451</v>
      </c>
      <c r="U9" s="11"/>
      <c r="V9" s="244" t="s">
        <v>434</v>
      </c>
      <c r="W9" s="244" t="s">
        <v>451</v>
      </c>
    </row>
    <row r="10" spans="1:24" ht="15.75">
      <c r="A10" s="26"/>
      <c r="C10" s="27"/>
      <c r="G10" s="27"/>
      <c r="N10" s="120"/>
      <c r="O10" s="120"/>
      <c r="P10" s="120"/>
      <c r="Q10" s="120"/>
      <c r="S10" s="244" t="s">
        <v>435</v>
      </c>
      <c r="T10" s="244" t="s">
        <v>452</v>
      </c>
      <c r="V10" s="244" t="s">
        <v>435</v>
      </c>
      <c r="W10" s="244" t="s">
        <v>452</v>
      </c>
    </row>
    <row r="11" spans="1:24">
      <c r="A11" s="130" t="s">
        <v>2</v>
      </c>
      <c r="B11" s="130" t="s">
        <v>3</v>
      </c>
      <c r="C11" s="130" t="s">
        <v>47</v>
      </c>
      <c r="D11" s="130" t="s">
        <v>48</v>
      </c>
      <c r="E11" s="130" t="s">
        <v>49</v>
      </c>
      <c r="F11" s="130" t="s">
        <v>50</v>
      </c>
      <c r="G11" s="130" t="s">
        <v>57</v>
      </c>
      <c r="S11" s="244" t="s">
        <v>436</v>
      </c>
      <c r="T11" s="244" t="s">
        <v>453</v>
      </c>
      <c r="V11" s="244" t="s">
        <v>436</v>
      </c>
      <c r="W11" s="244" t="s">
        <v>453</v>
      </c>
    </row>
    <row r="12" spans="1:24">
      <c r="A12" s="15">
        <v>2010</v>
      </c>
      <c r="B12" s="15" t="s">
        <v>5</v>
      </c>
      <c r="C12" s="15" t="s">
        <v>22</v>
      </c>
      <c r="D12" s="15" t="s">
        <v>22</v>
      </c>
      <c r="E12" s="15" t="s">
        <v>22</v>
      </c>
      <c r="F12" s="15">
        <v>9.16</v>
      </c>
      <c r="G12" s="15">
        <v>2.65</v>
      </c>
      <c r="S12" s="244" t="s">
        <v>437</v>
      </c>
      <c r="T12" s="245" t="s">
        <v>454</v>
      </c>
      <c r="V12" s="244" t="s">
        <v>437</v>
      </c>
      <c r="W12" s="245" t="s">
        <v>454</v>
      </c>
    </row>
    <row r="13" spans="1:24">
      <c r="A13" s="8">
        <v>2010</v>
      </c>
      <c r="B13" s="8" t="s">
        <v>6</v>
      </c>
      <c r="C13" s="8" t="s">
        <v>22</v>
      </c>
      <c r="D13" s="8" t="s">
        <v>22</v>
      </c>
      <c r="E13" s="8" t="s">
        <v>22</v>
      </c>
      <c r="F13" s="8">
        <v>3.88</v>
      </c>
      <c r="G13" s="8">
        <v>1.1200000000000001</v>
      </c>
      <c r="S13" s="244" t="s">
        <v>438</v>
      </c>
      <c r="T13" s="244" t="s">
        <v>455</v>
      </c>
      <c r="V13" s="244" t="s">
        <v>438</v>
      </c>
      <c r="W13" s="244" t="s">
        <v>455</v>
      </c>
    </row>
    <row r="14" spans="1:24">
      <c r="A14" s="14">
        <v>2010</v>
      </c>
      <c r="B14" s="14" t="s">
        <v>42</v>
      </c>
      <c r="C14" s="14" t="s">
        <v>22</v>
      </c>
      <c r="D14" s="14" t="s">
        <v>22</v>
      </c>
      <c r="E14" s="14" t="s">
        <v>22</v>
      </c>
      <c r="F14" s="14">
        <v>6.59</v>
      </c>
      <c r="G14" s="14">
        <v>1.91</v>
      </c>
      <c r="S14" s="245" t="s">
        <v>439</v>
      </c>
      <c r="T14" s="244" t="s">
        <v>456</v>
      </c>
      <c r="V14" s="244" t="s">
        <v>439</v>
      </c>
      <c r="W14" s="244" t="s">
        <v>456</v>
      </c>
    </row>
    <row r="15" spans="1:24">
      <c r="A15" s="15">
        <v>2011</v>
      </c>
      <c r="B15" s="15" t="s">
        <v>5</v>
      </c>
      <c r="C15" s="15" t="s">
        <v>22</v>
      </c>
      <c r="D15" s="15" t="s">
        <v>22</v>
      </c>
      <c r="E15" s="15" t="s">
        <v>22</v>
      </c>
      <c r="F15" s="15">
        <v>5.73</v>
      </c>
      <c r="G15" s="15">
        <v>1.6</v>
      </c>
      <c r="S15" s="244" t="s">
        <v>440</v>
      </c>
      <c r="T15" s="244" t="s">
        <v>457</v>
      </c>
      <c r="V15" s="244" t="s">
        <v>440</v>
      </c>
      <c r="W15" s="244" t="s">
        <v>457</v>
      </c>
    </row>
    <row r="16" spans="1:24">
      <c r="A16" s="8">
        <v>2011</v>
      </c>
      <c r="B16" s="8" t="s">
        <v>6</v>
      </c>
      <c r="C16" s="8" t="s">
        <v>22</v>
      </c>
      <c r="D16" s="8" t="s">
        <v>22</v>
      </c>
      <c r="E16" s="8" t="s">
        <v>22</v>
      </c>
      <c r="F16" s="8">
        <v>8.07</v>
      </c>
      <c r="G16" s="8">
        <v>2.2599999999999998</v>
      </c>
      <c r="S16" s="244" t="s">
        <v>441</v>
      </c>
      <c r="T16" s="244" t="s">
        <v>458</v>
      </c>
      <c r="V16" s="244" t="s">
        <v>441</v>
      </c>
      <c r="W16" s="244" t="s">
        <v>458</v>
      </c>
      <c r="X16" s="9"/>
    </row>
    <row r="17" spans="1:24">
      <c r="A17" s="14">
        <v>2011</v>
      </c>
      <c r="B17" s="14" t="s">
        <v>42</v>
      </c>
      <c r="C17" s="14" t="s">
        <v>22</v>
      </c>
      <c r="D17" s="14" t="s">
        <v>22</v>
      </c>
      <c r="E17" s="14" t="s">
        <v>22</v>
      </c>
      <c r="F17" s="14">
        <v>6.87</v>
      </c>
      <c r="G17" s="14">
        <v>1.92</v>
      </c>
      <c r="S17" s="244" t="s">
        <v>442</v>
      </c>
      <c r="T17" s="244" t="s">
        <v>459</v>
      </c>
      <c r="V17" s="244" t="s">
        <v>442</v>
      </c>
      <c r="W17" s="244" t="s">
        <v>459</v>
      </c>
      <c r="X17" s="9"/>
    </row>
    <row r="18" spans="1:24">
      <c r="A18" s="15">
        <v>2012</v>
      </c>
      <c r="B18" s="15" t="s">
        <v>5</v>
      </c>
      <c r="C18" s="15" t="s">
        <v>22</v>
      </c>
      <c r="D18" s="15" t="s">
        <v>22</v>
      </c>
      <c r="E18" s="15">
        <v>2.37</v>
      </c>
      <c r="F18" s="15">
        <v>4.01</v>
      </c>
      <c r="G18" s="15">
        <v>1.6</v>
      </c>
      <c r="S18" s="244" t="s">
        <v>443</v>
      </c>
      <c r="T18" s="244" t="s">
        <v>460</v>
      </c>
      <c r="V18" s="244" t="s">
        <v>443</v>
      </c>
      <c r="W18" s="244" t="s">
        <v>460</v>
      </c>
      <c r="X18" s="9"/>
    </row>
    <row r="19" spans="1:24">
      <c r="A19" s="8">
        <v>2012</v>
      </c>
      <c r="B19" s="8" t="s">
        <v>6</v>
      </c>
      <c r="C19" s="8" t="s">
        <v>22</v>
      </c>
      <c r="D19" s="8" t="s">
        <v>22</v>
      </c>
      <c r="E19" s="8" t="s">
        <v>22</v>
      </c>
      <c r="F19" s="8">
        <v>6.35</v>
      </c>
      <c r="G19" s="8">
        <v>1.7</v>
      </c>
      <c r="S19" s="244" t="s">
        <v>444</v>
      </c>
      <c r="T19" s="245" t="s">
        <v>461</v>
      </c>
      <c r="V19" s="244" t="s">
        <v>444</v>
      </c>
      <c r="W19" s="245" t="s">
        <v>461</v>
      </c>
      <c r="X19" s="9"/>
    </row>
    <row r="20" spans="1:24">
      <c r="A20" s="14">
        <v>2012</v>
      </c>
      <c r="B20" s="14" t="s">
        <v>42</v>
      </c>
      <c r="C20" s="14" t="s">
        <v>22</v>
      </c>
      <c r="D20" s="14" t="s">
        <v>22</v>
      </c>
      <c r="E20" s="14">
        <v>1.22</v>
      </c>
      <c r="F20" s="14">
        <v>5.15</v>
      </c>
      <c r="G20" s="14">
        <v>1.65</v>
      </c>
      <c r="S20" s="244" t="s">
        <v>445</v>
      </c>
      <c r="T20" s="244" t="s">
        <v>462</v>
      </c>
      <c r="U20" s="9"/>
      <c r="V20" s="244" t="s">
        <v>445</v>
      </c>
      <c r="W20" s="244" t="s">
        <v>462</v>
      </c>
      <c r="X20" s="9"/>
    </row>
    <row r="21" spans="1:24">
      <c r="A21" s="15">
        <v>2013</v>
      </c>
      <c r="B21" s="15" t="s">
        <v>5</v>
      </c>
      <c r="C21" s="15" t="s">
        <v>22</v>
      </c>
      <c r="D21" s="15" t="s">
        <v>22</v>
      </c>
      <c r="E21" s="15" t="s">
        <v>22</v>
      </c>
      <c r="F21" s="15">
        <v>8.39</v>
      </c>
      <c r="G21" s="15">
        <v>2.13</v>
      </c>
      <c r="S21" s="246" t="s">
        <v>446</v>
      </c>
      <c r="T21" s="244" t="s">
        <v>463</v>
      </c>
      <c r="U21" s="9"/>
      <c r="V21" s="246" t="s">
        <v>446</v>
      </c>
      <c r="W21" s="244" t="s">
        <v>463</v>
      </c>
      <c r="X21" s="9"/>
    </row>
    <row r="22" spans="1:24">
      <c r="A22" s="8">
        <v>2013</v>
      </c>
      <c r="B22" s="8" t="s">
        <v>6</v>
      </c>
      <c r="C22" s="8" t="s">
        <v>22</v>
      </c>
      <c r="D22" s="8" t="s">
        <v>22</v>
      </c>
      <c r="E22" s="8" t="s">
        <v>22</v>
      </c>
      <c r="F22" s="8">
        <v>4.42</v>
      </c>
      <c r="G22" s="8">
        <v>1.1299999999999999</v>
      </c>
      <c r="S22" s="247" t="s">
        <v>447</v>
      </c>
      <c r="T22" s="244" t="s">
        <v>464</v>
      </c>
      <c r="U22" s="9"/>
      <c r="V22" s="247" t="s">
        <v>447</v>
      </c>
      <c r="W22" s="244" t="s">
        <v>464</v>
      </c>
      <c r="X22" s="9"/>
    </row>
    <row r="23" spans="1:24">
      <c r="A23" s="14">
        <v>2013</v>
      </c>
      <c r="B23" s="14" t="s">
        <v>42</v>
      </c>
      <c r="C23" s="14" t="s">
        <v>22</v>
      </c>
      <c r="D23" s="14" t="s">
        <v>22</v>
      </c>
      <c r="E23" s="14" t="s">
        <v>22</v>
      </c>
      <c r="F23" s="14">
        <v>6.45</v>
      </c>
      <c r="G23" s="14">
        <v>1.65</v>
      </c>
      <c r="S23" s="295"/>
      <c r="T23" s="244" t="s">
        <v>465</v>
      </c>
      <c r="U23" s="9"/>
      <c r="V23" s="284"/>
      <c r="W23" s="244" t="s">
        <v>465</v>
      </c>
      <c r="X23" s="9"/>
    </row>
    <row r="24" spans="1:24">
      <c r="A24" s="15">
        <v>2014</v>
      </c>
      <c r="B24" s="15" t="s">
        <v>5</v>
      </c>
      <c r="C24" s="15" t="s">
        <v>22</v>
      </c>
      <c r="D24" s="15" t="s">
        <v>22</v>
      </c>
      <c r="E24" s="15" t="s">
        <v>22</v>
      </c>
      <c r="F24" s="15">
        <v>10.79</v>
      </c>
      <c r="G24" s="15">
        <v>2.64</v>
      </c>
      <c r="S24" s="204"/>
      <c r="T24" s="248" t="s">
        <v>466</v>
      </c>
      <c r="U24" s="9"/>
      <c r="V24" s="257"/>
      <c r="W24" s="258" t="s">
        <v>466</v>
      </c>
      <c r="X24" s="9"/>
    </row>
    <row r="25" spans="1:24">
      <c r="A25" s="8">
        <v>2014</v>
      </c>
      <c r="B25" s="8" t="s">
        <v>6</v>
      </c>
      <c r="C25" s="8" t="s">
        <v>22</v>
      </c>
      <c r="D25" s="8" t="s">
        <v>22</v>
      </c>
      <c r="E25" s="8">
        <v>2.4</v>
      </c>
      <c r="F25" s="8">
        <v>6.88</v>
      </c>
      <c r="G25" s="8">
        <v>2.2400000000000002</v>
      </c>
      <c r="S25" s="256"/>
      <c r="T25" s="254"/>
      <c r="U25" s="9"/>
      <c r="V25" s="256"/>
      <c r="W25" s="254"/>
      <c r="X25" s="9"/>
    </row>
    <row r="26" spans="1:24">
      <c r="A26" s="14">
        <v>2014</v>
      </c>
      <c r="B26" s="14" t="s">
        <v>42</v>
      </c>
      <c r="C26" s="14" t="s">
        <v>22</v>
      </c>
      <c r="D26" s="14" t="s">
        <v>22</v>
      </c>
      <c r="E26" s="14">
        <v>1.17</v>
      </c>
      <c r="F26" s="14">
        <v>8.9</v>
      </c>
      <c r="G26" s="14">
        <v>2.4500000000000002</v>
      </c>
      <c r="S26" s="242"/>
      <c r="T26" s="254"/>
      <c r="U26" s="9"/>
      <c r="V26" s="242"/>
      <c r="W26" s="254"/>
      <c r="X26" s="9"/>
    </row>
    <row r="27" spans="1:24">
      <c r="A27">
        <v>2015</v>
      </c>
      <c r="B27" t="s">
        <v>5</v>
      </c>
      <c r="C27" t="s">
        <v>22</v>
      </c>
      <c r="D27" t="s">
        <v>22</v>
      </c>
      <c r="E27" t="s">
        <v>22</v>
      </c>
      <c r="F27">
        <v>8.77</v>
      </c>
      <c r="G27">
        <v>2.09</v>
      </c>
      <c r="S27" s="9"/>
      <c r="T27" s="9"/>
      <c r="U27" s="9"/>
      <c r="V27" s="9"/>
      <c r="W27" s="9"/>
      <c r="X27" s="9"/>
    </row>
    <row r="28" spans="1:24">
      <c r="A28">
        <v>2015</v>
      </c>
      <c r="B28" t="s">
        <v>6</v>
      </c>
      <c r="C28" t="s">
        <v>22</v>
      </c>
      <c r="D28" t="s">
        <v>22</v>
      </c>
      <c r="E28" t="s">
        <v>22</v>
      </c>
      <c r="F28" t="s">
        <v>22</v>
      </c>
      <c r="G28" t="s">
        <v>22</v>
      </c>
      <c r="S28" s="9"/>
      <c r="T28" s="9"/>
      <c r="U28" s="9"/>
      <c r="V28" s="9"/>
      <c r="W28" s="9"/>
      <c r="X28" s="9"/>
    </row>
    <row r="29" spans="1:24">
      <c r="A29">
        <v>2015</v>
      </c>
      <c r="B29" t="s">
        <v>42</v>
      </c>
      <c r="C29" t="s">
        <v>22</v>
      </c>
      <c r="D29" t="s">
        <v>22</v>
      </c>
      <c r="E29" t="s">
        <v>22</v>
      </c>
      <c r="F29">
        <v>4.54</v>
      </c>
      <c r="G29">
        <v>1.08</v>
      </c>
    </row>
    <row r="30" spans="1:24">
      <c r="A30" s="12">
        <v>2016</v>
      </c>
      <c r="B30" s="15" t="s">
        <v>5</v>
      </c>
      <c r="C30" s="12"/>
      <c r="D30" s="23"/>
      <c r="E30" s="23"/>
      <c r="F30" s="23"/>
      <c r="G30" s="23"/>
    </row>
    <row r="31" spans="1:24">
      <c r="A31" s="9">
        <v>2016</v>
      </c>
      <c r="B31" s="8" t="s">
        <v>6</v>
      </c>
      <c r="C31" s="9"/>
      <c r="D31" s="25"/>
      <c r="E31" s="25"/>
      <c r="F31" s="25"/>
      <c r="G31" s="25"/>
    </row>
    <row r="32" spans="1:24">
      <c r="A32" s="13">
        <v>2016</v>
      </c>
      <c r="B32" s="14" t="s">
        <v>42</v>
      </c>
      <c r="C32" s="13"/>
      <c r="D32" s="38"/>
      <c r="E32" s="38"/>
      <c r="F32" s="38"/>
      <c r="G32" s="38"/>
    </row>
    <row r="33" spans="1:11">
      <c r="A33" s="12">
        <v>2017</v>
      </c>
      <c r="B33" s="15" t="s">
        <v>5</v>
      </c>
      <c r="C33" s="12"/>
      <c r="D33" s="23"/>
      <c r="E33" s="23"/>
      <c r="F33" s="23"/>
      <c r="G33" s="23"/>
    </row>
    <row r="34" spans="1:11">
      <c r="A34" s="37">
        <v>2017</v>
      </c>
      <c r="B34" s="8" t="s">
        <v>6</v>
      </c>
      <c r="C34" s="9"/>
      <c r="D34" s="36"/>
      <c r="E34" s="36"/>
      <c r="F34" s="36"/>
      <c r="G34" s="36"/>
    </row>
    <row r="35" spans="1:11">
      <c r="A35" s="39">
        <v>2017</v>
      </c>
      <c r="B35" s="14" t="s">
        <v>42</v>
      </c>
      <c r="C35" s="13"/>
      <c r="D35" s="24"/>
      <c r="E35" s="24"/>
      <c r="F35" s="24"/>
      <c r="G35" s="24"/>
    </row>
    <row r="36" spans="1:11">
      <c r="A36" s="40">
        <v>2018</v>
      </c>
      <c r="B36" s="15" t="s">
        <v>5</v>
      </c>
      <c r="C36" s="12"/>
      <c r="D36" s="23"/>
      <c r="E36" s="23"/>
      <c r="F36" s="23"/>
      <c r="G36" s="23"/>
    </row>
    <row r="37" spans="1:11">
      <c r="A37" s="37">
        <v>2018</v>
      </c>
      <c r="B37" s="8" t="s">
        <v>6</v>
      </c>
      <c r="C37" s="9"/>
      <c r="D37" s="36"/>
      <c r="E37" s="36"/>
      <c r="F37" s="36"/>
      <c r="G37" s="36"/>
    </row>
    <row r="38" spans="1:11">
      <c r="A38" s="39">
        <v>2018</v>
      </c>
      <c r="B38" s="14" t="s">
        <v>42</v>
      </c>
      <c r="C38" s="13"/>
      <c r="D38" s="38"/>
      <c r="E38" s="38"/>
      <c r="F38" s="38"/>
      <c r="G38" s="38"/>
    </row>
    <row r="39" spans="1:11">
      <c r="A39" s="40">
        <v>2019</v>
      </c>
      <c r="B39" s="15" t="s">
        <v>5</v>
      </c>
      <c r="C39" s="12"/>
      <c r="D39" s="41"/>
      <c r="E39" s="41"/>
      <c r="F39" s="41"/>
      <c r="G39" s="41"/>
    </row>
    <row r="40" spans="1:11">
      <c r="A40" s="37">
        <v>2019</v>
      </c>
      <c r="B40" s="8" t="s">
        <v>6</v>
      </c>
      <c r="C40" s="9"/>
      <c r="D40" s="36"/>
      <c r="E40" s="36"/>
      <c r="F40" s="36"/>
      <c r="G40" s="36"/>
      <c r="H40" s="11"/>
      <c r="I40" s="11"/>
      <c r="J40" s="11"/>
      <c r="K40" s="11"/>
    </row>
    <row r="41" spans="1:11">
      <c r="A41" s="39">
        <v>2019</v>
      </c>
      <c r="B41" s="14" t="s">
        <v>42</v>
      </c>
      <c r="C41" s="13"/>
      <c r="D41" s="38"/>
      <c r="E41" s="38"/>
      <c r="F41" s="38"/>
      <c r="G41" s="38"/>
      <c r="H41" s="11"/>
      <c r="I41" s="11"/>
      <c r="J41" s="11"/>
      <c r="K41" s="11"/>
    </row>
    <row r="42" spans="1:11">
      <c r="A42" s="40">
        <v>2020</v>
      </c>
      <c r="B42" s="15" t="s">
        <v>5</v>
      </c>
      <c r="C42" s="12"/>
      <c r="D42" s="23"/>
      <c r="E42" s="23"/>
      <c r="F42" s="23"/>
      <c r="G42" s="23"/>
      <c r="H42" s="11"/>
      <c r="I42" s="11"/>
      <c r="J42" s="11"/>
      <c r="K42" s="11"/>
    </row>
    <row r="43" spans="1:11">
      <c r="A43" s="37">
        <v>2020</v>
      </c>
      <c r="B43" s="8" t="s">
        <v>6</v>
      </c>
      <c r="C43" s="9"/>
      <c r="D43" s="25"/>
      <c r="E43" s="25"/>
      <c r="F43" s="25"/>
      <c r="G43" s="25"/>
      <c r="H43" s="11"/>
      <c r="I43" s="11"/>
      <c r="J43" s="11"/>
      <c r="K43" s="11"/>
    </row>
    <row r="44" spans="1:11">
      <c r="A44" s="39">
        <v>2020</v>
      </c>
      <c r="B44" s="14" t="s">
        <v>42</v>
      </c>
      <c r="C44" s="13"/>
      <c r="D44" s="38"/>
      <c r="E44" s="38"/>
      <c r="F44" s="38"/>
      <c r="G44" s="38"/>
      <c r="H44" s="11"/>
      <c r="I44" s="11"/>
      <c r="J44" s="11"/>
      <c r="K44" s="11"/>
    </row>
    <row r="45" spans="1:11">
      <c r="A45" s="40">
        <v>2021</v>
      </c>
      <c r="B45" s="15" t="s">
        <v>5</v>
      </c>
      <c r="C45" s="12"/>
      <c r="D45" s="41"/>
      <c r="E45" s="41"/>
      <c r="F45" s="41"/>
      <c r="G45" s="41"/>
      <c r="H45" s="11"/>
      <c r="I45" s="11"/>
      <c r="J45" s="11"/>
      <c r="K45" s="11"/>
    </row>
    <row r="46" spans="1:11">
      <c r="A46" s="37">
        <v>2021</v>
      </c>
      <c r="B46" s="8" t="s">
        <v>6</v>
      </c>
      <c r="C46" s="9"/>
      <c r="D46" s="25"/>
      <c r="E46" s="25"/>
      <c r="F46" s="25"/>
      <c r="G46" s="25"/>
      <c r="H46" s="11"/>
      <c r="I46" s="11"/>
      <c r="J46" s="11"/>
      <c r="K46" s="11"/>
    </row>
    <row r="47" spans="1:11">
      <c r="A47" s="39">
        <v>2021</v>
      </c>
      <c r="B47" s="14" t="s">
        <v>42</v>
      </c>
      <c r="C47" s="13"/>
      <c r="D47" s="24"/>
      <c r="E47" s="24"/>
      <c r="F47" s="24"/>
      <c r="G47" s="24"/>
      <c r="H47" s="11"/>
      <c r="I47" s="11"/>
      <c r="J47" s="11"/>
      <c r="K47" s="11"/>
    </row>
    <row r="48" spans="1:11">
      <c r="A48" s="40">
        <v>2022</v>
      </c>
      <c r="B48" s="15" t="s">
        <v>5</v>
      </c>
      <c r="C48" s="12"/>
      <c r="D48" s="41"/>
      <c r="E48" s="41"/>
      <c r="F48" s="41"/>
      <c r="G48" s="41"/>
      <c r="H48" s="42"/>
      <c r="I48" s="11"/>
      <c r="J48" s="11"/>
      <c r="K48" s="11"/>
    </row>
    <row r="49" spans="1:11">
      <c r="A49" s="37">
        <v>2022</v>
      </c>
      <c r="B49" s="8" t="s">
        <v>6</v>
      </c>
      <c r="C49" s="9"/>
      <c r="D49" s="25"/>
      <c r="E49" s="25"/>
      <c r="F49" s="25"/>
      <c r="G49" s="25"/>
      <c r="H49" s="42"/>
      <c r="I49" s="11"/>
      <c r="J49" s="11"/>
      <c r="K49" s="11"/>
    </row>
    <row r="50" spans="1:11">
      <c r="A50" s="39">
        <v>2022</v>
      </c>
      <c r="B50" s="14" t="s">
        <v>42</v>
      </c>
      <c r="C50" s="13"/>
      <c r="D50" s="24"/>
      <c r="E50" s="24"/>
      <c r="F50" s="24"/>
      <c r="G50" s="24"/>
      <c r="H50" s="42"/>
      <c r="I50" s="11"/>
      <c r="J50" s="11"/>
      <c r="K50" s="11"/>
    </row>
    <row r="51" spans="1:11">
      <c r="A51" s="40">
        <v>2023</v>
      </c>
      <c r="B51" s="15" t="s">
        <v>5</v>
      </c>
      <c r="C51" s="12"/>
      <c r="D51" s="12"/>
      <c r="E51" s="12"/>
      <c r="F51" s="12"/>
      <c r="G51" s="12"/>
      <c r="H51" s="11"/>
      <c r="I51" s="11"/>
      <c r="J51" s="11"/>
      <c r="K51" s="11"/>
    </row>
    <row r="52" spans="1:11">
      <c r="A52" s="9">
        <v>2023</v>
      </c>
      <c r="B52" s="8" t="s">
        <v>6</v>
      </c>
      <c r="C52" s="9"/>
      <c r="D52" s="9"/>
      <c r="E52" s="9"/>
      <c r="F52" s="9"/>
      <c r="G52" s="9"/>
      <c r="H52" s="11"/>
      <c r="I52" s="11"/>
      <c r="J52" s="11"/>
      <c r="K52" s="11"/>
    </row>
    <row r="53" spans="1:11">
      <c r="A53" s="39">
        <v>2023</v>
      </c>
      <c r="B53" s="14" t="s">
        <v>42</v>
      </c>
      <c r="C53" s="13"/>
      <c r="D53" s="13"/>
      <c r="E53" s="13"/>
      <c r="F53" s="13"/>
      <c r="G53" s="14"/>
    </row>
    <row r="54" spans="1:11">
      <c r="A54" s="40">
        <v>2024</v>
      </c>
      <c r="B54" s="15" t="s">
        <v>5</v>
      </c>
      <c r="C54" s="12"/>
      <c r="D54" s="12"/>
      <c r="E54" s="12"/>
      <c r="F54" s="12"/>
      <c r="G54" s="15"/>
    </row>
    <row r="55" spans="1:11">
      <c r="A55" s="37">
        <v>2024</v>
      </c>
      <c r="B55" s="8" t="s">
        <v>6</v>
      </c>
      <c r="C55" s="9"/>
      <c r="D55" s="9"/>
      <c r="E55" s="9"/>
      <c r="F55" s="9"/>
      <c r="G55" s="8"/>
    </row>
    <row r="56" spans="1:11">
      <c r="A56" s="39">
        <v>2024</v>
      </c>
      <c r="B56" s="14" t="s">
        <v>42</v>
      </c>
      <c r="C56" s="13"/>
      <c r="D56" s="13"/>
      <c r="E56" s="13"/>
      <c r="F56" s="13"/>
      <c r="G56" s="14"/>
    </row>
    <row r="57" spans="1:11">
      <c r="A57" s="40">
        <v>2025</v>
      </c>
      <c r="B57" s="15" t="s">
        <v>5</v>
      </c>
      <c r="C57" s="12"/>
      <c r="D57" s="12"/>
      <c r="E57" s="12"/>
      <c r="F57" s="12"/>
      <c r="G57" s="15"/>
    </row>
    <row r="58" spans="1:11">
      <c r="A58" s="37">
        <v>2025</v>
      </c>
      <c r="B58" s="8" t="s">
        <v>6</v>
      </c>
      <c r="C58" s="9"/>
      <c r="D58" s="9"/>
      <c r="E58" s="9"/>
      <c r="F58" s="9"/>
      <c r="G58" s="8"/>
    </row>
    <row r="59" spans="1:11">
      <c r="A59" s="39">
        <v>2025</v>
      </c>
      <c r="B59" s="14" t="s">
        <v>42</v>
      </c>
      <c r="C59" s="13"/>
      <c r="D59" s="13"/>
      <c r="E59" s="13"/>
      <c r="F59" s="13"/>
      <c r="G59" s="14"/>
    </row>
  </sheetData>
  <mergeCells count="10">
    <mergeCell ref="B8:K8"/>
    <mergeCell ref="V3:W3"/>
    <mergeCell ref="V4:W4"/>
    <mergeCell ref="S3:T3"/>
    <mergeCell ref="S4:T4"/>
    <mergeCell ref="N2:Q2"/>
    <mergeCell ref="A3:Q3"/>
    <mergeCell ref="B5:K5"/>
    <mergeCell ref="B6:K6"/>
    <mergeCell ref="B7:K7"/>
  </mergeCells>
  <hyperlinks>
    <hyperlink ref="N2" location="'Information och Innehåll'!A1" display="Tillbaka till Information och Innehåll"/>
    <hyperlink ref="S6" location="V1.1.1!A1" display="V1.1.1"/>
    <hyperlink ref="S7" location="V1.1.2!A1" display="V1.1.2"/>
    <hyperlink ref="S8" location="V1.1.3!A1" display="V1.1.3"/>
    <hyperlink ref="S9" location="V2.1.1!A1" display="V2.1.1"/>
    <hyperlink ref="S10" location="V2.1.2!A1" display="V2.1.2"/>
    <hyperlink ref="S12" location="V3.1.2!A1" display="V3.1.2"/>
    <hyperlink ref="S11" location="V3.1.1!A1" display="V3.1.1"/>
    <hyperlink ref="S13" location="V3.1.3!A1" display="V3.1.3"/>
    <hyperlink ref="S15" location="V4.1.1!A1" display="V4.1.1"/>
    <hyperlink ref="S16" location="V4.2.1!A1" display="V4.2.1"/>
    <hyperlink ref="S17" location="V4.2.2!A1" display="V4.2.2"/>
    <hyperlink ref="S18" location="V4.2.3!A1" display="V4.2.3"/>
    <hyperlink ref="S19" location="V4.2.4!A1" display="V4.2.4"/>
    <hyperlink ref="S20" location="V5.1.1!A1" display="V5.1.1"/>
    <hyperlink ref="S21" location="V5.1.2!A1" display="V5.1.2"/>
    <hyperlink ref="T6" location="B1.1.1!A1" display="B1.1.1"/>
    <hyperlink ref="T7" location="B1.1.2!A1" display="B1.1.2"/>
    <hyperlink ref="T8" location="B1.2.1!A1" display="B1.2.1"/>
    <hyperlink ref="T9" location="B1.2.2!A1" display="B1.2.2"/>
    <hyperlink ref="T10" location="B1.2.3!A1" display="B1.2.3"/>
    <hyperlink ref="T11" location="B2.1.1!A1" display="B2.1.1"/>
    <hyperlink ref="T13" location="B2.2.1!A1" display="B2.2.1"/>
    <hyperlink ref="T14" location="B2.2.2!A1" display="B2.2.2"/>
    <hyperlink ref="T15" location="B2.2.3!A1" display="B2.2.3"/>
    <hyperlink ref="T16" location="B2.2.4!A1" display="B2.2.4"/>
    <hyperlink ref="T17" location="B3.1.1!A1" display="B3.1.1"/>
    <hyperlink ref="T18" location="B3.1.2!A1" display="B3.1.2"/>
    <hyperlink ref="T21" location="B4.1.1!A1" display="B4.1.1"/>
    <hyperlink ref="T22" location="B5.1.1!A1" display="B5.1.1"/>
    <hyperlink ref="T23" location="B5.1.2!A1" display="B5.1.2"/>
    <hyperlink ref="T24" location="B5.1.3!A1" display="B5.1.3"/>
    <hyperlink ref="T19" location="B3.1.3!A1" display="B3.1.3"/>
    <hyperlink ref="T12" location="B2.1.2!A1" display="B2.1.2"/>
    <hyperlink ref="S22" location="V5.1.3!A1" display="V5.1.3"/>
    <hyperlink ref="T20" location="B3.2.1!A1" display="B3.2.1"/>
    <hyperlink ref="S14" location="B3.2.1!A1" display="V3.2.1"/>
    <hyperlink ref="V6" location="'V1.1.1 DATA'!A1" display="V1.1.1"/>
    <hyperlink ref="V7" location="'V1.1.2 DATA'!A1" display="V1.1.2"/>
    <hyperlink ref="V8" location="'V1.1.3 Data'!A1" display="V1.1.3"/>
    <hyperlink ref="V9" location="'V2.1.1 DATA'!A1" display="V2.1.1"/>
    <hyperlink ref="V10" location="'V2.1.2 DATA'!A1" display="V2.1.2"/>
    <hyperlink ref="V12" location="'V3.1.2 DATA'!A1" display="V3.1.2"/>
    <hyperlink ref="V11" location="'V3.1.1 DATA'!A1" display="V3.1.1"/>
    <hyperlink ref="V13" location="'V3.1.3 DATA'!A1" display="V3.1.3"/>
    <hyperlink ref="V14" location="'V3.2.1 DATA'!A1" display="V3.2.1"/>
    <hyperlink ref="V15" location="'V4.1.1 DATA'!A1" display="V4.1.1"/>
    <hyperlink ref="V16" location="'V4.2.1 DATA'!A1" display="V4.2.1"/>
    <hyperlink ref="V18" location="'V4.2.3 DATA'!A1" display="V4.2.3"/>
    <hyperlink ref="V19" location="'V4.2.4 DATA'!A1" display="V4.2.4"/>
    <hyperlink ref="V20" location="'V5.1.1 DATA'!A1" display="V5.1.1"/>
    <hyperlink ref="V21" location="'V5.1.2 DATA'!A1" display="V5.1.2"/>
    <hyperlink ref="W6" location="'B1.1.1 DATA'!A1" display="B1.1.1"/>
    <hyperlink ref="W7" location="'B1.1.2 DATA'!A1" display="B1.1.2"/>
    <hyperlink ref="W8" location="'B1.2.1 DATA'!A1" display="B1.2.1"/>
    <hyperlink ref="W9" location="'B1.2.2 DATA'!A1" display="B1.2.2"/>
    <hyperlink ref="W10" location="'B1.2.3 DATA'!A1" display="B1.2.3"/>
    <hyperlink ref="W11" location="'B2.1.1 DATA'!A1" display="B2.1.1"/>
    <hyperlink ref="W13" location="'B2.2.1 DATA'!A1" display="B2.2.1"/>
    <hyperlink ref="W14" location="'B2.2.2 DATA'!A1" display="B2.2.2"/>
    <hyperlink ref="W15" location="'B2.2.3 DATA'!A1" display="B2.2.3"/>
    <hyperlink ref="W16" location="'B2.2.4 DATA'!A1" display="B2.2.4"/>
    <hyperlink ref="W17" location="'B3.1.1 DATA'!A1" display="B3.1.1"/>
    <hyperlink ref="W18" location="'B3.1.2 DATA'!A1" display="B3.1.2"/>
    <hyperlink ref="W20" location="'B3.2.1 DATA'!A1" display="B3.2.1"/>
    <hyperlink ref="W21" location="'B4.1.1 DATA'!A1" display="B4.1.1"/>
    <hyperlink ref="W22" location="'B5.1.1 DATA'!A1" display="B5.1.1"/>
    <hyperlink ref="W23" location="'B5.1.2 DATA'!A1" display="B5.1.2"/>
    <hyperlink ref="W24" location="'B5.1.3 DATA'!A1" display="B5.1.3"/>
    <hyperlink ref="W12" location="'B2.1.2 DATA'!A1" display="B2.1.2"/>
    <hyperlink ref="V22" location="'V5.1.3 DATA'!A1" display="V5.1.3"/>
    <hyperlink ref="W19" location="'B3.1.3 DATA'!A1" display="B3.1.3"/>
    <hyperlink ref="V17" location="'V4.2.2 DATA'!A1" display="V4.2.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B49073"/>
  </sheetPr>
  <dimension ref="A1:C2"/>
  <sheetViews>
    <sheetView showGridLines="0" showRowColHeaders="0" zoomScale="70" zoomScaleNormal="70" workbookViewId="0"/>
  </sheetViews>
  <sheetFormatPr defaultRowHeight="14.25"/>
  <cols>
    <col min="1" max="1" width="13.33203125" customWidth="1"/>
    <col min="3" max="3" width="12.6640625" customWidth="1"/>
  </cols>
  <sheetData>
    <row r="1" spans="1:3" ht="15.75">
      <c r="A1" s="16" t="s">
        <v>301</v>
      </c>
    </row>
    <row r="2" spans="1:3" ht="15.75">
      <c r="A2" s="26" t="s">
        <v>34</v>
      </c>
      <c r="C2" s="27">
        <v>42977</v>
      </c>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F18366"/>
  </sheetPr>
  <dimension ref="A1:AA56"/>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1" spans="1:20" ht="14.45" customHeight="1"/>
    <row r="2" spans="1:20" ht="14.45" customHeight="1">
      <c r="P2" s="10"/>
      <c r="Q2" s="11"/>
      <c r="R2" s="11"/>
    </row>
    <row r="3" spans="1:20" ht="23.25">
      <c r="B3" s="338" t="s">
        <v>402</v>
      </c>
      <c r="C3" s="338"/>
      <c r="D3" s="338"/>
      <c r="E3" s="338"/>
      <c r="F3" s="338"/>
      <c r="G3" s="338"/>
      <c r="H3" s="338"/>
      <c r="I3" s="338"/>
      <c r="J3" s="338"/>
      <c r="K3" s="338"/>
      <c r="L3" s="338"/>
      <c r="M3" s="338"/>
      <c r="N3" s="338"/>
      <c r="O3" s="338"/>
      <c r="P3" s="338"/>
      <c r="Q3" s="338"/>
      <c r="R3" s="338"/>
      <c r="S3" s="338"/>
      <c r="T3" s="338"/>
    </row>
    <row r="4" spans="1:20" ht="30.75">
      <c r="B4" s="366" t="s">
        <v>647</v>
      </c>
      <c r="C4" s="366"/>
      <c r="D4" s="366"/>
      <c r="E4" s="366"/>
      <c r="F4" s="366"/>
      <c r="G4" s="366"/>
      <c r="H4" s="366"/>
      <c r="I4" s="366"/>
      <c r="J4" s="366"/>
      <c r="K4" s="366"/>
      <c r="L4" s="366"/>
      <c r="M4" s="366"/>
      <c r="N4" s="366"/>
      <c r="O4" s="366"/>
      <c r="P4" s="366"/>
      <c r="Q4" s="366"/>
      <c r="R4" s="366"/>
      <c r="S4" s="366"/>
      <c r="T4" s="366"/>
    </row>
    <row r="5" spans="1:20" ht="18">
      <c r="B5" s="340" t="s">
        <v>51</v>
      </c>
      <c r="C5" s="340"/>
      <c r="D5" s="340"/>
      <c r="E5" s="340"/>
      <c r="F5" s="340"/>
      <c r="G5" s="340"/>
      <c r="H5" s="340"/>
      <c r="I5" s="340"/>
      <c r="J5" s="340"/>
      <c r="K5" s="340"/>
      <c r="L5" s="340"/>
      <c r="M5" s="340"/>
      <c r="N5" s="340"/>
      <c r="O5" s="340"/>
      <c r="P5" s="340"/>
      <c r="Q5" s="340"/>
      <c r="R5" s="340"/>
      <c r="S5" s="340"/>
      <c r="T5" s="340"/>
    </row>
    <row r="6" spans="1:20" ht="14.45" customHeight="1">
      <c r="P6" s="11"/>
      <c r="Q6" s="11"/>
      <c r="R6" s="11"/>
    </row>
    <row r="7" spans="1:20" ht="14.45" customHeight="1">
      <c r="B7" s="26" t="s">
        <v>35</v>
      </c>
      <c r="E7" s="27">
        <v>42977</v>
      </c>
      <c r="P7" s="11"/>
      <c r="Q7" s="11"/>
      <c r="R7" s="342" t="s">
        <v>44</v>
      </c>
      <c r="S7" s="342"/>
      <c r="T7" s="342"/>
    </row>
    <row r="8" spans="1:20" ht="14.45" customHeight="1">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14.45" customHeight="1">
      <c r="B10" s="33"/>
      <c r="C10" s="33"/>
      <c r="D10" s="33"/>
      <c r="E10" s="33"/>
      <c r="F10" s="33"/>
      <c r="G10" s="33"/>
      <c r="H10" s="33"/>
      <c r="I10" s="33"/>
      <c r="J10" s="33"/>
      <c r="K10" s="33"/>
      <c r="L10" s="33"/>
      <c r="N10" s="4"/>
      <c r="O10" s="4"/>
      <c r="P10" s="4"/>
      <c r="Q10" s="4"/>
      <c r="R10" s="4"/>
      <c r="S10" s="4"/>
      <c r="T10" s="4"/>
    </row>
    <row r="11" spans="1:20" ht="14.45" customHeight="1">
      <c r="B11" s="30" t="s">
        <v>40</v>
      </c>
      <c r="C11" s="4"/>
      <c r="D11" s="4"/>
      <c r="E11" s="4"/>
      <c r="F11" s="4"/>
      <c r="G11" s="4"/>
      <c r="H11" s="4"/>
      <c r="I11" s="4"/>
      <c r="J11" s="4"/>
      <c r="K11" s="4"/>
      <c r="L11" s="4"/>
      <c r="N11" s="205" t="s">
        <v>59</v>
      </c>
      <c r="O11" s="205" t="s">
        <v>286</v>
      </c>
      <c r="P11" s="205"/>
      <c r="Q11" s="205"/>
    </row>
    <row r="12" spans="1:20" ht="14.45" customHeight="1">
      <c r="B12" s="4"/>
      <c r="C12" s="337" t="s">
        <v>628</v>
      </c>
      <c r="D12" s="337"/>
      <c r="E12" s="337"/>
      <c r="F12" s="337"/>
      <c r="G12" s="337"/>
      <c r="H12" s="337"/>
      <c r="I12" s="337"/>
      <c r="J12" s="337"/>
      <c r="K12" s="337"/>
      <c r="L12" s="337"/>
      <c r="N12" s="205" t="s">
        <v>287</v>
      </c>
      <c r="O12" s="205" t="s">
        <v>5</v>
      </c>
      <c r="P12" s="205" t="s">
        <v>6</v>
      </c>
      <c r="Q12" s="205" t="s">
        <v>42</v>
      </c>
    </row>
    <row r="13" spans="1:20" ht="14.45" customHeight="1">
      <c r="B13" s="4"/>
      <c r="C13" s="332" t="s">
        <v>629</v>
      </c>
      <c r="D13" s="332"/>
      <c r="E13" s="332"/>
      <c r="F13" s="332"/>
      <c r="G13" s="332"/>
      <c r="H13" s="332"/>
      <c r="I13" s="332"/>
      <c r="J13" s="332"/>
      <c r="K13" s="332"/>
      <c r="L13" s="332"/>
      <c r="N13" s="112">
        <v>2010</v>
      </c>
      <c r="O13" s="205">
        <v>23.93</v>
      </c>
      <c r="P13" s="205">
        <v>86.58</v>
      </c>
      <c r="Q13" s="205">
        <v>54.38</v>
      </c>
    </row>
    <row r="14" spans="1:20" ht="14.45" customHeight="1">
      <c r="B14" s="4"/>
      <c r="C14" s="333" t="s">
        <v>292</v>
      </c>
      <c r="D14" s="333"/>
      <c r="E14" s="333"/>
      <c r="F14" s="333"/>
      <c r="G14" s="333"/>
      <c r="H14" s="333"/>
      <c r="I14" s="333"/>
      <c r="J14" s="333"/>
      <c r="K14" s="333"/>
      <c r="L14" s="333"/>
      <c r="N14" s="112">
        <v>2011</v>
      </c>
      <c r="O14" s="205">
        <v>15.5</v>
      </c>
      <c r="P14" s="205">
        <v>71.84</v>
      </c>
      <c r="Q14" s="205">
        <v>42.86</v>
      </c>
    </row>
    <row r="15" spans="1:20" ht="14.45" customHeight="1">
      <c r="B15" s="4"/>
      <c r="C15" s="333" t="s">
        <v>632</v>
      </c>
      <c r="D15" s="333"/>
      <c r="E15" s="333"/>
      <c r="F15" s="333"/>
      <c r="G15" s="333"/>
      <c r="H15" s="333"/>
      <c r="I15" s="333"/>
      <c r="J15" s="333"/>
      <c r="K15" s="333"/>
      <c r="L15" s="333"/>
      <c r="N15" s="112">
        <v>2012</v>
      </c>
      <c r="O15" s="205">
        <v>15.52</v>
      </c>
      <c r="P15" s="205">
        <v>71.3</v>
      </c>
      <c r="Q15" s="205">
        <v>42.64</v>
      </c>
    </row>
    <row r="16" spans="1:20" ht="14.45" customHeight="1">
      <c r="A16" s="3"/>
      <c r="B16" s="1"/>
      <c r="C16" s="1"/>
      <c r="D16" s="1"/>
      <c r="E16" s="1"/>
      <c r="F16" s="1"/>
      <c r="G16" s="1"/>
      <c r="H16" s="1"/>
      <c r="I16" s="1"/>
      <c r="J16" s="1"/>
      <c r="K16" s="1"/>
      <c r="L16" s="4"/>
      <c r="N16" s="112">
        <v>2013</v>
      </c>
      <c r="O16" s="205">
        <v>16.489999999999998</v>
      </c>
      <c r="P16" s="205">
        <v>68.650000000000006</v>
      </c>
      <c r="Q16" s="205">
        <v>41.83</v>
      </c>
    </row>
    <row r="17" spans="1:26" ht="14.45" customHeight="1">
      <c r="A17" s="3"/>
      <c r="B17" s="30" t="s">
        <v>41</v>
      </c>
      <c r="C17" s="4"/>
      <c r="D17" s="4"/>
      <c r="E17" s="4"/>
      <c r="F17" s="4"/>
      <c r="G17" s="4"/>
      <c r="H17" s="4"/>
      <c r="I17" s="4"/>
      <c r="J17" s="4"/>
      <c r="K17" s="4"/>
      <c r="L17" s="4"/>
      <c r="N17" s="112">
        <v>2014</v>
      </c>
      <c r="O17" s="205">
        <v>19.989999999999998</v>
      </c>
      <c r="P17" s="205">
        <v>69.87</v>
      </c>
      <c r="Q17" s="205">
        <v>44.18</v>
      </c>
    </row>
    <row r="18" spans="1:26" ht="14.45" customHeight="1">
      <c r="A18" s="3"/>
      <c r="B18" s="4"/>
      <c r="C18" s="362" t="s">
        <v>295</v>
      </c>
      <c r="D18" s="362"/>
      <c r="E18" s="362"/>
      <c r="F18" s="362"/>
      <c r="G18" s="362"/>
      <c r="H18" s="362"/>
      <c r="I18" s="362"/>
      <c r="J18" s="362"/>
      <c r="K18" s="362"/>
      <c r="L18" s="362"/>
      <c r="N18" s="112">
        <v>2015</v>
      </c>
      <c r="O18" s="205">
        <v>17.14</v>
      </c>
      <c r="P18" s="205">
        <v>67.44</v>
      </c>
      <c r="Q18" s="205">
        <v>41.5</v>
      </c>
    </row>
    <row r="19" spans="1:26" ht="14.45" customHeight="1">
      <c r="A19" s="3"/>
      <c r="B19" s="4"/>
      <c r="C19" s="362" t="s">
        <v>296</v>
      </c>
      <c r="D19" s="362"/>
      <c r="E19" s="362"/>
      <c r="F19" s="362"/>
      <c r="G19" s="362"/>
      <c r="H19" s="362"/>
      <c r="I19" s="362"/>
      <c r="J19" s="362"/>
      <c r="K19" s="362"/>
      <c r="L19" s="362"/>
      <c r="N19" s="112">
        <v>2016</v>
      </c>
      <c r="O19" s="205"/>
      <c r="P19" s="205"/>
      <c r="Q19" s="205"/>
    </row>
    <row r="20" spans="1:26" ht="14.45" customHeight="1">
      <c r="A20" s="3"/>
      <c r="B20" s="4"/>
      <c r="C20" s="353" t="s">
        <v>371</v>
      </c>
      <c r="D20" s="353"/>
      <c r="E20" s="353"/>
      <c r="F20" s="353"/>
      <c r="G20" s="353"/>
      <c r="H20" s="353"/>
      <c r="I20" s="353"/>
      <c r="J20" s="353"/>
      <c r="K20" s="353"/>
      <c r="L20" s="353"/>
      <c r="N20" s="112">
        <v>2017</v>
      </c>
      <c r="O20" s="205"/>
      <c r="P20" s="205"/>
      <c r="Q20" s="205"/>
    </row>
    <row r="21" spans="1:26" ht="14.45" customHeight="1">
      <c r="A21" s="3"/>
      <c r="B21" s="4"/>
      <c r="C21" s="48" t="str">
        <f>"--&gt;"</f>
        <v>--&gt;</v>
      </c>
      <c r="D21" s="334" t="s">
        <v>60</v>
      </c>
      <c r="E21" s="334"/>
      <c r="F21" s="334"/>
      <c r="G21" s="334"/>
      <c r="H21" s="334"/>
      <c r="I21" s="334"/>
      <c r="J21" s="334"/>
      <c r="K21" s="334"/>
      <c r="L21" s="334"/>
      <c r="N21" s="112">
        <v>2018</v>
      </c>
      <c r="O21" s="205"/>
      <c r="P21" s="205"/>
      <c r="Q21" s="205"/>
    </row>
    <row r="22" spans="1:26" ht="14.45" customHeight="1">
      <c r="A22" s="3"/>
      <c r="B22" s="4"/>
      <c r="C22" s="4"/>
      <c r="D22" s="334"/>
      <c r="E22" s="334"/>
      <c r="F22" s="334"/>
      <c r="G22" s="334"/>
      <c r="H22" s="334"/>
      <c r="I22" s="334"/>
      <c r="J22" s="334"/>
      <c r="K22" s="334"/>
      <c r="L22" s="334"/>
      <c r="N22" s="112">
        <v>2019</v>
      </c>
      <c r="O22" s="205"/>
      <c r="P22" s="205"/>
      <c r="Q22" s="205"/>
    </row>
    <row r="23" spans="1:26" ht="14.45" customHeight="1">
      <c r="A23" s="3"/>
      <c r="B23" s="4"/>
      <c r="C23" s="333" t="s">
        <v>356</v>
      </c>
      <c r="D23" s="333"/>
      <c r="E23" s="333"/>
      <c r="F23" s="333"/>
      <c r="G23" s="333"/>
      <c r="H23" s="333"/>
      <c r="I23" s="333"/>
      <c r="J23" s="333"/>
      <c r="K23" s="333"/>
      <c r="L23" s="333"/>
      <c r="N23" s="112">
        <v>2020</v>
      </c>
      <c r="O23" s="205"/>
      <c r="P23" s="205"/>
      <c r="Q23" s="205"/>
    </row>
    <row r="24" spans="1:26" ht="14.45" customHeight="1">
      <c r="A24" s="3"/>
      <c r="B24" s="4"/>
      <c r="C24" s="333"/>
      <c r="D24" s="333"/>
      <c r="E24" s="333"/>
      <c r="F24" s="333"/>
      <c r="G24" s="333"/>
      <c r="H24" s="333"/>
      <c r="I24" s="333"/>
      <c r="J24" s="333"/>
      <c r="K24" s="333"/>
      <c r="L24" s="333"/>
      <c r="N24" s="112">
        <v>2021</v>
      </c>
      <c r="O24" s="205"/>
      <c r="P24" s="205"/>
      <c r="Q24" s="205"/>
    </row>
    <row r="25" spans="1:26" ht="14.45" customHeight="1">
      <c r="A25" s="3"/>
      <c r="B25" s="4"/>
      <c r="C25" s="333"/>
      <c r="D25" s="333"/>
      <c r="E25" s="333"/>
      <c r="F25" s="333"/>
      <c r="G25" s="333"/>
      <c r="H25" s="333"/>
      <c r="I25" s="333"/>
      <c r="J25" s="333"/>
      <c r="K25" s="333"/>
      <c r="L25" s="333"/>
      <c r="N25" s="112">
        <v>2022</v>
      </c>
      <c r="O25" s="205"/>
      <c r="P25" s="205"/>
      <c r="Q25" s="205"/>
    </row>
    <row r="26" spans="1:26" ht="14.45" customHeight="1">
      <c r="A26" s="3"/>
      <c r="B26" s="1"/>
      <c r="C26" s="335" t="s">
        <v>323</v>
      </c>
      <c r="D26" s="335"/>
      <c r="E26" s="335"/>
      <c r="F26" s="335"/>
      <c r="G26" s="335"/>
      <c r="H26" s="335"/>
      <c r="I26" s="335"/>
      <c r="J26" s="335"/>
      <c r="K26" s="335"/>
      <c r="L26" s="335"/>
      <c r="N26" s="112">
        <v>2023</v>
      </c>
      <c r="O26" s="205"/>
      <c r="P26" s="205"/>
      <c r="Q26" s="205"/>
    </row>
    <row r="27" spans="1:26" ht="14.45" customHeight="1">
      <c r="B27" s="1"/>
      <c r="C27" s="335"/>
      <c r="D27" s="335"/>
      <c r="E27" s="335"/>
      <c r="F27" s="335"/>
      <c r="G27" s="335"/>
      <c r="H27" s="335"/>
      <c r="I27" s="335"/>
      <c r="J27" s="335"/>
      <c r="K27" s="335"/>
      <c r="L27" s="335"/>
      <c r="N27" s="112">
        <v>2024</v>
      </c>
      <c r="O27" s="205"/>
      <c r="P27" s="205"/>
      <c r="Q27" s="205"/>
    </row>
    <row r="28" spans="1:26" ht="14.45" customHeight="1">
      <c r="B28" s="1"/>
      <c r="C28" s="335"/>
      <c r="D28" s="335"/>
      <c r="E28" s="335"/>
      <c r="F28" s="335"/>
      <c r="G28" s="335"/>
      <c r="H28" s="335"/>
      <c r="I28" s="335"/>
      <c r="J28" s="335"/>
      <c r="K28" s="335"/>
      <c r="L28" s="335"/>
      <c r="N28" s="112">
        <v>2025</v>
      </c>
      <c r="O28" s="205"/>
      <c r="P28" s="205"/>
      <c r="Q28" s="205"/>
    </row>
    <row r="29" spans="1:26" ht="14.45" customHeight="1">
      <c r="B29" s="1"/>
      <c r="C29" s="47"/>
      <c r="D29" s="47"/>
      <c r="E29" s="47"/>
      <c r="F29" s="47"/>
      <c r="G29" s="47"/>
      <c r="H29" s="47"/>
      <c r="I29" s="47"/>
      <c r="J29" s="47"/>
      <c r="K29" s="47"/>
      <c r="L29" s="47"/>
    </row>
    <row r="30" spans="1:26" ht="14.45" customHeight="1">
      <c r="B30" s="4"/>
      <c r="C30" s="1"/>
      <c r="D30" s="1"/>
      <c r="E30" s="1"/>
      <c r="F30" s="1"/>
      <c r="G30" s="1"/>
      <c r="H30" s="1"/>
      <c r="I30" s="1"/>
      <c r="J30" s="1"/>
      <c r="K30" s="1"/>
      <c r="L30" s="1"/>
      <c r="M30" s="9"/>
      <c r="N30" s="4"/>
      <c r="O30" s="34"/>
      <c r="P30" s="35"/>
      <c r="Q30" s="35"/>
      <c r="R30" s="35"/>
      <c r="S30" s="35"/>
      <c r="T30" s="4"/>
    </row>
    <row r="31" spans="1:26">
      <c r="A31" s="3"/>
      <c r="B31" s="9"/>
      <c r="C31" s="9"/>
      <c r="D31" s="9"/>
      <c r="E31" s="9"/>
      <c r="F31" s="9"/>
      <c r="G31" s="9"/>
      <c r="H31" s="9"/>
      <c r="I31" s="9"/>
      <c r="J31" s="9"/>
      <c r="K31" s="9"/>
      <c r="L31" s="9"/>
      <c r="M31" s="11"/>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7" ht="23.25">
      <c r="B34" s="1"/>
      <c r="C34" s="22"/>
      <c r="D34" s="22"/>
      <c r="E34" s="22"/>
      <c r="F34" s="22"/>
      <c r="G34" s="22"/>
      <c r="H34" s="22"/>
      <c r="I34" s="22"/>
      <c r="J34" s="22"/>
      <c r="K34" s="22"/>
      <c r="L34" s="22"/>
      <c r="M34" s="4"/>
      <c r="N34" s="1"/>
      <c r="O34" s="1"/>
      <c r="P34" s="1"/>
      <c r="Q34" s="1"/>
      <c r="R34" s="1"/>
      <c r="S34" s="1"/>
      <c r="T34" s="1"/>
      <c r="V34" s="56" t="s">
        <v>61</v>
      </c>
      <c r="W34" s="56" t="s">
        <v>62</v>
      </c>
      <c r="X34" s="11"/>
      <c r="Y34" s="56" t="s">
        <v>61</v>
      </c>
      <c r="Z34" s="56" t="s">
        <v>62</v>
      </c>
    </row>
    <row r="35" spans="1:27">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7">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7">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7">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7">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7">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7">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7">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c r="AA42" s="9"/>
    </row>
    <row r="43" spans="1:27">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c r="AA43" s="9"/>
    </row>
    <row r="44" spans="1:27">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c r="AA44" s="9"/>
    </row>
    <row r="45" spans="1:27">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c r="AA45" s="9"/>
    </row>
    <row r="46" spans="1:27">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c r="AA46" s="9"/>
    </row>
    <row r="47" spans="1:27">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c r="AA47" s="9"/>
    </row>
    <row r="48" spans="1:27">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c r="AA48" s="9"/>
    </row>
    <row r="49" spans="2:27">
      <c r="B49" s="1"/>
      <c r="C49" s="1"/>
      <c r="D49" s="1"/>
      <c r="E49" s="1"/>
      <c r="F49" s="1"/>
      <c r="G49" s="1"/>
      <c r="H49" s="1"/>
      <c r="I49" s="1"/>
      <c r="J49" s="1"/>
      <c r="K49" s="1"/>
      <c r="L49" s="1"/>
      <c r="M49" s="1"/>
      <c r="N49" s="1"/>
      <c r="O49" s="1"/>
      <c r="P49" s="1"/>
      <c r="Q49" s="1"/>
      <c r="R49" s="1"/>
      <c r="S49" s="1"/>
      <c r="T49" s="1"/>
      <c r="V49" s="244" t="s">
        <v>445</v>
      </c>
      <c r="W49" s="244" t="s">
        <v>462</v>
      </c>
      <c r="X49" s="9"/>
      <c r="Y49" s="244" t="s">
        <v>445</v>
      </c>
      <c r="Z49" s="244" t="s">
        <v>462</v>
      </c>
      <c r="AA49" s="9"/>
    </row>
    <row r="50" spans="2:27">
      <c r="B50" s="1"/>
      <c r="C50" s="1"/>
      <c r="D50" s="1"/>
      <c r="E50" s="1"/>
      <c r="F50" s="1"/>
      <c r="G50" s="1"/>
      <c r="H50" s="1"/>
      <c r="I50" s="1"/>
      <c r="J50" s="1"/>
      <c r="K50" s="1"/>
      <c r="L50" s="1"/>
      <c r="M50" s="1"/>
      <c r="N50" s="1"/>
      <c r="O50" s="1"/>
      <c r="P50" s="1"/>
      <c r="Q50" s="1"/>
      <c r="R50" s="1"/>
      <c r="S50" s="1"/>
      <c r="T50" s="1"/>
      <c r="V50" s="246" t="s">
        <v>446</v>
      </c>
      <c r="W50" s="244" t="s">
        <v>463</v>
      </c>
      <c r="X50" s="9"/>
      <c r="Y50" s="246" t="s">
        <v>446</v>
      </c>
      <c r="Z50" s="244" t="s">
        <v>463</v>
      </c>
      <c r="AA50" s="9"/>
    </row>
    <row r="51" spans="2:27">
      <c r="B51" s="1"/>
      <c r="C51" s="1"/>
      <c r="D51" s="1"/>
      <c r="E51" s="1"/>
      <c r="F51" s="1"/>
      <c r="G51" s="1"/>
      <c r="H51" s="1"/>
      <c r="I51" s="1"/>
      <c r="J51" s="1"/>
      <c r="K51" s="1"/>
      <c r="L51" s="1"/>
      <c r="M51" s="1"/>
      <c r="N51" s="1"/>
      <c r="O51" s="1"/>
      <c r="P51" s="1"/>
      <c r="Q51" s="1"/>
      <c r="R51" s="1"/>
      <c r="S51" s="1"/>
      <c r="T51" s="1"/>
      <c r="V51" s="247" t="s">
        <v>447</v>
      </c>
      <c r="W51" s="244" t="s">
        <v>464</v>
      </c>
      <c r="X51" s="9"/>
      <c r="Y51" s="247" t="s">
        <v>447</v>
      </c>
      <c r="Z51" s="244" t="s">
        <v>464</v>
      </c>
      <c r="AA51" s="9"/>
    </row>
    <row r="52" spans="2:27">
      <c r="B52" s="1"/>
      <c r="C52" s="1"/>
      <c r="D52" s="1"/>
      <c r="E52" s="1"/>
      <c r="F52" s="1"/>
      <c r="G52" s="1"/>
      <c r="H52" s="1"/>
      <c r="I52" s="1"/>
      <c r="J52" s="1"/>
      <c r="K52" s="1"/>
      <c r="L52" s="1"/>
      <c r="M52" s="1"/>
      <c r="N52" s="1"/>
      <c r="O52" s="1"/>
      <c r="P52" s="1"/>
      <c r="Q52" s="1"/>
      <c r="R52" s="1"/>
      <c r="S52" s="1"/>
      <c r="T52" s="1"/>
      <c r="V52" s="295"/>
      <c r="W52" s="244" t="s">
        <v>465</v>
      </c>
      <c r="X52" s="9"/>
      <c r="Y52" s="284"/>
      <c r="Z52" s="244" t="s">
        <v>465</v>
      </c>
      <c r="AA52" s="9"/>
    </row>
    <row r="53" spans="2:27">
      <c r="B53" s="1"/>
      <c r="C53" s="1"/>
      <c r="D53" s="1"/>
      <c r="E53" s="1"/>
      <c r="F53" s="1"/>
      <c r="G53" s="1"/>
      <c r="H53" s="1"/>
      <c r="I53" s="1"/>
      <c r="J53" s="1"/>
      <c r="K53" s="1"/>
      <c r="L53" s="1"/>
      <c r="M53" s="1"/>
      <c r="N53" s="1"/>
      <c r="O53" s="1"/>
      <c r="P53" s="1"/>
      <c r="Q53" s="1"/>
      <c r="R53" s="1"/>
      <c r="S53" s="1"/>
      <c r="T53" s="1"/>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row r="56" spans="2:27">
      <c r="V56" s="9"/>
      <c r="W56" s="9"/>
      <c r="X56" s="9"/>
      <c r="Y56" s="9"/>
      <c r="Z56" s="9"/>
      <c r="AA56" s="9"/>
    </row>
  </sheetData>
  <sheetProtection sort="0" autoFilter="0" pivotTables="0"/>
  <mergeCells count="21">
    <mergeCell ref="C12:L12"/>
    <mergeCell ref="C19:L19"/>
    <mergeCell ref="C20:L20"/>
    <mergeCell ref="V32:W32"/>
    <mergeCell ref="C13:L13"/>
    <mergeCell ref="Y32:Z32"/>
    <mergeCell ref="Y33:Z33"/>
    <mergeCell ref="V33:W33"/>
    <mergeCell ref="B3:T3"/>
    <mergeCell ref="B4:T4"/>
    <mergeCell ref="B5:T5"/>
    <mergeCell ref="R7:T7"/>
    <mergeCell ref="B9:L9"/>
    <mergeCell ref="N9:T9"/>
    <mergeCell ref="B32:T32"/>
    <mergeCell ref="D21:L22"/>
    <mergeCell ref="C23:L25"/>
    <mergeCell ref="C26:L28"/>
    <mergeCell ref="C14:L14"/>
    <mergeCell ref="C15:L15"/>
    <mergeCell ref="C18:L18"/>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B49073"/>
  </sheetPr>
  <dimension ref="A1:X59"/>
  <sheetViews>
    <sheetView showGridLines="0" showRowColHeaders="0" zoomScale="70" zoomScaleNormal="70" workbookViewId="0"/>
  </sheetViews>
  <sheetFormatPr defaultRowHeight="14.25"/>
  <cols>
    <col min="1" max="1" width="5.796875" customWidth="1"/>
    <col min="2" max="17" width="12.796875" customWidth="1"/>
    <col min="18" max="18" width="5.796875" customWidth="1"/>
    <col min="19" max="20" width="12.796875" customWidth="1"/>
    <col min="21" max="21" width="2.796875" customWidth="1"/>
    <col min="22" max="23" width="12.796875" customWidth="1"/>
  </cols>
  <sheetData>
    <row r="1" spans="1:24" ht="15.75">
      <c r="A1" s="16" t="s">
        <v>58</v>
      </c>
    </row>
    <row r="2" spans="1:24" ht="15.75">
      <c r="A2" s="26" t="s">
        <v>35</v>
      </c>
      <c r="C2" s="27">
        <v>42927</v>
      </c>
      <c r="G2" s="27"/>
      <c r="N2" s="342" t="s">
        <v>44</v>
      </c>
      <c r="O2" s="342"/>
      <c r="P2" s="342"/>
      <c r="Q2" s="342"/>
    </row>
    <row r="3" spans="1:24" ht="23.65" thickBot="1">
      <c r="A3" s="343" t="s">
        <v>7</v>
      </c>
      <c r="B3" s="343"/>
      <c r="C3" s="343"/>
      <c r="D3" s="343"/>
      <c r="E3" s="343"/>
      <c r="F3" s="343"/>
      <c r="G3" s="343"/>
      <c r="H3" s="343"/>
      <c r="I3" s="343"/>
      <c r="J3" s="343"/>
      <c r="K3" s="343"/>
      <c r="L3" s="343"/>
      <c r="M3" s="343"/>
      <c r="N3" s="343"/>
      <c r="O3" s="343"/>
      <c r="P3" s="343"/>
      <c r="Q3" s="343"/>
      <c r="S3" s="321" t="s">
        <v>46</v>
      </c>
      <c r="T3" s="321"/>
      <c r="U3" s="11"/>
      <c r="V3" s="318" t="s">
        <v>46</v>
      </c>
      <c r="W3" s="318"/>
    </row>
    <row r="4" spans="1:24">
      <c r="A4" s="119"/>
      <c r="B4" s="119"/>
      <c r="C4" s="119"/>
      <c r="D4" s="119"/>
      <c r="E4" s="119"/>
      <c r="F4" s="119"/>
      <c r="G4" s="119"/>
      <c r="H4" s="119"/>
      <c r="I4" s="119"/>
      <c r="J4" s="119"/>
      <c r="K4" s="119"/>
      <c r="L4" s="119"/>
      <c r="M4" s="119"/>
      <c r="N4" s="119"/>
      <c r="O4" s="119"/>
      <c r="P4" s="119"/>
      <c r="Q4" s="119"/>
      <c r="S4" s="319" t="s">
        <v>65</v>
      </c>
      <c r="T4" s="320"/>
      <c r="U4" s="11"/>
      <c r="V4" s="319" t="s">
        <v>66</v>
      </c>
      <c r="W4" s="320"/>
    </row>
    <row r="5" spans="1:24">
      <c r="A5" s="119"/>
      <c r="B5" s="337" t="s">
        <v>374</v>
      </c>
      <c r="C5" s="337"/>
      <c r="D5" s="337"/>
      <c r="E5" s="337"/>
      <c r="F5" s="337"/>
      <c r="G5" s="337"/>
      <c r="H5" s="337"/>
      <c r="I5" s="337"/>
      <c r="J5" s="337"/>
      <c r="K5" s="337"/>
      <c r="L5" s="119"/>
      <c r="M5" s="119"/>
      <c r="N5" s="119"/>
      <c r="O5" s="119"/>
      <c r="P5" s="119"/>
      <c r="Q5" s="119"/>
      <c r="S5" s="56" t="s">
        <v>61</v>
      </c>
      <c r="T5" s="56" t="s">
        <v>62</v>
      </c>
      <c r="U5" s="11"/>
      <c r="V5" s="56" t="s">
        <v>61</v>
      </c>
      <c r="W5" s="56" t="s">
        <v>62</v>
      </c>
    </row>
    <row r="6" spans="1:24">
      <c r="A6" s="119"/>
      <c r="B6" s="337" t="s">
        <v>330</v>
      </c>
      <c r="C6" s="337"/>
      <c r="D6" s="337"/>
      <c r="E6" s="337"/>
      <c r="F6" s="337"/>
      <c r="G6" s="337"/>
      <c r="H6" s="337"/>
      <c r="I6" s="337"/>
      <c r="J6" s="337"/>
      <c r="K6" s="337"/>
      <c r="L6" s="119"/>
      <c r="M6" s="119"/>
      <c r="N6" s="119"/>
      <c r="O6" s="119"/>
      <c r="P6" s="119"/>
      <c r="Q6" s="119"/>
      <c r="S6" s="244" t="s">
        <v>392</v>
      </c>
      <c r="T6" s="244" t="s">
        <v>448</v>
      </c>
      <c r="U6" s="11"/>
      <c r="V6" s="244" t="s">
        <v>392</v>
      </c>
      <c r="W6" s="244" t="s">
        <v>448</v>
      </c>
    </row>
    <row r="7" spans="1:24">
      <c r="A7" s="119"/>
      <c r="B7" s="333" t="s">
        <v>630</v>
      </c>
      <c r="C7" s="333"/>
      <c r="D7" s="333"/>
      <c r="E7" s="333"/>
      <c r="F7" s="333"/>
      <c r="G7" s="333"/>
      <c r="H7" s="333"/>
      <c r="I7" s="333"/>
      <c r="J7" s="333"/>
      <c r="K7" s="333"/>
      <c r="L7" s="119"/>
      <c r="M7" s="119"/>
      <c r="N7" s="119"/>
      <c r="O7" s="119"/>
      <c r="P7" s="119"/>
      <c r="Q7" s="119"/>
      <c r="S7" s="244" t="s">
        <v>393</v>
      </c>
      <c r="T7" s="244" t="s">
        <v>449</v>
      </c>
      <c r="U7" s="11"/>
      <c r="V7" s="244" t="s">
        <v>393</v>
      </c>
      <c r="W7" s="244" t="s">
        <v>449</v>
      </c>
    </row>
    <row r="8" spans="1:24">
      <c r="A8" s="119"/>
      <c r="B8" s="333" t="s">
        <v>631</v>
      </c>
      <c r="C8" s="333"/>
      <c r="D8" s="333"/>
      <c r="E8" s="333"/>
      <c r="F8" s="333"/>
      <c r="G8" s="333"/>
      <c r="H8" s="333"/>
      <c r="I8" s="333"/>
      <c r="J8" s="333"/>
      <c r="K8" s="333"/>
      <c r="L8" s="119"/>
      <c r="M8" s="119"/>
      <c r="N8" s="119"/>
      <c r="O8" s="119"/>
      <c r="P8" s="119"/>
      <c r="Q8" s="119"/>
      <c r="S8" s="244" t="s">
        <v>394</v>
      </c>
      <c r="T8" s="244" t="s">
        <v>450</v>
      </c>
      <c r="U8" s="11"/>
      <c r="V8" s="244" t="s">
        <v>394</v>
      </c>
      <c r="W8" s="244" t="s">
        <v>450</v>
      </c>
    </row>
    <row r="9" spans="1:24">
      <c r="A9" s="119"/>
      <c r="B9" s="119"/>
      <c r="C9" s="119"/>
      <c r="D9" s="119"/>
      <c r="E9" s="119"/>
      <c r="F9" s="119"/>
      <c r="G9" s="119"/>
      <c r="H9" s="119"/>
      <c r="I9" s="119"/>
      <c r="J9" s="119"/>
      <c r="K9" s="119"/>
      <c r="L9" s="119"/>
      <c r="M9" s="119"/>
      <c r="N9" s="119"/>
      <c r="O9" s="119"/>
      <c r="P9" s="119"/>
      <c r="Q9" s="119"/>
      <c r="S9" s="244" t="s">
        <v>434</v>
      </c>
      <c r="T9" s="244" t="s">
        <v>451</v>
      </c>
      <c r="U9" s="11"/>
      <c r="V9" s="244" t="s">
        <v>434</v>
      </c>
      <c r="W9" s="244" t="s">
        <v>451</v>
      </c>
    </row>
    <row r="10" spans="1:24" ht="15.75">
      <c r="A10" s="26"/>
      <c r="C10" s="27"/>
      <c r="G10" s="27"/>
      <c r="N10" s="120"/>
      <c r="O10" s="120"/>
      <c r="P10" s="120"/>
      <c r="Q10" s="120"/>
      <c r="S10" s="244" t="s">
        <v>435</v>
      </c>
      <c r="T10" s="244" t="s">
        <v>452</v>
      </c>
      <c r="V10" s="244" t="s">
        <v>435</v>
      </c>
      <c r="W10" s="244" t="s">
        <v>452</v>
      </c>
    </row>
    <row r="11" spans="1:24">
      <c r="A11" s="130" t="s">
        <v>2</v>
      </c>
      <c r="B11" s="130" t="s">
        <v>3</v>
      </c>
      <c r="C11" s="130" t="s">
        <v>47</v>
      </c>
      <c r="D11" s="130" t="s">
        <v>48</v>
      </c>
      <c r="E11" s="130" t="s">
        <v>49</v>
      </c>
      <c r="F11" s="130" t="s">
        <v>50</v>
      </c>
      <c r="G11" s="130" t="s">
        <v>57</v>
      </c>
      <c r="S11" s="244" t="s">
        <v>436</v>
      </c>
      <c r="T11" s="244" t="s">
        <v>453</v>
      </c>
      <c r="V11" s="244" t="s">
        <v>436</v>
      </c>
      <c r="W11" s="244" t="s">
        <v>453</v>
      </c>
    </row>
    <row r="12" spans="1:24">
      <c r="A12" s="15">
        <v>2010</v>
      </c>
      <c r="B12" s="15" t="s">
        <v>5</v>
      </c>
      <c r="C12" s="15">
        <v>0</v>
      </c>
      <c r="D12" s="15">
        <v>0</v>
      </c>
      <c r="E12" s="15">
        <v>4.75</v>
      </c>
      <c r="F12" s="15">
        <v>80.239999999999995</v>
      </c>
      <c r="G12" s="15">
        <v>23.93</v>
      </c>
      <c r="S12" s="244" t="s">
        <v>437</v>
      </c>
      <c r="T12" s="245" t="s">
        <v>454</v>
      </c>
      <c r="V12" s="244" t="s">
        <v>437</v>
      </c>
      <c r="W12" s="245" t="s">
        <v>454</v>
      </c>
    </row>
    <row r="13" spans="1:24">
      <c r="A13">
        <v>2010</v>
      </c>
      <c r="B13" t="s">
        <v>6</v>
      </c>
      <c r="C13">
        <v>0</v>
      </c>
      <c r="D13">
        <v>0</v>
      </c>
      <c r="E13">
        <v>30.25</v>
      </c>
      <c r="F13">
        <v>279.88</v>
      </c>
      <c r="G13">
        <v>86.58</v>
      </c>
      <c r="S13" s="244" t="s">
        <v>438</v>
      </c>
      <c r="T13" s="244" t="s">
        <v>455</v>
      </c>
      <c r="V13" s="244" t="s">
        <v>438</v>
      </c>
      <c r="W13" s="244" t="s">
        <v>455</v>
      </c>
    </row>
    <row r="14" spans="1:24">
      <c r="A14" s="14">
        <v>2010</v>
      </c>
      <c r="B14" s="14" t="s">
        <v>42</v>
      </c>
      <c r="C14" s="14">
        <v>0</v>
      </c>
      <c r="D14" s="14">
        <v>0</v>
      </c>
      <c r="E14" s="14">
        <v>17.12</v>
      </c>
      <c r="F14" s="14">
        <v>177.33</v>
      </c>
      <c r="G14" s="14">
        <v>54.38</v>
      </c>
      <c r="S14" s="245" t="s">
        <v>439</v>
      </c>
      <c r="T14" s="244" t="s">
        <v>456</v>
      </c>
      <c r="V14" s="244" t="s">
        <v>439</v>
      </c>
      <c r="W14" s="244" t="s">
        <v>456</v>
      </c>
    </row>
    <row r="15" spans="1:24">
      <c r="A15" s="15">
        <v>2011</v>
      </c>
      <c r="B15" s="15" t="s">
        <v>5</v>
      </c>
      <c r="C15" s="15">
        <v>0</v>
      </c>
      <c r="D15" s="15">
        <v>0</v>
      </c>
      <c r="E15" s="15">
        <v>9.5299999999999994</v>
      </c>
      <c r="F15" s="15">
        <v>48.91</v>
      </c>
      <c r="G15" s="15">
        <v>15.5</v>
      </c>
      <c r="S15" s="244" t="s">
        <v>440</v>
      </c>
      <c r="T15" s="244" t="s">
        <v>457</v>
      </c>
      <c r="V15" s="244" t="s">
        <v>440</v>
      </c>
      <c r="W15" s="244" t="s">
        <v>457</v>
      </c>
      <c r="X15" s="9"/>
    </row>
    <row r="16" spans="1:24">
      <c r="A16" s="8">
        <v>2011</v>
      </c>
      <c r="B16" s="8" t="s">
        <v>6</v>
      </c>
      <c r="C16" s="8">
        <v>0</v>
      </c>
      <c r="D16" s="8">
        <v>0</v>
      </c>
      <c r="E16" s="8">
        <v>22.83</v>
      </c>
      <c r="F16" s="8">
        <v>244.11</v>
      </c>
      <c r="G16" s="8">
        <v>71.84</v>
      </c>
      <c r="S16" s="244" t="s">
        <v>441</v>
      </c>
      <c r="T16" s="244" t="s">
        <v>458</v>
      </c>
      <c r="V16" s="244" t="s">
        <v>441</v>
      </c>
      <c r="W16" s="244" t="s">
        <v>458</v>
      </c>
      <c r="X16" s="9"/>
    </row>
    <row r="17" spans="1:24">
      <c r="A17" s="14">
        <v>2011</v>
      </c>
      <c r="B17" s="14" t="s">
        <v>42</v>
      </c>
      <c r="C17" s="14">
        <v>0</v>
      </c>
      <c r="D17" s="14">
        <v>0</v>
      </c>
      <c r="E17" s="14">
        <v>15.97</v>
      </c>
      <c r="F17" s="14">
        <v>143.79</v>
      </c>
      <c r="G17" s="14">
        <v>42.86</v>
      </c>
      <c r="S17" s="244" t="s">
        <v>442</v>
      </c>
      <c r="T17" s="244" t="s">
        <v>459</v>
      </c>
      <c r="V17" s="244" t="s">
        <v>442</v>
      </c>
      <c r="W17" s="244" t="s">
        <v>459</v>
      </c>
      <c r="X17" s="9"/>
    </row>
    <row r="18" spans="1:24">
      <c r="A18" s="15">
        <v>2012</v>
      </c>
      <c r="B18" s="15" t="s">
        <v>5</v>
      </c>
      <c r="C18" s="15">
        <v>0</v>
      </c>
      <c r="D18" s="15">
        <v>0</v>
      </c>
      <c r="E18" s="15">
        <v>2.36</v>
      </c>
      <c r="F18" s="15">
        <v>57.7</v>
      </c>
      <c r="G18" s="15">
        <v>15.52</v>
      </c>
      <c r="S18" s="244" t="s">
        <v>443</v>
      </c>
      <c r="T18" s="244" t="s">
        <v>460</v>
      </c>
      <c r="V18" s="244" t="s">
        <v>443</v>
      </c>
      <c r="W18" s="244" t="s">
        <v>460</v>
      </c>
      <c r="X18" s="9"/>
    </row>
    <row r="19" spans="1:24">
      <c r="A19" s="8">
        <v>2012</v>
      </c>
      <c r="B19" s="8" t="s">
        <v>6</v>
      </c>
      <c r="C19" s="8">
        <v>0</v>
      </c>
      <c r="D19" s="8">
        <v>0</v>
      </c>
      <c r="E19" s="8">
        <v>45.06</v>
      </c>
      <c r="F19" s="8">
        <v>233.67</v>
      </c>
      <c r="G19" s="8">
        <v>71.3</v>
      </c>
      <c r="S19" s="244" t="s">
        <v>444</v>
      </c>
      <c r="T19" s="245" t="s">
        <v>461</v>
      </c>
      <c r="V19" s="244" t="s">
        <v>444</v>
      </c>
      <c r="W19" s="245" t="s">
        <v>461</v>
      </c>
      <c r="X19" s="9"/>
    </row>
    <row r="20" spans="1:24">
      <c r="A20" s="14">
        <v>2012</v>
      </c>
      <c r="B20" s="14" t="s">
        <v>42</v>
      </c>
      <c r="C20" s="14">
        <v>0</v>
      </c>
      <c r="D20" s="14">
        <v>0</v>
      </c>
      <c r="E20" s="14">
        <v>23.1</v>
      </c>
      <c r="F20" s="14">
        <v>143.53</v>
      </c>
      <c r="G20" s="14">
        <v>42.64</v>
      </c>
      <c r="S20" s="244" t="s">
        <v>445</v>
      </c>
      <c r="T20" s="244" t="s">
        <v>462</v>
      </c>
      <c r="U20" s="9"/>
      <c r="V20" s="244" t="s">
        <v>445</v>
      </c>
      <c r="W20" s="244" t="s">
        <v>462</v>
      </c>
      <c r="X20" s="9"/>
    </row>
    <row r="21" spans="1:24">
      <c r="A21" s="15">
        <v>2013</v>
      </c>
      <c r="B21" s="15" t="s">
        <v>5</v>
      </c>
      <c r="C21" s="15">
        <v>0</v>
      </c>
      <c r="D21" s="15">
        <v>0</v>
      </c>
      <c r="E21" s="15">
        <v>6.92</v>
      </c>
      <c r="F21" s="15">
        <v>59.75</v>
      </c>
      <c r="G21" s="15">
        <v>16.489999999999998</v>
      </c>
      <c r="S21" s="246" t="s">
        <v>446</v>
      </c>
      <c r="T21" s="244" t="s">
        <v>463</v>
      </c>
      <c r="U21" s="9"/>
      <c r="V21" s="246" t="s">
        <v>446</v>
      </c>
      <c r="W21" s="244" t="s">
        <v>463</v>
      </c>
      <c r="X21" s="9"/>
    </row>
    <row r="22" spans="1:24">
      <c r="A22" s="8">
        <v>2013</v>
      </c>
      <c r="B22" s="8" t="s">
        <v>6</v>
      </c>
      <c r="C22" s="8">
        <v>0</v>
      </c>
      <c r="D22" s="8">
        <v>0</v>
      </c>
      <c r="E22" s="8">
        <v>51.07</v>
      </c>
      <c r="F22" s="8">
        <v>227.86</v>
      </c>
      <c r="G22" s="8">
        <v>68.650000000000006</v>
      </c>
      <c r="S22" s="247" t="s">
        <v>447</v>
      </c>
      <c r="T22" s="244" t="s">
        <v>464</v>
      </c>
      <c r="U22" s="9"/>
      <c r="V22" s="247" t="s">
        <v>447</v>
      </c>
      <c r="W22" s="244" t="s">
        <v>464</v>
      </c>
      <c r="X22" s="9"/>
    </row>
    <row r="23" spans="1:24">
      <c r="A23" s="14">
        <v>2013</v>
      </c>
      <c r="B23" s="14" t="s">
        <v>42</v>
      </c>
      <c r="C23" s="14">
        <v>0</v>
      </c>
      <c r="D23" s="14">
        <v>0</v>
      </c>
      <c r="E23" s="14">
        <v>28.41</v>
      </c>
      <c r="F23" s="14">
        <v>141.46</v>
      </c>
      <c r="G23" s="14">
        <v>41.83</v>
      </c>
      <c r="S23" s="295"/>
      <c r="T23" s="244" t="s">
        <v>465</v>
      </c>
      <c r="U23" s="9"/>
      <c r="V23" s="284"/>
      <c r="W23" s="244" t="s">
        <v>465</v>
      </c>
      <c r="X23" s="9"/>
    </row>
    <row r="24" spans="1:24">
      <c r="A24" s="15">
        <v>2014</v>
      </c>
      <c r="B24" s="15" t="s">
        <v>5</v>
      </c>
      <c r="C24" s="15">
        <v>1.97</v>
      </c>
      <c r="D24" s="15">
        <v>0</v>
      </c>
      <c r="E24" s="15">
        <v>13.44</v>
      </c>
      <c r="F24" s="15">
        <v>67.72</v>
      </c>
      <c r="G24" s="15">
        <v>19.989999999999998</v>
      </c>
      <c r="S24" s="204"/>
      <c r="T24" s="248" t="s">
        <v>466</v>
      </c>
      <c r="U24" s="9"/>
      <c r="V24" s="257"/>
      <c r="W24" s="258" t="s">
        <v>466</v>
      </c>
      <c r="X24" s="9"/>
    </row>
    <row r="25" spans="1:24">
      <c r="A25" s="8">
        <v>2014</v>
      </c>
      <c r="B25" s="8" t="s">
        <v>6</v>
      </c>
      <c r="C25" s="8">
        <v>0</v>
      </c>
      <c r="D25" s="8">
        <v>0</v>
      </c>
      <c r="E25" s="8">
        <v>47.42</v>
      </c>
      <c r="F25" s="8">
        <v>245.02</v>
      </c>
      <c r="G25" s="8">
        <v>69.87</v>
      </c>
      <c r="S25" s="256"/>
      <c r="T25" s="254"/>
      <c r="U25" s="9"/>
      <c r="V25" s="256"/>
      <c r="W25" s="254"/>
      <c r="X25" s="9"/>
    </row>
    <row r="26" spans="1:24">
      <c r="A26" s="14">
        <v>2014</v>
      </c>
      <c r="B26" s="14" t="s">
        <v>42</v>
      </c>
      <c r="C26" s="14">
        <v>1.01</v>
      </c>
      <c r="D26" s="14">
        <v>0</v>
      </c>
      <c r="E26" s="14">
        <v>29.95</v>
      </c>
      <c r="F26" s="14">
        <v>153.44999999999999</v>
      </c>
      <c r="G26" s="14">
        <v>44.18</v>
      </c>
      <c r="S26" s="242"/>
      <c r="T26" s="254"/>
      <c r="U26" s="9"/>
      <c r="V26" s="242"/>
      <c r="W26" s="254"/>
      <c r="X26" s="9"/>
    </row>
    <row r="27" spans="1:24">
      <c r="A27" s="8">
        <v>2015</v>
      </c>
      <c r="B27" s="8" t="s">
        <v>5</v>
      </c>
      <c r="C27" s="8">
        <v>1.97</v>
      </c>
      <c r="D27" s="8">
        <v>0</v>
      </c>
      <c r="E27" s="8">
        <v>8.75</v>
      </c>
      <c r="F27" s="8">
        <v>61.58</v>
      </c>
      <c r="G27" s="8">
        <v>17.14</v>
      </c>
      <c r="S27" s="9"/>
      <c r="T27" s="9"/>
      <c r="U27" s="9"/>
      <c r="V27" s="9"/>
      <c r="W27" s="9"/>
      <c r="X27" s="9"/>
    </row>
    <row r="28" spans="1:24">
      <c r="A28" s="8">
        <v>2015</v>
      </c>
      <c r="B28" s="8" t="s">
        <v>6</v>
      </c>
      <c r="C28" s="8">
        <v>0</v>
      </c>
      <c r="D28" s="8">
        <v>0</v>
      </c>
      <c r="E28" s="8">
        <v>39.18</v>
      </c>
      <c r="F28" s="8">
        <v>248.79</v>
      </c>
      <c r="G28" s="8">
        <v>67.44</v>
      </c>
    </row>
    <row r="29" spans="1:24">
      <c r="A29" s="8">
        <v>2015</v>
      </c>
      <c r="B29" s="8" t="s">
        <v>42</v>
      </c>
      <c r="C29" s="8">
        <v>1.02</v>
      </c>
      <c r="D29" s="8">
        <v>0</v>
      </c>
      <c r="E29" s="8">
        <v>23.57</v>
      </c>
      <c r="F29" s="8">
        <v>151.69</v>
      </c>
      <c r="G29" s="8">
        <v>41.5</v>
      </c>
    </row>
    <row r="30" spans="1:24">
      <c r="A30" s="12">
        <v>2016</v>
      </c>
      <c r="B30" s="15" t="s">
        <v>5</v>
      </c>
      <c r="C30" s="12"/>
      <c r="D30" s="23"/>
      <c r="E30" s="23"/>
      <c r="F30" s="23"/>
      <c r="G30" s="23"/>
    </row>
    <row r="31" spans="1:24">
      <c r="A31" s="9">
        <v>2016</v>
      </c>
      <c r="B31" s="8" t="s">
        <v>6</v>
      </c>
      <c r="C31" s="9"/>
      <c r="D31" s="25"/>
      <c r="E31" s="25"/>
      <c r="F31" s="25"/>
      <c r="G31" s="25"/>
    </row>
    <row r="32" spans="1:24">
      <c r="A32" s="13">
        <v>2016</v>
      </c>
      <c r="B32" s="14" t="s">
        <v>42</v>
      </c>
      <c r="C32" s="13"/>
      <c r="D32" s="38"/>
      <c r="E32" s="38"/>
      <c r="F32" s="38"/>
      <c r="G32" s="38"/>
    </row>
    <row r="33" spans="1:7">
      <c r="A33" s="12">
        <v>2017</v>
      </c>
      <c r="B33" s="15" t="s">
        <v>5</v>
      </c>
      <c r="C33" s="12"/>
      <c r="D33" s="23"/>
      <c r="E33" s="23"/>
      <c r="F33" s="23"/>
      <c r="G33" s="23"/>
    </row>
    <row r="34" spans="1:7">
      <c r="A34" s="37">
        <v>2017</v>
      </c>
      <c r="B34" s="8" t="s">
        <v>6</v>
      </c>
      <c r="C34" s="9"/>
      <c r="D34" s="36"/>
      <c r="E34" s="36"/>
      <c r="F34" s="36"/>
      <c r="G34" s="36"/>
    </row>
    <row r="35" spans="1:7">
      <c r="A35" s="39">
        <v>2017</v>
      </c>
      <c r="B35" s="14" t="s">
        <v>42</v>
      </c>
      <c r="C35" s="13"/>
      <c r="D35" s="24"/>
      <c r="E35" s="24"/>
      <c r="F35" s="24"/>
      <c r="G35" s="24"/>
    </row>
    <row r="36" spans="1:7">
      <c r="A36" s="40">
        <v>2018</v>
      </c>
      <c r="B36" s="15" t="s">
        <v>5</v>
      </c>
      <c r="C36" s="12"/>
      <c r="D36" s="23"/>
      <c r="E36" s="23"/>
      <c r="F36" s="23"/>
      <c r="G36" s="23"/>
    </row>
    <row r="37" spans="1:7">
      <c r="A37" s="37">
        <v>2018</v>
      </c>
      <c r="B37" s="8" t="s">
        <v>6</v>
      </c>
      <c r="C37" s="9"/>
      <c r="D37" s="36"/>
      <c r="E37" s="36"/>
      <c r="F37" s="36"/>
      <c r="G37" s="36"/>
    </row>
    <row r="38" spans="1:7">
      <c r="A38" s="39">
        <v>2018</v>
      </c>
      <c r="B38" s="14" t="s">
        <v>42</v>
      </c>
      <c r="C38" s="13"/>
      <c r="D38" s="38"/>
      <c r="E38" s="38"/>
      <c r="F38" s="38"/>
      <c r="G38" s="38"/>
    </row>
    <row r="39" spans="1:7">
      <c r="A39" s="40">
        <v>2019</v>
      </c>
      <c r="B39" s="15" t="s">
        <v>5</v>
      </c>
      <c r="C39" s="12"/>
      <c r="D39" s="41"/>
      <c r="E39" s="41"/>
      <c r="F39" s="41"/>
      <c r="G39" s="41"/>
    </row>
    <row r="40" spans="1:7">
      <c r="A40" s="37">
        <v>2019</v>
      </c>
      <c r="B40" s="8" t="s">
        <v>6</v>
      </c>
      <c r="C40" s="9"/>
      <c r="D40" s="36"/>
      <c r="E40" s="36"/>
      <c r="F40" s="36"/>
      <c r="G40" s="36"/>
    </row>
    <row r="41" spans="1:7">
      <c r="A41" s="39">
        <v>2019</v>
      </c>
      <c r="B41" s="14" t="s">
        <v>42</v>
      </c>
      <c r="C41" s="13"/>
      <c r="D41" s="38"/>
      <c r="E41" s="38"/>
      <c r="F41" s="38"/>
      <c r="G41" s="38"/>
    </row>
    <row r="42" spans="1:7">
      <c r="A42" s="40">
        <v>2020</v>
      </c>
      <c r="B42" s="15" t="s">
        <v>5</v>
      </c>
      <c r="C42" s="12"/>
      <c r="D42" s="23"/>
      <c r="E42" s="23"/>
      <c r="F42" s="23"/>
      <c r="G42" s="23"/>
    </row>
    <row r="43" spans="1:7">
      <c r="A43" s="37">
        <v>2020</v>
      </c>
      <c r="B43" s="8" t="s">
        <v>6</v>
      </c>
      <c r="C43" s="9"/>
      <c r="D43" s="25"/>
      <c r="E43" s="25"/>
      <c r="F43" s="25"/>
      <c r="G43" s="25"/>
    </row>
    <row r="44" spans="1:7">
      <c r="A44" s="39">
        <v>2020</v>
      </c>
      <c r="B44" s="14" t="s">
        <v>42</v>
      </c>
      <c r="C44" s="13"/>
      <c r="D44" s="38"/>
      <c r="E44" s="38"/>
      <c r="F44" s="38"/>
      <c r="G44" s="38"/>
    </row>
    <row r="45" spans="1:7">
      <c r="A45" s="40">
        <v>2021</v>
      </c>
      <c r="B45" s="15" t="s">
        <v>5</v>
      </c>
      <c r="C45" s="12"/>
      <c r="D45" s="41"/>
      <c r="E45" s="41"/>
      <c r="F45" s="41"/>
      <c r="G45" s="41"/>
    </row>
    <row r="46" spans="1:7">
      <c r="A46" s="37">
        <v>2021</v>
      </c>
      <c r="B46" s="8" t="s">
        <v>6</v>
      </c>
      <c r="C46" s="9"/>
      <c r="D46" s="25"/>
      <c r="E46" s="25"/>
      <c r="F46" s="25"/>
      <c r="G46" s="25"/>
    </row>
    <row r="47" spans="1:7">
      <c r="A47" s="39">
        <v>2021</v>
      </c>
      <c r="B47" s="14" t="s">
        <v>42</v>
      </c>
      <c r="C47" s="13"/>
      <c r="D47" s="24"/>
      <c r="E47" s="24"/>
      <c r="F47" s="24"/>
      <c r="G47" s="24"/>
    </row>
    <row r="48" spans="1:7">
      <c r="A48" s="40">
        <v>2022</v>
      </c>
      <c r="B48" s="15" t="s">
        <v>5</v>
      </c>
      <c r="C48" s="12"/>
      <c r="D48" s="41"/>
      <c r="E48" s="41"/>
      <c r="F48" s="41"/>
      <c r="G48" s="41"/>
    </row>
    <row r="49" spans="1:7">
      <c r="A49" s="37">
        <v>2022</v>
      </c>
      <c r="B49" s="8" t="s">
        <v>6</v>
      </c>
      <c r="C49" s="9"/>
      <c r="D49" s="25"/>
      <c r="E49" s="25"/>
      <c r="F49" s="25"/>
      <c r="G49" s="25"/>
    </row>
    <row r="50" spans="1:7">
      <c r="A50" s="39">
        <v>2022</v>
      </c>
      <c r="B50" s="14" t="s">
        <v>42</v>
      </c>
      <c r="C50" s="13"/>
      <c r="D50" s="24"/>
      <c r="E50" s="24"/>
      <c r="F50" s="24"/>
      <c r="G50" s="24"/>
    </row>
    <row r="51" spans="1:7">
      <c r="A51" s="40">
        <v>2023</v>
      </c>
      <c r="B51" s="15" t="s">
        <v>5</v>
      </c>
      <c r="C51" s="12"/>
      <c r="D51" s="12"/>
      <c r="E51" s="12"/>
      <c r="F51" s="12"/>
      <c r="G51" s="12"/>
    </row>
    <row r="52" spans="1:7">
      <c r="A52" s="9">
        <v>2023</v>
      </c>
      <c r="B52" s="8" t="s">
        <v>6</v>
      </c>
      <c r="C52" s="9"/>
      <c r="D52" s="9"/>
      <c r="E52" s="9"/>
      <c r="F52" s="9"/>
      <c r="G52" s="9"/>
    </row>
    <row r="53" spans="1:7">
      <c r="A53" s="39">
        <v>2023</v>
      </c>
      <c r="B53" s="14" t="s">
        <v>42</v>
      </c>
      <c r="C53" s="13"/>
      <c r="D53" s="13"/>
      <c r="E53" s="13"/>
      <c r="F53" s="13"/>
      <c r="G53" s="14"/>
    </row>
    <row r="54" spans="1:7">
      <c r="A54" s="40">
        <v>2024</v>
      </c>
      <c r="B54" s="15" t="s">
        <v>5</v>
      </c>
      <c r="C54" s="12"/>
      <c r="D54" s="12"/>
      <c r="E54" s="12"/>
      <c r="F54" s="12"/>
      <c r="G54" s="15"/>
    </row>
    <row r="55" spans="1:7">
      <c r="A55" s="37">
        <v>2024</v>
      </c>
      <c r="B55" s="8" t="s">
        <v>6</v>
      </c>
      <c r="C55" s="9"/>
      <c r="D55" s="9"/>
      <c r="E55" s="9"/>
      <c r="F55" s="9"/>
      <c r="G55" s="8"/>
    </row>
    <row r="56" spans="1:7">
      <c r="A56" s="39">
        <v>2024</v>
      </c>
      <c r="B56" s="14" t="s">
        <v>42</v>
      </c>
      <c r="C56" s="13"/>
      <c r="D56" s="13"/>
      <c r="E56" s="13"/>
      <c r="F56" s="13"/>
      <c r="G56" s="14"/>
    </row>
    <row r="57" spans="1:7">
      <c r="A57" s="40">
        <v>2025</v>
      </c>
      <c r="B57" s="15" t="s">
        <v>5</v>
      </c>
      <c r="C57" s="12"/>
      <c r="D57" s="12"/>
      <c r="E57" s="12"/>
      <c r="F57" s="12"/>
      <c r="G57" s="15"/>
    </row>
    <row r="58" spans="1:7">
      <c r="A58" s="37">
        <v>2025</v>
      </c>
      <c r="B58" s="8" t="s">
        <v>6</v>
      </c>
      <c r="C58" s="9"/>
      <c r="D58" s="9"/>
      <c r="E58" s="9"/>
      <c r="F58" s="9"/>
      <c r="G58" s="8"/>
    </row>
    <row r="59" spans="1:7">
      <c r="A59" s="39">
        <v>2025</v>
      </c>
      <c r="B59" s="14" t="s">
        <v>42</v>
      </c>
      <c r="C59" s="13"/>
      <c r="D59" s="13"/>
      <c r="E59" s="13"/>
      <c r="F59" s="13"/>
      <c r="G59" s="14"/>
    </row>
  </sheetData>
  <mergeCells count="10">
    <mergeCell ref="B8:K8"/>
    <mergeCell ref="V3:W3"/>
    <mergeCell ref="V4:W4"/>
    <mergeCell ref="S3:T3"/>
    <mergeCell ref="S4:T4"/>
    <mergeCell ref="N2:Q2"/>
    <mergeCell ref="A3:Q3"/>
    <mergeCell ref="B5:K5"/>
    <mergeCell ref="B6:K6"/>
    <mergeCell ref="B7:K7"/>
  </mergeCells>
  <hyperlinks>
    <hyperlink ref="N2" location="'Information och Innehåll'!A1" display="Tillbaka till Information och Innehåll"/>
    <hyperlink ref="S6" location="V1.1.1!A1" display="V1.1.1"/>
    <hyperlink ref="S7" location="V1.1.2!A1" display="V1.1.2"/>
    <hyperlink ref="S8" location="V1.1.3!A1" display="V1.1.3"/>
    <hyperlink ref="S9" location="V2.1.1!A1" display="V2.1.1"/>
    <hyperlink ref="S10" location="V2.1.2!A1" display="V2.1.2"/>
    <hyperlink ref="S12" location="V3.1.2!A1" display="V3.1.2"/>
    <hyperlink ref="S11" location="V3.1.1!A1" display="V3.1.1"/>
    <hyperlink ref="S13" location="V3.1.3!A1" display="V3.1.3"/>
    <hyperlink ref="S15" location="V4.1.1!A1" display="V4.1.1"/>
    <hyperlink ref="S16" location="V4.2.1!A1" display="V4.2.1"/>
    <hyperlink ref="S17" location="V4.2.2!A1" display="V4.2.2"/>
    <hyperlink ref="S18" location="V4.2.3!A1" display="V4.2.3"/>
    <hyperlink ref="S19" location="V4.2.4!A1" display="V4.2.4"/>
    <hyperlink ref="S20" location="V5.1.1!A1" display="V5.1.1"/>
    <hyperlink ref="S21" location="V5.1.2!A1" display="V5.1.2"/>
    <hyperlink ref="T6" location="B1.1.1!A1" display="B1.1.1"/>
    <hyperlink ref="T7" location="B1.1.2!A1" display="B1.1.2"/>
    <hyperlink ref="T8" location="B1.2.1!A1" display="B1.2.1"/>
    <hyperlink ref="T9" location="B1.2.2!A1" display="B1.2.2"/>
    <hyperlink ref="T10" location="B1.2.3!A1" display="B1.2.3"/>
    <hyperlink ref="T11" location="B2.1.1!A1" display="B2.1.1"/>
    <hyperlink ref="T13" location="B2.2.1!A1" display="B2.2.1"/>
    <hyperlink ref="T14" location="B2.2.2!A1" display="B2.2.2"/>
    <hyperlink ref="T15" location="B2.2.3!A1" display="B2.2.3"/>
    <hyperlink ref="T16" location="B2.2.4!A1" display="B2.2.4"/>
    <hyperlink ref="T17" location="B3.1.1!A1" display="B3.1.1"/>
    <hyperlink ref="T18" location="B3.1.2!A1" display="B3.1.2"/>
    <hyperlink ref="T21" location="B4.1.1!A1" display="B4.1.1"/>
    <hyperlink ref="T22" location="B5.1.1!A1" display="B5.1.1"/>
    <hyperlink ref="T23" location="B5.1.2!A1" display="B5.1.2"/>
    <hyperlink ref="T24" location="B5.1.3!A1" display="B5.1.3"/>
    <hyperlink ref="T19" location="B3.1.3!A1" display="B3.1.3"/>
    <hyperlink ref="T12" location="B2.1.2!A1" display="B2.1.2"/>
    <hyperlink ref="S22" location="V5.1.3!A1" display="V5.1.3"/>
    <hyperlink ref="T20" location="B3.2.1!A1" display="B3.2.1"/>
    <hyperlink ref="S14" location="B3.2.1!A1" display="V3.2.1"/>
    <hyperlink ref="V6" location="'V1.1.1 DATA'!A1" display="V1.1.1"/>
    <hyperlink ref="V7" location="'V1.1.2 DATA'!A1" display="V1.1.2"/>
    <hyperlink ref="V8" location="'V1.1.3 Data'!A1" display="V1.1.3"/>
    <hyperlink ref="V9" location="'V2.1.1 DATA'!A1" display="V2.1.1"/>
    <hyperlink ref="V10" location="'V2.1.2 DATA'!A1" display="V2.1.2"/>
    <hyperlink ref="V12" location="'V3.1.2 DATA'!A1" display="V3.1.2"/>
    <hyperlink ref="V11" location="'V3.1.1 DATA'!A1" display="V3.1.1"/>
    <hyperlink ref="V13" location="'V3.1.3 DATA'!A1" display="V3.1.3"/>
    <hyperlink ref="V14" location="'V3.2.1 DATA'!A1" display="V3.2.1"/>
    <hyperlink ref="V15" location="'V4.1.1 DATA'!A1" display="V4.1.1"/>
    <hyperlink ref="V16" location="'V4.2.1 DATA'!A1" display="V4.2.1"/>
    <hyperlink ref="V18" location="'V4.2.3 DATA'!A1" display="V4.2.3"/>
    <hyperlink ref="V19" location="'V4.2.4 DATA'!A1" display="V4.2.4"/>
    <hyperlink ref="V20" location="'V5.1.1 DATA'!A1" display="V5.1.1"/>
    <hyperlink ref="V21" location="'V5.1.2 DATA'!A1" display="V5.1.2"/>
    <hyperlink ref="W6" location="'B1.1.1 DATA'!A1" display="B1.1.1"/>
    <hyperlink ref="W7" location="'B1.1.2 DATA'!A1" display="B1.1.2"/>
    <hyperlink ref="W8" location="'B1.2.1 DATA'!A1" display="B1.2.1"/>
    <hyperlink ref="W9" location="'B1.2.2 DATA'!A1" display="B1.2.2"/>
    <hyperlink ref="W10" location="'B1.2.3 DATA'!A1" display="B1.2.3"/>
    <hyperlink ref="W11" location="'B2.1.1 DATA'!A1" display="B2.1.1"/>
    <hyperlink ref="W13" location="'B2.2.1 DATA'!A1" display="B2.2.1"/>
    <hyperlink ref="W14" location="'B2.2.2 DATA'!A1" display="B2.2.2"/>
    <hyperlink ref="W15" location="'B2.2.3 DATA'!A1" display="B2.2.3"/>
    <hyperlink ref="W16" location="'B2.2.4 DATA'!A1" display="B2.2.4"/>
    <hyperlink ref="W17" location="'B3.1.1 DATA'!A1" display="B3.1.1"/>
    <hyperlink ref="W18" location="'B3.1.2 DATA'!A1" display="B3.1.2"/>
    <hyperlink ref="W20" location="'B3.2.1 DATA'!A1" display="B3.2.1"/>
    <hyperlink ref="W21" location="'B4.1.1 DATA'!A1" display="B4.1.1"/>
    <hyperlink ref="W22" location="'B5.1.1 DATA'!A1" display="B5.1.1"/>
    <hyperlink ref="W23" location="'B5.1.2 DATA'!A1" display="B5.1.2"/>
    <hyperlink ref="W24" location="'B5.1.3 DATA'!A1" display="B5.1.3"/>
    <hyperlink ref="W12" location="'B2.1.2 DATA'!A1" display="B2.1.2"/>
    <hyperlink ref="V22" location="'V5.1.3 DATA'!A1" display="V5.1.3"/>
    <hyperlink ref="W19" location="'B3.1.3 DATA'!A1" display="B3.1.3"/>
    <hyperlink ref="V17" location="'V4.2.2 DATA'!A1" display="V4.2.2"/>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18366"/>
  </sheetPr>
  <dimension ref="A2:AA56"/>
  <sheetViews>
    <sheetView showGridLines="0" showRowColHeaders="0" zoomScale="70" zoomScaleNormal="70" workbookViewId="0">
      <selection activeCell="R7" sqref="R7:T7"/>
    </sheetView>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490</v>
      </c>
      <c r="C3" s="338"/>
      <c r="D3" s="338"/>
      <c r="E3" s="338"/>
      <c r="F3" s="338"/>
      <c r="G3" s="338"/>
      <c r="H3" s="338"/>
      <c r="I3" s="338"/>
      <c r="J3" s="338"/>
      <c r="K3" s="338"/>
      <c r="L3" s="338"/>
      <c r="M3" s="338"/>
      <c r="N3" s="338"/>
      <c r="O3" s="338"/>
      <c r="P3" s="338"/>
      <c r="Q3" s="338"/>
      <c r="R3" s="338"/>
      <c r="S3" s="338"/>
      <c r="T3" s="338"/>
    </row>
    <row r="4" spans="1:20" ht="30.75">
      <c r="B4" s="366" t="s">
        <v>501</v>
      </c>
      <c r="C4" s="366"/>
      <c r="D4" s="366"/>
      <c r="E4" s="366"/>
      <c r="F4" s="366"/>
      <c r="G4" s="366"/>
      <c r="H4" s="366"/>
      <c r="I4" s="366"/>
      <c r="J4" s="366"/>
      <c r="K4" s="366"/>
      <c r="L4" s="366"/>
      <c r="M4" s="366"/>
      <c r="N4" s="366"/>
      <c r="O4" s="366"/>
      <c r="P4" s="366"/>
      <c r="Q4" s="366"/>
      <c r="R4" s="366"/>
      <c r="S4" s="366"/>
      <c r="T4" s="366"/>
    </row>
    <row r="5" spans="1:20" ht="18">
      <c r="B5" s="340" t="s">
        <v>51</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306</v>
      </c>
      <c r="C9" s="341"/>
      <c r="D9" s="341"/>
      <c r="E9" s="341"/>
      <c r="F9" s="341"/>
      <c r="G9" s="341"/>
      <c r="H9" s="341"/>
      <c r="I9" s="341"/>
      <c r="J9" s="341"/>
      <c r="K9" s="341"/>
      <c r="L9" s="341"/>
      <c r="N9" s="331" t="s">
        <v>38</v>
      </c>
      <c r="O9" s="331"/>
      <c r="P9" s="331"/>
      <c r="Q9" s="331"/>
      <c r="R9" s="331"/>
      <c r="S9" s="331"/>
      <c r="T9" s="331"/>
    </row>
    <row r="10" spans="1:20" ht="23.25">
      <c r="B10" s="216"/>
      <c r="C10" s="216"/>
      <c r="D10" s="216"/>
      <c r="E10" s="216"/>
      <c r="F10" s="216"/>
      <c r="G10" s="216"/>
      <c r="H10" s="216"/>
      <c r="I10" s="216"/>
      <c r="J10" s="216"/>
      <c r="K10" s="216"/>
      <c r="L10" s="216"/>
      <c r="N10" s="122"/>
      <c r="O10" s="122"/>
      <c r="P10" s="122"/>
      <c r="Q10" s="122"/>
      <c r="R10" s="122"/>
      <c r="S10" s="122"/>
      <c r="T10" s="122"/>
    </row>
    <row r="11" spans="1:20">
      <c r="B11" s="348" t="s">
        <v>40</v>
      </c>
      <c r="C11" s="348"/>
      <c r="D11" s="348"/>
      <c r="E11" s="348"/>
      <c r="F11" s="348"/>
      <c r="G11" s="348"/>
      <c r="H11" s="348"/>
      <c r="I11" s="348"/>
      <c r="J11" s="348"/>
      <c r="K11" s="348"/>
      <c r="L11" s="348"/>
      <c r="N11" s="11"/>
      <c r="O11" s="11"/>
      <c r="P11" s="11"/>
      <c r="Q11" s="11"/>
    </row>
    <row r="12" spans="1:20">
      <c r="B12" s="217"/>
      <c r="C12" s="349" t="s">
        <v>381</v>
      </c>
      <c r="D12" s="349"/>
      <c r="E12" s="349"/>
      <c r="F12" s="349"/>
      <c r="G12" s="349"/>
      <c r="H12" s="349"/>
      <c r="I12" s="349"/>
      <c r="J12" s="349"/>
      <c r="K12" s="349"/>
      <c r="L12" s="349"/>
      <c r="N12" s="11"/>
      <c r="O12" s="11"/>
      <c r="P12" s="11"/>
      <c r="Q12" s="11"/>
    </row>
    <row r="13" spans="1:20">
      <c r="B13" s="218"/>
      <c r="C13" s="350" t="s">
        <v>314</v>
      </c>
      <c r="D13" s="350"/>
      <c r="E13" s="350"/>
      <c r="F13" s="350"/>
      <c r="G13" s="350"/>
      <c r="H13" s="350"/>
      <c r="I13" s="350"/>
      <c r="J13" s="350"/>
      <c r="K13" s="350"/>
      <c r="L13" s="350"/>
      <c r="N13" s="110"/>
      <c r="O13" s="111"/>
      <c r="P13" s="111"/>
      <c r="Q13" s="111"/>
    </row>
    <row r="14" spans="1:20">
      <c r="B14" s="218"/>
      <c r="C14" s="346" t="s">
        <v>292</v>
      </c>
      <c r="D14" s="346"/>
      <c r="E14" s="346"/>
      <c r="F14" s="346"/>
      <c r="G14" s="346"/>
      <c r="H14" s="346"/>
      <c r="I14" s="346"/>
      <c r="J14" s="346"/>
      <c r="K14" s="346"/>
      <c r="L14" s="346"/>
      <c r="N14" s="110"/>
      <c r="O14" s="111"/>
      <c r="P14" s="111"/>
      <c r="Q14" s="111"/>
    </row>
    <row r="15" spans="1:20">
      <c r="B15" s="218"/>
      <c r="C15" s="346" t="s">
        <v>315</v>
      </c>
      <c r="D15" s="346"/>
      <c r="E15" s="346"/>
      <c r="F15" s="346"/>
      <c r="G15" s="346"/>
      <c r="H15" s="346"/>
      <c r="I15" s="346"/>
      <c r="J15" s="346"/>
      <c r="K15" s="346"/>
      <c r="L15" s="346"/>
      <c r="N15" s="110"/>
      <c r="O15" s="111"/>
      <c r="P15" s="111"/>
      <c r="Q15" s="111"/>
    </row>
    <row r="16" spans="1:20">
      <c r="A16" s="3"/>
      <c r="B16" s="218"/>
      <c r="C16" s="219"/>
      <c r="D16" s="219"/>
      <c r="E16" s="219"/>
      <c r="F16" s="219"/>
      <c r="G16" s="219"/>
      <c r="H16" s="219"/>
      <c r="I16" s="219"/>
      <c r="J16" s="219"/>
      <c r="K16" s="219"/>
      <c r="L16" s="218"/>
      <c r="N16" s="110"/>
      <c r="O16" s="111"/>
      <c r="P16" s="111"/>
      <c r="Q16" s="111"/>
    </row>
    <row r="17" spans="1:26">
      <c r="A17" s="3"/>
      <c r="B17" s="348" t="s">
        <v>41</v>
      </c>
      <c r="C17" s="348"/>
      <c r="D17" s="348"/>
      <c r="E17" s="348"/>
      <c r="F17" s="348"/>
      <c r="G17" s="348"/>
      <c r="H17" s="348"/>
      <c r="I17" s="348"/>
      <c r="J17" s="348"/>
      <c r="K17" s="348"/>
      <c r="L17" s="348"/>
      <c r="N17" s="110"/>
      <c r="O17" s="111"/>
      <c r="P17" s="111"/>
      <c r="Q17" s="111"/>
    </row>
    <row r="18" spans="1:26">
      <c r="A18" s="3"/>
      <c r="B18" s="217"/>
      <c r="C18" s="346" t="s">
        <v>295</v>
      </c>
      <c r="D18" s="346"/>
      <c r="E18" s="346"/>
      <c r="F18" s="346"/>
      <c r="G18" s="346"/>
      <c r="H18" s="346"/>
      <c r="I18" s="346"/>
      <c r="J18" s="346"/>
      <c r="K18" s="346"/>
      <c r="L18" s="346"/>
      <c r="N18" s="110"/>
      <c r="O18" s="111"/>
      <c r="P18" s="111"/>
      <c r="Q18" s="111"/>
    </row>
    <row r="19" spans="1:26">
      <c r="A19" s="3"/>
      <c r="B19" s="218"/>
      <c r="C19" s="346" t="s">
        <v>317</v>
      </c>
      <c r="D19" s="346"/>
      <c r="E19" s="346"/>
      <c r="F19" s="346"/>
      <c r="G19" s="346"/>
      <c r="H19" s="346"/>
      <c r="I19" s="346"/>
      <c r="J19" s="346"/>
      <c r="K19" s="346"/>
      <c r="L19" s="346"/>
      <c r="N19" s="110"/>
      <c r="O19" s="111"/>
      <c r="P19" s="111"/>
      <c r="Q19" s="111"/>
    </row>
    <row r="20" spans="1:26">
      <c r="A20" s="3"/>
      <c r="B20" s="218"/>
      <c r="C20" s="346" t="s">
        <v>369</v>
      </c>
      <c r="D20" s="346"/>
      <c r="E20" s="346"/>
      <c r="F20" s="346"/>
      <c r="G20" s="346"/>
      <c r="H20" s="346"/>
      <c r="I20" s="346"/>
      <c r="J20" s="346"/>
      <c r="K20" s="346"/>
      <c r="L20" s="346"/>
      <c r="N20" s="110"/>
      <c r="O20" s="111"/>
      <c r="P20" s="111"/>
      <c r="Q20" s="111"/>
    </row>
    <row r="21" spans="1:26">
      <c r="A21" s="3"/>
      <c r="B21" s="218"/>
      <c r="C21" s="220" t="str">
        <f>"--&gt;"</f>
        <v>--&gt;</v>
      </c>
      <c r="D21" s="347" t="s">
        <v>212</v>
      </c>
      <c r="E21" s="347"/>
      <c r="F21" s="347"/>
      <c r="G21" s="347"/>
      <c r="H21" s="347"/>
      <c r="I21" s="347"/>
      <c r="J21" s="347"/>
      <c r="K21" s="347"/>
      <c r="L21" s="347"/>
      <c r="N21" s="110"/>
      <c r="O21" s="111"/>
      <c r="P21" s="111"/>
      <c r="Q21" s="111"/>
    </row>
    <row r="22" spans="1:26">
      <c r="A22" s="3"/>
      <c r="B22" s="218"/>
      <c r="C22" s="218"/>
      <c r="D22" s="347"/>
      <c r="E22" s="347"/>
      <c r="F22" s="347"/>
      <c r="G22" s="347"/>
      <c r="H22" s="347"/>
      <c r="I22" s="347"/>
      <c r="J22" s="347"/>
      <c r="K22" s="347"/>
      <c r="L22" s="347"/>
      <c r="N22" s="110"/>
      <c r="O22" s="111"/>
      <c r="P22" s="111"/>
      <c r="Q22" s="111"/>
    </row>
    <row r="23" spans="1:26">
      <c r="A23" s="3"/>
      <c r="B23" s="218"/>
      <c r="C23" s="346" t="s">
        <v>356</v>
      </c>
      <c r="D23" s="346"/>
      <c r="E23" s="346"/>
      <c r="F23" s="346"/>
      <c r="G23" s="346"/>
      <c r="H23" s="346"/>
      <c r="I23" s="346"/>
      <c r="J23" s="346"/>
      <c r="K23" s="346"/>
      <c r="L23" s="346"/>
    </row>
    <row r="24" spans="1:26">
      <c r="A24" s="3"/>
      <c r="B24" s="218"/>
      <c r="C24" s="346"/>
      <c r="D24" s="346"/>
      <c r="E24" s="346"/>
      <c r="F24" s="346"/>
      <c r="G24" s="346"/>
      <c r="H24" s="346"/>
      <c r="I24" s="346"/>
      <c r="J24" s="346"/>
      <c r="K24" s="346"/>
      <c r="L24" s="346"/>
      <c r="Q24" s="2"/>
      <c r="S24" s="11"/>
      <c r="T24" s="11"/>
    </row>
    <row r="25" spans="1:26">
      <c r="A25" s="3"/>
      <c r="B25" s="218"/>
      <c r="C25" s="346"/>
      <c r="D25" s="346"/>
      <c r="E25" s="346"/>
      <c r="F25" s="346"/>
      <c r="G25" s="346"/>
      <c r="H25" s="346"/>
      <c r="I25" s="346"/>
      <c r="J25" s="346"/>
      <c r="K25" s="346"/>
      <c r="L25" s="346"/>
      <c r="Q25" s="2"/>
      <c r="S25" s="11"/>
      <c r="T25" s="11"/>
    </row>
    <row r="26" spans="1:26" ht="14.45" customHeight="1">
      <c r="A26" s="3"/>
      <c r="B26" s="218"/>
      <c r="C26" s="344" t="s">
        <v>322</v>
      </c>
      <c r="D26" s="344"/>
      <c r="E26" s="344"/>
      <c r="F26" s="344"/>
      <c r="G26" s="344"/>
      <c r="H26" s="344"/>
      <c r="I26" s="344"/>
      <c r="J26" s="344"/>
      <c r="K26" s="344"/>
      <c r="L26" s="344"/>
      <c r="Q26" s="2"/>
      <c r="S26" s="11"/>
      <c r="T26" s="11"/>
    </row>
    <row r="27" spans="1:26">
      <c r="B27" s="219"/>
      <c r="C27" s="344"/>
      <c r="D27" s="344"/>
      <c r="E27" s="344"/>
      <c r="F27" s="344"/>
      <c r="G27" s="344"/>
      <c r="H27" s="344"/>
      <c r="I27" s="344"/>
      <c r="J27" s="344"/>
      <c r="K27" s="344"/>
      <c r="L27" s="344"/>
      <c r="Q27" s="2"/>
      <c r="S27" s="11"/>
      <c r="T27" s="11"/>
    </row>
    <row r="28" spans="1:26">
      <c r="B28" s="219"/>
      <c r="C28" s="344"/>
      <c r="D28" s="344"/>
      <c r="E28" s="344"/>
      <c r="F28" s="344"/>
      <c r="G28" s="344"/>
      <c r="H28" s="344"/>
      <c r="I28" s="344"/>
      <c r="J28" s="344"/>
      <c r="K28" s="344"/>
      <c r="L28" s="344"/>
      <c r="Q28" s="2"/>
      <c r="S28" s="11"/>
      <c r="T28" s="11"/>
    </row>
    <row r="29" spans="1:26">
      <c r="B29" s="221"/>
      <c r="C29" s="345"/>
      <c r="D29" s="345"/>
      <c r="E29" s="345"/>
      <c r="F29" s="345"/>
      <c r="G29" s="345"/>
      <c r="H29" s="345"/>
      <c r="I29" s="345"/>
      <c r="J29" s="345"/>
      <c r="K29" s="345"/>
      <c r="L29" s="345"/>
      <c r="S29" s="11"/>
      <c r="T29" s="11"/>
    </row>
    <row r="30" spans="1:26">
      <c r="B30" s="222"/>
      <c r="C30" s="345"/>
      <c r="D30" s="345"/>
      <c r="E30" s="345"/>
      <c r="F30" s="345"/>
      <c r="G30" s="345"/>
      <c r="H30" s="345"/>
      <c r="I30" s="345"/>
      <c r="J30" s="345"/>
      <c r="K30" s="345"/>
      <c r="L30" s="345"/>
      <c r="M30" s="9"/>
      <c r="N30" s="122"/>
      <c r="O30" s="34"/>
      <c r="P30" s="35"/>
      <c r="Q30" s="35"/>
      <c r="R30" s="35"/>
      <c r="S30" s="35"/>
      <c r="T30" s="122"/>
    </row>
    <row r="31" spans="1:26">
      <c r="A31" s="3"/>
      <c r="V31" s="57"/>
      <c r="W31" s="57"/>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7">
      <c r="A33" s="3"/>
      <c r="B33" s="119"/>
      <c r="C33" s="119"/>
      <c r="D33" s="119"/>
      <c r="E33" s="119"/>
      <c r="F33" s="119"/>
      <c r="G33" s="119"/>
      <c r="H33" s="119"/>
      <c r="I33" s="119"/>
      <c r="J33" s="119"/>
      <c r="K33" s="119"/>
      <c r="L33" s="119"/>
      <c r="M33" s="119"/>
      <c r="N33" s="119"/>
      <c r="O33" s="119"/>
      <c r="P33" s="119"/>
      <c r="Q33" s="119"/>
      <c r="R33" s="119"/>
      <c r="S33" s="119"/>
      <c r="T33" s="119"/>
      <c r="V33" s="319" t="s">
        <v>65</v>
      </c>
      <c r="W33" s="320"/>
      <c r="X33" s="11"/>
      <c r="Y33" s="319" t="s">
        <v>66</v>
      </c>
      <c r="Z33" s="320"/>
    </row>
    <row r="34" spans="1:27">
      <c r="B34" s="119"/>
      <c r="C34" s="119"/>
      <c r="D34" s="119"/>
      <c r="E34" s="119"/>
      <c r="F34" s="119"/>
      <c r="G34" s="119"/>
      <c r="H34" s="119"/>
      <c r="I34" s="119"/>
      <c r="J34" s="119"/>
      <c r="K34" s="119"/>
      <c r="L34" s="119"/>
      <c r="M34" s="119"/>
      <c r="N34" s="119"/>
      <c r="O34" s="119"/>
      <c r="P34" s="119"/>
      <c r="Q34" s="119"/>
      <c r="R34" s="119"/>
      <c r="S34" s="119"/>
      <c r="T34" s="119"/>
      <c r="V34" s="56" t="s">
        <v>61</v>
      </c>
      <c r="W34" s="56" t="s">
        <v>62</v>
      </c>
      <c r="X34" s="11"/>
      <c r="Y34" s="56" t="s">
        <v>61</v>
      </c>
      <c r="Z34" s="56" t="s">
        <v>62</v>
      </c>
    </row>
    <row r="35" spans="1:27">
      <c r="B35" s="119"/>
      <c r="C35" s="119"/>
      <c r="D35" s="119"/>
      <c r="E35" s="119"/>
      <c r="F35" s="119"/>
      <c r="G35" s="119"/>
      <c r="H35" s="119"/>
      <c r="I35" s="119"/>
      <c r="J35" s="119"/>
      <c r="K35" s="119"/>
      <c r="L35" s="119"/>
      <c r="M35" s="119"/>
      <c r="N35" s="119"/>
      <c r="O35" s="119"/>
      <c r="P35" s="119"/>
      <c r="Q35" s="119"/>
      <c r="R35" s="119"/>
      <c r="S35" s="119"/>
      <c r="T35" s="119"/>
      <c r="V35" s="244" t="s">
        <v>392</v>
      </c>
      <c r="W35" s="244" t="s">
        <v>448</v>
      </c>
      <c r="X35" s="11"/>
      <c r="Y35" s="244" t="s">
        <v>392</v>
      </c>
      <c r="Z35" s="244" t="s">
        <v>448</v>
      </c>
    </row>
    <row r="36" spans="1:27">
      <c r="B36" s="119"/>
      <c r="C36" s="119"/>
      <c r="D36" s="119"/>
      <c r="E36" s="119"/>
      <c r="F36" s="119"/>
      <c r="G36" s="119"/>
      <c r="H36" s="119"/>
      <c r="I36" s="119"/>
      <c r="J36" s="119"/>
      <c r="K36" s="119"/>
      <c r="L36" s="119"/>
      <c r="M36" s="119"/>
      <c r="N36" s="119"/>
      <c r="O36" s="119"/>
      <c r="P36" s="119"/>
      <c r="Q36" s="119"/>
      <c r="R36" s="119"/>
      <c r="S36" s="119"/>
      <c r="T36" s="119"/>
      <c r="V36" s="244" t="s">
        <v>393</v>
      </c>
      <c r="W36" s="244" t="s">
        <v>449</v>
      </c>
      <c r="X36" s="11"/>
      <c r="Y36" s="244" t="s">
        <v>393</v>
      </c>
      <c r="Z36" s="244" t="s">
        <v>449</v>
      </c>
    </row>
    <row r="37" spans="1:27">
      <c r="B37" s="119"/>
      <c r="C37" s="119"/>
      <c r="D37" s="119"/>
      <c r="E37" s="119"/>
      <c r="F37" s="119"/>
      <c r="G37" s="119"/>
      <c r="H37" s="119"/>
      <c r="I37" s="119"/>
      <c r="J37" s="119"/>
      <c r="K37" s="119"/>
      <c r="L37" s="119"/>
      <c r="M37" s="119"/>
      <c r="N37" s="119"/>
      <c r="O37" s="119"/>
      <c r="P37" s="119"/>
      <c r="Q37" s="119"/>
      <c r="R37" s="119"/>
      <c r="S37" s="119"/>
      <c r="T37" s="119"/>
      <c r="V37" s="244" t="s">
        <v>394</v>
      </c>
      <c r="W37" s="244" t="s">
        <v>450</v>
      </c>
      <c r="X37" s="11"/>
      <c r="Y37" s="244" t="s">
        <v>394</v>
      </c>
      <c r="Z37" s="244" t="s">
        <v>450</v>
      </c>
    </row>
    <row r="38" spans="1:27">
      <c r="B38" s="119"/>
      <c r="C38" s="119"/>
      <c r="D38" s="119"/>
      <c r="E38" s="119"/>
      <c r="F38" s="119"/>
      <c r="G38" s="119"/>
      <c r="H38" s="119"/>
      <c r="I38" s="119"/>
      <c r="J38" s="119"/>
      <c r="K38" s="119"/>
      <c r="L38" s="119"/>
      <c r="M38" s="119"/>
      <c r="N38" s="119"/>
      <c r="O38" s="119"/>
      <c r="P38" s="119"/>
      <c r="Q38" s="119"/>
      <c r="R38" s="119"/>
      <c r="S38" s="119"/>
      <c r="T38" s="119"/>
      <c r="V38" s="244" t="s">
        <v>434</v>
      </c>
      <c r="W38" s="244" t="s">
        <v>451</v>
      </c>
      <c r="X38" s="11"/>
      <c r="Y38" s="244" t="s">
        <v>434</v>
      </c>
      <c r="Z38" s="244" t="s">
        <v>451</v>
      </c>
    </row>
    <row r="39" spans="1:27">
      <c r="B39" s="119"/>
      <c r="C39" s="119"/>
      <c r="D39" s="119"/>
      <c r="E39" s="119"/>
      <c r="F39" s="119"/>
      <c r="G39" s="119"/>
      <c r="H39" s="119"/>
      <c r="I39" s="119"/>
      <c r="J39" s="119"/>
      <c r="K39" s="119"/>
      <c r="L39" s="119"/>
      <c r="M39" s="119"/>
      <c r="N39" s="119"/>
      <c r="O39" s="119"/>
      <c r="P39" s="119"/>
      <c r="Q39" s="119"/>
      <c r="R39" s="119"/>
      <c r="S39" s="119"/>
      <c r="T39" s="119"/>
      <c r="V39" s="244" t="s">
        <v>435</v>
      </c>
      <c r="W39" s="244" t="s">
        <v>452</v>
      </c>
      <c r="Y39" s="244" t="s">
        <v>435</v>
      </c>
      <c r="Z39" s="244" t="s">
        <v>452</v>
      </c>
    </row>
    <row r="40" spans="1:27">
      <c r="B40" s="119"/>
      <c r="C40" s="119"/>
      <c r="D40" s="119"/>
      <c r="E40" s="119"/>
      <c r="F40" s="119"/>
      <c r="G40" s="119"/>
      <c r="H40" s="119"/>
      <c r="I40" s="119"/>
      <c r="J40" s="119"/>
      <c r="K40" s="119"/>
      <c r="L40" s="119"/>
      <c r="M40" s="119"/>
      <c r="N40" s="119"/>
      <c r="O40" s="119"/>
      <c r="P40" s="119"/>
      <c r="Q40" s="119"/>
      <c r="R40" s="119"/>
      <c r="S40" s="119"/>
      <c r="T40" s="119"/>
      <c r="V40" s="244" t="s">
        <v>436</v>
      </c>
      <c r="W40" s="244" t="s">
        <v>453</v>
      </c>
      <c r="Y40" s="244" t="s">
        <v>436</v>
      </c>
      <c r="Z40" s="244" t="s">
        <v>453</v>
      </c>
    </row>
    <row r="41" spans="1:27">
      <c r="B41" s="119"/>
      <c r="C41" s="119"/>
      <c r="D41" s="119"/>
      <c r="E41" s="119"/>
      <c r="F41" s="119"/>
      <c r="G41" s="119"/>
      <c r="H41" s="119"/>
      <c r="I41" s="119"/>
      <c r="J41" s="119"/>
      <c r="K41" s="119"/>
      <c r="L41" s="119"/>
      <c r="M41" s="119"/>
      <c r="N41" s="119"/>
      <c r="O41" s="119"/>
      <c r="P41" s="119"/>
      <c r="Q41" s="119"/>
      <c r="R41" s="119"/>
      <c r="S41" s="119"/>
      <c r="T41" s="119"/>
      <c r="V41" s="244" t="s">
        <v>437</v>
      </c>
      <c r="W41" s="245" t="s">
        <v>454</v>
      </c>
      <c r="Y41" s="244" t="s">
        <v>437</v>
      </c>
      <c r="Z41" s="245" t="s">
        <v>454</v>
      </c>
    </row>
    <row r="42" spans="1:27">
      <c r="B42" s="119"/>
      <c r="C42" s="119"/>
      <c r="D42" s="119"/>
      <c r="E42" s="119"/>
      <c r="F42" s="119"/>
      <c r="G42" s="119"/>
      <c r="H42" s="119"/>
      <c r="I42" s="119"/>
      <c r="J42" s="119"/>
      <c r="K42" s="119"/>
      <c r="L42" s="119"/>
      <c r="M42" s="119"/>
      <c r="N42" s="119"/>
      <c r="O42" s="119"/>
      <c r="P42" s="119"/>
      <c r="Q42" s="119"/>
      <c r="R42" s="119"/>
      <c r="S42" s="119"/>
      <c r="T42" s="119"/>
      <c r="V42" s="244" t="s">
        <v>438</v>
      </c>
      <c r="W42" s="244" t="s">
        <v>455</v>
      </c>
      <c r="Y42" s="244" t="s">
        <v>438</v>
      </c>
      <c r="Z42" s="244" t="s">
        <v>455</v>
      </c>
    </row>
    <row r="43" spans="1:27">
      <c r="B43" s="119"/>
      <c r="C43" s="119"/>
      <c r="D43" s="119"/>
      <c r="E43" s="119"/>
      <c r="F43" s="119"/>
      <c r="G43" s="119"/>
      <c r="H43" s="119"/>
      <c r="I43" s="119"/>
      <c r="J43" s="119"/>
      <c r="K43" s="119"/>
      <c r="L43" s="119"/>
      <c r="M43" s="119"/>
      <c r="N43" s="119"/>
      <c r="O43" s="119"/>
      <c r="P43" s="119"/>
      <c r="Q43" s="119"/>
      <c r="R43" s="119"/>
      <c r="S43" s="119"/>
      <c r="T43" s="119"/>
      <c r="V43" s="245" t="s">
        <v>439</v>
      </c>
      <c r="W43" s="244" t="s">
        <v>456</v>
      </c>
      <c r="Y43" s="244" t="s">
        <v>439</v>
      </c>
      <c r="Z43" s="244" t="s">
        <v>456</v>
      </c>
      <c r="AA43" s="9"/>
    </row>
    <row r="44" spans="1:27">
      <c r="B44" s="119"/>
      <c r="C44" s="119"/>
      <c r="D44" s="119"/>
      <c r="E44" s="119"/>
      <c r="F44" s="119"/>
      <c r="G44" s="119"/>
      <c r="H44" s="119"/>
      <c r="I44" s="119"/>
      <c r="J44" s="119"/>
      <c r="K44" s="119"/>
      <c r="L44" s="119"/>
      <c r="M44" s="119"/>
      <c r="N44" s="119"/>
      <c r="O44" s="119"/>
      <c r="P44" s="119"/>
      <c r="Q44" s="119"/>
      <c r="R44" s="119"/>
      <c r="S44" s="119"/>
      <c r="T44" s="119"/>
      <c r="V44" s="244" t="s">
        <v>440</v>
      </c>
      <c r="W44" s="244" t="s">
        <v>457</v>
      </c>
      <c r="Y44" s="244" t="s">
        <v>440</v>
      </c>
      <c r="Z44" s="244" t="s">
        <v>457</v>
      </c>
      <c r="AA44" s="9"/>
    </row>
    <row r="45" spans="1:27">
      <c r="B45" s="119"/>
      <c r="C45" s="119"/>
      <c r="D45" s="119"/>
      <c r="E45" s="119"/>
      <c r="F45" s="119"/>
      <c r="G45" s="119"/>
      <c r="H45" s="119"/>
      <c r="I45" s="119"/>
      <c r="J45" s="119"/>
      <c r="K45" s="119"/>
      <c r="L45" s="119"/>
      <c r="M45" s="119"/>
      <c r="N45" s="119"/>
      <c r="O45" s="119"/>
      <c r="P45" s="119"/>
      <c r="Q45" s="119"/>
      <c r="R45" s="119"/>
      <c r="S45" s="119"/>
      <c r="T45" s="119"/>
      <c r="V45" s="244" t="s">
        <v>441</v>
      </c>
      <c r="W45" s="244" t="s">
        <v>458</v>
      </c>
      <c r="Y45" s="244" t="s">
        <v>441</v>
      </c>
      <c r="Z45" s="244" t="s">
        <v>458</v>
      </c>
      <c r="AA45" s="9"/>
    </row>
    <row r="46" spans="1:27">
      <c r="B46" s="119"/>
      <c r="C46" s="119"/>
      <c r="D46" s="119"/>
      <c r="E46" s="119"/>
      <c r="F46" s="119"/>
      <c r="G46" s="119"/>
      <c r="H46" s="119"/>
      <c r="I46" s="119"/>
      <c r="J46" s="119"/>
      <c r="K46" s="119"/>
      <c r="L46" s="119"/>
      <c r="M46" s="119"/>
      <c r="N46" s="119"/>
      <c r="O46" s="119"/>
      <c r="P46" s="119"/>
      <c r="Q46" s="119"/>
      <c r="R46" s="119"/>
      <c r="S46" s="119"/>
      <c r="T46" s="119"/>
      <c r="V46" s="244" t="s">
        <v>442</v>
      </c>
      <c r="W46" s="244" t="s">
        <v>459</v>
      </c>
      <c r="Y46" s="244" t="s">
        <v>442</v>
      </c>
      <c r="Z46" s="244" t="s">
        <v>459</v>
      </c>
      <c r="AA46" s="9"/>
    </row>
    <row r="47" spans="1:27">
      <c r="B47" s="119"/>
      <c r="C47" s="119"/>
      <c r="D47" s="119"/>
      <c r="E47" s="119"/>
      <c r="F47" s="119"/>
      <c r="G47" s="119"/>
      <c r="H47" s="119"/>
      <c r="I47" s="119"/>
      <c r="J47" s="119"/>
      <c r="K47" s="119"/>
      <c r="L47" s="119"/>
      <c r="M47" s="119"/>
      <c r="N47" s="119"/>
      <c r="O47" s="119"/>
      <c r="P47" s="119"/>
      <c r="Q47" s="119"/>
      <c r="R47" s="119"/>
      <c r="S47" s="119"/>
      <c r="T47" s="119"/>
      <c r="V47" s="244" t="s">
        <v>443</v>
      </c>
      <c r="W47" s="244" t="s">
        <v>460</v>
      </c>
      <c r="Y47" s="244" t="s">
        <v>443</v>
      </c>
      <c r="Z47" s="244" t="s">
        <v>460</v>
      </c>
      <c r="AA47" s="9"/>
    </row>
    <row r="48" spans="1:27">
      <c r="B48" s="119"/>
      <c r="C48" s="119"/>
      <c r="D48" s="119"/>
      <c r="E48" s="119"/>
      <c r="F48" s="119"/>
      <c r="G48" s="119"/>
      <c r="H48" s="119"/>
      <c r="I48" s="119"/>
      <c r="J48" s="119"/>
      <c r="K48" s="119"/>
      <c r="L48" s="119"/>
      <c r="M48" s="119"/>
      <c r="N48" s="119"/>
      <c r="O48" s="119"/>
      <c r="P48" s="119"/>
      <c r="Q48" s="119"/>
      <c r="R48" s="119"/>
      <c r="S48" s="119"/>
      <c r="T48" s="119"/>
      <c r="V48" s="244" t="s">
        <v>444</v>
      </c>
      <c r="W48" s="245" t="s">
        <v>461</v>
      </c>
      <c r="Y48" s="244" t="s">
        <v>444</v>
      </c>
      <c r="Z48" s="245" t="s">
        <v>461</v>
      </c>
      <c r="AA48" s="9"/>
    </row>
    <row r="49" spans="2:27">
      <c r="B49" s="119"/>
      <c r="C49" s="119"/>
      <c r="D49" s="119"/>
      <c r="E49" s="119"/>
      <c r="F49" s="119"/>
      <c r="G49" s="119"/>
      <c r="H49" s="119"/>
      <c r="I49" s="119"/>
      <c r="J49" s="119"/>
      <c r="K49" s="119"/>
      <c r="L49" s="119"/>
      <c r="M49" s="119"/>
      <c r="N49" s="119"/>
      <c r="O49" s="119"/>
      <c r="P49" s="119"/>
      <c r="Q49" s="119"/>
      <c r="R49" s="119"/>
      <c r="S49" s="119"/>
      <c r="T49" s="119"/>
      <c r="V49" s="244" t="s">
        <v>445</v>
      </c>
      <c r="W49" s="244" t="s">
        <v>462</v>
      </c>
      <c r="X49" s="9"/>
      <c r="Y49" s="244" t="s">
        <v>445</v>
      </c>
      <c r="Z49" s="244" t="s">
        <v>462</v>
      </c>
      <c r="AA49" s="9"/>
    </row>
    <row r="50" spans="2:27">
      <c r="B50" s="119"/>
      <c r="C50" s="119"/>
      <c r="D50" s="119"/>
      <c r="E50" s="119"/>
      <c r="F50" s="119"/>
      <c r="G50" s="119"/>
      <c r="H50" s="119"/>
      <c r="I50" s="119"/>
      <c r="J50" s="119"/>
      <c r="K50" s="119"/>
      <c r="L50" s="119"/>
      <c r="M50" s="119"/>
      <c r="N50" s="119"/>
      <c r="O50" s="119"/>
      <c r="P50" s="119"/>
      <c r="Q50" s="119"/>
      <c r="R50" s="119"/>
      <c r="S50" s="119"/>
      <c r="T50" s="119"/>
      <c r="V50" s="246" t="s">
        <v>446</v>
      </c>
      <c r="W50" s="244" t="s">
        <v>463</v>
      </c>
      <c r="X50" s="9"/>
      <c r="Y50" s="246" t="s">
        <v>446</v>
      </c>
      <c r="Z50" s="244" t="s">
        <v>463</v>
      </c>
      <c r="AA50" s="9"/>
    </row>
    <row r="51" spans="2:27">
      <c r="B51" s="119"/>
      <c r="C51" s="119"/>
      <c r="D51" s="119"/>
      <c r="E51" s="119"/>
      <c r="F51" s="119"/>
      <c r="G51" s="119"/>
      <c r="H51" s="119"/>
      <c r="I51" s="119"/>
      <c r="J51" s="119"/>
      <c r="K51" s="119"/>
      <c r="L51" s="119"/>
      <c r="M51" s="119"/>
      <c r="N51" s="119"/>
      <c r="O51" s="119"/>
      <c r="P51" s="119"/>
      <c r="Q51" s="119"/>
      <c r="R51" s="119"/>
      <c r="S51" s="119"/>
      <c r="T51" s="119"/>
      <c r="V51" s="247" t="s">
        <v>447</v>
      </c>
      <c r="W51" s="244" t="s">
        <v>464</v>
      </c>
      <c r="X51" s="9"/>
      <c r="Y51" s="247" t="s">
        <v>447</v>
      </c>
      <c r="Z51" s="244" t="s">
        <v>464</v>
      </c>
      <c r="AA51" s="9"/>
    </row>
    <row r="52" spans="2:27">
      <c r="B52" s="119"/>
      <c r="C52" s="119"/>
      <c r="D52" s="119"/>
      <c r="E52" s="119"/>
      <c r="F52" s="119"/>
      <c r="G52" s="119"/>
      <c r="H52" s="119"/>
      <c r="I52" s="119"/>
      <c r="J52" s="119"/>
      <c r="K52" s="119"/>
      <c r="L52" s="119"/>
      <c r="M52" s="119"/>
      <c r="N52" s="119"/>
      <c r="O52" s="119"/>
      <c r="P52" s="119"/>
      <c r="Q52" s="119"/>
      <c r="R52" s="119"/>
      <c r="S52" s="119"/>
      <c r="T52" s="119"/>
      <c r="V52" s="295"/>
      <c r="W52" s="244" t="s">
        <v>465</v>
      </c>
      <c r="X52" s="9"/>
      <c r="Y52" s="284"/>
      <c r="Z52" s="244" t="s">
        <v>465</v>
      </c>
      <c r="AA52" s="9"/>
    </row>
    <row r="53" spans="2:27">
      <c r="B53" s="119"/>
      <c r="C53" s="119"/>
      <c r="D53" s="119"/>
      <c r="E53" s="119"/>
      <c r="F53" s="119"/>
      <c r="G53" s="119"/>
      <c r="H53" s="119"/>
      <c r="I53" s="119"/>
      <c r="J53" s="119"/>
      <c r="K53" s="119"/>
      <c r="L53" s="119"/>
      <c r="M53" s="119"/>
      <c r="N53" s="119"/>
      <c r="O53" s="119"/>
      <c r="P53" s="119"/>
      <c r="Q53" s="119"/>
      <c r="R53" s="119"/>
      <c r="S53" s="119"/>
      <c r="T53" s="119"/>
      <c r="V53" s="204"/>
      <c r="W53" s="248" t="s">
        <v>466</v>
      </c>
      <c r="X53" s="9"/>
      <c r="Y53" s="257"/>
      <c r="Z53" s="258" t="s">
        <v>466</v>
      </c>
      <c r="AA53" s="9"/>
    </row>
    <row r="54" spans="2:27">
      <c r="B54" s="119"/>
      <c r="C54" s="119"/>
      <c r="D54" s="119"/>
      <c r="E54" s="119"/>
      <c r="F54" s="119"/>
      <c r="G54" s="119"/>
      <c r="H54" s="119"/>
      <c r="I54" s="119"/>
      <c r="J54" s="119"/>
      <c r="K54" s="119"/>
      <c r="L54" s="119"/>
      <c r="M54" s="119"/>
      <c r="N54" s="119"/>
      <c r="O54" s="119"/>
      <c r="P54" s="119"/>
      <c r="Q54" s="119"/>
      <c r="R54" s="119"/>
      <c r="S54" s="119"/>
      <c r="T54" s="119"/>
      <c r="V54" s="256"/>
      <c r="W54" s="254"/>
      <c r="X54" s="9"/>
      <c r="Y54" s="256"/>
      <c r="Z54" s="254"/>
      <c r="AA54" s="9"/>
    </row>
    <row r="55" spans="2:27">
      <c r="B55" s="119"/>
      <c r="C55" s="119"/>
      <c r="D55" s="119"/>
      <c r="E55" s="119"/>
      <c r="F55" s="119"/>
      <c r="G55" s="119"/>
      <c r="H55" s="119"/>
      <c r="I55" s="119"/>
      <c r="J55" s="119"/>
      <c r="K55" s="119"/>
      <c r="L55" s="119"/>
      <c r="M55" s="119"/>
      <c r="N55" s="119"/>
      <c r="O55" s="119"/>
      <c r="P55" s="119"/>
      <c r="Q55" s="119"/>
      <c r="R55" s="119"/>
      <c r="S55" s="119"/>
      <c r="T55" s="119"/>
      <c r="V55" s="242"/>
      <c r="W55" s="254"/>
      <c r="X55" s="9"/>
      <c r="Y55" s="242"/>
      <c r="Z55" s="254"/>
      <c r="AA55" s="9"/>
    </row>
    <row r="56" spans="2:27">
      <c r="V56" s="9"/>
      <c r="W56" s="9"/>
      <c r="X56" s="9"/>
      <c r="Y56" s="9"/>
      <c r="Z56" s="9"/>
      <c r="AA56" s="9"/>
    </row>
  </sheetData>
  <mergeCells count="24">
    <mergeCell ref="B3:T3"/>
    <mergeCell ref="B4:T4"/>
    <mergeCell ref="B5:T5"/>
    <mergeCell ref="R7:T7"/>
    <mergeCell ref="B9:L9"/>
    <mergeCell ref="N9:T9"/>
    <mergeCell ref="D21:L22"/>
    <mergeCell ref="B11:L11"/>
    <mergeCell ref="C12:L12"/>
    <mergeCell ref="C13:L13"/>
    <mergeCell ref="C14:L14"/>
    <mergeCell ref="C15:L15"/>
    <mergeCell ref="B17:L17"/>
    <mergeCell ref="C18:L18"/>
    <mergeCell ref="C19:L19"/>
    <mergeCell ref="C20:L20"/>
    <mergeCell ref="Y32:Z32"/>
    <mergeCell ref="Y33:Z33"/>
    <mergeCell ref="C23:L25"/>
    <mergeCell ref="C26:L28"/>
    <mergeCell ref="C29:L30"/>
    <mergeCell ref="B32:T32"/>
    <mergeCell ref="V32:W32"/>
    <mergeCell ref="V33:W33"/>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B49073"/>
  </sheetPr>
  <dimension ref="A1:Q2"/>
  <sheetViews>
    <sheetView showGridLines="0" showRowColHeaders="0" zoomScale="70" zoomScaleNormal="70" workbookViewId="0"/>
  </sheetViews>
  <sheetFormatPr defaultRowHeight="14.25"/>
  <cols>
    <col min="1" max="1" width="12.53125" customWidth="1"/>
    <col min="3" max="3" width="11.86328125" customWidth="1"/>
  </cols>
  <sheetData>
    <row r="1" spans="1:17" ht="15.75">
      <c r="A1" s="16" t="s">
        <v>301</v>
      </c>
    </row>
    <row r="2" spans="1:17" ht="15.75">
      <c r="A2" s="26" t="s">
        <v>34</v>
      </c>
      <c r="C2" s="27">
        <v>42977</v>
      </c>
      <c r="Q2" s="5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B5DAC7"/>
  </sheetPr>
  <dimension ref="A2:AA55"/>
  <sheetViews>
    <sheetView showGridLines="0" showRowColHeaders="0" zoomScale="70" zoomScaleNormal="70" workbookViewId="0"/>
  </sheetViews>
  <sheetFormatPr defaultRowHeight="14.25"/>
  <cols>
    <col min="1" max="1" width="2.796875" customWidth="1"/>
    <col min="2" max="2" width="3.796875" customWidth="1"/>
    <col min="3" max="4" width="8.796875" customWidth="1"/>
    <col min="5" max="5" width="12.796875" customWidth="1"/>
    <col min="6" max="12" width="8.796875" customWidth="1"/>
    <col min="13" max="13" width="2.796875" customWidth="1"/>
    <col min="14" max="20" width="14.796875" customWidth="1"/>
    <col min="21" max="21" width="5.796875" customWidth="1"/>
    <col min="22" max="23" width="12.796875" customWidth="1"/>
    <col min="24" max="24" width="2.796875" customWidth="1"/>
    <col min="25" max="26" width="12.796875" customWidth="1"/>
  </cols>
  <sheetData>
    <row r="2" spans="1:20" ht="21">
      <c r="P2" s="10"/>
      <c r="Q2" s="11"/>
      <c r="R2" s="11"/>
    </row>
    <row r="3" spans="1:20" ht="23.25">
      <c r="B3" s="338" t="s">
        <v>468</v>
      </c>
      <c r="C3" s="338"/>
      <c r="D3" s="338"/>
      <c r="E3" s="338"/>
      <c r="F3" s="338"/>
      <c r="G3" s="338"/>
      <c r="H3" s="338"/>
      <c r="I3" s="338"/>
      <c r="J3" s="338"/>
      <c r="K3" s="338"/>
      <c r="L3" s="338"/>
      <c r="M3" s="338"/>
      <c r="N3" s="338"/>
      <c r="O3" s="338"/>
      <c r="P3" s="338"/>
      <c r="Q3" s="338"/>
      <c r="R3" s="338"/>
      <c r="S3" s="338"/>
      <c r="T3" s="338"/>
    </row>
    <row r="4" spans="1:20" ht="30.75">
      <c r="B4" s="339" t="s">
        <v>475</v>
      </c>
      <c r="C4" s="339"/>
      <c r="D4" s="339"/>
      <c r="E4" s="339"/>
      <c r="F4" s="339"/>
      <c r="G4" s="339"/>
      <c r="H4" s="339"/>
      <c r="I4" s="339"/>
      <c r="J4" s="339"/>
      <c r="K4" s="339"/>
      <c r="L4" s="339"/>
      <c r="M4" s="339"/>
      <c r="N4" s="339"/>
      <c r="O4" s="339"/>
      <c r="P4" s="339"/>
      <c r="Q4" s="339"/>
      <c r="R4" s="339"/>
      <c r="S4" s="339"/>
      <c r="T4" s="339"/>
    </row>
    <row r="5" spans="1:20" ht="18">
      <c r="B5" s="340" t="s">
        <v>43</v>
      </c>
      <c r="C5" s="340"/>
      <c r="D5" s="340"/>
      <c r="E5" s="340"/>
      <c r="F5" s="340"/>
      <c r="G5" s="340"/>
      <c r="H5" s="340"/>
      <c r="I5" s="340"/>
      <c r="J5" s="340"/>
      <c r="K5" s="340"/>
      <c r="L5" s="340"/>
      <c r="M5" s="340"/>
      <c r="N5" s="340"/>
      <c r="O5" s="340"/>
      <c r="P5" s="340"/>
      <c r="Q5" s="340"/>
      <c r="R5" s="340"/>
      <c r="S5" s="340"/>
      <c r="T5" s="340"/>
    </row>
    <row r="6" spans="1:20">
      <c r="P6" s="11"/>
      <c r="Q6" s="11"/>
      <c r="R6" s="11"/>
    </row>
    <row r="7" spans="1:20" ht="15.75">
      <c r="B7" s="26" t="s">
        <v>35</v>
      </c>
      <c r="E7" s="27">
        <v>42977</v>
      </c>
      <c r="P7" s="11"/>
      <c r="Q7" s="11"/>
      <c r="R7" s="342" t="s">
        <v>44</v>
      </c>
      <c r="S7" s="342"/>
      <c r="T7" s="342"/>
    </row>
    <row r="8" spans="1:20">
      <c r="P8" s="11"/>
      <c r="Q8" s="11"/>
      <c r="R8" s="11"/>
    </row>
    <row r="9" spans="1:20" ht="23.65" thickBot="1">
      <c r="B9" s="341" t="s">
        <v>7</v>
      </c>
      <c r="C9" s="341"/>
      <c r="D9" s="341"/>
      <c r="E9" s="341"/>
      <c r="F9" s="341"/>
      <c r="G9" s="341"/>
      <c r="H9" s="341"/>
      <c r="I9" s="341"/>
      <c r="J9" s="341"/>
      <c r="K9" s="341"/>
      <c r="L9" s="341"/>
      <c r="N9" s="331" t="s">
        <v>38</v>
      </c>
      <c r="O9" s="331"/>
      <c r="P9" s="331"/>
      <c r="Q9" s="331"/>
      <c r="R9" s="331"/>
      <c r="S9" s="331"/>
      <c r="T9" s="331"/>
    </row>
    <row r="10" spans="1:20" ht="23.25">
      <c r="B10" s="33"/>
      <c r="C10" s="33"/>
      <c r="D10" s="33"/>
      <c r="E10" s="33"/>
      <c r="F10" s="33"/>
      <c r="G10" s="33"/>
      <c r="H10" s="33"/>
      <c r="I10" s="33"/>
      <c r="J10" s="33"/>
      <c r="K10" s="33"/>
      <c r="L10" s="33"/>
      <c r="N10" s="31"/>
      <c r="O10" s="31"/>
      <c r="P10" s="31"/>
      <c r="Q10" s="31"/>
      <c r="R10" s="31"/>
      <c r="S10" s="31"/>
      <c r="T10" s="31"/>
    </row>
    <row r="11" spans="1:20">
      <c r="B11" s="336" t="s">
        <v>40</v>
      </c>
      <c r="C11" s="336"/>
      <c r="D11" s="336"/>
      <c r="E11" s="336"/>
      <c r="F11" s="336"/>
      <c r="G11" s="336"/>
      <c r="H11" s="336"/>
      <c r="I11" s="336"/>
      <c r="J11" s="336"/>
      <c r="K11" s="336"/>
      <c r="L11" s="336"/>
      <c r="N11" s="11" t="s">
        <v>211</v>
      </c>
      <c r="O11" s="11" t="s">
        <v>286</v>
      </c>
      <c r="P11" s="11"/>
      <c r="Q11" s="11"/>
    </row>
    <row r="12" spans="1:20">
      <c r="B12" s="1"/>
      <c r="C12" s="337" t="s">
        <v>512</v>
      </c>
      <c r="D12" s="337"/>
      <c r="E12" s="337"/>
      <c r="F12" s="337"/>
      <c r="G12" s="337"/>
      <c r="H12" s="337"/>
      <c r="I12" s="337"/>
      <c r="J12" s="337"/>
      <c r="K12" s="337"/>
      <c r="L12" s="337"/>
      <c r="N12" s="11" t="s">
        <v>287</v>
      </c>
      <c r="O12" s="11" t="s">
        <v>204</v>
      </c>
      <c r="P12" s="11" t="s">
        <v>205</v>
      </c>
      <c r="Q12" s="11" t="s">
        <v>206</v>
      </c>
    </row>
    <row r="13" spans="1:20">
      <c r="B13" s="32"/>
      <c r="C13" s="332" t="s">
        <v>513</v>
      </c>
      <c r="D13" s="332"/>
      <c r="E13" s="332"/>
      <c r="F13" s="332"/>
      <c r="G13" s="332"/>
      <c r="H13" s="332"/>
      <c r="I13" s="332"/>
      <c r="J13" s="332"/>
      <c r="K13" s="332"/>
      <c r="L13" s="332"/>
      <c r="N13" s="110">
        <v>2016</v>
      </c>
      <c r="O13" s="111">
        <v>0.3902439024390244</v>
      </c>
      <c r="P13" s="111">
        <v>0.31707317073170732</v>
      </c>
      <c r="Q13" s="111">
        <v>0.35</v>
      </c>
    </row>
    <row r="14" spans="1:20">
      <c r="B14" s="32"/>
      <c r="C14" s="333" t="s">
        <v>292</v>
      </c>
      <c r="D14" s="333"/>
      <c r="E14" s="333"/>
      <c r="F14" s="333"/>
      <c r="G14" s="333"/>
      <c r="H14" s="333"/>
      <c r="I14" s="333"/>
      <c r="J14" s="333"/>
      <c r="K14" s="333"/>
      <c r="L14" s="333"/>
      <c r="N14" s="110">
        <v>2017</v>
      </c>
      <c r="O14" s="111">
        <v>0.39130434782608697</v>
      </c>
      <c r="P14" s="111">
        <v>0.34782608695652173</v>
      </c>
      <c r="Q14" s="111">
        <v>0.46666666666666667</v>
      </c>
    </row>
    <row r="15" spans="1:20">
      <c r="B15" s="32"/>
      <c r="C15" s="333" t="s">
        <v>514</v>
      </c>
      <c r="D15" s="333"/>
      <c r="E15" s="333"/>
      <c r="F15" s="333"/>
      <c r="G15" s="333"/>
      <c r="H15" s="333"/>
      <c r="I15" s="333"/>
      <c r="J15" s="333"/>
      <c r="K15" s="333"/>
      <c r="L15" s="333"/>
      <c r="N15" s="110">
        <v>2018</v>
      </c>
      <c r="O15" s="111"/>
      <c r="P15" s="111"/>
      <c r="Q15" s="111"/>
    </row>
    <row r="16" spans="1:20">
      <c r="A16" s="3"/>
      <c r="B16" s="32"/>
      <c r="C16" s="47"/>
      <c r="D16" s="47"/>
      <c r="E16" s="47"/>
      <c r="F16" s="47"/>
      <c r="G16" s="47"/>
      <c r="H16" s="47"/>
      <c r="I16" s="47"/>
      <c r="J16" s="47"/>
      <c r="K16" s="47"/>
      <c r="L16" s="32"/>
      <c r="N16" s="110">
        <v>2019</v>
      </c>
      <c r="O16" s="111"/>
      <c r="P16" s="111"/>
      <c r="Q16" s="111"/>
    </row>
    <row r="17" spans="1:26">
      <c r="A17" s="3"/>
      <c r="B17" s="336" t="s">
        <v>41</v>
      </c>
      <c r="C17" s="336"/>
      <c r="D17" s="336"/>
      <c r="E17" s="336"/>
      <c r="F17" s="336"/>
      <c r="G17" s="336"/>
      <c r="H17" s="336"/>
      <c r="I17" s="336"/>
      <c r="J17" s="336"/>
      <c r="K17" s="336"/>
      <c r="L17" s="336"/>
      <c r="N17" s="110">
        <v>2020</v>
      </c>
      <c r="O17" s="111"/>
      <c r="P17" s="111"/>
      <c r="Q17" s="111"/>
    </row>
    <row r="18" spans="1:26">
      <c r="A18" s="3"/>
      <c r="B18" s="1"/>
      <c r="C18" s="333" t="s">
        <v>295</v>
      </c>
      <c r="D18" s="333"/>
      <c r="E18" s="333"/>
      <c r="F18" s="333"/>
      <c r="G18" s="333"/>
      <c r="H18" s="333"/>
      <c r="I18" s="333"/>
      <c r="J18" s="333"/>
      <c r="K18" s="333"/>
      <c r="L18" s="333"/>
      <c r="N18" s="110">
        <v>2021</v>
      </c>
      <c r="O18" s="111"/>
      <c r="P18" s="111"/>
      <c r="Q18" s="111"/>
    </row>
    <row r="19" spans="1:26">
      <c r="A19" s="3"/>
      <c r="B19" s="32"/>
      <c r="C19" s="333" t="s">
        <v>317</v>
      </c>
      <c r="D19" s="333"/>
      <c r="E19" s="333"/>
      <c r="F19" s="333"/>
      <c r="G19" s="333"/>
      <c r="H19" s="333"/>
      <c r="I19" s="333"/>
      <c r="J19" s="333"/>
      <c r="K19" s="333"/>
      <c r="L19" s="333"/>
      <c r="N19" s="110">
        <v>2022</v>
      </c>
      <c r="O19" s="111"/>
      <c r="P19" s="111"/>
      <c r="Q19" s="111"/>
    </row>
    <row r="20" spans="1:26">
      <c r="A20" s="3"/>
      <c r="B20" s="32"/>
      <c r="C20" s="333" t="s">
        <v>369</v>
      </c>
      <c r="D20" s="333"/>
      <c r="E20" s="333"/>
      <c r="F20" s="333"/>
      <c r="G20" s="333"/>
      <c r="H20" s="333"/>
      <c r="I20" s="333"/>
      <c r="J20" s="333"/>
      <c r="K20" s="333"/>
      <c r="L20" s="333"/>
      <c r="N20" s="110">
        <v>2023</v>
      </c>
      <c r="O20" s="111"/>
      <c r="P20" s="111"/>
      <c r="Q20" s="111"/>
    </row>
    <row r="21" spans="1:26">
      <c r="A21" s="3"/>
      <c r="B21" s="32"/>
      <c r="C21" s="58" t="str">
        <f>"--&gt;"</f>
        <v>--&gt;</v>
      </c>
      <c r="D21" s="334" t="s">
        <v>212</v>
      </c>
      <c r="E21" s="334"/>
      <c r="F21" s="334"/>
      <c r="G21" s="334"/>
      <c r="H21" s="334"/>
      <c r="I21" s="334"/>
      <c r="J21" s="334"/>
      <c r="K21" s="334"/>
      <c r="L21" s="334"/>
      <c r="N21" s="110">
        <v>2024</v>
      </c>
      <c r="O21" s="111"/>
      <c r="P21" s="111"/>
      <c r="Q21" s="111"/>
    </row>
    <row r="22" spans="1:26">
      <c r="A22" s="3"/>
      <c r="B22" s="32"/>
      <c r="C22" s="32"/>
      <c r="D22" s="334"/>
      <c r="E22" s="334"/>
      <c r="F22" s="334"/>
      <c r="G22" s="334"/>
      <c r="H22" s="334"/>
      <c r="I22" s="334"/>
      <c r="J22" s="334"/>
      <c r="K22" s="334"/>
      <c r="L22" s="334"/>
      <c r="N22" s="110">
        <v>2025</v>
      </c>
      <c r="O22" s="111"/>
      <c r="P22" s="111"/>
      <c r="Q22" s="111"/>
    </row>
    <row r="23" spans="1:26">
      <c r="A23" s="3"/>
      <c r="B23" s="32"/>
      <c r="C23" s="333" t="s">
        <v>356</v>
      </c>
      <c r="D23" s="333"/>
      <c r="E23" s="333"/>
      <c r="F23" s="333"/>
      <c r="G23" s="333"/>
      <c r="H23" s="333"/>
      <c r="I23" s="333"/>
      <c r="J23" s="333"/>
      <c r="K23" s="333"/>
      <c r="L23" s="333"/>
    </row>
    <row r="24" spans="1:26">
      <c r="A24" s="3"/>
      <c r="B24" s="32"/>
      <c r="C24" s="333"/>
      <c r="D24" s="333"/>
      <c r="E24" s="333"/>
      <c r="F24" s="333"/>
      <c r="G24" s="333"/>
      <c r="H24" s="333"/>
      <c r="I24" s="333"/>
      <c r="J24" s="333"/>
      <c r="K24" s="333"/>
      <c r="L24" s="333"/>
      <c r="Q24" s="2"/>
      <c r="S24" s="11"/>
      <c r="T24" s="11"/>
    </row>
    <row r="25" spans="1:26">
      <c r="A25" s="3"/>
      <c r="B25" s="32"/>
      <c r="C25" s="333"/>
      <c r="D25" s="333"/>
      <c r="E25" s="333"/>
      <c r="F25" s="333"/>
      <c r="G25" s="333"/>
      <c r="H25" s="333"/>
      <c r="I25" s="333"/>
      <c r="J25" s="333"/>
      <c r="K25" s="333"/>
      <c r="L25" s="333"/>
      <c r="Q25" s="2"/>
      <c r="S25" s="11"/>
      <c r="T25" s="11"/>
    </row>
    <row r="26" spans="1:26" ht="14.45" customHeight="1">
      <c r="A26" s="3"/>
      <c r="B26" s="32"/>
      <c r="C26" s="335" t="s">
        <v>322</v>
      </c>
      <c r="D26" s="335"/>
      <c r="E26" s="335"/>
      <c r="F26" s="335"/>
      <c r="G26" s="335"/>
      <c r="H26" s="335"/>
      <c r="I26" s="335"/>
      <c r="J26" s="335"/>
      <c r="K26" s="335"/>
      <c r="L26" s="335"/>
      <c r="Q26" s="2"/>
      <c r="S26" s="11"/>
      <c r="T26" s="11"/>
    </row>
    <row r="27" spans="1:26">
      <c r="B27" s="47"/>
      <c r="C27" s="335"/>
      <c r="D27" s="335"/>
      <c r="E27" s="335"/>
      <c r="F27" s="335"/>
      <c r="G27" s="335"/>
      <c r="H27" s="335"/>
      <c r="I27" s="335"/>
      <c r="J27" s="335"/>
      <c r="K27" s="335"/>
      <c r="L27" s="335"/>
      <c r="Q27" s="2"/>
      <c r="S27" s="11"/>
      <c r="T27" s="11"/>
    </row>
    <row r="28" spans="1:26">
      <c r="B28" s="47"/>
      <c r="C28" s="335"/>
      <c r="D28" s="335"/>
      <c r="E28" s="335"/>
      <c r="F28" s="335"/>
      <c r="G28" s="335"/>
      <c r="H28" s="335"/>
      <c r="I28" s="335"/>
      <c r="J28" s="335"/>
      <c r="K28" s="335"/>
      <c r="L28" s="335"/>
      <c r="Q28" s="2"/>
      <c r="S28" s="11"/>
      <c r="T28" s="11"/>
    </row>
    <row r="29" spans="1:26">
      <c r="B29" s="83"/>
      <c r="C29" s="351"/>
      <c r="D29" s="351"/>
      <c r="E29" s="351"/>
      <c r="F29" s="351"/>
      <c r="G29" s="351"/>
      <c r="H29" s="351"/>
      <c r="I29" s="351"/>
      <c r="J29" s="351"/>
      <c r="K29" s="351"/>
      <c r="L29" s="351"/>
      <c r="S29" s="11"/>
      <c r="T29" s="11"/>
    </row>
    <row r="30" spans="1:26">
      <c r="B30" s="31"/>
      <c r="C30" s="351"/>
      <c r="D30" s="351"/>
      <c r="E30" s="351"/>
      <c r="F30" s="351"/>
      <c r="G30" s="351"/>
      <c r="H30" s="351"/>
      <c r="I30" s="351"/>
      <c r="J30" s="351"/>
      <c r="K30" s="351"/>
      <c r="L30" s="351"/>
      <c r="M30" s="9"/>
      <c r="N30" s="31"/>
      <c r="O30" s="34"/>
      <c r="P30" s="35"/>
      <c r="Q30" s="35"/>
      <c r="R30" s="35"/>
      <c r="S30" s="35"/>
      <c r="T30" s="31"/>
    </row>
    <row r="31" spans="1:26">
      <c r="A31" s="3"/>
    </row>
    <row r="32" spans="1:26" ht="23.65" thickBot="1">
      <c r="A32" s="3"/>
      <c r="B32" s="331" t="s">
        <v>39</v>
      </c>
      <c r="C32" s="331"/>
      <c r="D32" s="331"/>
      <c r="E32" s="331"/>
      <c r="F32" s="331"/>
      <c r="G32" s="331"/>
      <c r="H32" s="331"/>
      <c r="I32" s="331"/>
      <c r="J32" s="331"/>
      <c r="K32" s="331"/>
      <c r="L32" s="331"/>
      <c r="M32" s="331"/>
      <c r="N32" s="331"/>
      <c r="O32" s="331"/>
      <c r="P32" s="331"/>
      <c r="Q32" s="331"/>
      <c r="R32" s="331"/>
      <c r="S32" s="331"/>
      <c r="T32" s="331"/>
      <c r="V32" s="321" t="s">
        <v>46</v>
      </c>
      <c r="W32" s="321"/>
      <c r="X32" s="11"/>
      <c r="Y32" s="318" t="s">
        <v>46</v>
      </c>
      <c r="Z32" s="318"/>
    </row>
    <row r="33" spans="1:26">
      <c r="A33" s="3"/>
      <c r="B33" s="1"/>
      <c r="C33" s="1"/>
      <c r="D33" s="1"/>
      <c r="E33" s="1"/>
      <c r="F33" s="1"/>
      <c r="G33" s="1"/>
      <c r="H33" s="1"/>
      <c r="I33" s="1"/>
      <c r="J33" s="1"/>
      <c r="K33" s="1"/>
      <c r="L33" s="1"/>
      <c r="M33" s="1"/>
      <c r="N33" s="1"/>
      <c r="O33" s="1"/>
      <c r="P33" s="1"/>
      <c r="Q33" s="1"/>
      <c r="R33" s="1"/>
      <c r="S33" s="1"/>
      <c r="T33" s="1"/>
      <c r="V33" s="319" t="s">
        <v>65</v>
      </c>
      <c r="W33" s="320"/>
      <c r="X33" s="11"/>
      <c r="Y33" s="319" t="s">
        <v>66</v>
      </c>
      <c r="Z33" s="320"/>
    </row>
    <row r="34" spans="1:26">
      <c r="B34" s="1"/>
      <c r="C34" s="1"/>
      <c r="D34" s="1"/>
      <c r="E34" s="1"/>
      <c r="F34" s="1"/>
      <c r="G34" s="1"/>
      <c r="H34" s="1"/>
      <c r="I34" s="1"/>
      <c r="J34" s="1"/>
      <c r="K34" s="1"/>
      <c r="L34" s="1"/>
      <c r="M34" s="1"/>
      <c r="N34" s="1"/>
      <c r="O34" s="1"/>
      <c r="P34" s="1"/>
      <c r="Q34" s="1"/>
      <c r="R34" s="1"/>
      <c r="S34" s="1"/>
      <c r="T34" s="1"/>
      <c r="V34" s="56" t="s">
        <v>61</v>
      </c>
      <c r="W34" s="56" t="s">
        <v>62</v>
      </c>
      <c r="X34" s="11"/>
      <c r="Y34" s="56" t="s">
        <v>61</v>
      </c>
      <c r="Z34" s="56" t="s">
        <v>62</v>
      </c>
    </row>
    <row r="35" spans="1:26">
      <c r="B35" s="1"/>
      <c r="C35" s="1"/>
      <c r="D35" s="1"/>
      <c r="E35" s="1"/>
      <c r="F35" s="1"/>
      <c r="G35" s="1"/>
      <c r="H35" s="1"/>
      <c r="I35" s="1"/>
      <c r="J35" s="1"/>
      <c r="K35" s="1"/>
      <c r="L35" s="1"/>
      <c r="M35" s="1"/>
      <c r="N35" s="1"/>
      <c r="O35" s="1"/>
      <c r="P35" s="1"/>
      <c r="Q35" s="1"/>
      <c r="R35" s="1"/>
      <c r="S35" s="1"/>
      <c r="T35" s="1"/>
      <c r="V35" s="244" t="s">
        <v>392</v>
      </c>
      <c r="W35" s="244" t="s">
        <v>448</v>
      </c>
      <c r="X35" s="11"/>
      <c r="Y35" s="244" t="s">
        <v>392</v>
      </c>
      <c r="Z35" s="244" t="s">
        <v>448</v>
      </c>
    </row>
    <row r="36" spans="1:26">
      <c r="B36" s="1"/>
      <c r="C36" s="1"/>
      <c r="D36" s="1"/>
      <c r="E36" s="1"/>
      <c r="F36" s="1"/>
      <c r="G36" s="1"/>
      <c r="H36" s="1"/>
      <c r="I36" s="1"/>
      <c r="J36" s="1"/>
      <c r="K36" s="1"/>
      <c r="L36" s="1"/>
      <c r="M36" s="1"/>
      <c r="N36" s="1"/>
      <c r="O36" s="1"/>
      <c r="P36" s="1"/>
      <c r="Q36" s="1"/>
      <c r="R36" s="1"/>
      <c r="S36" s="1"/>
      <c r="T36" s="1"/>
      <c r="V36" s="244" t="s">
        <v>393</v>
      </c>
      <c r="W36" s="244" t="s">
        <v>449</v>
      </c>
      <c r="X36" s="11"/>
      <c r="Y36" s="244" t="s">
        <v>393</v>
      </c>
      <c r="Z36" s="244" t="s">
        <v>449</v>
      </c>
    </row>
    <row r="37" spans="1:26">
      <c r="B37" s="1"/>
      <c r="C37" s="1"/>
      <c r="D37" s="1"/>
      <c r="E37" s="1"/>
      <c r="F37" s="1"/>
      <c r="G37" s="1"/>
      <c r="H37" s="1"/>
      <c r="I37" s="1"/>
      <c r="J37" s="1"/>
      <c r="K37" s="1"/>
      <c r="L37" s="1"/>
      <c r="M37" s="1"/>
      <c r="N37" s="1"/>
      <c r="O37" s="1"/>
      <c r="P37" s="1"/>
      <c r="Q37" s="1"/>
      <c r="R37" s="1"/>
      <c r="S37" s="1"/>
      <c r="T37" s="1"/>
      <c r="V37" s="244" t="s">
        <v>394</v>
      </c>
      <c r="W37" s="244" t="s">
        <v>450</v>
      </c>
      <c r="X37" s="11"/>
      <c r="Y37" s="244" t="s">
        <v>394</v>
      </c>
      <c r="Z37" s="244" t="s">
        <v>450</v>
      </c>
    </row>
    <row r="38" spans="1:26">
      <c r="B38" s="1"/>
      <c r="C38" s="1"/>
      <c r="D38" s="1"/>
      <c r="E38" s="1"/>
      <c r="F38" s="1"/>
      <c r="G38" s="1"/>
      <c r="H38" s="1"/>
      <c r="I38" s="1"/>
      <c r="J38" s="1"/>
      <c r="K38" s="1"/>
      <c r="L38" s="1"/>
      <c r="M38" s="1"/>
      <c r="N38" s="1"/>
      <c r="O38" s="1"/>
      <c r="P38" s="1"/>
      <c r="Q38" s="1"/>
      <c r="R38" s="1"/>
      <c r="S38" s="1"/>
      <c r="T38" s="1"/>
      <c r="V38" s="244" t="s">
        <v>434</v>
      </c>
      <c r="W38" s="244" t="s">
        <v>451</v>
      </c>
      <c r="X38" s="11"/>
      <c r="Y38" s="244" t="s">
        <v>434</v>
      </c>
      <c r="Z38" s="244" t="s">
        <v>451</v>
      </c>
    </row>
    <row r="39" spans="1:26">
      <c r="B39" s="1"/>
      <c r="C39" s="1"/>
      <c r="D39" s="1"/>
      <c r="E39" s="1"/>
      <c r="F39" s="1"/>
      <c r="G39" s="1"/>
      <c r="H39" s="1"/>
      <c r="I39" s="1"/>
      <c r="J39" s="1"/>
      <c r="K39" s="1"/>
      <c r="L39" s="1"/>
      <c r="M39" s="1"/>
      <c r="N39" s="1"/>
      <c r="O39" s="1"/>
      <c r="P39" s="1"/>
      <c r="Q39" s="1"/>
      <c r="R39" s="1"/>
      <c r="S39" s="1"/>
      <c r="T39" s="1"/>
      <c r="V39" s="244" t="s">
        <v>435</v>
      </c>
      <c r="W39" s="244" t="s">
        <v>452</v>
      </c>
      <c r="Y39" s="244" t="s">
        <v>435</v>
      </c>
      <c r="Z39" s="244" t="s">
        <v>452</v>
      </c>
    </row>
    <row r="40" spans="1:26">
      <c r="B40" s="1"/>
      <c r="C40" s="1"/>
      <c r="D40" s="1"/>
      <c r="E40" s="1"/>
      <c r="F40" s="1"/>
      <c r="G40" s="1"/>
      <c r="H40" s="1"/>
      <c r="I40" s="1"/>
      <c r="J40" s="1"/>
      <c r="K40" s="1"/>
      <c r="L40" s="1"/>
      <c r="M40" s="1"/>
      <c r="N40" s="1"/>
      <c r="O40" s="1"/>
      <c r="P40" s="1"/>
      <c r="Q40" s="1"/>
      <c r="R40" s="1"/>
      <c r="S40" s="1"/>
      <c r="T40" s="1"/>
      <c r="V40" s="244" t="s">
        <v>436</v>
      </c>
      <c r="W40" s="244" t="s">
        <v>453</v>
      </c>
      <c r="Y40" s="244" t="s">
        <v>436</v>
      </c>
      <c r="Z40" s="244" t="s">
        <v>453</v>
      </c>
    </row>
    <row r="41" spans="1:26">
      <c r="B41" s="1"/>
      <c r="C41" s="1"/>
      <c r="D41" s="1"/>
      <c r="E41" s="1"/>
      <c r="F41" s="1"/>
      <c r="G41" s="1"/>
      <c r="H41" s="1"/>
      <c r="I41" s="1"/>
      <c r="J41" s="1"/>
      <c r="K41" s="1"/>
      <c r="L41" s="1"/>
      <c r="M41" s="1"/>
      <c r="N41" s="1"/>
      <c r="O41" s="1"/>
      <c r="P41" s="1"/>
      <c r="Q41" s="1"/>
      <c r="R41" s="1"/>
      <c r="S41" s="1"/>
      <c r="T41" s="1"/>
      <c r="V41" s="244" t="s">
        <v>437</v>
      </c>
      <c r="W41" s="245" t="s">
        <v>454</v>
      </c>
      <c r="Y41" s="244" t="s">
        <v>437</v>
      </c>
      <c r="Z41" s="245" t="s">
        <v>454</v>
      </c>
    </row>
    <row r="42" spans="1:26">
      <c r="B42" s="1"/>
      <c r="C42" s="1"/>
      <c r="D42" s="1"/>
      <c r="E42" s="1"/>
      <c r="F42" s="1"/>
      <c r="G42" s="1"/>
      <c r="H42" s="1"/>
      <c r="I42" s="1"/>
      <c r="J42" s="1"/>
      <c r="K42" s="1"/>
      <c r="L42" s="1"/>
      <c r="M42" s="1"/>
      <c r="N42" s="1"/>
      <c r="O42" s="1"/>
      <c r="P42" s="1"/>
      <c r="Q42" s="1"/>
      <c r="R42" s="1"/>
      <c r="S42" s="1"/>
      <c r="T42" s="1"/>
      <c r="V42" s="244" t="s">
        <v>438</v>
      </c>
      <c r="W42" s="244" t="s">
        <v>455</v>
      </c>
      <c r="Y42" s="244" t="s">
        <v>438</v>
      </c>
      <c r="Z42" s="244" t="s">
        <v>455</v>
      </c>
    </row>
    <row r="43" spans="1:26">
      <c r="B43" s="1"/>
      <c r="C43" s="1"/>
      <c r="D43" s="1"/>
      <c r="E43" s="1"/>
      <c r="F43" s="1"/>
      <c r="G43" s="1"/>
      <c r="H43" s="1"/>
      <c r="I43" s="1"/>
      <c r="J43" s="1"/>
      <c r="K43" s="1"/>
      <c r="L43" s="1"/>
      <c r="M43" s="1"/>
      <c r="N43" s="1"/>
      <c r="O43" s="1"/>
      <c r="P43" s="1"/>
      <c r="Q43" s="1"/>
      <c r="R43" s="1"/>
      <c r="S43" s="1"/>
      <c r="T43" s="1"/>
      <c r="V43" s="245" t="s">
        <v>439</v>
      </c>
      <c r="W43" s="244" t="s">
        <v>456</v>
      </c>
      <c r="Y43" s="244" t="s">
        <v>439</v>
      </c>
      <c r="Z43" s="244" t="s">
        <v>456</v>
      </c>
    </row>
    <row r="44" spans="1:26">
      <c r="B44" s="1"/>
      <c r="C44" s="1"/>
      <c r="D44" s="1"/>
      <c r="E44" s="1"/>
      <c r="F44" s="1"/>
      <c r="G44" s="1"/>
      <c r="H44" s="1"/>
      <c r="I44" s="1"/>
      <c r="J44" s="1"/>
      <c r="K44" s="1"/>
      <c r="L44" s="1"/>
      <c r="M44" s="1"/>
      <c r="N44" s="1"/>
      <c r="O44" s="1"/>
      <c r="P44" s="1"/>
      <c r="Q44" s="1"/>
      <c r="R44" s="1"/>
      <c r="S44" s="1"/>
      <c r="T44" s="1"/>
      <c r="V44" s="244" t="s">
        <v>440</v>
      </c>
      <c r="W44" s="244" t="s">
        <v>457</v>
      </c>
      <c r="Y44" s="244" t="s">
        <v>440</v>
      </c>
      <c r="Z44" s="244" t="s">
        <v>457</v>
      </c>
    </row>
    <row r="45" spans="1:26">
      <c r="B45" s="1"/>
      <c r="C45" s="1"/>
      <c r="D45" s="1"/>
      <c r="E45" s="1"/>
      <c r="F45" s="1"/>
      <c r="G45" s="1"/>
      <c r="H45" s="1"/>
      <c r="I45" s="1"/>
      <c r="J45" s="1"/>
      <c r="K45" s="1"/>
      <c r="L45" s="1"/>
      <c r="M45" s="1"/>
      <c r="N45" s="1"/>
      <c r="O45" s="1"/>
      <c r="P45" s="1"/>
      <c r="Q45" s="1"/>
      <c r="R45" s="1"/>
      <c r="S45" s="1"/>
      <c r="T45" s="1"/>
      <c r="V45" s="244" t="s">
        <v>441</v>
      </c>
      <c r="W45" s="244" t="s">
        <v>458</v>
      </c>
      <c r="Y45" s="244" t="s">
        <v>441</v>
      </c>
      <c r="Z45" s="244" t="s">
        <v>458</v>
      </c>
    </row>
    <row r="46" spans="1:26">
      <c r="B46" s="1"/>
      <c r="C46" s="1"/>
      <c r="D46" s="1"/>
      <c r="E46" s="1"/>
      <c r="F46" s="1"/>
      <c r="G46" s="1"/>
      <c r="H46" s="1"/>
      <c r="I46" s="1"/>
      <c r="J46" s="1"/>
      <c r="K46" s="1"/>
      <c r="L46" s="1"/>
      <c r="M46" s="1"/>
      <c r="N46" s="1"/>
      <c r="O46" s="1"/>
      <c r="P46" s="1"/>
      <c r="Q46" s="1"/>
      <c r="R46" s="1"/>
      <c r="S46" s="1"/>
      <c r="T46" s="1"/>
      <c r="V46" s="244" t="s">
        <v>442</v>
      </c>
      <c r="W46" s="244" t="s">
        <v>459</v>
      </c>
      <c r="Y46" s="244" t="s">
        <v>442</v>
      </c>
      <c r="Z46" s="244" t="s">
        <v>459</v>
      </c>
    </row>
    <row r="47" spans="1:26">
      <c r="B47" s="1"/>
      <c r="C47" s="1"/>
      <c r="D47" s="1"/>
      <c r="E47" s="1"/>
      <c r="F47" s="1"/>
      <c r="G47" s="1"/>
      <c r="H47" s="1"/>
      <c r="I47" s="1"/>
      <c r="J47" s="1"/>
      <c r="K47" s="1"/>
      <c r="L47" s="1"/>
      <c r="M47" s="1"/>
      <c r="N47" s="1"/>
      <c r="O47" s="1"/>
      <c r="P47" s="1"/>
      <c r="Q47" s="1"/>
      <c r="R47" s="1"/>
      <c r="S47" s="1"/>
      <c r="T47" s="1"/>
      <c r="V47" s="244" t="s">
        <v>443</v>
      </c>
      <c r="W47" s="244" t="s">
        <v>460</v>
      </c>
      <c r="Y47" s="244" t="s">
        <v>443</v>
      </c>
      <c r="Z47" s="244" t="s">
        <v>460</v>
      </c>
    </row>
    <row r="48" spans="1:26">
      <c r="B48" s="1"/>
      <c r="C48" s="1"/>
      <c r="D48" s="1"/>
      <c r="E48" s="1"/>
      <c r="F48" s="1"/>
      <c r="G48" s="1"/>
      <c r="H48" s="1"/>
      <c r="I48" s="1"/>
      <c r="J48" s="1"/>
      <c r="K48" s="1"/>
      <c r="L48" s="1"/>
      <c r="M48" s="1"/>
      <c r="N48" s="1"/>
      <c r="O48" s="1"/>
      <c r="P48" s="1"/>
      <c r="Q48" s="1"/>
      <c r="R48" s="1"/>
      <c r="S48" s="1"/>
      <c r="T48" s="1"/>
      <c r="V48" s="244" t="s">
        <v>444</v>
      </c>
      <c r="W48" s="245" t="s">
        <v>461</v>
      </c>
      <c r="Y48" s="244" t="s">
        <v>444</v>
      </c>
      <c r="Z48" s="245" t="s">
        <v>461</v>
      </c>
    </row>
    <row r="49" spans="2:27">
      <c r="B49" s="1"/>
      <c r="C49" s="1"/>
      <c r="D49" s="1"/>
      <c r="E49" s="1"/>
      <c r="F49" s="1"/>
      <c r="G49" s="1"/>
      <c r="H49" s="1"/>
      <c r="I49" s="1"/>
      <c r="J49" s="1"/>
      <c r="K49" s="1"/>
      <c r="L49" s="1"/>
      <c r="M49" s="1"/>
      <c r="N49" s="1"/>
      <c r="O49" s="1"/>
      <c r="P49" s="1"/>
      <c r="Q49" s="1"/>
      <c r="R49" s="1"/>
      <c r="S49" s="1"/>
      <c r="T49" s="1"/>
      <c r="V49" s="244" t="s">
        <v>445</v>
      </c>
      <c r="W49" s="244" t="s">
        <v>462</v>
      </c>
      <c r="X49" s="6"/>
      <c r="Y49" s="244" t="s">
        <v>445</v>
      </c>
      <c r="Z49" s="244" t="s">
        <v>462</v>
      </c>
      <c r="AA49" s="6"/>
    </row>
    <row r="50" spans="2:27">
      <c r="B50" s="1"/>
      <c r="C50" s="1"/>
      <c r="D50" s="1"/>
      <c r="E50" s="1"/>
      <c r="F50" s="1"/>
      <c r="G50" s="1"/>
      <c r="H50" s="1"/>
      <c r="I50" s="1"/>
      <c r="J50" s="1"/>
      <c r="K50" s="1"/>
      <c r="L50" s="1"/>
      <c r="M50" s="1"/>
      <c r="N50" s="1"/>
      <c r="O50" s="1"/>
      <c r="P50" s="1"/>
      <c r="Q50" s="1"/>
      <c r="R50" s="1"/>
      <c r="S50" s="1"/>
      <c r="T50" s="1"/>
      <c r="V50" s="246" t="s">
        <v>446</v>
      </c>
      <c r="W50" s="244" t="s">
        <v>463</v>
      </c>
      <c r="X50" s="6"/>
      <c r="Y50" s="246" t="s">
        <v>446</v>
      </c>
      <c r="Z50" s="244" t="s">
        <v>463</v>
      </c>
      <c r="AA50" s="6"/>
    </row>
    <row r="51" spans="2:27">
      <c r="B51" s="1"/>
      <c r="C51" s="1"/>
      <c r="D51" s="1"/>
      <c r="E51" s="1"/>
      <c r="F51" s="1"/>
      <c r="G51" s="1"/>
      <c r="H51" s="1"/>
      <c r="I51" s="1"/>
      <c r="J51" s="1"/>
      <c r="K51" s="1"/>
      <c r="L51" s="1"/>
      <c r="M51" s="1"/>
      <c r="N51" s="1"/>
      <c r="O51" s="1"/>
      <c r="P51" s="1"/>
      <c r="Q51" s="1"/>
      <c r="R51" s="1"/>
      <c r="S51" s="1"/>
      <c r="T51" s="1"/>
      <c r="V51" s="247" t="s">
        <v>447</v>
      </c>
      <c r="W51" s="244" t="s">
        <v>464</v>
      </c>
      <c r="X51" s="6"/>
      <c r="Y51" s="247" t="s">
        <v>447</v>
      </c>
      <c r="Z51" s="244" t="s">
        <v>464</v>
      </c>
      <c r="AA51" s="6"/>
    </row>
    <row r="52" spans="2:27">
      <c r="B52" s="1"/>
      <c r="C52" s="1"/>
      <c r="D52" s="1"/>
      <c r="E52" s="1"/>
      <c r="F52" s="1"/>
      <c r="G52" s="1"/>
      <c r="H52" s="1"/>
      <c r="I52" s="1"/>
      <c r="J52" s="1"/>
      <c r="K52" s="1"/>
      <c r="L52" s="1"/>
      <c r="M52" s="1"/>
      <c r="N52" s="1"/>
      <c r="O52" s="1"/>
      <c r="P52" s="1"/>
      <c r="Q52" s="1"/>
      <c r="R52" s="1"/>
      <c r="S52" s="1"/>
      <c r="T52" s="1"/>
      <c r="V52" s="295"/>
      <c r="W52" s="244" t="s">
        <v>465</v>
      </c>
      <c r="X52" s="6"/>
      <c r="Y52" s="284"/>
      <c r="Z52" s="244" t="s">
        <v>465</v>
      </c>
      <c r="AA52" s="6"/>
    </row>
    <row r="53" spans="2:27">
      <c r="B53" s="1"/>
      <c r="C53" s="1"/>
      <c r="D53" s="1"/>
      <c r="E53" s="1"/>
      <c r="F53" s="1"/>
      <c r="G53" s="1"/>
      <c r="H53" s="1"/>
      <c r="I53" s="1"/>
      <c r="J53" s="1"/>
      <c r="K53" s="1"/>
      <c r="L53" s="1"/>
      <c r="M53" s="1"/>
      <c r="N53" s="1"/>
      <c r="O53" s="1"/>
      <c r="P53" s="1"/>
      <c r="Q53" s="1"/>
      <c r="R53" s="1"/>
      <c r="S53" s="1"/>
      <c r="T53" s="1"/>
      <c r="V53" s="204"/>
      <c r="W53" s="248" t="s">
        <v>466</v>
      </c>
      <c r="X53" s="6"/>
      <c r="Y53" s="257"/>
      <c r="Z53" s="258" t="s">
        <v>466</v>
      </c>
      <c r="AA53" s="6"/>
    </row>
    <row r="54" spans="2:27">
      <c r="B54" s="119"/>
      <c r="C54" s="119"/>
      <c r="D54" s="119"/>
      <c r="E54" s="119"/>
      <c r="F54" s="119"/>
      <c r="G54" s="119"/>
      <c r="H54" s="119"/>
      <c r="I54" s="119"/>
      <c r="J54" s="119"/>
      <c r="K54" s="119"/>
      <c r="L54" s="119"/>
      <c r="M54" s="119"/>
      <c r="N54" s="119"/>
      <c r="O54" s="119"/>
      <c r="P54" s="119"/>
      <c r="Q54" s="119"/>
      <c r="R54" s="119"/>
      <c r="S54" s="119"/>
      <c r="T54" s="119"/>
      <c r="V54" s="250"/>
      <c r="W54" s="251"/>
      <c r="X54" s="6"/>
      <c r="Y54" s="250"/>
      <c r="Z54" s="251"/>
      <c r="AA54" s="6"/>
    </row>
    <row r="55" spans="2:27">
      <c r="B55" s="119"/>
      <c r="C55" s="119"/>
      <c r="D55" s="119"/>
      <c r="E55" s="119"/>
      <c r="F55" s="119"/>
      <c r="G55" s="119"/>
      <c r="H55" s="119"/>
      <c r="I55" s="119"/>
      <c r="J55" s="119"/>
      <c r="K55" s="119"/>
      <c r="L55" s="119"/>
      <c r="M55" s="119"/>
      <c r="N55" s="119"/>
      <c r="O55" s="119"/>
      <c r="P55" s="119"/>
      <c r="Q55" s="119"/>
      <c r="R55" s="119"/>
      <c r="S55" s="119"/>
      <c r="T55" s="119"/>
      <c r="V55" s="249"/>
      <c r="W55" s="251"/>
      <c r="X55" s="6"/>
      <c r="Y55" s="249"/>
      <c r="Z55" s="251"/>
      <c r="AA55" s="6"/>
    </row>
  </sheetData>
  <mergeCells count="24">
    <mergeCell ref="C26:L28"/>
    <mergeCell ref="B17:L17"/>
    <mergeCell ref="B3:T3"/>
    <mergeCell ref="B4:T4"/>
    <mergeCell ref="B5:T5"/>
    <mergeCell ref="R7:T7"/>
    <mergeCell ref="B9:L9"/>
    <mergeCell ref="N9:T9"/>
    <mergeCell ref="Y32:Z32"/>
    <mergeCell ref="Y33:Z33"/>
    <mergeCell ref="V32:W32"/>
    <mergeCell ref="V33:W33"/>
    <mergeCell ref="B11:L11"/>
    <mergeCell ref="C12:L12"/>
    <mergeCell ref="C13:L13"/>
    <mergeCell ref="C14:L14"/>
    <mergeCell ref="C15:L15"/>
    <mergeCell ref="B32:T32"/>
    <mergeCell ref="C29:L30"/>
    <mergeCell ref="C18:L18"/>
    <mergeCell ref="C19:L19"/>
    <mergeCell ref="C20:L20"/>
    <mergeCell ref="D21:L22"/>
    <mergeCell ref="C23:L25"/>
  </mergeCells>
  <hyperlinks>
    <hyperlink ref="R7" location="'Information och Innehåll'!A1" display="Tillbaka till Information och Innehåll"/>
    <hyperlink ref="V35" location="V1.1.1!A1" display="V1.1.1"/>
    <hyperlink ref="V36" location="V1.1.2!A1" display="V1.1.2"/>
    <hyperlink ref="V37" location="V1.1.3!A1" display="V1.1.3"/>
    <hyperlink ref="V38" location="V2.1.1!A1" display="V2.1.1"/>
    <hyperlink ref="V39" location="V2.1.2!A1" display="V2.1.2"/>
    <hyperlink ref="V41" location="V3.1.2!A1" display="V3.1.2"/>
    <hyperlink ref="V40" location="V3.1.1!A1" display="V3.1.1"/>
    <hyperlink ref="V42" location="V3.1.3!A1" display="V3.1.3"/>
    <hyperlink ref="V44" location="V4.1.1!A1" display="V4.1.1"/>
    <hyperlink ref="V45" location="V4.2.1!A1" display="V4.2.1"/>
    <hyperlink ref="V46" location="V4.2.2!A1" display="V4.2.2"/>
    <hyperlink ref="V47" location="V4.2.3!A1" display="V4.2.3"/>
    <hyperlink ref="V48" location="V4.2.4!A1" display="V4.2.4"/>
    <hyperlink ref="V49" location="V5.1.1!A1" display="V5.1.1"/>
    <hyperlink ref="V50" location="V5.1.2!A1" display="V5.1.2"/>
    <hyperlink ref="W35" location="B1.1.1!A1" display="B1.1.1"/>
    <hyperlink ref="W36" location="B1.1.2!A1" display="B1.1.2"/>
    <hyperlink ref="W37" location="B1.2.1!A1" display="B1.2.1"/>
    <hyperlink ref="W38" location="B1.2.2!A1" display="B1.2.2"/>
    <hyperlink ref="W39" location="B1.2.3!A1" display="B1.2.3"/>
    <hyperlink ref="W40" location="B2.1.1!A1" display="B2.1.1"/>
    <hyperlink ref="W42" location="B2.2.1!A1" display="B2.2.1"/>
    <hyperlink ref="W43" location="B2.2.2!A1" display="B2.2.2"/>
    <hyperlink ref="W44" location="B2.2.3!A1" display="B2.2.3"/>
    <hyperlink ref="W45" location="B2.2.4!A1" display="B2.2.4"/>
    <hyperlink ref="W46" location="B3.1.1!A1" display="B3.1.1"/>
    <hyperlink ref="W47" location="B3.1.2!A1" display="B3.1.2"/>
    <hyperlink ref="W50" location="B4.1.1!A1" display="B4.1.1"/>
    <hyperlink ref="W51" location="B5.1.1!A1" display="B5.1.1"/>
    <hyperlink ref="W52" location="B5.1.2!A1" display="B5.1.2"/>
    <hyperlink ref="W53" location="B5.1.3!A1" display="B5.1.3"/>
    <hyperlink ref="W48" location="B3.1.3!A1" display="B3.1.3"/>
    <hyperlink ref="W41" location="B2.1.2!A1" display="B2.1.2"/>
    <hyperlink ref="V51" location="V5.1.3!A1" display="V5.1.3"/>
    <hyperlink ref="W49" location="B3.2.1!A1" display="B3.2.1"/>
    <hyperlink ref="V43" location="B3.2.1!A1" display="V3.2.1"/>
    <hyperlink ref="Y35" location="'V1.1.1 DATA'!A1" display="V1.1.1"/>
    <hyperlink ref="Y36" location="'V1.1.2 DATA'!A1" display="V1.1.2"/>
    <hyperlink ref="Y37" location="'V1.1.3 Data'!A1" display="V1.1.3"/>
    <hyperlink ref="Y38" location="'V2.1.1 DATA'!A1" display="V2.1.1"/>
    <hyperlink ref="Y39" location="'V2.1.2 DATA'!A1" display="V2.1.2"/>
    <hyperlink ref="Y41" location="'V3.1.2 DATA'!A1" display="V3.1.2"/>
    <hyperlink ref="Y40" location="'V3.1.1 DATA'!A1" display="V3.1.1"/>
    <hyperlink ref="Y42" location="'V3.1.3 DATA'!A1" display="V3.1.3"/>
    <hyperlink ref="Y43" location="'V3.2.1 DATA'!A1" display="V3.2.1"/>
    <hyperlink ref="Y44" location="'V4.1.1 DATA'!A1" display="V4.1.1"/>
    <hyperlink ref="Y45" location="'V4.2.1 DATA'!A1" display="V4.2.1"/>
    <hyperlink ref="Y47" location="'V4.2.3 DATA'!A1" display="V4.2.3"/>
    <hyperlink ref="Y48" location="'V4.2.4 DATA'!A1" display="V4.2.4"/>
    <hyperlink ref="Y49" location="'V5.1.1 DATA'!A1" display="V5.1.1"/>
    <hyperlink ref="Y50" location="'V5.1.2 DATA'!A1" display="V5.1.2"/>
    <hyperlink ref="Z35" location="'B1.1.1 DATA'!A1" display="B1.1.1"/>
    <hyperlink ref="Z36" location="'B1.1.2 DATA'!A1" display="B1.1.2"/>
    <hyperlink ref="Z37" location="'B1.2.1 DATA'!A1" display="B1.2.1"/>
    <hyperlink ref="Z38" location="'B1.2.2 DATA'!A1" display="B1.2.2"/>
    <hyperlink ref="Z39" location="'B1.2.3 DATA'!A1" display="B1.2.3"/>
    <hyperlink ref="Z40" location="'B2.1.1 DATA'!A1" display="B2.1.1"/>
    <hyperlink ref="Z42" location="'B2.2.1 DATA'!A1" display="B2.2.1"/>
    <hyperlink ref="Z43" location="'B2.2.2 DATA'!A1" display="B2.2.2"/>
    <hyperlink ref="Z44" location="'B2.2.3 DATA'!A1" display="B2.2.3"/>
    <hyperlink ref="Z45" location="'B2.2.4 DATA'!A1" display="B2.2.4"/>
    <hyperlink ref="Z46" location="'B3.1.1 DATA'!A1" display="B3.1.1"/>
    <hyperlink ref="Z47" location="'B3.1.2 DATA'!A1" display="B3.1.2"/>
    <hyperlink ref="Z49" location="'B3.2.1 DATA'!A1" display="B3.2.1"/>
    <hyperlink ref="Z50" location="'B4.1.1 DATA'!A1" display="B4.1.1"/>
    <hyperlink ref="Z51" location="'B5.1.1 DATA'!A1" display="B5.1.1"/>
    <hyperlink ref="Z52" location="'B5.1.2 DATA'!A1" display="B5.1.2"/>
    <hyperlink ref="Z53" location="'B5.1.3 DATA'!A1" display="B5.1.3"/>
    <hyperlink ref="Z41" location="'B2.1.2 DATA'!A1" display="B2.1.2"/>
    <hyperlink ref="Y51" location="'V5.1.3 DATA'!A1" display="V5.1.3"/>
    <hyperlink ref="Z48" location="'B3.1.3 DATA'!A1" display="B3.1.3"/>
    <hyperlink ref="Y46" location="'V4.2.2 DATA'!A1" display="V4.2.2"/>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B49073"/>
  </sheetPr>
  <dimension ref="A1:BQ154"/>
  <sheetViews>
    <sheetView showGridLines="0" showRowColHeaders="0" zoomScale="70" zoomScaleNormal="70" workbookViewId="0"/>
  </sheetViews>
  <sheetFormatPr defaultRowHeight="14.25"/>
  <cols>
    <col min="1" max="1" width="15.796875" customWidth="1"/>
    <col min="2" max="8" width="26.796875" customWidth="1"/>
    <col min="9" max="32" width="12.796875" customWidth="1"/>
    <col min="59" max="60" width="12.796875" customWidth="1"/>
  </cols>
  <sheetData>
    <row r="1" spans="1:60" ht="15.75">
      <c r="A1" s="121" t="s">
        <v>213</v>
      </c>
      <c r="B1" s="121"/>
      <c r="C1" s="121"/>
      <c r="D1" s="121"/>
      <c r="E1" s="121"/>
      <c r="F1" s="121"/>
      <c r="G1" s="121"/>
    </row>
    <row r="2" spans="1:60" ht="15.75">
      <c r="A2" s="26" t="s">
        <v>34</v>
      </c>
      <c r="C2" s="27">
        <v>42977</v>
      </c>
      <c r="G2" s="342" t="s">
        <v>44</v>
      </c>
      <c r="H2" s="342"/>
      <c r="I2" s="120"/>
      <c r="J2" s="120"/>
    </row>
    <row r="3" spans="1:60" ht="23.65" thickBot="1">
      <c r="A3" s="354" t="s">
        <v>7</v>
      </c>
      <c r="B3" s="354"/>
      <c r="C3" s="354"/>
      <c r="D3" s="354"/>
      <c r="E3" s="354"/>
      <c r="F3" s="354"/>
      <c r="G3" s="354"/>
      <c r="H3" s="354"/>
      <c r="J3" s="321" t="s">
        <v>46</v>
      </c>
      <c r="K3" s="321"/>
      <c r="L3" s="11"/>
      <c r="M3" s="318" t="s">
        <v>46</v>
      </c>
      <c r="N3" s="318"/>
    </row>
    <row r="4" spans="1:60">
      <c r="A4" s="119"/>
      <c r="B4" s="119"/>
      <c r="C4" s="119"/>
      <c r="D4" s="119"/>
      <c r="E4" s="119"/>
      <c r="F4" s="119"/>
      <c r="G4" s="119"/>
      <c r="H4" s="119"/>
      <c r="J4" s="319" t="s">
        <v>65</v>
      </c>
      <c r="K4" s="320"/>
      <c r="L4" s="11"/>
      <c r="M4" s="319" t="s">
        <v>66</v>
      </c>
      <c r="N4" s="320"/>
    </row>
    <row r="5" spans="1:60">
      <c r="A5" s="119"/>
      <c r="B5" s="352" t="s">
        <v>374</v>
      </c>
      <c r="C5" s="352"/>
      <c r="D5" s="352"/>
      <c r="E5" s="352"/>
      <c r="F5" s="352"/>
      <c r="G5" s="352"/>
      <c r="H5" s="352"/>
      <c r="I5" s="186"/>
      <c r="J5" s="56" t="s">
        <v>61</v>
      </c>
      <c r="K5" s="56" t="s">
        <v>62</v>
      </c>
      <c r="L5" s="11"/>
      <c r="M5" s="56" t="s">
        <v>61</v>
      </c>
      <c r="N5" s="56" t="s">
        <v>62</v>
      </c>
    </row>
    <row r="6" spans="1:60" ht="14.45" customHeight="1">
      <c r="A6" s="119"/>
      <c r="B6" s="352" t="s">
        <v>326</v>
      </c>
      <c r="C6" s="352"/>
      <c r="D6" s="352"/>
      <c r="E6" s="352"/>
      <c r="F6" s="352"/>
      <c r="G6" s="352"/>
      <c r="H6" s="352"/>
      <c r="I6" s="186"/>
      <c r="J6" s="244" t="s">
        <v>392</v>
      </c>
      <c r="K6" s="244" t="s">
        <v>448</v>
      </c>
      <c r="L6" s="11"/>
      <c r="M6" s="244" t="s">
        <v>392</v>
      </c>
      <c r="N6" s="244" t="s">
        <v>448</v>
      </c>
    </row>
    <row r="7" spans="1:60" ht="14.45" customHeight="1">
      <c r="A7" s="119"/>
      <c r="B7" s="352" t="s">
        <v>329</v>
      </c>
      <c r="C7" s="352"/>
      <c r="D7" s="352"/>
      <c r="E7" s="352"/>
      <c r="F7" s="352"/>
      <c r="G7" s="352"/>
      <c r="H7" s="352"/>
      <c r="I7" s="186"/>
      <c r="J7" s="244" t="s">
        <v>393</v>
      </c>
      <c r="K7" s="244" t="s">
        <v>449</v>
      </c>
      <c r="L7" s="11"/>
      <c r="M7" s="244" t="s">
        <v>393</v>
      </c>
      <c r="N7" s="244" t="s">
        <v>449</v>
      </c>
    </row>
    <row r="8" spans="1:60" ht="14.45" customHeight="1">
      <c r="A8" s="119"/>
      <c r="B8" s="353" t="s">
        <v>325</v>
      </c>
      <c r="C8" s="353"/>
      <c r="D8" s="353"/>
      <c r="E8" s="353"/>
      <c r="F8" s="353"/>
      <c r="G8" s="353"/>
      <c r="H8" s="353"/>
      <c r="I8" s="187"/>
      <c r="J8" s="244" t="s">
        <v>394</v>
      </c>
      <c r="K8" s="244" t="s">
        <v>450</v>
      </c>
      <c r="L8" s="11"/>
      <c r="M8" s="244" t="s">
        <v>394</v>
      </c>
      <c r="N8" s="244" t="s">
        <v>450</v>
      </c>
    </row>
    <row r="9" spans="1:60" ht="14.45" customHeight="1">
      <c r="A9" s="119"/>
      <c r="B9" s="353" t="s">
        <v>515</v>
      </c>
      <c r="C9" s="353"/>
      <c r="D9" s="353"/>
      <c r="E9" s="353"/>
      <c r="F9" s="353"/>
      <c r="G9" s="353"/>
      <c r="H9" s="353"/>
      <c r="I9" s="187"/>
      <c r="J9" s="244" t="s">
        <v>434</v>
      </c>
      <c r="K9" s="244" t="s">
        <v>451</v>
      </c>
      <c r="L9" s="11"/>
      <c r="M9" s="244" t="s">
        <v>434</v>
      </c>
      <c r="N9" s="244" t="s">
        <v>451</v>
      </c>
    </row>
    <row r="10" spans="1:60" ht="14.45" customHeight="1">
      <c r="A10" s="119"/>
      <c r="B10" s="353" t="s">
        <v>327</v>
      </c>
      <c r="C10" s="353"/>
      <c r="D10" s="353"/>
      <c r="E10" s="353"/>
      <c r="F10" s="353"/>
      <c r="G10" s="353"/>
      <c r="H10" s="353"/>
      <c r="I10" s="187"/>
      <c r="J10" s="244" t="s">
        <v>435</v>
      </c>
      <c r="K10" s="244" t="s">
        <v>452</v>
      </c>
      <c r="M10" s="244" t="s">
        <v>435</v>
      </c>
      <c r="N10" s="244" t="s">
        <v>452</v>
      </c>
    </row>
    <row r="11" spans="1:60" ht="14.45" customHeight="1">
      <c r="A11" s="119"/>
      <c r="B11" s="119"/>
      <c r="C11" s="119"/>
      <c r="D11" s="119"/>
      <c r="E11" s="119"/>
      <c r="F11" s="119"/>
      <c r="G11" s="119"/>
      <c r="H11" s="119"/>
      <c r="I11" s="11"/>
      <c r="J11" s="244" t="s">
        <v>436</v>
      </c>
      <c r="K11" s="244" t="s">
        <v>453</v>
      </c>
      <c r="M11" s="244" t="s">
        <v>436</v>
      </c>
      <c r="N11" s="244" t="s">
        <v>453</v>
      </c>
    </row>
    <row r="12" spans="1:60">
      <c r="J12" s="244" t="s">
        <v>437</v>
      </c>
      <c r="K12" s="245" t="s">
        <v>454</v>
      </c>
      <c r="M12" s="244" t="s">
        <v>437</v>
      </c>
      <c r="N12" s="245" t="s">
        <v>454</v>
      </c>
    </row>
    <row r="13" spans="1:60">
      <c r="A13" s="133" t="s">
        <v>2</v>
      </c>
      <c r="B13" s="133" t="s">
        <v>203</v>
      </c>
      <c r="C13" s="133" t="s">
        <v>153</v>
      </c>
      <c r="D13" s="133" t="s">
        <v>158</v>
      </c>
      <c r="E13" s="133" t="s">
        <v>162</v>
      </c>
      <c r="F13" s="133" t="s">
        <v>178</v>
      </c>
      <c r="G13" s="133" t="s">
        <v>188</v>
      </c>
      <c r="H13" s="133" t="s">
        <v>209</v>
      </c>
      <c r="I13" s="152"/>
      <c r="J13" s="244" t="s">
        <v>438</v>
      </c>
      <c r="K13" s="244" t="s">
        <v>455</v>
      </c>
      <c r="M13" s="244" t="s">
        <v>438</v>
      </c>
      <c r="N13" s="244" t="s">
        <v>455</v>
      </c>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8"/>
      <c r="BG13" s="8"/>
      <c r="BH13" s="8"/>
    </row>
    <row r="14" spans="1:60">
      <c r="A14" s="2">
        <v>2016</v>
      </c>
      <c r="B14" t="s">
        <v>204</v>
      </c>
      <c r="C14" s="79">
        <f>COUNTIF(C$47:C$61,"=1")/COUNT(C$47:C$61)</f>
        <v>0.46153846153846156</v>
      </c>
      <c r="D14" s="79">
        <f>COUNTIF(C$62:C$66,"=1")/COUNT(C$62:C$66)</f>
        <v>0</v>
      </c>
      <c r="E14" s="79">
        <f>COUNTIF(C$67:C$70,"=1")/COUNT(C$67:C$70)</f>
        <v>0.5</v>
      </c>
      <c r="F14" s="79">
        <f>COUNTIF(C$71:C$85,"=1")/COUNT(C$71:C$85)</f>
        <v>0.33333333333333331</v>
      </c>
      <c r="G14" s="79">
        <f>COUNTIF(C$86:C$95,"=1")/COUNT(C$86:C$95)</f>
        <v>0.44444444444444442</v>
      </c>
      <c r="H14" s="79">
        <f>COUNTIF(C$47:C$95,"=1")/COUNT(C$47:C$95)</f>
        <v>0.3902439024390244</v>
      </c>
      <c r="I14" s="82"/>
      <c r="J14" s="245" t="s">
        <v>439</v>
      </c>
      <c r="K14" s="244" t="s">
        <v>456</v>
      </c>
      <c r="M14" s="244" t="s">
        <v>439</v>
      </c>
      <c r="N14" s="244" t="s">
        <v>456</v>
      </c>
      <c r="O14" s="153"/>
      <c r="P14" s="82"/>
      <c r="Q14" s="82"/>
      <c r="R14" s="82"/>
      <c r="S14" s="153"/>
      <c r="T14" s="153"/>
      <c r="U14" s="82"/>
      <c r="V14" s="82"/>
      <c r="W14" s="82"/>
      <c r="X14" s="82"/>
      <c r="Y14" s="82"/>
      <c r="Z14" s="82"/>
      <c r="AA14" s="82"/>
      <c r="AB14" s="82"/>
      <c r="AC14" s="153"/>
      <c r="AD14" s="82"/>
      <c r="AE14" s="153"/>
      <c r="AF14" s="82"/>
      <c r="AG14" s="153"/>
      <c r="AH14" s="82"/>
      <c r="AI14" s="82"/>
      <c r="AJ14" s="82"/>
      <c r="AK14" s="82"/>
      <c r="AL14" s="82"/>
      <c r="AM14" s="82"/>
      <c r="AN14" s="82"/>
      <c r="AO14" s="82"/>
      <c r="AP14" s="82"/>
      <c r="AQ14" s="82"/>
      <c r="AR14" s="82"/>
      <c r="AS14" s="82"/>
      <c r="AT14" s="82"/>
      <c r="AU14" s="82"/>
      <c r="AV14" s="82"/>
      <c r="AW14" s="82"/>
      <c r="AX14" s="82"/>
      <c r="AY14" s="82"/>
      <c r="AZ14" s="153"/>
      <c r="BA14" s="82"/>
      <c r="BB14" s="82"/>
      <c r="BC14" s="82"/>
      <c r="BD14" s="82"/>
      <c r="BE14" s="153"/>
      <c r="BF14" s="8"/>
      <c r="BG14" s="8"/>
      <c r="BH14" s="8"/>
    </row>
    <row r="15" spans="1:60">
      <c r="A15">
        <v>2016</v>
      </c>
      <c r="B15" t="s">
        <v>205</v>
      </c>
      <c r="C15" s="79">
        <f>COUNTIF(D$47:D$61,"=1")/COUNT(D$47:D$61)</f>
        <v>0.46153846153846156</v>
      </c>
      <c r="D15" s="79">
        <f>COUNTIF(D$62:D$66,"=1")/COUNT(D$62:D$66)</f>
        <v>0</v>
      </c>
      <c r="E15" s="79">
        <f>COUNTIF(D$67:D$70,"=1")/COUNT(D$67:D$70)</f>
        <v>0.25</v>
      </c>
      <c r="F15" s="79">
        <f>COUNTIF(D$71:D$85,"=1")/COUNT(D$71:D$85)</f>
        <v>0.25</v>
      </c>
      <c r="G15" s="79">
        <f>COUNTIF(D$86:D$95,"=1")/COUNT(D$86:D$95)</f>
        <v>0.33333333333333331</v>
      </c>
      <c r="H15" s="79">
        <f>COUNTIF(D$47:D$95,"=1")/COUNT(D$47:D$95)</f>
        <v>0.31707317073170732</v>
      </c>
      <c r="I15" s="82"/>
      <c r="J15" s="244" t="s">
        <v>440</v>
      </c>
      <c r="K15" s="244" t="s">
        <v>457</v>
      </c>
      <c r="M15" s="244" t="s">
        <v>440</v>
      </c>
      <c r="N15" s="244" t="s">
        <v>457</v>
      </c>
      <c r="O15" s="153"/>
      <c r="P15" s="82"/>
      <c r="Q15" s="82"/>
      <c r="R15" s="82"/>
      <c r="S15" s="153"/>
      <c r="T15" s="153"/>
      <c r="U15" s="82"/>
      <c r="V15" s="82"/>
      <c r="W15" s="82"/>
      <c r="X15" s="82"/>
      <c r="Y15" s="82"/>
      <c r="Z15" s="82"/>
      <c r="AA15" s="82"/>
      <c r="AB15" s="82"/>
      <c r="AC15" s="153"/>
      <c r="AD15" s="82"/>
      <c r="AE15" s="153"/>
      <c r="AF15" s="82"/>
      <c r="AG15" s="153"/>
      <c r="AH15" s="82"/>
      <c r="AI15" s="82"/>
      <c r="AJ15" s="82"/>
      <c r="AK15" s="82"/>
      <c r="AL15" s="82"/>
      <c r="AM15" s="82"/>
      <c r="AN15" s="82"/>
      <c r="AO15" s="82"/>
      <c r="AP15" s="82"/>
      <c r="AQ15" s="82"/>
      <c r="AR15" s="82"/>
      <c r="AS15" s="82"/>
      <c r="AT15" s="82"/>
      <c r="AU15" s="82"/>
      <c r="AV15" s="82"/>
      <c r="AW15" s="82"/>
      <c r="AX15" s="82"/>
      <c r="AY15" s="82"/>
      <c r="AZ15" s="153"/>
      <c r="BA15" s="82"/>
      <c r="BB15" s="82"/>
      <c r="BC15" s="82"/>
      <c r="BD15" s="82"/>
      <c r="BE15" s="153"/>
      <c r="BF15" s="8"/>
      <c r="BG15" s="8"/>
      <c r="BH15" s="8"/>
    </row>
    <row r="16" spans="1:60">
      <c r="A16" s="2">
        <v>2016</v>
      </c>
      <c r="B16" t="s">
        <v>206</v>
      </c>
      <c r="C16" s="79">
        <f>COUNTIF(E$47:E$61,"=1")/COUNT(E$47:E$61)</f>
        <v>0.41666666666666669</v>
      </c>
      <c r="D16" s="79">
        <f>COUNTIF(E$62:E$66,"=1")/COUNT(E$62:E$66)</f>
        <v>0.33333333333333331</v>
      </c>
      <c r="E16" s="79">
        <f>COUNTIF(E$67:E$70,"=1")/COUNT(E$67:E$70)</f>
        <v>0.25</v>
      </c>
      <c r="F16" s="79">
        <f>COUNTIF(E$71:E$85,"=1")/COUNT(E$71:E$85)</f>
        <v>0.41666666666666669</v>
      </c>
      <c r="G16" s="79">
        <f>COUNTIF(E$86:E$95,"=1")/COUNT(E$86:E$95)</f>
        <v>0.22222222222222221</v>
      </c>
      <c r="H16" s="79">
        <f>COUNTIF(E$47:E$95,"=1")/COUNT(E$47:E$95)</f>
        <v>0.35</v>
      </c>
      <c r="I16" s="82"/>
      <c r="J16" s="244" t="s">
        <v>441</v>
      </c>
      <c r="K16" s="244" t="s">
        <v>458</v>
      </c>
      <c r="M16" s="244" t="s">
        <v>441</v>
      </c>
      <c r="N16" s="244" t="s">
        <v>458</v>
      </c>
      <c r="O16" s="153"/>
      <c r="P16" s="82"/>
      <c r="Q16" s="82"/>
      <c r="R16" s="82"/>
      <c r="S16" s="153"/>
      <c r="T16" s="153"/>
      <c r="U16" s="82"/>
      <c r="V16" s="82"/>
      <c r="W16" s="82"/>
      <c r="X16" s="82"/>
      <c r="Y16" s="82"/>
      <c r="Z16" s="82"/>
      <c r="AA16" s="82"/>
      <c r="AB16" s="82"/>
      <c r="AC16" s="153"/>
      <c r="AD16" s="82"/>
      <c r="AE16" s="153"/>
      <c r="AF16" s="82"/>
      <c r="AG16" s="153"/>
      <c r="AH16" s="82"/>
      <c r="AI16" s="82"/>
      <c r="AJ16" s="82"/>
      <c r="AK16" s="82"/>
      <c r="AL16" s="82"/>
      <c r="AM16" s="82"/>
      <c r="AN16" s="82"/>
      <c r="AO16" s="82"/>
      <c r="AP16" s="82"/>
      <c r="AQ16" s="82"/>
      <c r="AR16" s="82"/>
      <c r="AS16" s="82"/>
      <c r="AT16" s="82"/>
      <c r="AU16" s="82"/>
      <c r="AV16" s="82"/>
      <c r="AW16" s="82"/>
      <c r="AX16" s="82"/>
      <c r="AY16" s="82"/>
      <c r="AZ16" s="153"/>
      <c r="BA16" s="82"/>
      <c r="BB16" s="82"/>
      <c r="BC16" s="82"/>
      <c r="BD16" s="82"/>
      <c r="BE16" s="153"/>
      <c r="BF16" s="8"/>
      <c r="BG16" s="8"/>
      <c r="BH16" s="8"/>
    </row>
    <row r="17" spans="1:60">
      <c r="A17">
        <v>2017</v>
      </c>
      <c r="B17" t="s">
        <v>204</v>
      </c>
      <c r="C17" s="79">
        <f>COUNTIF(F$47:F$61,"=1")/COUNT(F$47:F$61)</f>
        <v>0.46666666666666667</v>
      </c>
      <c r="D17" s="79">
        <f>COUNTIF(F$62:F$66,"=1")/COUNT(F$62:F$66)</f>
        <v>0</v>
      </c>
      <c r="E17" s="79">
        <f>COUNTIF(F$67:F$70,"=1")/COUNT(F$67:F$70)</f>
        <v>0.25</v>
      </c>
      <c r="F17" s="79">
        <f>COUNTIF(F$71:F$85,"=1")/COUNT(F$71:F$85)</f>
        <v>0.46666666666666667</v>
      </c>
      <c r="G17" s="79">
        <f>COUNTIF(F$86:F$95,"=1")/COUNT(F$86:F$95)</f>
        <v>0.33333333333333331</v>
      </c>
      <c r="H17" s="79">
        <f>COUNTIF(F$47:F$95,"=1")/COUNT(F$47:F$95)</f>
        <v>0.39130434782608697</v>
      </c>
      <c r="I17" s="82"/>
      <c r="J17" s="244" t="s">
        <v>442</v>
      </c>
      <c r="K17" s="244" t="s">
        <v>459</v>
      </c>
      <c r="M17" s="244" t="s">
        <v>442</v>
      </c>
      <c r="N17" s="244" t="s">
        <v>459</v>
      </c>
      <c r="O17" s="82"/>
      <c r="P17" s="82"/>
      <c r="Q17" s="82"/>
      <c r="R17" s="82"/>
      <c r="S17" s="82"/>
      <c r="T17" s="153"/>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153"/>
      <c r="BC17" s="82"/>
      <c r="BD17" s="82"/>
      <c r="BE17" s="153"/>
      <c r="BF17" s="8"/>
      <c r="BG17" s="8"/>
      <c r="BH17" s="8"/>
    </row>
    <row r="18" spans="1:60">
      <c r="A18">
        <v>2017</v>
      </c>
      <c r="B18" t="s">
        <v>205</v>
      </c>
      <c r="C18" s="79">
        <f>COUNTIF(G$47:G$61,"=1")/COUNT(G$47:G$61)</f>
        <v>0.33333333333333331</v>
      </c>
      <c r="D18" s="79">
        <f>COUNTIF(G$62:G$66,"=1")/COUNT(G$62:G$66)</f>
        <v>0.33333333333333331</v>
      </c>
      <c r="E18" s="79">
        <f>COUNTIF(G$67:G$70,"=1")/COUNT(G$67:G$70)</f>
        <v>0</v>
      </c>
      <c r="F18" s="79">
        <f>COUNTIF(G$71:G$85,"=1")/COUNT(G$71:G$85)</f>
        <v>0.4</v>
      </c>
      <c r="G18" s="79">
        <f>COUNTIF(G$86:G$95,"=1")/COUNT(G$86:G$95)</f>
        <v>0.44444444444444442</v>
      </c>
      <c r="H18" s="79">
        <f>COUNTIF(G$47:G$95,"=1")/COUNT(G$47:G$95)</f>
        <v>0.34782608695652173</v>
      </c>
      <c r="I18" s="82"/>
      <c r="J18" s="244" t="s">
        <v>443</v>
      </c>
      <c r="K18" s="244" t="s">
        <v>460</v>
      </c>
      <c r="M18" s="244" t="s">
        <v>443</v>
      </c>
      <c r="N18" s="244" t="s">
        <v>460</v>
      </c>
      <c r="O18" s="82"/>
      <c r="P18" s="82"/>
      <c r="Q18" s="82"/>
      <c r="R18" s="82"/>
      <c r="S18" s="82"/>
      <c r="T18" s="153"/>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153"/>
      <c r="BC18" s="82"/>
      <c r="BD18" s="82"/>
      <c r="BE18" s="153"/>
      <c r="BF18" s="8"/>
      <c r="BG18" s="8"/>
      <c r="BH18" s="8"/>
    </row>
    <row r="19" spans="1:60">
      <c r="A19">
        <v>2017</v>
      </c>
      <c r="B19" t="s">
        <v>206</v>
      </c>
      <c r="C19" s="79">
        <f>COUNTIF(H$47:H$61,"=1")/COUNT(H$47:H$61)</f>
        <v>0.5</v>
      </c>
      <c r="D19" s="79">
        <f>COUNTIF(H$62:H$66,"=1")/COUNT(H$62:H$66)</f>
        <v>0</v>
      </c>
      <c r="E19" s="79">
        <f>COUNTIF(H$67:H$70,"=1")/COUNT(H$67:H$70)</f>
        <v>0.5</v>
      </c>
      <c r="F19" s="79">
        <f>COUNTIF(H$71:H$85,"=1")/COUNT(H$71:H$85)</f>
        <v>0.53333333333333333</v>
      </c>
      <c r="G19" s="79">
        <f>COUNTIF(H$86:H$95,"=1")/COUNT(H$86:H$95)</f>
        <v>0.5714285714285714</v>
      </c>
      <c r="H19" s="79">
        <f>COUNTIF(H$47:H$95,"=1")/COUNT(H$47:H$95)</f>
        <v>0.46666666666666667</v>
      </c>
      <c r="I19" s="82"/>
      <c r="J19" s="244" t="s">
        <v>444</v>
      </c>
      <c r="K19" s="245" t="s">
        <v>461</v>
      </c>
      <c r="M19" s="244" t="s">
        <v>444</v>
      </c>
      <c r="N19" s="245" t="s">
        <v>461</v>
      </c>
      <c r="O19" s="82"/>
      <c r="P19" s="82"/>
      <c r="Q19" s="82"/>
      <c r="R19" s="82"/>
      <c r="S19" s="82"/>
      <c r="T19" s="153"/>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153"/>
      <c r="BB19" s="153"/>
      <c r="BC19" s="82"/>
      <c r="BD19" s="82"/>
      <c r="BE19" s="153"/>
      <c r="BF19" s="8"/>
      <c r="BG19" s="8"/>
      <c r="BH19" s="8"/>
    </row>
    <row r="20" spans="1:60">
      <c r="A20" s="2">
        <v>2018</v>
      </c>
      <c r="B20" t="s">
        <v>204</v>
      </c>
      <c r="C20" s="79" t="e">
        <f>COUNTIF(I$47:I$61,"=1")/COUNT(I$47:I$61)</f>
        <v>#DIV/0!</v>
      </c>
      <c r="D20" s="79" t="e">
        <f>COUNTIF(I$62:I$66,"=1")/COUNT(I$62:I$66)</f>
        <v>#DIV/0!</v>
      </c>
      <c r="E20" s="79" t="e">
        <f>COUNTIF(I$67:I$70,"=1")/COUNT(I$67:I$70)</f>
        <v>#DIV/0!</v>
      </c>
      <c r="F20" s="79" t="e">
        <f>COUNTIF(I$71:I$85,"=1")/COUNT(I$71:I$85)</f>
        <v>#DIV/0!</v>
      </c>
      <c r="G20" s="79" t="e">
        <f>COUNTIF(I$86:I$95,"=1")/COUNT(I$86:I$95)</f>
        <v>#DIV/0!</v>
      </c>
      <c r="H20" s="79" t="e">
        <f>COUNTIF(I$47:I$95,"=1")/COUNT(I$47:I$95)</f>
        <v>#DIV/0!</v>
      </c>
      <c r="I20" s="8"/>
      <c r="J20" s="244" t="s">
        <v>445</v>
      </c>
      <c r="K20" s="244" t="s">
        <v>462</v>
      </c>
      <c r="M20" s="244" t="s">
        <v>445</v>
      </c>
      <c r="N20" s="244" t="s">
        <v>462</v>
      </c>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row>
    <row r="21" spans="1:60">
      <c r="A21" s="2">
        <v>2018</v>
      </c>
      <c r="B21" t="s">
        <v>205</v>
      </c>
      <c r="C21" s="79" t="e">
        <f>COUNTIF(J$47:J$61,"=1")/COUNT(J$47:J$61)</f>
        <v>#DIV/0!</v>
      </c>
      <c r="D21" s="79" t="e">
        <f>COUNTIF(J$62:J$66,"=1")/COUNT(J$62:J$66)</f>
        <v>#DIV/0!</v>
      </c>
      <c r="E21" s="79" t="e">
        <f>COUNTIF(J$67:J$70,"=1")/COUNT(J$67:J$70)</f>
        <v>#DIV/0!</v>
      </c>
      <c r="F21" s="79" t="e">
        <f>COUNTIF(J$71:J$85,"=1")/COUNT(J$71:J$85)</f>
        <v>#DIV/0!</v>
      </c>
      <c r="G21" s="79" t="e">
        <f>COUNTIF(J$86:J$95,"=1")/COUNT(J$86:J$95)</f>
        <v>#DIV/0!</v>
      </c>
      <c r="H21" s="79" t="e">
        <f>COUNTIF(J$47:J$95,"=1")/COUNT(J$47:J$95)</f>
        <v>#DIV/0!</v>
      </c>
      <c r="J21" s="246" t="s">
        <v>446</v>
      </c>
      <c r="K21" s="244" t="s">
        <v>463</v>
      </c>
      <c r="M21" s="246" t="s">
        <v>446</v>
      </c>
      <c r="N21" s="244" t="s">
        <v>463</v>
      </c>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row>
    <row r="22" spans="1:60">
      <c r="A22" s="2">
        <v>2018</v>
      </c>
      <c r="B22" t="s">
        <v>206</v>
      </c>
      <c r="C22" s="79" t="e">
        <f>COUNTIF(K$47:K$61,"=1")/COUNT(K$47:K$61)</f>
        <v>#DIV/0!</v>
      </c>
      <c r="D22" s="79" t="e">
        <f>COUNTIF(K$62:K$66,"=1")/COUNT(K$62:K$66)</f>
        <v>#DIV/0!</v>
      </c>
      <c r="E22" s="79" t="e">
        <f>COUNTIF(K$67:K$70,"=1")/COUNT(K$67:K$70)</f>
        <v>#DIV/0!</v>
      </c>
      <c r="F22" s="79" t="e">
        <f>COUNTIF(K$71:K$85,"=1")/COUNT(K$71:K$85)</f>
        <v>#DIV/0!</v>
      </c>
      <c r="G22" s="79" t="e">
        <f>COUNTIF(K$86:K$95,"=1")/COUNT(K$86:K$95)</f>
        <v>#DIV/0!</v>
      </c>
      <c r="H22" s="79" t="e">
        <f>COUNTIF(K$47:K$95,"=1")/COUNT(K$47:K$95)</f>
        <v>#DIV/0!</v>
      </c>
      <c r="I22" s="6"/>
      <c r="J22" s="247" t="s">
        <v>447</v>
      </c>
      <c r="K22" s="244" t="s">
        <v>464</v>
      </c>
      <c r="L22" s="6"/>
      <c r="M22" s="247" t="s">
        <v>447</v>
      </c>
      <c r="N22" s="244" t="s">
        <v>464</v>
      </c>
      <c r="O22" s="6"/>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row>
    <row r="23" spans="1:60">
      <c r="A23">
        <v>2019</v>
      </c>
      <c r="B23" t="s">
        <v>204</v>
      </c>
      <c r="C23" s="79" t="e">
        <f>COUNTIF(L$47:L$61,"=1")/COUNT(L$47:L$61)</f>
        <v>#DIV/0!</v>
      </c>
      <c r="D23" s="79" t="e">
        <f>COUNTIF(L$62:L$66,"=1")/COUNT(L$62:L$66)</f>
        <v>#DIV/0!</v>
      </c>
      <c r="E23" s="79" t="e">
        <f>COUNTIF(L$67:L$70,"=1")/COUNT(L$67:L$70)</f>
        <v>#DIV/0!</v>
      </c>
      <c r="F23" s="79" t="e">
        <f>COUNTIF(L$71:L$85,"=1")/COUNT(L$71:L$85)</f>
        <v>#DIV/0!</v>
      </c>
      <c r="G23" s="79" t="e">
        <f>COUNTIF(L$86:L$95,"=1")/COUNT(L$86:L$95)</f>
        <v>#DIV/0!</v>
      </c>
      <c r="H23" s="79" t="e">
        <f>COUNTIF(L$47:L$95,"=1")/COUNT(L$47:L$95)</f>
        <v>#DIV/0!</v>
      </c>
      <c r="I23" s="6"/>
      <c r="J23" s="295"/>
      <c r="K23" s="244" t="s">
        <v>465</v>
      </c>
      <c r="L23" s="6"/>
      <c r="M23" s="284"/>
      <c r="N23" s="244" t="s">
        <v>465</v>
      </c>
      <c r="O23" s="6"/>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row>
    <row r="24" spans="1:60">
      <c r="A24">
        <v>2019</v>
      </c>
      <c r="B24" t="s">
        <v>205</v>
      </c>
      <c r="C24" s="79" t="e">
        <f>COUNTIF(M$47:M$61,"=1")/COUNT(M$47:M$61)</f>
        <v>#DIV/0!</v>
      </c>
      <c r="D24" s="79" t="e">
        <f>COUNTIF(M$62:M$66,"=1")/COUNT(M$62:M$66)</f>
        <v>#DIV/0!</v>
      </c>
      <c r="E24" s="79" t="e">
        <f>COUNTIF(M$67:M$70,"=1")/COUNT(M$67:M$70)</f>
        <v>#DIV/0!</v>
      </c>
      <c r="F24" s="79" t="e">
        <f>COUNTIF(M$71:M$85,"=1")/COUNT(M$71:M$85)</f>
        <v>#DIV/0!</v>
      </c>
      <c r="G24" s="79" t="e">
        <f>COUNTIF(M$86:M$95,"=1")/COUNT(M$86:M$95)</f>
        <v>#DIV/0!</v>
      </c>
      <c r="H24" s="79" t="e">
        <f>COUNTIF(M$47:M$95,"=1")/COUNT(M$47:M$95)</f>
        <v>#DIV/0!</v>
      </c>
      <c r="I24" s="6"/>
      <c r="J24" s="204"/>
      <c r="K24" s="248" t="s">
        <v>466</v>
      </c>
      <c r="L24" s="6"/>
      <c r="M24" s="257"/>
      <c r="N24" s="258" t="s">
        <v>466</v>
      </c>
      <c r="O24" s="6"/>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row>
    <row r="25" spans="1:60">
      <c r="A25">
        <v>2019</v>
      </c>
      <c r="B25" t="s">
        <v>206</v>
      </c>
      <c r="C25" s="79" t="e">
        <f>COUNTIF(N$47:N$61,"=1")/COUNT(N$47:N$61)</f>
        <v>#DIV/0!</v>
      </c>
      <c r="D25" s="79" t="e">
        <f>COUNTIF(N$62:N$66,"=1")/COUNT(N$62:N$66)</f>
        <v>#DIV/0!</v>
      </c>
      <c r="E25" s="79" t="e">
        <f>COUNTIF(N$67:N$70,"=1")/COUNT(N$67:N$70)</f>
        <v>#DIV/0!</v>
      </c>
      <c r="F25" s="79" t="e">
        <f>COUNTIF(N$71:N$85,"=1")/COUNT(N$71:N$85)</f>
        <v>#DIV/0!</v>
      </c>
      <c r="G25" s="79" t="e">
        <f>COUNTIF(N$86:N$95,"=1")/COUNT(N$86:N$95)</f>
        <v>#DIV/0!</v>
      </c>
      <c r="H25" s="79" t="e">
        <f>COUNTIF(N$47:N$95,"=1")/COUNT(N$47:N$95)</f>
        <v>#DIV/0!</v>
      </c>
      <c r="I25" s="6"/>
      <c r="J25" s="250"/>
      <c r="K25" s="251"/>
      <c r="L25" s="6"/>
      <c r="M25" s="250"/>
      <c r="N25" s="251"/>
      <c r="O25" s="6"/>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row>
    <row r="26" spans="1:60">
      <c r="A26">
        <v>2020</v>
      </c>
      <c r="B26" t="s">
        <v>204</v>
      </c>
      <c r="C26" s="79" t="e">
        <f>COUNTIF(O$47:O$61,"=1")/COUNT(O$47:O$61)</f>
        <v>#DIV/0!</v>
      </c>
      <c r="D26" s="79" t="e">
        <f>COUNTIF(O$62:O$66,"=1")/COUNT(O$62:O$66)</f>
        <v>#DIV/0!</v>
      </c>
      <c r="E26" s="79" t="e">
        <f>COUNTIF(O$67:O$70,"=1")/COUNT(O$67:O$70)</f>
        <v>#DIV/0!</v>
      </c>
      <c r="F26" s="79" t="e">
        <f>COUNTIF(O$71:O$85,"=1")/COUNT(O$71:O$85)</f>
        <v>#DIV/0!</v>
      </c>
      <c r="G26" s="79" t="e">
        <f>COUNTIF(O$86:O$95,"=1")/COUNT(O$86:O$95)</f>
        <v>#DIV/0!</v>
      </c>
      <c r="H26" s="79" t="e">
        <f>COUNTIF(O$47:O$95,"=1")/COUNT(O$47:O$95)</f>
        <v>#DIV/0!</v>
      </c>
      <c r="I26" s="6"/>
      <c r="J26" s="249"/>
      <c r="K26" s="251"/>
      <c r="L26" s="6"/>
      <c r="M26" s="249"/>
      <c r="N26" s="251"/>
      <c r="O26" s="6"/>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row>
    <row r="27" spans="1:60">
      <c r="A27">
        <v>2020</v>
      </c>
      <c r="B27" t="s">
        <v>205</v>
      </c>
      <c r="C27" s="79" t="e">
        <f>COUNTIF(P$47:P$61,"=1")/COUNT(P$47:P$61)</f>
        <v>#DIV/0!</v>
      </c>
      <c r="D27" s="79" t="e">
        <f>COUNTIF(P$62:P$66,"=1")/COUNT(P$62:P$66)</f>
        <v>#DIV/0!</v>
      </c>
      <c r="E27" s="79" t="e">
        <f>COUNTIF(P$67:P$70,"=1")/COUNT(P$67:P$70)</f>
        <v>#DIV/0!</v>
      </c>
      <c r="F27" s="79" t="e">
        <f>COUNTIF(P$71:P$85,"=1")/COUNT(P$71:P$85)</f>
        <v>#DIV/0!</v>
      </c>
      <c r="G27" s="79" t="e">
        <f>COUNTIF(P$86:P$95,"=1")/COUNT(P$86:P$95)</f>
        <v>#DIV/0!</v>
      </c>
      <c r="H27" s="79" t="e">
        <f>COUNTIF(P$47:P$95,"=1")/COUNT(P$47:P$95)</f>
        <v>#DIV/0!</v>
      </c>
      <c r="I27" s="6"/>
      <c r="J27" s="6"/>
      <c r="K27" s="6"/>
      <c r="L27" s="6"/>
      <c r="M27" s="6"/>
      <c r="N27" s="6"/>
      <c r="O27" s="6"/>
    </row>
    <row r="28" spans="1:60">
      <c r="A28">
        <v>2020</v>
      </c>
      <c r="B28" t="s">
        <v>206</v>
      </c>
      <c r="C28" s="79" t="e">
        <f>COUNTIF(Q$47:Q$61,"=1")/COUNT(Q$47:Q$61)</f>
        <v>#DIV/0!</v>
      </c>
      <c r="D28" s="79" t="e">
        <f>COUNTIF(Q$62:Q$66,"=1")/COUNT(Q$62:Q$66)</f>
        <v>#DIV/0!</v>
      </c>
      <c r="E28" s="79" t="e">
        <f>COUNTIF(Q$67:Q$70,"=1")/COUNT(Q$67:Q$70)</f>
        <v>#DIV/0!</v>
      </c>
      <c r="F28" s="79" t="e">
        <f>COUNTIF(Q$71:Q$85,"=1")/COUNT(Q$71:Q$85)</f>
        <v>#DIV/0!</v>
      </c>
      <c r="G28" s="79" t="e">
        <f>COUNTIF(Q$86:Q$95,"=1")/COUNT(Q$86:Q$95)</f>
        <v>#DIV/0!</v>
      </c>
      <c r="H28" s="79" t="e">
        <f>COUNTIF(Q$47:Q$95,"=1")/COUNT(Q$47:Q$95)</f>
        <v>#DIV/0!</v>
      </c>
    </row>
    <row r="29" spans="1:60">
      <c r="A29">
        <v>2021</v>
      </c>
      <c r="B29" t="s">
        <v>204</v>
      </c>
      <c r="C29" s="79" t="e">
        <f>COUNTIF(R$47:R$61,"=1")/COUNT(R$47:R$61)</f>
        <v>#DIV/0!</v>
      </c>
      <c r="D29" s="79" t="e">
        <f>COUNTIF(R$62:R$66,"=1")/COUNT(R$62:R$66)</f>
        <v>#DIV/0!</v>
      </c>
      <c r="E29" s="79" t="e">
        <f>COUNTIF(R$67:R$70,"=1")/COUNT(R$67:R$70)</f>
        <v>#DIV/0!</v>
      </c>
      <c r="F29" s="79" t="e">
        <f>COUNTIF(R$71:R$85,"=1")/COUNT(R$71:R$85)</f>
        <v>#DIV/0!</v>
      </c>
      <c r="G29" s="79" t="e">
        <f>COUNTIF(R$86:R$95,"=1")/COUNT(R$86:R$95)</f>
        <v>#DIV/0!</v>
      </c>
      <c r="H29" s="79" t="e">
        <f>COUNTIF(R$47:R$95,"=1")/COUNT(R$47:R$95)</f>
        <v>#DIV/0!</v>
      </c>
    </row>
    <row r="30" spans="1:60">
      <c r="A30">
        <v>2021</v>
      </c>
      <c r="B30" t="s">
        <v>205</v>
      </c>
      <c r="C30" s="79" t="e">
        <f>COUNTIF(S$47:S$61,"=1")/COUNT(S$47:S$61)</f>
        <v>#DIV/0!</v>
      </c>
      <c r="D30" s="79" t="e">
        <f>COUNTIF(S$62:S$66,"=1")/COUNT(S$62:S$66)</f>
        <v>#DIV/0!</v>
      </c>
      <c r="E30" s="79" t="e">
        <f>COUNTIF(S$67:S$70,"=1")/COUNT(S$67:S$70)</f>
        <v>#DIV/0!</v>
      </c>
      <c r="F30" s="79" t="e">
        <f>COUNTIF(S$71:S$85,"=1")/COUNT(S$71:S$85)</f>
        <v>#DIV/0!</v>
      </c>
      <c r="G30" s="79" t="e">
        <f>COUNTIF(S$86:S$95,"=1")/COUNT(S$86:S$95)</f>
        <v>#DIV/0!</v>
      </c>
      <c r="H30" s="79" t="e">
        <f>COUNTIF(S$47:S$95,"=1")/COUNT(S$47:S$95)</f>
        <v>#DIV/0!</v>
      </c>
    </row>
    <row r="31" spans="1:60">
      <c r="A31">
        <v>2021</v>
      </c>
      <c r="B31" t="s">
        <v>206</v>
      </c>
      <c r="C31" s="79" t="e">
        <f>COUNTIF(T$47:T$61,"=1")/COUNT(T$47:T$61)</f>
        <v>#DIV/0!</v>
      </c>
      <c r="D31" s="79" t="e">
        <f>COUNTIF(T$62:T$66,"=1")/COUNT(T$62:T$66)</f>
        <v>#DIV/0!</v>
      </c>
      <c r="E31" s="79" t="e">
        <f>COUNTIF(T$67:T$70,"=1")/COUNT(T$67:T$70)</f>
        <v>#DIV/0!</v>
      </c>
      <c r="F31" s="79" t="e">
        <f>COUNTIF(T$71:T$85,"=1")/COUNT(T$71:T$85)</f>
        <v>#DIV/0!</v>
      </c>
      <c r="G31" s="79" t="e">
        <f>COUNTIF(T$86:T$95,"=1")/COUNT(T$86:T$95)</f>
        <v>#DIV/0!</v>
      </c>
      <c r="H31" s="79" t="e">
        <f>COUNTIF(T$47:T$95,"=1")/COUNT(T$47:T$95)</f>
        <v>#DIV/0!</v>
      </c>
    </row>
    <row r="32" spans="1:60">
      <c r="A32">
        <v>2022</v>
      </c>
      <c r="B32" t="s">
        <v>204</v>
      </c>
      <c r="C32" s="79" t="e">
        <f>COUNTIF(U$47:U$61,"=1")/COUNT(U$47:U$61)</f>
        <v>#DIV/0!</v>
      </c>
      <c r="D32" s="79" t="e">
        <f>COUNTIF(U$62:U$66,"=1")/COUNT(U$62:U$66)</f>
        <v>#DIV/0!</v>
      </c>
      <c r="E32" s="79" t="e">
        <f>COUNTIF(U$67:U$70,"=1")/COUNT(U$67:U$70)</f>
        <v>#DIV/0!</v>
      </c>
      <c r="F32" s="79" t="e">
        <f>COUNTIF(U$71:U$85,"=1")/COUNT(U$71:U$85)</f>
        <v>#DIV/0!</v>
      </c>
      <c r="G32" s="79" t="e">
        <f>COUNTIF(U$86:U$95,"=1")/COUNT(U$86:U$95)</f>
        <v>#DIV/0!</v>
      </c>
      <c r="H32" s="79" t="e">
        <f>COUNTIF(U$47:U$95,"=1")/COUNT(U$47:U$95)</f>
        <v>#DIV/0!</v>
      </c>
    </row>
    <row r="33" spans="1:69">
      <c r="A33">
        <v>2022</v>
      </c>
      <c r="B33" t="s">
        <v>205</v>
      </c>
      <c r="C33" s="79" t="e">
        <f>COUNTIF(V$47:V$61,"=1")/COUNT(V$47:V$61)</f>
        <v>#DIV/0!</v>
      </c>
      <c r="D33" s="79" t="e">
        <f>COUNTIF(V$62:V$66,"=1")/COUNT(V$62:V$66)</f>
        <v>#DIV/0!</v>
      </c>
      <c r="E33" s="79" t="e">
        <f>COUNTIF(V$67:V$70,"=1")/COUNT(V$67:V$70)</f>
        <v>#DIV/0!</v>
      </c>
      <c r="F33" s="79" t="e">
        <f>COUNTIF(V$71:V$85,"=1")/COUNT(V$71:V$85)</f>
        <v>#DIV/0!</v>
      </c>
      <c r="G33" s="79" t="e">
        <f>COUNTIF(V$86:V$95,"=1")/COUNT(V$86:V$95)</f>
        <v>#DIV/0!</v>
      </c>
      <c r="H33" s="79" t="e">
        <f>COUNTIF(V$47:V$95,"=1")/COUNT(V$47:V$95)</f>
        <v>#DIV/0!</v>
      </c>
    </row>
    <row r="34" spans="1:69">
      <c r="A34">
        <v>2022</v>
      </c>
      <c r="B34" t="s">
        <v>206</v>
      </c>
      <c r="C34" s="79" t="e">
        <f>COUNTIF(W$47:W$61,"=1")/COUNT(W$47:W$61)</f>
        <v>#DIV/0!</v>
      </c>
      <c r="D34" s="79" t="e">
        <f>COUNTIF(W$62:W$66,"=1")/COUNT(W$62:W$66)</f>
        <v>#DIV/0!</v>
      </c>
      <c r="E34" s="79" t="e">
        <f>COUNTIF(W$67:W$70,"=1")/COUNT(W$67:W$70)</f>
        <v>#DIV/0!</v>
      </c>
      <c r="F34" s="79" t="e">
        <f>COUNTIF(W$71:W$85,"=1")/COUNT(W$71:W$85)</f>
        <v>#DIV/0!</v>
      </c>
      <c r="G34" s="79" t="e">
        <f>COUNTIF(W$86:W$95,"=1")/COUNT(W$86:W$95)</f>
        <v>#DIV/0!</v>
      </c>
      <c r="H34" s="79" t="e">
        <f>COUNTIF(W$47:W$95,"=1")/COUNT(W$47:W$95)</f>
        <v>#DIV/0!</v>
      </c>
    </row>
    <row r="35" spans="1:69">
      <c r="A35">
        <v>2023</v>
      </c>
      <c r="B35" t="s">
        <v>204</v>
      </c>
      <c r="C35" s="79" t="e">
        <f>COUNTIF(X$47:X$61,"=1")/COUNT(X$47:X$61)</f>
        <v>#DIV/0!</v>
      </c>
      <c r="D35" s="79" t="e">
        <f>COUNTIF(X$62:X$66,"=1")/COUNT(X$62:X$66)</f>
        <v>#DIV/0!</v>
      </c>
      <c r="E35" s="79" t="e">
        <f>COUNTIF(X$67:X$70,"=1")/COUNT(X$67:X$70)</f>
        <v>#DIV/0!</v>
      </c>
      <c r="F35" s="79" t="e">
        <f>COUNTIF(X$71:X$85,"=1")/COUNT(X$71:X$85)</f>
        <v>#DIV/0!</v>
      </c>
      <c r="G35" s="79" t="e">
        <f>COUNTIF(X$86:X$95,"=1")/COUNT(X$86:X$95)</f>
        <v>#DIV/0!</v>
      </c>
      <c r="H35" s="79" t="e">
        <f>COUNTIF(X$47:X$95,"=1")/COUNT(X$47:X$95)</f>
        <v>#DIV/0!</v>
      </c>
      <c r="BG35" s="57"/>
      <c r="BH35" s="57"/>
    </row>
    <row r="36" spans="1:69">
      <c r="A36">
        <v>2023</v>
      </c>
      <c r="B36" t="s">
        <v>205</v>
      </c>
      <c r="C36" s="79" t="e">
        <f>COUNTIF(Y$47:Y$61,"=1")/COUNT(Y$47:Y$61)</f>
        <v>#DIV/0!</v>
      </c>
      <c r="D36" s="79" t="e">
        <f>COUNTIF(Y$62:Y$66,"=1")/COUNT(Y$62:Y$66)</f>
        <v>#DIV/0!</v>
      </c>
      <c r="E36" s="79" t="e">
        <f>COUNTIF(Y$67:Y$70,"=1")/COUNT(Y$67:Y$70)</f>
        <v>#DIV/0!</v>
      </c>
      <c r="F36" s="79" t="e">
        <f>COUNTIF(Y$71:Y$85,"=1")/COUNT(Y$71:Y$85)</f>
        <v>#DIV/0!</v>
      </c>
      <c r="G36" s="79" t="e">
        <f>COUNTIF(Y$86:Y$95,"=1")/COUNT(Y$86:Y$95)</f>
        <v>#DIV/0!</v>
      </c>
      <c r="H36" s="79" t="e">
        <f>COUNTIF(Y$47:Y$95,"=1")/COUNT(Y$47:Y$95)</f>
        <v>#DIV/0!</v>
      </c>
    </row>
    <row r="37" spans="1:69">
      <c r="A37">
        <v>2023</v>
      </c>
      <c r="B37" t="s">
        <v>206</v>
      </c>
      <c r="C37" s="79" t="e">
        <f>COUNTIF(Z$47:Z$61,"=1")/COUNT(Z$47:Z$61)</f>
        <v>#DIV/0!</v>
      </c>
      <c r="D37" s="79" t="e">
        <f>COUNTIF(Z$62:Z$66,"=1")/COUNT(Z$62:Z$66)</f>
        <v>#DIV/0!</v>
      </c>
      <c r="E37" s="79" t="e">
        <f>COUNTIF(Z$67:Z$70,"=1")/COUNT(Z$67:Z$70)</f>
        <v>#DIV/0!</v>
      </c>
      <c r="F37" s="79" t="e">
        <f>COUNTIF(Z$71:Z$85,"=1")/COUNT(Z$71:Z$85)</f>
        <v>#DIV/0!</v>
      </c>
      <c r="G37" s="79" t="e">
        <f>COUNTIF(Z$86:Z$95,"=1")/COUNT(Z$86:Z$95)</f>
        <v>#DIV/0!</v>
      </c>
      <c r="H37" s="79" t="e">
        <f>COUNTIF(Z$47:Z$95,"=1")/COUNT(Z$47:Z$95)</f>
        <v>#DIV/0!</v>
      </c>
    </row>
    <row r="38" spans="1:69">
      <c r="A38">
        <v>2024</v>
      </c>
      <c r="B38" t="s">
        <v>204</v>
      </c>
      <c r="C38" s="79" t="e">
        <f>COUNTIF(AA$47:AA$61,"=1")/COUNT(AA$47:AA$61)</f>
        <v>#DIV/0!</v>
      </c>
      <c r="D38" s="79" t="e">
        <f>COUNTIF(AA$62:AA$66,"=1")/COUNT(AA$62:AA$66)</f>
        <v>#DIV/0!</v>
      </c>
      <c r="E38" s="79" t="e">
        <f>COUNTIF(AA$67:AA$70,"=1")/COUNT(AA$67:AA$70)</f>
        <v>#DIV/0!</v>
      </c>
      <c r="F38" s="79" t="e">
        <f>COUNTIF(AA$71:AA$85,"=1")/COUNT(AA$71:AA$85)</f>
        <v>#DIV/0!</v>
      </c>
      <c r="G38" s="79" t="e">
        <f>COUNTIF(AA$86:AA$95,"=1")/COUNT(AA$86:AA$95)</f>
        <v>#DIV/0!</v>
      </c>
      <c r="H38" s="79" t="e">
        <f>COUNTIF(AA$47:AA$95,"=1")/COUNT(AA$47:AA$95)</f>
        <v>#DIV/0!</v>
      </c>
    </row>
    <row r="39" spans="1:69">
      <c r="A39">
        <v>2024</v>
      </c>
      <c r="B39" t="s">
        <v>205</v>
      </c>
      <c r="C39" s="79" t="e">
        <f>COUNTIF(AB$47:AB$61,"=1")/COUNT(AB$47:AB$61)</f>
        <v>#DIV/0!</v>
      </c>
      <c r="D39" s="79" t="e">
        <f>COUNTIF(AB$62:AB$66,"=1")/COUNT(AB$62:AB$66)</f>
        <v>#DIV/0!</v>
      </c>
      <c r="E39" s="79" t="e">
        <f>COUNTIF(AB$67:AB$70,"=1")/COUNT(AB$67:AB$70)</f>
        <v>#DIV/0!</v>
      </c>
      <c r="F39" s="79" t="e">
        <f>COUNTIF(AB$71:AB$85,"=1")/COUNT(AB$71:AB$85)</f>
        <v>#DIV/0!</v>
      </c>
      <c r="G39" s="79" t="e">
        <f>COUNTIF(AB$86:AB$95,"=1")/COUNT(AB$86:AB$95)</f>
        <v>#DIV/0!</v>
      </c>
      <c r="H39" s="79" t="e">
        <f>COUNTIF(AB$47:AB$95,"=1")/COUNT(AB$47:AB$95)</f>
        <v>#DIV/0!</v>
      </c>
    </row>
    <row r="40" spans="1:69">
      <c r="A40">
        <v>2024</v>
      </c>
      <c r="B40" t="s">
        <v>206</v>
      </c>
      <c r="C40" s="79" t="e">
        <f>COUNTIF(AC$47:AC$61,"=1")/COUNT(AC$47:AC$61)</f>
        <v>#DIV/0!</v>
      </c>
      <c r="D40" s="79" t="e">
        <f>COUNTIF(AC$62:AC$66,"=1")/COUNT(AC$62:AC$66)</f>
        <v>#DIV/0!</v>
      </c>
      <c r="E40" s="79" t="e">
        <f>COUNTIF(AC$67:AC$70,"=1")/COUNT(AC$67:AC$70)</f>
        <v>#DIV/0!</v>
      </c>
      <c r="F40" s="79" t="e">
        <f>COUNTIF(AC$71:AC$85,"=1")/COUNT(AC$71:AC$85)</f>
        <v>#DIV/0!</v>
      </c>
      <c r="G40" s="79" t="e">
        <f>COUNTIF(AC$86:AC$95,"=1")/COUNT(AC$86:AC$95)</f>
        <v>#DIV/0!</v>
      </c>
      <c r="H40" s="79" t="e">
        <f>COUNTIF(AC$47:AC$95,"=1")/COUNT(AC$47:AC$95)</f>
        <v>#DIV/0!</v>
      </c>
    </row>
    <row r="41" spans="1:69">
      <c r="A41">
        <v>2025</v>
      </c>
      <c r="B41" t="s">
        <v>204</v>
      </c>
      <c r="C41" s="79" t="e">
        <f>COUNTIF(AD$47:AD$61,"=1")/COUNT(AD$47:AD$61)</f>
        <v>#DIV/0!</v>
      </c>
      <c r="D41" s="79" t="e">
        <f>COUNTIF(AD$62:AD$66,"=1")/COUNT(AD$62:AD$66)</f>
        <v>#DIV/0!</v>
      </c>
      <c r="E41" s="79" t="e">
        <f>COUNTIF(AD$67:AD$70,"=1")/COUNT(AD$67:AD$70)</f>
        <v>#DIV/0!</v>
      </c>
      <c r="F41" s="79" t="e">
        <f>COUNTIF(AD$71:AD$85,"=1")/COUNT(AD$71:AD$85)</f>
        <v>#DIV/0!</v>
      </c>
      <c r="G41" s="79" t="e">
        <f>COUNTIF(AD$86:AD$95,"=1")/COUNT(AD$86:AD$95)</f>
        <v>#DIV/0!</v>
      </c>
      <c r="H41" s="79" t="e">
        <f>COUNTIF(AD$47:AD$95,"=1")/COUNT(AD$47:AD$95)</f>
        <v>#DIV/0!</v>
      </c>
    </row>
    <row r="42" spans="1:69">
      <c r="A42">
        <v>2025</v>
      </c>
      <c r="B42" t="s">
        <v>205</v>
      </c>
      <c r="C42" s="79" t="e">
        <f>COUNTIF(AE$47:AE$61,"=1")/COUNT(AE$47:AE$61)</f>
        <v>#DIV/0!</v>
      </c>
      <c r="D42" s="79" t="e">
        <f>COUNTIF(AE$62:AE$66,"=1")/COUNT(AE$62:AE$66)</f>
        <v>#DIV/0!</v>
      </c>
      <c r="E42" s="79" t="e">
        <f>COUNTIF(AE$67:AE$70,"=1")/COUNT(AE$67:AE$70)</f>
        <v>#DIV/0!</v>
      </c>
      <c r="F42" s="79" t="e">
        <f>COUNTIF(AE$71:AE$85,"=1")/COUNT(AE$71:AE$85)</f>
        <v>#DIV/0!</v>
      </c>
      <c r="G42" s="79" t="e">
        <f>COUNTIF(AE$86:AE$95,"=1")/COUNT(AE$86:AE$95)</f>
        <v>#DIV/0!</v>
      </c>
      <c r="H42" s="79" t="e">
        <f>COUNTIF(AE$47:AE$95,"=1")/COUNT(AE$47:AE$95)</f>
        <v>#DIV/0!</v>
      </c>
    </row>
    <row r="43" spans="1:69">
      <c r="A43">
        <v>2025</v>
      </c>
      <c r="B43" t="s">
        <v>206</v>
      </c>
      <c r="C43" s="79" t="e">
        <f>COUNTIF(AF$47:AF$61,"=1")/COUNT(AF$47:AF$61)</f>
        <v>#DIV/0!</v>
      </c>
      <c r="D43" s="79" t="e">
        <f>COUNTIF(AF$62:AF$66,"=1")/COUNT(AF$62:AF$66)</f>
        <v>#DIV/0!</v>
      </c>
      <c r="E43" s="79" t="e">
        <f>COUNTIF(AF$67:AF$70,"=1")/COUNT(AF$67:AF$70)</f>
        <v>#DIV/0!</v>
      </c>
      <c r="F43" s="79" t="e">
        <f>COUNTIF(AF$71:AF$85,"=1")/COUNT(AF$71:AF$85)</f>
        <v>#DIV/0!</v>
      </c>
      <c r="G43" s="79" t="e">
        <f>COUNTIF(AF$86:AF$95,"=1")/COUNT(AF$86:AF$95)</f>
        <v>#DIV/0!</v>
      </c>
      <c r="H43" s="79" t="e">
        <f>COUNTIF(AF$47:AF$95,"=1")/COUNT(AF$47:AF$95)</f>
        <v>#DIV/0!</v>
      </c>
    </row>
    <row r="45" spans="1:69" ht="18">
      <c r="A45" s="355" t="s">
        <v>195</v>
      </c>
      <c r="B45" s="355"/>
      <c r="C45" s="356">
        <v>2016</v>
      </c>
      <c r="D45" s="357"/>
      <c r="E45" s="358"/>
      <c r="F45" s="357">
        <v>2017</v>
      </c>
      <c r="G45" s="357"/>
      <c r="H45" s="357"/>
      <c r="I45" s="356">
        <v>2018</v>
      </c>
      <c r="J45" s="357"/>
      <c r="K45" s="358"/>
      <c r="L45" s="356">
        <v>2019</v>
      </c>
      <c r="M45" s="357"/>
      <c r="N45" s="358"/>
      <c r="O45" s="357">
        <v>2020</v>
      </c>
      <c r="P45" s="357"/>
      <c r="Q45" s="357"/>
      <c r="R45" s="356">
        <v>2021</v>
      </c>
      <c r="S45" s="357"/>
      <c r="T45" s="358"/>
      <c r="U45" s="356">
        <v>2022</v>
      </c>
      <c r="V45" s="357"/>
      <c r="W45" s="358"/>
      <c r="X45" s="357">
        <v>2023</v>
      </c>
      <c r="Y45" s="357"/>
      <c r="Z45" s="357"/>
      <c r="AA45" s="356">
        <v>2024</v>
      </c>
      <c r="AB45" s="357"/>
      <c r="AC45" s="358"/>
      <c r="AD45" s="356">
        <v>2025</v>
      </c>
      <c r="AE45" s="357"/>
      <c r="AF45" s="358"/>
    </row>
    <row r="46" spans="1:69" ht="18">
      <c r="A46" s="81" t="s">
        <v>199</v>
      </c>
      <c r="B46" s="80" t="s">
        <v>210</v>
      </c>
      <c r="C46" s="178" t="s">
        <v>288</v>
      </c>
      <c r="D46" s="139" t="s">
        <v>289</v>
      </c>
      <c r="E46" s="139" t="s">
        <v>290</v>
      </c>
      <c r="F46" s="178" t="s">
        <v>288</v>
      </c>
      <c r="G46" s="139" t="s">
        <v>289</v>
      </c>
      <c r="H46" s="139" t="s">
        <v>290</v>
      </c>
      <c r="I46" s="178" t="s">
        <v>288</v>
      </c>
      <c r="J46" s="139" t="s">
        <v>289</v>
      </c>
      <c r="K46" s="132" t="s">
        <v>290</v>
      </c>
      <c r="L46" s="131" t="s">
        <v>288</v>
      </c>
      <c r="M46" s="132" t="s">
        <v>289</v>
      </c>
      <c r="N46" s="132" t="s">
        <v>290</v>
      </c>
      <c r="O46" s="131" t="s">
        <v>288</v>
      </c>
      <c r="P46" s="132" t="s">
        <v>289</v>
      </c>
      <c r="Q46" s="132" t="s">
        <v>290</v>
      </c>
      <c r="R46" s="131" t="s">
        <v>288</v>
      </c>
      <c r="S46" s="132" t="s">
        <v>289</v>
      </c>
      <c r="T46" s="132" t="s">
        <v>290</v>
      </c>
      <c r="U46" s="131" t="s">
        <v>288</v>
      </c>
      <c r="V46" s="132" t="s">
        <v>289</v>
      </c>
      <c r="W46" s="132" t="s">
        <v>290</v>
      </c>
      <c r="X46" s="131" t="s">
        <v>288</v>
      </c>
      <c r="Y46" s="132" t="s">
        <v>289</v>
      </c>
      <c r="Z46" s="132" t="s">
        <v>290</v>
      </c>
      <c r="AA46" s="131" t="s">
        <v>288</v>
      </c>
      <c r="AB46" s="132" t="s">
        <v>289</v>
      </c>
      <c r="AC46" s="132" t="s">
        <v>290</v>
      </c>
      <c r="AD46" s="131" t="s">
        <v>288</v>
      </c>
      <c r="AE46" s="132" t="s">
        <v>289</v>
      </c>
      <c r="AF46" s="132" t="s">
        <v>290</v>
      </c>
    </row>
    <row r="47" spans="1:69">
      <c r="A47" s="68" t="s">
        <v>189</v>
      </c>
      <c r="B47" t="s">
        <v>153</v>
      </c>
      <c r="C47" s="82">
        <v>0</v>
      </c>
      <c r="D47" s="82">
        <v>0</v>
      </c>
      <c r="E47" s="181" t="s">
        <v>291</v>
      </c>
      <c r="F47" s="82">
        <v>0</v>
      </c>
      <c r="G47" s="82">
        <v>0</v>
      </c>
      <c r="H47" s="82">
        <v>0</v>
      </c>
      <c r="I47" s="8"/>
      <c r="J47" s="8"/>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3"/>
      <c r="BO47" s="183"/>
      <c r="BP47" s="183"/>
      <c r="BQ47" s="183"/>
    </row>
    <row r="48" spans="1:69">
      <c r="A48" s="69" t="s">
        <v>141</v>
      </c>
      <c r="B48" t="s">
        <v>153</v>
      </c>
      <c r="C48" s="82">
        <v>1</v>
      </c>
      <c r="D48" s="82">
        <v>1</v>
      </c>
      <c r="E48" s="82">
        <v>1</v>
      </c>
      <c r="F48" s="82">
        <v>0</v>
      </c>
      <c r="G48" s="82">
        <v>0</v>
      </c>
      <c r="H48" s="82">
        <v>1</v>
      </c>
      <c r="I48" s="8"/>
      <c r="J48" s="8"/>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3"/>
      <c r="BO48" s="183"/>
      <c r="BP48" s="183"/>
      <c r="BQ48" s="183"/>
    </row>
    <row r="49" spans="1:69">
      <c r="A49" s="69" t="s">
        <v>143</v>
      </c>
      <c r="B49" t="s">
        <v>153</v>
      </c>
      <c r="C49" s="82">
        <v>0</v>
      </c>
      <c r="D49" s="82">
        <v>0</v>
      </c>
      <c r="E49" s="82">
        <v>0</v>
      </c>
      <c r="F49" s="82">
        <v>0</v>
      </c>
      <c r="G49" s="82">
        <v>0</v>
      </c>
      <c r="H49" s="82">
        <v>0</v>
      </c>
      <c r="I49" s="8"/>
      <c r="J49" s="8"/>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3"/>
      <c r="BO49" s="183"/>
      <c r="BP49" s="183"/>
      <c r="BQ49" s="183"/>
    </row>
    <row r="50" spans="1:69">
      <c r="A50" s="69" t="s">
        <v>152</v>
      </c>
      <c r="B50" t="s">
        <v>153</v>
      </c>
      <c r="C50" s="82" t="s">
        <v>207</v>
      </c>
      <c r="D50" s="82" t="s">
        <v>207</v>
      </c>
      <c r="E50" s="82" t="s">
        <v>207</v>
      </c>
      <c r="F50" s="82">
        <v>0</v>
      </c>
      <c r="G50" s="82">
        <v>0</v>
      </c>
      <c r="H50" s="82">
        <v>1</v>
      </c>
      <c r="I50" s="8"/>
      <c r="J50" s="8"/>
      <c r="AJ50" s="184"/>
      <c r="AK50" s="184"/>
      <c r="AL50" s="184"/>
      <c r="AM50" s="184"/>
      <c r="AN50" s="184"/>
      <c r="AO50" s="184"/>
      <c r="AP50" s="184"/>
      <c r="AQ50" s="184"/>
      <c r="AR50" s="184"/>
      <c r="AS50" s="184"/>
      <c r="AT50" s="184"/>
      <c r="AU50" s="184"/>
      <c r="AV50" s="184"/>
      <c r="AW50" s="184"/>
      <c r="AX50" s="184"/>
      <c r="AY50" s="184"/>
      <c r="AZ50" s="184"/>
      <c r="BA50" s="184"/>
      <c r="BB50" s="184"/>
      <c r="BC50" s="184"/>
      <c r="BD50" s="184"/>
      <c r="BE50" s="184"/>
      <c r="BF50" s="184"/>
      <c r="BG50" s="184"/>
      <c r="BH50" s="184"/>
      <c r="BI50" s="184"/>
      <c r="BJ50" s="184"/>
      <c r="BK50" s="184"/>
      <c r="BL50" s="184"/>
      <c r="BM50" s="184"/>
      <c r="BN50" s="183"/>
      <c r="BO50" s="183"/>
      <c r="BP50" s="183"/>
      <c r="BQ50" s="183"/>
    </row>
    <row r="51" spans="1:69">
      <c r="A51" s="69" t="s">
        <v>146</v>
      </c>
      <c r="B51" t="s">
        <v>153</v>
      </c>
      <c r="C51" s="82">
        <v>0</v>
      </c>
      <c r="D51" s="82">
        <v>1</v>
      </c>
      <c r="E51" s="82">
        <v>0</v>
      </c>
      <c r="F51" s="82">
        <v>1</v>
      </c>
      <c r="G51" s="82">
        <v>1</v>
      </c>
      <c r="H51" s="82">
        <v>0</v>
      </c>
      <c r="I51" s="8"/>
      <c r="J51" s="8"/>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3"/>
      <c r="BO51" s="183"/>
      <c r="BP51" s="183"/>
      <c r="BQ51" s="183"/>
    </row>
    <row r="52" spans="1:69">
      <c r="A52" s="69" t="s">
        <v>142</v>
      </c>
      <c r="B52" t="s">
        <v>153</v>
      </c>
      <c r="C52" s="82" t="s">
        <v>207</v>
      </c>
      <c r="D52" s="82" t="s">
        <v>207</v>
      </c>
      <c r="E52" s="82" t="s">
        <v>207</v>
      </c>
      <c r="F52" s="82">
        <v>1</v>
      </c>
      <c r="G52" s="82">
        <v>1</v>
      </c>
      <c r="H52" s="82">
        <v>1</v>
      </c>
      <c r="I52" s="8"/>
      <c r="J52" s="8"/>
      <c r="AJ52" s="184"/>
      <c r="AK52" s="184"/>
      <c r="AL52" s="184"/>
      <c r="AM52" s="184"/>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3"/>
      <c r="BO52" s="183"/>
      <c r="BP52" s="183"/>
      <c r="BQ52" s="183"/>
    </row>
    <row r="53" spans="1:69">
      <c r="A53" s="69" t="s">
        <v>148</v>
      </c>
      <c r="B53" t="s">
        <v>153</v>
      </c>
      <c r="C53" s="82">
        <v>0</v>
      </c>
      <c r="D53" s="82">
        <v>0</v>
      </c>
      <c r="E53" s="82">
        <v>0</v>
      </c>
      <c r="F53" s="82">
        <v>0</v>
      </c>
      <c r="G53" s="82">
        <v>0</v>
      </c>
      <c r="H53" s="82">
        <v>1</v>
      </c>
      <c r="I53" s="8"/>
      <c r="J53" s="8"/>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c r="BM53" s="184"/>
      <c r="BN53" s="183"/>
      <c r="BO53" s="183"/>
      <c r="BP53" s="183"/>
      <c r="BQ53" s="183"/>
    </row>
    <row r="54" spans="1:69">
      <c r="A54" s="69" t="s">
        <v>149</v>
      </c>
      <c r="B54" t="s">
        <v>153</v>
      </c>
      <c r="C54" s="82">
        <v>0</v>
      </c>
      <c r="D54" s="82">
        <v>0</v>
      </c>
      <c r="E54" s="82">
        <v>0</v>
      </c>
      <c r="F54" s="82">
        <v>0</v>
      </c>
      <c r="G54" s="82">
        <v>0</v>
      </c>
      <c r="H54" s="82">
        <v>0</v>
      </c>
      <c r="I54" s="8"/>
      <c r="J54" s="8"/>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3"/>
      <c r="BO54" s="183"/>
      <c r="BP54" s="183"/>
      <c r="BQ54" s="183"/>
    </row>
    <row r="55" spans="1:69">
      <c r="A55" s="69" t="s">
        <v>147</v>
      </c>
      <c r="B55" t="s">
        <v>153</v>
      </c>
      <c r="C55" s="82">
        <v>0</v>
      </c>
      <c r="D55" s="82">
        <v>0</v>
      </c>
      <c r="E55" s="82">
        <v>0</v>
      </c>
      <c r="F55" s="82">
        <v>0</v>
      </c>
      <c r="G55" s="82">
        <v>0</v>
      </c>
      <c r="H55" s="82">
        <v>0</v>
      </c>
      <c r="I55" s="8"/>
      <c r="J55" s="8"/>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3"/>
      <c r="BO55" s="183"/>
      <c r="BP55" s="183"/>
      <c r="BQ55" s="183"/>
    </row>
    <row r="56" spans="1:69">
      <c r="A56" s="68" t="s">
        <v>190</v>
      </c>
      <c r="B56" t="s">
        <v>153</v>
      </c>
      <c r="C56" s="82">
        <v>1</v>
      </c>
      <c r="D56" s="82">
        <v>0</v>
      </c>
      <c r="E56" s="82">
        <v>1</v>
      </c>
      <c r="F56" s="82">
        <v>1</v>
      </c>
      <c r="G56" s="82">
        <v>0</v>
      </c>
      <c r="H56" s="82">
        <v>1</v>
      </c>
      <c r="I56" s="8"/>
      <c r="J56" s="8"/>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3"/>
      <c r="BO56" s="183"/>
      <c r="BP56" s="183"/>
      <c r="BQ56" s="183"/>
    </row>
    <row r="57" spans="1:69">
      <c r="A57" s="69" t="s">
        <v>145</v>
      </c>
      <c r="B57" t="s">
        <v>153</v>
      </c>
      <c r="C57" s="82">
        <v>1</v>
      </c>
      <c r="D57" s="82">
        <v>1</v>
      </c>
      <c r="E57" s="82">
        <v>1</v>
      </c>
      <c r="F57" s="82">
        <v>1</v>
      </c>
      <c r="G57" s="82">
        <v>0</v>
      </c>
      <c r="H57" s="82">
        <v>1</v>
      </c>
      <c r="I57" s="8"/>
      <c r="J57" s="8"/>
      <c r="AJ57" s="184"/>
      <c r="AK57" s="184"/>
      <c r="AL57" s="184"/>
      <c r="AM57" s="184"/>
      <c r="AN57" s="184"/>
      <c r="AO57" s="184"/>
      <c r="AP57" s="184"/>
      <c r="AQ57" s="184"/>
      <c r="AR57" s="184"/>
      <c r="AS57" s="184"/>
      <c r="AT57" s="184"/>
      <c r="AU57" s="184"/>
      <c r="AV57" s="184"/>
      <c r="AW57" s="184"/>
      <c r="AX57" s="184"/>
      <c r="AY57" s="184"/>
      <c r="AZ57" s="184"/>
      <c r="BA57" s="184"/>
      <c r="BB57" s="184"/>
      <c r="BC57" s="184"/>
      <c r="BD57" s="184"/>
      <c r="BE57" s="184"/>
      <c r="BF57" s="184"/>
      <c r="BG57" s="184"/>
      <c r="BH57" s="184"/>
      <c r="BI57" s="184"/>
      <c r="BJ57" s="184"/>
      <c r="BK57" s="184"/>
      <c r="BL57" s="184"/>
      <c r="BM57" s="184"/>
      <c r="BN57" s="183"/>
      <c r="BO57" s="183"/>
      <c r="BP57" s="183"/>
      <c r="BQ57" s="183"/>
    </row>
    <row r="58" spans="1:69">
      <c r="A58" s="68" t="s">
        <v>191</v>
      </c>
      <c r="B58" t="s">
        <v>153</v>
      </c>
      <c r="C58" s="82">
        <v>1</v>
      </c>
      <c r="D58" s="82">
        <v>1</v>
      </c>
      <c r="E58" s="82">
        <v>0</v>
      </c>
      <c r="F58" s="82">
        <v>1</v>
      </c>
      <c r="G58" s="82">
        <v>1</v>
      </c>
      <c r="H58" s="82" t="s">
        <v>207</v>
      </c>
      <c r="I58" s="8"/>
      <c r="J58" s="8"/>
      <c r="AJ58" s="184"/>
      <c r="AK58" s="184"/>
      <c r="AL58" s="184"/>
      <c r="AM58" s="184"/>
      <c r="AN58" s="184"/>
      <c r="AO58" s="184"/>
      <c r="AP58" s="184"/>
      <c r="AQ58" s="184"/>
      <c r="AR58" s="184"/>
      <c r="AS58" s="184"/>
      <c r="AT58" s="184"/>
      <c r="AU58" s="184"/>
      <c r="AV58" s="184"/>
      <c r="AW58" s="184"/>
      <c r="AX58" s="184"/>
      <c r="AY58" s="184"/>
      <c r="AZ58" s="184"/>
      <c r="BA58" s="184"/>
      <c r="BB58" s="184"/>
      <c r="BC58" s="184"/>
      <c r="BD58" s="184"/>
      <c r="BE58" s="184"/>
      <c r="BF58" s="184"/>
      <c r="BG58" s="184"/>
      <c r="BH58" s="184"/>
      <c r="BI58" s="184"/>
      <c r="BJ58" s="184"/>
      <c r="BK58" s="184"/>
      <c r="BL58" s="184"/>
      <c r="BM58" s="184"/>
      <c r="BN58" s="183"/>
      <c r="BO58" s="183"/>
      <c r="BP58" s="183"/>
      <c r="BQ58" s="183"/>
    </row>
    <row r="59" spans="1:69">
      <c r="A59" s="69" t="s">
        <v>150</v>
      </c>
      <c r="B59" t="s">
        <v>153</v>
      </c>
      <c r="C59" s="82">
        <v>1</v>
      </c>
      <c r="D59" s="82">
        <v>1</v>
      </c>
      <c r="E59" s="82">
        <v>1</v>
      </c>
      <c r="F59" s="82">
        <v>1</v>
      </c>
      <c r="G59" s="82">
        <v>1</v>
      </c>
      <c r="H59" s="82">
        <v>0</v>
      </c>
      <c r="I59" s="8"/>
      <c r="J59" s="8"/>
      <c r="AJ59" s="184"/>
      <c r="AK59" s="184"/>
      <c r="AL59" s="184"/>
      <c r="AM59" s="184"/>
      <c r="AN59" s="184"/>
      <c r="AO59" s="184"/>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3"/>
      <c r="BO59" s="183"/>
      <c r="BP59" s="183"/>
      <c r="BQ59" s="183"/>
    </row>
    <row r="60" spans="1:69">
      <c r="A60" s="69" t="s">
        <v>151</v>
      </c>
      <c r="B60" t="s">
        <v>153</v>
      </c>
      <c r="C60" s="82">
        <v>0</v>
      </c>
      <c r="D60" s="82">
        <v>0</v>
      </c>
      <c r="E60" s="82">
        <v>0</v>
      </c>
      <c r="F60" s="82">
        <v>1</v>
      </c>
      <c r="G60" s="82">
        <v>1</v>
      </c>
      <c r="H60" s="82">
        <v>0</v>
      </c>
      <c r="I60" s="8"/>
      <c r="J60" s="8"/>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3"/>
      <c r="BO60" s="183"/>
      <c r="BP60" s="183"/>
      <c r="BQ60" s="183"/>
    </row>
    <row r="61" spans="1:69">
      <c r="A61" s="69" t="s">
        <v>144</v>
      </c>
      <c r="B61" t="s">
        <v>153</v>
      </c>
      <c r="C61" s="82">
        <v>1</v>
      </c>
      <c r="D61" s="82">
        <v>1</v>
      </c>
      <c r="E61" s="82">
        <v>1</v>
      </c>
      <c r="F61" s="82">
        <v>0</v>
      </c>
      <c r="G61" s="82">
        <v>0</v>
      </c>
      <c r="H61" s="82">
        <v>1</v>
      </c>
      <c r="I61" s="8"/>
      <c r="J61" s="8"/>
      <c r="AJ61" s="184"/>
      <c r="AK61" s="184"/>
      <c r="AL61" s="184"/>
      <c r="AM61" s="184"/>
      <c r="AN61" s="184"/>
      <c r="AO61" s="184"/>
      <c r="AP61" s="184"/>
      <c r="AQ61" s="184"/>
      <c r="AR61" s="184"/>
      <c r="AS61" s="184"/>
      <c r="AT61" s="184"/>
      <c r="AU61" s="184"/>
      <c r="AV61" s="184"/>
      <c r="AW61" s="184"/>
      <c r="AX61" s="184"/>
      <c r="AY61" s="184"/>
      <c r="AZ61" s="184"/>
      <c r="BA61" s="184"/>
      <c r="BB61" s="184"/>
      <c r="BC61" s="184"/>
      <c r="BD61" s="184"/>
      <c r="BE61" s="184"/>
      <c r="BF61" s="184"/>
      <c r="BG61" s="184"/>
      <c r="BH61" s="184"/>
      <c r="BI61" s="184"/>
      <c r="BJ61" s="184"/>
      <c r="BK61" s="184"/>
      <c r="BL61" s="184"/>
      <c r="BM61" s="184"/>
      <c r="BN61" s="183"/>
      <c r="BO61" s="183"/>
      <c r="BP61" s="183"/>
      <c r="BQ61" s="183"/>
    </row>
    <row r="62" spans="1:69">
      <c r="A62" s="69" t="s">
        <v>154</v>
      </c>
      <c r="B62" s="71" t="s">
        <v>158</v>
      </c>
      <c r="C62" s="82" t="s">
        <v>208</v>
      </c>
      <c r="D62" s="82" t="s">
        <v>208</v>
      </c>
      <c r="E62" s="82" t="s">
        <v>208</v>
      </c>
      <c r="F62" s="82" t="s">
        <v>207</v>
      </c>
      <c r="G62" s="82" t="s">
        <v>207</v>
      </c>
      <c r="H62" s="82">
        <v>0</v>
      </c>
      <c r="I62" s="8"/>
      <c r="J62" s="8"/>
      <c r="AJ62" s="184"/>
      <c r="AK62" s="184"/>
      <c r="AL62" s="184"/>
      <c r="AM62" s="184"/>
      <c r="AN62" s="184"/>
      <c r="AO62" s="184"/>
      <c r="AP62" s="184"/>
      <c r="AQ62" s="184"/>
      <c r="AR62" s="184"/>
      <c r="AS62" s="184"/>
      <c r="AT62" s="184"/>
      <c r="AU62" s="184"/>
      <c r="AV62" s="184"/>
      <c r="AW62" s="184"/>
      <c r="AX62" s="184"/>
      <c r="AY62" s="184"/>
      <c r="AZ62" s="184"/>
      <c r="BA62" s="184"/>
      <c r="BB62" s="184"/>
      <c r="BC62" s="184"/>
      <c r="BD62" s="184"/>
      <c r="BE62" s="184"/>
      <c r="BF62" s="184"/>
      <c r="BG62" s="184"/>
      <c r="BH62" s="184"/>
      <c r="BI62" s="184"/>
      <c r="BJ62" s="184"/>
      <c r="BK62" s="184"/>
      <c r="BL62" s="184"/>
      <c r="BM62" s="184"/>
      <c r="BN62" s="183"/>
      <c r="BO62" s="183"/>
      <c r="BP62" s="183"/>
      <c r="BQ62" s="183"/>
    </row>
    <row r="63" spans="1:69">
      <c r="A63" s="69" t="s">
        <v>155</v>
      </c>
      <c r="B63" s="71" t="s">
        <v>158</v>
      </c>
      <c r="C63" s="82">
        <v>0</v>
      </c>
      <c r="D63" s="82">
        <v>0</v>
      </c>
      <c r="E63" s="82">
        <v>1</v>
      </c>
      <c r="F63" s="82">
        <v>0</v>
      </c>
      <c r="G63" s="82">
        <v>0</v>
      </c>
      <c r="H63" s="82">
        <v>0</v>
      </c>
      <c r="I63" s="8"/>
      <c r="J63" s="8"/>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c r="BF63" s="184"/>
      <c r="BG63" s="184"/>
      <c r="BH63" s="184"/>
      <c r="BI63" s="184"/>
      <c r="BJ63" s="184"/>
      <c r="BK63" s="184"/>
      <c r="BL63" s="184"/>
      <c r="BM63" s="184"/>
      <c r="BN63" s="183"/>
      <c r="BO63" s="183"/>
      <c r="BP63" s="183"/>
      <c r="BQ63" s="183"/>
    </row>
    <row r="64" spans="1:69">
      <c r="A64" s="69" t="s">
        <v>156</v>
      </c>
      <c r="B64" s="71" t="s">
        <v>158</v>
      </c>
      <c r="C64" s="82">
        <v>0</v>
      </c>
      <c r="D64" s="82">
        <v>0</v>
      </c>
      <c r="E64" s="82">
        <v>0</v>
      </c>
      <c r="F64" s="82">
        <v>0</v>
      </c>
      <c r="G64" s="82">
        <v>1</v>
      </c>
      <c r="H64" s="82">
        <v>0</v>
      </c>
      <c r="I64" s="8"/>
      <c r="J64" s="8"/>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4"/>
      <c r="BG64" s="184"/>
      <c r="BH64" s="184"/>
      <c r="BI64" s="184"/>
      <c r="BJ64" s="184"/>
      <c r="BK64" s="184"/>
      <c r="BL64" s="184"/>
      <c r="BM64" s="184"/>
      <c r="BN64" s="183"/>
      <c r="BO64" s="183"/>
      <c r="BP64" s="183"/>
      <c r="BQ64" s="183"/>
    </row>
    <row r="65" spans="1:69">
      <c r="A65" s="69" t="s">
        <v>157</v>
      </c>
      <c r="B65" s="71" t="s">
        <v>158</v>
      </c>
      <c r="C65" s="82">
        <v>0</v>
      </c>
      <c r="D65" s="82">
        <v>0</v>
      </c>
      <c r="E65" s="82">
        <v>0</v>
      </c>
      <c r="F65" s="82">
        <v>0</v>
      </c>
      <c r="G65" s="82">
        <v>0</v>
      </c>
      <c r="H65" s="82">
        <v>0</v>
      </c>
      <c r="I65" s="8"/>
      <c r="J65" s="8"/>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3"/>
      <c r="BO65" s="183"/>
      <c r="BP65" s="183"/>
      <c r="BQ65" s="183"/>
    </row>
    <row r="66" spans="1:69">
      <c r="A66" s="68" t="s">
        <v>192</v>
      </c>
      <c r="B66" s="71" t="s">
        <v>158</v>
      </c>
      <c r="C66" s="82" t="s">
        <v>207</v>
      </c>
      <c r="D66" s="82" t="s">
        <v>207</v>
      </c>
      <c r="E66" s="82" t="s">
        <v>207</v>
      </c>
      <c r="F66" s="82" t="s">
        <v>207</v>
      </c>
      <c r="G66" s="82" t="s">
        <v>207</v>
      </c>
      <c r="H66" s="82">
        <v>0</v>
      </c>
      <c r="I66" s="8"/>
      <c r="J66" s="8"/>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3"/>
      <c r="BO66" s="183"/>
      <c r="BP66" s="183"/>
      <c r="BQ66" s="183"/>
    </row>
    <row r="67" spans="1:69">
      <c r="A67" s="69" t="s">
        <v>159</v>
      </c>
      <c r="B67" s="71" t="s">
        <v>162</v>
      </c>
      <c r="C67" s="82">
        <v>0</v>
      </c>
      <c r="D67" s="82">
        <v>0</v>
      </c>
      <c r="E67" s="82">
        <v>0</v>
      </c>
      <c r="F67" s="82">
        <v>0</v>
      </c>
      <c r="G67" s="82">
        <v>0</v>
      </c>
      <c r="H67" s="82">
        <v>0</v>
      </c>
      <c r="I67" s="8"/>
      <c r="J67" s="8"/>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3"/>
      <c r="BO67" s="183"/>
      <c r="BP67" s="183"/>
      <c r="BQ67" s="183"/>
    </row>
    <row r="68" spans="1:69">
      <c r="A68" s="69" t="s">
        <v>160</v>
      </c>
      <c r="B68" s="71" t="s">
        <v>162</v>
      </c>
      <c r="C68" s="82">
        <v>0</v>
      </c>
      <c r="D68" s="82">
        <v>0</v>
      </c>
      <c r="E68" s="82">
        <v>0</v>
      </c>
      <c r="F68" s="82">
        <v>0</v>
      </c>
      <c r="G68" s="82">
        <v>0</v>
      </c>
      <c r="H68" s="82">
        <v>1</v>
      </c>
      <c r="I68" s="8"/>
      <c r="J68" s="8"/>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3"/>
      <c r="BO68" s="183"/>
      <c r="BP68" s="183"/>
      <c r="BQ68" s="183"/>
    </row>
    <row r="69" spans="1:69">
      <c r="A69" s="68" t="s">
        <v>193</v>
      </c>
      <c r="B69" s="71" t="s">
        <v>162</v>
      </c>
      <c r="C69" s="82">
        <v>1</v>
      </c>
      <c r="D69" s="82">
        <v>0</v>
      </c>
      <c r="E69" s="82">
        <v>0</v>
      </c>
      <c r="F69" s="82">
        <v>0</v>
      </c>
      <c r="G69" s="82">
        <v>0</v>
      </c>
      <c r="H69" s="82">
        <v>1</v>
      </c>
      <c r="I69" s="8"/>
      <c r="J69" s="8"/>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3"/>
      <c r="BO69" s="183"/>
      <c r="BP69" s="183"/>
      <c r="BQ69" s="183"/>
    </row>
    <row r="70" spans="1:69">
      <c r="A70" s="69" t="s">
        <v>161</v>
      </c>
      <c r="B70" s="71" t="s">
        <v>162</v>
      </c>
      <c r="C70" s="82">
        <v>1</v>
      </c>
      <c r="D70" s="82">
        <v>1</v>
      </c>
      <c r="E70" s="82">
        <v>1</v>
      </c>
      <c r="F70" s="82">
        <v>1</v>
      </c>
      <c r="G70" s="82">
        <v>0</v>
      </c>
      <c r="H70" s="82">
        <v>0</v>
      </c>
      <c r="I70" s="8"/>
      <c r="J70" s="8"/>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c r="BI70" s="184"/>
      <c r="BJ70" s="184"/>
      <c r="BK70" s="184"/>
      <c r="BL70" s="184"/>
      <c r="BM70" s="184"/>
      <c r="BN70" s="183"/>
      <c r="BO70" s="183"/>
      <c r="BP70" s="183"/>
      <c r="BQ70" s="183"/>
    </row>
    <row r="71" spans="1:69">
      <c r="A71" s="69" t="s">
        <v>163</v>
      </c>
      <c r="B71" s="71" t="s">
        <v>178</v>
      </c>
      <c r="C71" s="82" t="s">
        <v>207</v>
      </c>
      <c r="D71" s="82" t="s">
        <v>207</v>
      </c>
      <c r="E71" s="82" t="s">
        <v>207</v>
      </c>
      <c r="F71" s="82">
        <v>1</v>
      </c>
      <c r="G71" s="82">
        <v>1</v>
      </c>
      <c r="H71" s="82">
        <v>1</v>
      </c>
      <c r="I71" s="8"/>
      <c r="J71" s="8"/>
      <c r="AJ71" s="184"/>
      <c r="AK71" s="184"/>
      <c r="AL71" s="184"/>
      <c r="AM71" s="184"/>
      <c r="AN71" s="184"/>
      <c r="AO71" s="184"/>
      <c r="AP71" s="184"/>
      <c r="AQ71" s="184"/>
      <c r="AR71" s="184"/>
      <c r="AS71" s="184"/>
      <c r="AT71" s="184"/>
      <c r="AU71" s="184"/>
      <c r="AV71" s="184"/>
      <c r="AW71" s="184"/>
      <c r="AX71" s="184"/>
      <c r="AY71" s="184"/>
      <c r="AZ71" s="184"/>
      <c r="BA71" s="184"/>
      <c r="BB71" s="184"/>
      <c r="BC71" s="184"/>
      <c r="BD71" s="184"/>
      <c r="BE71" s="184"/>
      <c r="BF71" s="184"/>
      <c r="BG71" s="184"/>
      <c r="BH71" s="184"/>
      <c r="BI71" s="184"/>
      <c r="BJ71" s="184"/>
      <c r="BK71" s="184"/>
      <c r="BL71" s="184"/>
      <c r="BM71" s="184"/>
      <c r="BN71" s="183"/>
      <c r="BO71" s="183"/>
      <c r="BP71" s="183"/>
      <c r="BQ71" s="183"/>
    </row>
    <row r="72" spans="1:69">
      <c r="A72" s="69" t="s">
        <v>164</v>
      </c>
      <c r="B72" s="71" t="s">
        <v>178</v>
      </c>
      <c r="C72" s="82">
        <v>0</v>
      </c>
      <c r="D72" s="82">
        <v>0</v>
      </c>
      <c r="E72" s="82">
        <v>0</v>
      </c>
      <c r="F72" s="82">
        <v>0</v>
      </c>
      <c r="G72" s="82">
        <v>0</v>
      </c>
      <c r="H72" s="82">
        <v>0</v>
      </c>
      <c r="I72" s="8"/>
      <c r="J72" s="8"/>
      <c r="AJ72" s="184"/>
      <c r="AK72" s="184"/>
      <c r="AL72" s="184"/>
      <c r="AM72" s="184"/>
      <c r="AN72" s="184"/>
      <c r="AO72" s="184"/>
      <c r="AP72" s="184"/>
      <c r="AQ72" s="184"/>
      <c r="AR72" s="184"/>
      <c r="AS72" s="184"/>
      <c r="AT72" s="184"/>
      <c r="AU72" s="184"/>
      <c r="AV72" s="184"/>
      <c r="AW72" s="184"/>
      <c r="AX72" s="184"/>
      <c r="AY72" s="184"/>
      <c r="AZ72" s="184"/>
      <c r="BA72" s="184"/>
      <c r="BB72" s="184"/>
      <c r="BC72" s="184"/>
      <c r="BD72" s="184"/>
      <c r="BE72" s="184"/>
      <c r="BF72" s="184"/>
      <c r="BG72" s="184"/>
      <c r="BH72" s="184"/>
      <c r="BI72" s="184"/>
      <c r="BJ72" s="184"/>
      <c r="BK72" s="184"/>
      <c r="BL72" s="184"/>
      <c r="BM72" s="184"/>
      <c r="BN72" s="183"/>
      <c r="BO72" s="183"/>
      <c r="BP72" s="183"/>
      <c r="BQ72" s="183"/>
    </row>
    <row r="73" spans="1:69">
      <c r="A73" s="69" t="s">
        <v>165</v>
      </c>
      <c r="B73" s="71" t="s">
        <v>178</v>
      </c>
      <c r="C73" s="82">
        <v>1</v>
      </c>
      <c r="D73" s="82">
        <v>1</v>
      </c>
      <c r="E73" s="82">
        <v>1</v>
      </c>
      <c r="F73" s="82">
        <v>1</v>
      </c>
      <c r="G73" s="82">
        <v>1</v>
      </c>
      <c r="H73" s="82">
        <v>0</v>
      </c>
      <c r="I73" s="8"/>
      <c r="J73" s="8"/>
      <c r="AJ73" s="184"/>
      <c r="AK73" s="184"/>
      <c r="AL73" s="184"/>
      <c r="AM73" s="184"/>
      <c r="AN73" s="184"/>
      <c r="AO73" s="184"/>
      <c r="AP73" s="184"/>
      <c r="AQ73" s="184"/>
      <c r="AR73" s="184"/>
      <c r="AS73" s="184"/>
      <c r="AT73" s="184"/>
      <c r="AU73" s="184"/>
      <c r="AV73" s="184"/>
      <c r="AW73" s="184"/>
      <c r="AX73" s="184"/>
      <c r="AY73" s="184"/>
      <c r="AZ73" s="184"/>
      <c r="BA73" s="184"/>
      <c r="BB73" s="184"/>
      <c r="BC73" s="184"/>
      <c r="BD73" s="184"/>
      <c r="BE73" s="184"/>
      <c r="BF73" s="184"/>
      <c r="BG73" s="184"/>
      <c r="BH73" s="184"/>
      <c r="BI73" s="184"/>
      <c r="BJ73" s="184"/>
      <c r="BK73" s="184"/>
      <c r="BL73" s="184"/>
      <c r="BM73" s="184"/>
      <c r="BN73" s="183"/>
      <c r="BO73" s="183"/>
      <c r="BP73" s="183"/>
      <c r="BQ73" s="183"/>
    </row>
    <row r="74" spans="1:69">
      <c r="A74" s="69" t="s">
        <v>166</v>
      </c>
      <c r="B74" s="71" t="s">
        <v>178</v>
      </c>
      <c r="C74" s="82" t="s">
        <v>207</v>
      </c>
      <c r="D74" s="82" t="s">
        <v>207</v>
      </c>
      <c r="E74" s="82" t="s">
        <v>207</v>
      </c>
      <c r="F74" s="82">
        <v>1</v>
      </c>
      <c r="G74" s="82">
        <v>1</v>
      </c>
      <c r="H74" s="82">
        <v>0</v>
      </c>
      <c r="I74" s="8"/>
      <c r="J74" s="8"/>
      <c r="AJ74" s="184"/>
      <c r="AK74" s="184"/>
      <c r="AL74" s="184"/>
      <c r="AM74" s="184"/>
      <c r="AN74" s="184"/>
      <c r="AO74" s="184"/>
      <c r="AP74" s="184"/>
      <c r="AQ74" s="184"/>
      <c r="AR74" s="184"/>
      <c r="AS74" s="184"/>
      <c r="AT74" s="184"/>
      <c r="AU74" s="184"/>
      <c r="AV74" s="184"/>
      <c r="AW74" s="184"/>
      <c r="AX74" s="184"/>
      <c r="AY74" s="184"/>
      <c r="AZ74" s="184"/>
      <c r="BA74" s="184"/>
      <c r="BB74" s="184"/>
      <c r="BC74" s="184"/>
      <c r="BD74" s="184"/>
      <c r="BE74" s="184"/>
      <c r="BF74" s="184"/>
      <c r="BG74" s="184"/>
      <c r="BH74" s="184"/>
      <c r="BI74" s="184"/>
      <c r="BJ74" s="184"/>
      <c r="BK74" s="184"/>
      <c r="BL74" s="184"/>
      <c r="BM74" s="184"/>
      <c r="BN74" s="183"/>
      <c r="BO74" s="183"/>
      <c r="BP74" s="183"/>
      <c r="BQ74" s="183"/>
    </row>
    <row r="75" spans="1:69">
      <c r="A75" s="69" t="s">
        <v>167</v>
      </c>
      <c r="B75" s="71" t="s">
        <v>178</v>
      </c>
      <c r="C75" s="82">
        <v>0</v>
      </c>
      <c r="D75" s="82">
        <v>0</v>
      </c>
      <c r="E75" s="82">
        <v>0</v>
      </c>
      <c r="F75" s="82">
        <v>0</v>
      </c>
      <c r="G75" s="82">
        <v>0</v>
      </c>
      <c r="H75" s="82">
        <v>0</v>
      </c>
      <c r="I75" s="8"/>
      <c r="J75" s="8"/>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3"/>
      <c r="BO75" s="183"/>
      <c r="BP75" s="183"/>
      <c r="BQ75" s="183"/>
    </row>
    <row r="76" spans="1:69">
      <c r="A76" s="69" t="s">
        <v>168</v>
      </c>
      <c r="B76" s="71" t="s">
        <v>178</v>
      </c>
      <c r="C76" s="82">
        <v>1</v>
      </c>
      <c r="D76" s="82">
        <v>0</v>
      </c>
      <c r="E76" s="82">
        <v>1</v>
      </c>
      <c r="F76" s="82">
        <v>1</v>
      </c>
      <c r="G76" s="82">
        <v>0</v>
      </c>
      <c r="H76" s="82">
        <v>0</v>
      </c>
      <c r="I76" s="8"/>
      <c r="J76" s="8"/>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3"/>
      <c r="BO76" s="183"/>
      <c r="BP76" s="183"/>
      <c r="BQ76" s="183"/>
    </row>
    <row r="77" spans="1:69">
      <c r="A77" s="69" t="s">
        <v>169</v>
      </c>
      <c r="B77" s="71" t="s">
        <v>178</v>
      </c>
      <c r="C77" s="82">
        <v>0</v>
      </c>
      <c r="D77" s="82">
        <v>0</v>
      </c>
      <c r="E77" s="82">
        <v>0</v>
      </c>
      <c r="F77" s="82">
        <v>0</v>
      </c>
      <c r="G77" s="82">
        <v>0</v>
      </c>
      <c r="H77" s="82">
        <v>1</v>
      </c>
      <c r="I77" s="8"/>
      <c r="J77" s="8"/>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3"/>
      <c r="BO77" s="183"/>
      <c r="BP77" s="183"/>
      <c r="BQ77" s="183"/>
    </row>
    <row r="78" spans="1:69">
      <c r="A78" s="69" t="s">
        <v>170</v>
      </c>
      <c r="B78" s="71" t="s">
        <v>178</v>
      </c>
      <c r="C78" s="82">
        <v>0</v>
      </c>
      <c r="D78" s="82">
        <v>0</v>
      </c>
      <c r="E78" s="82">
        <v>1</v>
      </c>
      <c r="F78" s="82">
        <v>0</v>
      </c>
      <c r="G78" s="82">
        <v>0</v>
      </c>
      <c r="H78" s="82">
        <v>0</v>
      </c>
      <c r="I78" s="8"/>
      <c r="J78" s="8"/>
      <c r="AJ78" s="184"/>
      <c r="AK78" s="184"/>
      <c r="AL78" s="184"/>
      <c r="AM78" s="184"/>
      <c r="AN78" s="184"/>
      <c r="AO78" s="184"/>
      <c r="AP78" s="184"/>
      <c r="AQ78" s="184"/>
      <c r="AR78" s="184"/>
      <c r="AS78" s="184"/>
      <c r="AT78" s="184"/>
      <c r="AU78" s="184"/>
      <c r="AV78" s="184"/>
      <c r="AW78" s="184"/>
      <c r="AX78" s="184"/>
      <c r="AY78" s="184"/>
      <c r="AZ78" s="184"/>
      <c r="BA78" s="184"/>
      <c r="BB78" s="184"/>
      <c r="BC78" s="184"/>
      <c r="BD78" s="184"/>
      <c r="BE78" s="184"/>
      <c r="BF78" s="184"/>
      <c r="BG78" s="184"/>
      <c r="BH78" s="184"/>
      <c r="BI78" s="184"/>
      <c r="BJ78" s="184"/>
      <c r="BK78" s="184"/>
      <c r="BL78" s="184"/>
      <c r="BM78" s="184"/>
      <c r="BN78" s="183"/>
      <c r="BO78" s="183"/>
      <c r="BP78" s="183"/>
      <c r="BQ78" s="183"/>
    </row>
    <row r="79" spans="1:69">
      <c r="A79" s="69" t="s">
        <v>171</v>
      </c>
      <c r="B79" s="71" t="s">
        <v>178</v>
      </c>
      <c r="C79" s="82" t="s">
        <v>207</v>
      </c>
      <c r="D79" s="82" t="s">
        <v>207</v>
      </c>
      <c r="E79" s="82" t="s">
        <v>207</v>
      </c>
      <c r="F79" s="82">
        <v>1</v>
      </c>
      <c r="G79" s="82">
        <v>1</v>
      </c>
      <c r="H79" s="82">
        <v>0</v>
      </c>
      <c r="I79" s="8"/>
      <c r="J79" s="8"/>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3"/>
      <c r="BO79" s="183"/>
      <c r="BP79" s="183"/>
      <c r="BQ79" s="183"/>
    </row>
    <row r="80" spans="1:69">
      <c r="A80" s="69" t="s">
        <v>172</v>
      </c>
      <c r="B80" s="71" t="s">
        <v>178</v>
      </c>
      <c r="C80" s="82">
        <v>1</v>
      </c>
      <c r="D80" s="82">
        <v>1</v>
      </c>
      <c r="E80" s="82">
        <v>1</v>
      </c>
      <c r="F80" s="82">
        <v>0</v>
      </c>
      <c r="G80" s="82">
        <v>0</v>
      </c>
      <c r="H80" s="82">
        <v>1</v>
      </c>
      <c r="I80" s="8"/>
      <c r="J80" s="8"/>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3"/>
      <c r="BO80" s="183"/>
      <c r="BP80" s="183"/>
      <c r="BQ80" s="183"/>
    </row>
    <row r="81" spans="1:69">
      <c r="A81" s="69" t="s">
        <v>173</v>
      </c>
      <c r="B81" s="71" t="s">
        <v>178</v>
      </c>
      <c r="C81" s="82">
        <v>0</v>
      </c>
      <c r="D81" s="82">
        <v>0</v>
      </c>
      <c r="E81" s="82">
        <v>0</v>
      </c>
      <c r="F81" s="82">
        <v>0</v>
      </c>
      <c r="G81" s="82">
        <v>1</v>
      </c>
      <c r="H81" s="82">
        <v>1</v>
      </c>
      <c r="I81" s="8"/>
      <c r="J81" s="8"/>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3"/>
      <c r="BO81" s="183"/>
      <c r="BP81" s="183"/>
      <c r="BQ81" s="183"/>
    </row>
    <row r="82" spans="1:69">
      <c r="A82" s="69" t="s">
        <v>174</v>
      </c>
      <c r="B82" s="71" t="s">
        <v>178</v>
      </c>
      <c r="C82" s="82">
        <v>1</v>
      </c>
      <c r="D82" s="82">
        <v>1</v>
      </c>
      <c r="E82" s="82">
        <v>1</v>
      </c>
      <c r="F82" s="82">
        <v>1</v>
      </c>
      <c r="G82" s="82">
        <v>1</v>
      </c>
      <c r="H82" s="82">
        <v>1</v>
      </c>
      <c r="I82" s="8"/>
      <c r="J82" s="8"/>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184"/>
      <c r="BN82" s="183"/>
      <c r="BO82" s="183"/>
      <c r="BP82" s="183"/>
      <c r="BQ82" s="183"/>
    </row>
    <row r="83" spans="1:69">
      <c r="A83" s="69" t="s">
        <v>175</v>
      </c>
      <c r="B83" s="71" t="s">
        <v>178</v>
      </c>
      <c r="C83" s="82">
        <v>0</v>
      </c>
      <c r="D83" s="82">
        <v>0</v>
      </c>
      <c r="E83" s="82">
        <v>0</v>
      </c>
      <c r="F83" s="82">
        <v>1</v>
      </c>
      <c r="G83" s="82">
        <v>0</v>
      </c>
      <c r="H83" s="82">
        <v>1</v>
      </c>
      <c r="I83" s="8"/>
      <c r="J83" s="8"/>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3"/>
      <c r="BO83" s="183"/>
      <c r="BP83" s="183"/>
      <c r="BQ83" s="183"/>
    </row>
    <row r="84" spans="1:69">
      <c r="A84" s="69" t="s">
        <v>176</v>
      </c>
      <c r="B84" s="71" t="s">
        <v>178</v>
      </c>
      <c r="C84" s="82">
        <v>0</v>
      </c>
      <c r="D84" s="82">
        <v>0</v>
      </c>
      <c r="E84" s="82">
        <v>0</v>
      </c>
      <c r="F84" s="82">
        <v>0</v>
      </c>
      <c r="G84" s="82">
        <v>0</v>
      </c>
      <c r="H84" s="82">
        <v>1</v>
      </c>
      <c r="I84" s="8"/>
      <c r="J84" s="8"/>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3"/>
      <c r="BO84" s="183"/>
      <c r="BP84" s="183"/>
      <c r="BQ84" s="183"/>
    </row>
    <row r="85" spans="1:69">
      <c r="A85" s="69" t="s">
        <v>177</v>
      </c>
      <c r="B85" s="71" t="s">
        <v>178</v>
      </c>
      <c r="C85" s="82">
        <v>0</v>
      </c>
      <c r="D85" s="82">
        <v>0</v>
      </c>
      <c r="E85" s="82">
        <v>0</v>
      </c>
      <c r="F85" s="82">
        <v>0</v>
      </c>
      <c r="G85" s="82">
        <v>0</v>
      </c>
      <c r="H85" s="82">
        <v>1</v>
      </c>
      <c r="I85" s="8"/>
      <c r="J85" s="8"/>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3"/>
      <c r="BO85" s="183"/>
      <c r="BP85" s="183"/>
      <c r="BQ85" s="183"/>
    </row>
    <row r="86" spans="1:69">
      <c r="A86" s="68" t="s">
        <v>194</v>
      </c>
      <c r="B86" s="71" t="s">
        <v>188</v>
      </c>
      <c r="C86" s="82">
        <v>0</v>
      </c>
      <c r="D86" s="82">
        <v>0</v>
      </c>
      <c r="E86" s="82">
        <v>0</v>
      </c>
      <c r="F86" s="82">
        <v>1</v>
      </c>
      <c r="G86" s="82">
        <v>1</v>
      </c>
      <c r="H86" s="82">
        <v>1</v>
      </c>
      <c r="I86" s="8"/>
      <c r="J86" s="8"/>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3"/>
      <c r="BO86" s="183"/>
      <c r="BP86" s="183"/>
      <c r="BQ86" s="183"/>
    </row>
    <row r="87" spans="1:69">
      <c r="A87" s="69" t="s">
        <v>184</v>
      </c>
      <c r="B87" s="71" t="s">
        <v>188</v>
      </c>
      <c r="C87" s="82">
        <v>1</v>
      </c>
      <c r="D87" s="82">
        <v>0</v>
      </c>
      <c r="E87" s="82">
        <v>0</v>
      </c>
      <c r="F87" s="82">
        <v>0</v>
      </c>
      <c r="G87" s="82">
        <v>1</v>
      </c>
      <c r="H87" s="82">
        <v>1</v>
      </c>
      <c r="I87" s="8"/>
      <c r="J87" s="8"/>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3"/>
      <c r="BO87" s="183"/>
      <c r="BP87" s="183"/>
      <c r="BQ87" s="183"/>
    </row>
    <row r="88" spans="1:69">
      <c r="A88" s="69" t="s">
        <v>182</v>
      </c>
      <c r="B88" s="71" t="s">
        <v>188</v>
      </c>
      <c r="C88" s="82">
        <v>0</v>
      </c>
      <c r="D88" s="82">
        <v>0</v>
      </c>
      <c r="E88" s="82">
        <v>0</v>
      </c>
      <c r="F88" s="82">
        <v>0</v>
      </c>
      <c r="G88" s="82">
        <v>0</v>
      </c>
      <c r="H88" s="82">
        <v>0</v>
      </c>
      <c r="I88" s="8"/>
      <c r="J88" s="8"/>
      <c r="AJ88" s="184"/>
      <c r="AK88" s="184"/>
      <c r="AL88" s="184"/>
      <c r="AM88" s="184"/>
      <c r="AN88" s="184"/>
      <c r="AO88" s="184"/>
      <c r="AP88" s="184"/>
      <c r="AQ88" s="184"/>
      <c r="AR88" s="184"/>
      <c r="AS88" s="184"/>
      <c r="AT88" s="184"/>
      <c r="AU88" s="184"/>
      <c r="AV88" s="184"/>
      <c r="AW88" s="184"/>
      <c r="AX88" s="184"/>
      <c r="AY88" s="184"/>
      <c r="AZ88" s="184"/>
      <c r="BA88" s="184"/>
      <c r="BB88" s="184"/>
      <c r="BC88" s="184"/>
      <c r="BD88" s="184"/>
      <c r="BE88" s="184"/>
      <c r="BF88" s="184"/>
      <c r="BG88" s="184"/>
      <c r="BH88" s="184"/>
      <c r="BI88" s="184"/>
      <c r="BJ88" s="184"/>
      <c r="BK88" s="184"/>
      <c r="BL88" s="184"/>
      <c r="BM88" s="184"/>
      <c r="BN88" s="183"/>
      <c r="BO88" s="183"/>
      <c r="BP88" s="183"/>
      <c r="BQ88" s="183"/>
    </row>
    <row r="89" spans="1:69">
      <c r="A89" s="69" t="s">
        <v>181</v>
      </c>
      <c r="B89" s="71" t="s">
        <v>188</v>
      </c>
      <c r="C89" s="82">
        <v>1</v>
      </c>
      <c r="D89" s="82">
        <v>1</v>
      </c>
      <c r="E89" s="82">
        <v>1</v>
      </c>
      <c r="F89" s="82">
        <v>0</v>
      </c>
      <c r="G89" s="82">
        <v>0</v>
      </c>
      <c r="H89" s="82">
        <v>1</v>
      </c>
      <c r="I89" s="8"/>
      <c r="J89" s="8"/>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3"/>
      <c r="BO89" s="183"/>
      <c r="BP89" s="183"/>
      <c r="BQ89" s="183"/>
    </row>
    <row r="90" spans="1:69">
      <c r="A90" s="69" t="s">
        <v>179</v>
      </c>
      <c r="B90" s="71" t="s">
        <v>188</v>
      </c>
      <c r="C90" s="82">
        <v>0</v>
      </c>
      <c r="D90" s="82">
        <v>0</v>
      </c>
      <c r="E90" s="82">
        <v>0</v>
      </c>
      <c r="F90" s="82">
        <v>0</v>
      </c>
      <c r="G90" s="82">
        <v>0</v>
      </c>
      <c r="H90" s="82">
        <v>0</v>
      </c>
      <c r="I90" s="8"/>
      <c r="J90" s="8"/>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3"/>
      <c r="BO90" s="183"/>
      <c r="BP90" s="183"/>
      <c r="BQ90" s="183"/>
    </row>
    <row r="91" spans="1:69">
      <c r="A91" s="69" t="s">
        <v>185</v>
      </c>
      <c r="B91" s="71" t="s">
        <v>188</v>
      </c>
      <c r="C91" s="82">
        <v>0</v>
      </c>
      <c r="D91" s="82">
        <v>0</v>
      </c>
      <c r="E91" s="82">
        <v>0</v>
      </c>
      <c r="F91" s="82">
        <v>0</v>
      </c>
      <c r="G91" s="82">
        <v>0</v>
      </c>
      <c r="H91" s="82" t="s">
        <v>208</v>
      </c>
      <c r="I91" s="8"/>
      <c r="J91" s="8"/>
      <c r="AJ91" s="184"/>
      <c r="AK91" s="184"/>
      <c r="AL91" s="184"/>
      <c r="AM91" s="184"/>
      <c r="AN91" s="184"/>
      <c r="AO91" s="184"/>
      <c r="AP91" s="184"/>
      <c r="AQ91" s="184"/>
      <c r="AR91" s="184"/>
      <c r="AS91" s="184"/>
      <c r="AT91" s="184"/>
      <c r="AU91" s="184"/>
      <c r="AV91" s="184"/>
      <c r="AW91" s="184"/>
      <c r="AX91" s="184"/>
      <c r="AY91" s="184"/>
      <c r="AZ91" s="184"/>
      <c r="BA91" s="184"/>
      <c r="BB91" s="184"/>
      <c r="BC91" s="184"/>
      <c r="BD91" s="184"/>
      <c r="BE91" s="184"/>
      <c r="BF91" s="184"/>
      <c r="BG91" s="184"/>
      <c r="BH91" s="184"/>
      <c r="BI91" s="184"/>
      <c r="BJ91" s="184"/>
      <c r="BK91" s="184"/>
      <c r="BL91" s="184"/>
      <c r="BM91" s="184"/>
      <c r="BN91" s="183"/>
      <c r="BO91" s="183"/>
      <c r="BP91" s="183"/>
      <c r="BQ91" s="183"/>
    </row>
    <row r="92" spans="1:69">
      <c r="A92" s="70" t="s">
        <v>187</v>
      </c>
      <c r="B92" s="71" t="s">
        <v>188</v>
      </c>
      <c r="C92" s="82">
        <v>0</v>
      </c>
      <c r="D92" s="82">
        <v>1</v>
      </c>
      <c r="E92" s="82">
        <v>0</v>
      </c>
      <c r="F92" s="82">
        <v>1</v>
      </c>
      <c r="G92" s="82">
        <v>1</v>
      </c>
      <c r="H92" s="82" t="s">
        <v>207</v>
      </c>
      <c r="I92" s="8"/>
      <c r="J92" s="8"/>
      <c r="AJ92" s="184"/>
      <c r="AK92" s="184"/>
      <c r="AL92" s="184"/>
      <c r="AM92" s="184"/>
      <c r="AN92" s="184"/>
      <c r="AO92" s="184"/>
      <c r="AP92" s="184"/>
      <c r="AQ92" s="184"/>
      <c r="AR92" s="184"/>
      <c r="AS92" s="184"/>
      <c r="AT92" s="184"/>
      <c r="AU92" s="184"/>
      <c r="AV92" s="184"/>
      <c r="AW92" s="184"/>
      <c r="AX92" s="184"/>
      <c r="AY92" s="184"/>
      <c r="AZ92" s="184"/>
      <c r="BA92" s="184"/>
      <c r="BB92" s="184"/>
      <c r="BC92" s="184"/>
      <c r="BD92" s="184"/>
      <c r="BE92" s="184"/>
      <c r="BF92" s="184"/>
      <c r="BG92" s="184"/>
      <c r="BH92" s="184"/>
      <c r="BI92" s="184"/>
      <c r="BJ92" s="184"/>
      <c r="BK92" s="184"/>
      <c r="BL92" s="184"/>
      <c r="BM92" s="184"/>
      <c r="BN92" s="183"/>
      <c r="BO92" s="183"/>
      <c r="BP92" s="183"/>
      <c r="BQ92" s="183"/>
    </row>
    <row r="93" spans="1:69">
      <c r="A93" s="69" t="s">
        <v>186</v>
      </c>
      <c r="B93" s="71" t="s">
        <v>188</v>
      </c>
      <c r="C93" s="82">
        <v>1</v>
      </c>
      <c r="D93" s="82">
        <v>1</v>
      </c>
      <c r="E93" s="82">
        <v>1</v>
      </c>
      <c r="F93" s="82">
        <v>1</v>
      </c>
      <c r="G93" s="82">
        <v>1</v>
      </c>
      <c r="H93" s="82">
        <v>1</v>
      </c>
      <c r="I93" s="8"/>
      <c r="J93" s="8"/>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3"/>
      <c r="BO93" s="183"/>
      <c r="BP93" s="183"/>
      <c r="BQ93" s="183"/>
    </row>
    <row r="94" spans="1:69">
      <c r="A94" s="69" t="s">
        <v>183</v>
      </c>
      <c r="B94" s="71" t="s">
        <v>188</v>
      </c>
      <c r="C94" s="82" t="s">
        <v>207</v>
      </c>
      <c r="D94" s="82" t="s">
        <v>207</v>
      </c>
      <c r="E94" s="82" t="s">
        <v>207</v>
      </c>
      <c r="F94" s="82">
        <v>0</v>
      </c>
      <c r="G94" s="82">
        <v>0</v>
      </c>
      <c r="H94" s="82">
        <v>0</v>
      </c>
      <c r="I94" s="8"/>
      <c r="J94" s="8"/>
      <c r="AJ94" s="184"/>
      <c r="AK94" s="184"/>
      <c r="AL94" s="184"/>
      <c r="AM94" s="184"/>
      <c r="AN94" s="184"/>
      <c r="AO94" s="184"/>
      <c r="AP94" s="184"/>
      <c r="AQ94" s="184"/>
      <c r="AR94" s="184"/>
      <c r="AS94" s="184"/>
      <c r="AT94" s="184"/>
      <c r="AU94" s="184"/>
      <c r="AV94" s="184"/>
      <c r="AW94" s="184"/>
      <c r="AX94" s="184"/>
      <c r="AY94" s="184"/>
      <c r="AZ94" s="184"/>
      <c r="BA94" s="184"/>
      <c r="BB94" s="184"/>
      <c r="BC94" s="184"/>
      <c r="BD94" s="184"/>
      <c r="BE94" s="184"/>
      <c r="BF94" s="184"/>
      <c r="BG94" s="184"/>
      <c r="BH94" s="184"/>
      <c r="BI94" s="184"/>
      <c r="BJ94" s="184"/>
      <c r="BK94" s="184"/>
      <c r="BL94" s="184"/>
      <c r="BM94" s="184"/>
      <c r="BN94" s="183"/>
      <c r="BO94" s="183"/>
      <c r="BP94" s="183"/>
      <c r="BQ94" s="183"/>
    </row>
    <row r="95" spans="1:69">
      <c r="A95" s="69" t="s">
        <v>180</v>
      </c>
      <c r="B95" s="71" t="s">
        <v>188</v>
      </c>
      <c r="C95" s="82">
        <v>1</v>
      </c>
      <c r="D95" s="82">
        <v>0</v>
      </c>
      <c r="E95" s="82">
        <v>0</v>
      </c>
      <c r="F95" s="82" t="s">
        <v>207</v>
      </c>
      <c r="G95" s="82" t="s">
        <v>207</v>
      </c>
      <c r="H95" s="82" t="s">
        <v>207</v>
      </c>
      <c r="I95" s="8"/>
      <c r="J95" s="8"/>
      <c r="AJ95" s="184"/>
      <c r="AK95" s="184"/>
      <c r="AL95" s="184"/>
      <c r="AM95" s="184"/>
      <c r="AN95" s="184"/>
      <c r="AO95" s="184"/>
      <c r="AP95" s="184"/>
      <c r="AQ95" s="184"/>
      <c r="AR95" s="184"/>
      <c r="AS95" s="184"/>
      <c r="AT95" s="184"/>
      <c r="AU95" s="184"/>
      <c r="AV95" s="184"/>
      <c r="AW95" s="184"/>
      <c r="AX95" s="184"/>
      <c r="AY95" s="184"/>
      <c r="AZ95" s="184"/>
      <c r="BA95" s="184"/>
      <c r="BB95" s="184"/>
      <c r="BC95" s="184"/>
      <c r="BD95" s="184"/>
      <c r="BE95" s="184"/>
      <c r="BF95" s="184"/>
      <c r="BG95" s="184"/>
      <c r="BH95" s="184"/>
      <c r="BI95" s="184"/>
      <c r="BJ95" s="184"/>
      <c r="BK95" s="184"/>
      <c r="BL95" s="184"/>
      <c r="BM95" s="184"/>
      <c r="BN95" s="183"/>
      <c r="BO95" s="183"/>
      <c r="BP95" s="183"/>
      <c r="BQ95" s="183"/>
    </row>
    <row r="96" spans="1:69">
      <c r="C96" s="82"/>
      <c r="D96" s="82"/>
      <c r="E96" s="82"/>
      <c r="F96" s="82"/>
      <c r="G96" s="82"/>
      <c r="H96" s="82"/>
      <c r="I96" s="8"/>
      <c r="J96" s="8"/>
      <c r="AJ96" s="184"/>
      <c r="AK96" s="183"/>
      <c r="AL96" s="183"/>
      <c r="AM96" s="183"/>
      <c r="AN96" s="183"/>
      <c r="AO96" s="183"/>
      <c r="AP96" s="183"/>
      <c r="AQ96" s="183"/>
      <c r="AR96" s="183"/>
      <c r="AS96" s="183"/>
      <c r="AT96" s="183"/>
      <c r="AU96" s="183"/>
      <c r="AV96" s="183"/>
      <c r="AW96" s="183"/>
      <c r="AX96" s="183"/>
      <c r="AY96" s="183"/>
      <c r="AZ96" s="183"/>
      <c r="BA96" s="183"/>
      <c r="BB96" s="183"/>
      <c r="BC96" s="183"/>
      <c r="BD96" s="183"/>
      <c r="BE96" s="183"/>
      <c r="BF96" s="183"/>
      <c r="BG96" s="183"/>
      <c r="BH96" s="183"/>
      <c r="BI96" s="183"/>
      <c r="BJ96" s="183"/>
      <c r="BK96" s="183"/>
      <c r="BL96" s="183"/>
      <c r="BM96" s="183"/>
      <c r="BN96" s="183"/>
      <c r="BO96" s="183"/>
      <c r="BP96" s="183"/>
      <c r="BQ96" s="183"/>
    </row>
    <row r="97" spans="1:69">
      <c r="C97" s="82"/>
      <c r="D97" s="82"/>
      <c r="E97" s="82"/>
      <c r="F97" s="82"/>
      <c r="G97" s="82"/>
      <c r="H97" s="82"/>
      <c r="I97" s="8"/>
      <c r="J97" s="8"/>
      <c r="AJ97" s="183"/>
      <c r="AK97" s="183"/>
      <c r="AL97" s="183"/>
      <c r="AM97" s="183"/>
      <c r="AN97" s="183"/>
      <c r="AO97" s="183"/>
      <c r="AP97" s="183"/>
      <c r="AQ97" s="183"/>
      <c r="AR97" s="183"/>
      <c r="AS97" s="183"/>
      <c r="AT97" s="183"/>
      <c r="AU97" s="183"/>
      <c r="AV97" s="183"/>
      <c r="AW97" s="183"/>
      <c r="AX97" s="183"/>
      <c r="AY97" s="183"/>
      <c r="AZ97" s="183"/>
      <c r="BA97" s="183"/>
      <c r="BB97" s="183"/>
      <c r="BC97" s="183"/>
      <c r="BD97" s="183"/>
      <c r="BE97" s="183"/>
      <c r="BF97" s="183"/>
      <c r="BG97" s="183"/>
      <c r="BH97" s="183"/>
      <c r="BI97" s="183"/>
      <c r="BJ97" s="183"/>
      <c r="BK97" s="183"/>
      <c r="BL97" s="183"/>
      <c r="BM97" s="183"/>
      <c r="BN97" s="183"/>
      <c r="BO97" s="183"/>
      <c r="BP97" s="183"/>
      <c r="BQ97" s="183"/>
    </row>
    <row r="98" spans="1:69">
      <c r="C98" s="82"/>
      <c r="D98" s="82"/>
      <c r="E98" s="82"/>
      <c r="F98" s="82"/>
      <c r="G98" s="82"/>
      <c r="H98" s="82"/>
      <c r="I98" s="8"/>
      <c r="J98" s="8"/>
      <c r="AJ98" s="183"/>
      <c r="AK98" s="183"/>
      <c r="AL98" s="183"/>
      <c r="AM98" s="183"/>
      <c r="AN98" s="183"/>
      <c r="AO98" s="183"/>
      <c r="AP98" s="183"/>
      <c r="AQ98" s="183"/>
      <c r="AR98" s="183"/>
      <c r="AS98" s="183"/>
      <c r="AT98" s="183"/>
      <c r="AU98" s="183"/>
      <c r="AV98" s="183"/>
      <c r="AW98" s="183"/>
      <c r="AX98" s="183"/>
      <c r="AY98" s="183"/>
      <c r="AZ98" s="183"/>
      <c r="BA98" s="183"/>
      <c r="BB98" s="183"/>
      <c r="BC98" s="183"/>
      <c r="BD98" s="183"/>
      <c r="BE98" s="183"/>
      <c r="BF98" s="183"/>
      <c r="BG98" s="183"/>
      <c r="BH98" s="183"/>
      <c r="BI98" s="183"/>
      <c r="BJ98" s="183"/>
      <c r="BK98" s="183"/>
      <c r="BL98" s="183"/>
      <c r="BM98" s="183"/>
      <c r="BN98" s="183"/>
      <c r="BO98" s="183"/>
      <c r="BP98" s="183"/>
      <c r="BQ98" s="183"/>
    </row>
    <row r="99" spans="1:69">
      <c r="A99" s="183"/>
      <c r="B99" s="183"/>
      <c r="C99" s="184"/>
      <c r="D99" s="184"/>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184"/>
      <c r="AX99" s="184"/>
      <c r="AY99" s="184"/>
      <c r="AZ99" s="183"/>
      <c r="BA99" s="183"/>
      <c r="BB99" s="183"/>
      <c r="BC99" s="183"/>
      <c r="BD99" s="183"/>
      <c r="BE99" s="183"/>
      <c r="BF99" s="183"/>
      <c r="BG99" s="183"/>
      <c r="BH99" s="183"/>
      <c r="BI99" s="183"/>
      <c r="BJ99" s="183"/>
      <c r="BK99" s="183"/>
      <c r="BL99" s="183"/>
      <c r="BM99" s="183"/>
      <c r="BN99" s="183"/>
      <c r="BO99" s="183"/>
      <c r="BP99" s="183"/>
      <c r="BQ99" s="183"/>
    </row>
    <row r="100" spans="1:69">
      <c r="A100" s="183"/>
      <c r="B100" s="183"/>
      <c r="C100" s="184"/>
      <c r="D100" s="184"/>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3"/>
    </row>
    <row r="101" spans="1:69">
      <c r="A101" s="183"/>
      <c r="B101" s="183"/>
      <c r="C101" s="184"/>
      <c r="D101" s="184"/>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184"/>
      <c r="AY101" s="184"/>
      <c r="AZ101" s="183"/>
    </row>
    <row r="102" spans="1:69">
      <c r="A102" s="183"/>
      <c r="B102" s="183"/>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184"/>
      <c r="AY102" s="184"/>
      <c r="AZ102" s="183"/>
    </row>
    <row r="103" spans="1:69">
      <c r="A103" s="183"/>
      <c r="B103" s="183"/>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184"/>
      <c r="AZ103" s="183"/>
    </row>
    <row r="104" spans="1:69">
      <c r="A104" s="183"/>
      <c r="B104" s="183"/>
      <c r="C104" s="184"/>
      <c r="D104" s="184"/>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184"/>
      <c r="AX104" s="184"/>
      <c r="AY104" s="184"/>
      <c r="AZ104" s="183"/>
    </row>
    <row r="105" spans="1:69">
      <c r="A105" s="183"/>
      <c r="B105" s="183"/>
      <c r="C105" s="184"/>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184"/>
      <c r="AX105" s="184"/>
      <c r="AY105" s="184"/>
      <c r="AZ105" s="183"/>
    </row>
    <row r="106" spans="1:69">
      <c r="A106" s="183"/>
      <c r="B106" s="183"/>
      <c r="C106" s="184"/>
      <c r="D106" s="184"/>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184"/>
      <c r="AX106" s="184"/>
      <c r="AY106" s="184"/>
      <c r="AZ106" s="183"/>
    </row>
    <row r="107" spans="1:69">
      <c r="A107" s="183"/>
      <c r="B107" s="183"/>
      <c r="C107" s="184"/>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3"/>
    </row>
    <row r="108" spans="1:69">
      <c r="A108" s="183"/>
      <c r="B108" s="183"/>
      <c r="C108" s="184"/>
      <c r="D108" s="184"/>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184"/>
      <c r="AR108" s="184"/>
      <c r="AS108" s="184"/>
      <c r="AT108" s="184"/>
      <c r="AU108" s="184"/>
      <c r="AV108" s="184"/>
      <c r="AW108" s="184"/>
      <c r="AX108" s="184"/>
      <c r="AY108" s="184"/>
      <c r="AZ108" s="183"/>
    </row>
    <row r="109" spans="1:69">
      <c r="A109" s="183"/>
      <c r="B109" s="183"/>
      <c r="C109" s="184"/>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184"/>
      <c r="AV109" s="184"/>
      <c r="AW109" s="184"/>
      <c r="AX109" s="184"/>
      <c r="AY109" s="184"/>
      <c r="AZ109" s="183"/>
    </row>
    <row r="110" spans="1:69">
      <c r="A110" s="183"/>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3"/>
    </row>
    <row r="111" spans="1:69">
      <c r="A111" s="183"/>
      <c r="B111" s="183"/>
      <c r="C111" s="184"/>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184"/>
      <c r="AX111" s="184"/>
      <c r="AY111" s="184"/>
      <c r="AZ111" s="183"/>
    </row>
    <row r="112" spans="1:69">
      <c r="A112" s="183"/>
      <c r="B112" s="183"/>
      <c r="C112" s="184"/>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184"/>
      <c r="AX112" s="184"/>
      <c r="AY112" s="184"/>
      <c r="AZ112" s="183"/>
    </row>
    <row r="113" spans="1:52">
      <c r="A113" s="183"/>
      <c r="B113" s="183"/>
      <c r="C113" s="184"/>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184"/>
      <c r="AX113" s="184"/>
      <c r="AY113" s="184"/>
      <c r="AZ113" s="183"/>
    </row>
    <row r="114" spans="1:52">
      <c r="A114" s="183"/>
      <c r="B114" s="183"/>
      <c r="C114" s="184"/>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184"/>
      <c r="AX114" s="184"/>
      <c r="AY114" s="184"/>
      <c r="AZ114" s="183"/>
    </row>
    <row r="115" spans="1:52">
      <c r="A115" s="183"/>
      <c r="B115" s="183"/>
      <c r="C115" s="184"/>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184"/>
      <c r="AX115" s="184"/>
      <c r="AY115" s="184"/>
      <c r="AZ115" s="183"/>
    </row>
    <row r="116" spans="1:52">
      <c r="A116" s="183"/>
      <c r="B116" s="183"/>
      <c r="C116" s="184"/>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184"/>
      <c r="AV116" s="184"/>
      <c r="AW116" s="184"/>
      <c r="AX116" s="184"/>
      <c r="AY116" s="184"/>
      <c r="AZ116" s="183"/>
    </row>
    <row r="117" spans="1:52">
      <c r="A117" s="183"/>
      <c r="B117" s="183"/>
      <c r="C117" s="184"/>
      <c r="D117" s="184"/>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184"/>
      <c r="AX117" s="184"/>
      <c r="AY117" s="184"/>
      <c r="AZ117" s="183"/>
    </row>
    <row r="118" spans="1:52">
      <c r="A118" s="183"/>
      <c r="B118" s="183"/>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3"/>
    </row>
    <row r="119" spans="1:52">
      <c r="A119" s="183"/>
      <c r="B119" s="183"/>
      <c r="C119" s="184"/>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184"/>
      <c r="AX119" s="184"/>
      <c r="AY119" s="184"/>
      <c r="AZ119" s="183"/>
    </row>
    <row r="120" spans="1:52">
      <c r="A120" s="183"/>
      <c r="B120" s="183"/>
      <c r="C120" s="184"/>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184"/>
      <c r="AX120" s="184"/>
      <c r="AY120" s="184"/>
      <c r="AZ120" s="183"/>
    </row>
    <row r="121" spans="1:52">
      <c r="A121" s="183"/>
      <c r="B121" s="183"/>
      <c r="C121" s="184"/>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184"/>
      <c r="AX121" s="184"/>
      <c r="AY121" s="184"/>
      <c r="AZ121" s="183"/>
    </row>
    <row r="122" spans="1:52">
      <c r="A122" s="183"/>
      <c r="B122" s="183"/>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3"/>
    </row>
    <row r="123" spans="1:52">
      <c r="A123" s="183"/>
      <c r="B123" s="183"/>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184"/>
      <c r="AX123" s="184"/>
      <c r="AY123" s="184"/>
      <c r="AZ123" s="183"/>
    </row>
    <row r="124" spans="1:52">
      <c r="A124" s="183"/>
      <c r="B124" s="183"/>
      <c r="C124" s="184"/>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184"/>
      <c r="AX124" s="184"/>
      <c r="AY124" s="184"/>
      <c r="AZ124" s="183"/>
    </row>
    <row r="125" spans="1:52">
      <c r="A125" s="183"/>
      <c r="B125" s="183"/>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184"/>
      <c r="AX125" s="184"/>
      <c r="AY125" s="184"/>
      <c r="AZ125" s="183"/>
    </row>
    <row r="126" spans="1:52">
      <c r="A126" s="183"/>
      <c r="B126" s="183"/>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184"/>
      <c r="AX126" s="184"/>
      <c r="AY126" s="184"/>
      <c r="AZ126" s="183"/>
    </row>
    <row r="127" spans="1:52">
      <c r="A127" s="183"/>
      <c r="B127" s="183"/>
      <c r="C127" s="184"/>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c r="AV127" s="184"/>
      <c r="AW127" s="184"/>
      <c r="AX127" s="184"/>
      <c r="AY127" s="184"/>
      <c r="AZ127" s="183"/>
    </row>
    <row r="128" spans="1:52">
      <c r="A128" s="183"/>
      <c r="B128" s="183"/>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184"/>
      <c r="AX128" s="184"/>
      <c r="AY128" s="184"/>
      <c r="AZ128" s="183"/>
    </row>
    <row r="129" spans="1:52">
      <c r="A129" s="183"/>
      <c r="B129" s="183"/>
      <c r="C129" s="185"/>
      <c r="D129" s="185"/>
      <c r="E129" s="185"/>
      <c r="F129" s="185"/>
      <c r="G129" s="185"/>
      <c r="H129" s="185"/>
      <c r="I129" s="185"/>
      <c r="J129" s="185"/>
      <c r="K129" s="183"/>
      <c r="L129" s="183"/>
      <c r="M129" s="183"/>
      <c r="N129" s="183"/>
      <c r="O129" s="183"/>
      <c r="P129" s="183"/>
      <c r="Q129" s="183"/>
      <c r="R129" s="183"/>
      <c r="S129" s="183"/>
      <c r="T129" s="183"/>
      <c r="U129" s="183"/>
      <c r="V129" s="183"/>
      <c r="W129" s="183"/>
      <c r="X129" s="183"/>
      <c r="Y129" s="183"/>
      <c r="Z129" s="183"/>
      <c r="AA129" s="183"/>
      <c r="AB129" s="183"/>
      <c r="AC129" s="183"/>
      <c r="AD129" s="183"/>
      <c r="AE129" s="183"/>
      <c r="AF129" s="183"/>
      <c r="AG129" s="183"/>
      <c r="AH129" s="183"/>
      <c r="AI129" s="183"/>
      <c r="AJ129" s="183"/>
      <c r="AK129" s="183"/>
      <c r="AL129" s="183"/>
      <c r="AM129" s="183"/>
      <c r="AN129" s="183"/>
      <c r="AO129" s="183"/>
      <c r="AP129" s="183"/>
      <c r="AQ129" s="183"/>
      <c r="AR129" s="183"/>
      <c r="AS129" s="183"/>
      <c r="AT129" s="183"/>
      <c r="AU129" s="183"/>
      <c r="AV129" s="183"/>
      <c r="AW129" s="183"/>
      <c r="AX129" s="183"/>
      <c r="AY129" s="183"/>
      <c r="AZ129" s="183"/>
    </row>
    <row r="130" spans="1:52">
      <c r="C130" s="8"/>
      <c r="D130" s="8"/>
      <c r="E130" s="8"/>
      <c r="F130" s="8"/>
      <c r="G130" s="8"/>
      <c r="H130" s="8"/>
      <c r="I130" s="8"/>
      <c r="J130" s="8"/>
    </row>
    <row r="131" spans="1:52">
      <c r="C131" s="8"/>
      <c r="D131" s="8"/>
      <c r="E131" s="8"/>
      <c r="F131" s="8"/>
      <c r="G131" s="8"/>
      <c r="H131" s="8"/>
      <c r="I131" s="8"/>
      <c r="J131" s="8"/>
    </row>
    <row r="132" spans="1:52">
      <c r="C132" s="8"/>
      <c r="D132" s="8"/>
      <c r="E132" s="8"/>
      <c r="F132" s="8"/>
      <c r="G132" s="8"/>
      <c r="H132" s="8"/>
      <c r="I132" s="8"/>
      <c r="J132" s="8"/>
    </row>
    <row r="133" spans="1:52">
      <c r="C133" s="8"/>
      <c r="D133" s="8"/>
      <c r="E133" s="8"/>
      <c r="F133" s="8"/>
      <c r="G133" s="8"/>
      <c r="H133" s="8"/>
      <c r="I133" s="8"/>
      <c r="J133" s="8"/>
    </row>
    <row r="134" spans="1:52">
      <c r="C134" s="8"/>
      <c r="D134" s="8"/>
      <c r="E134" s="8"/>
      <c r="F134" s="8"/>
      <c r="G134" s="8"/>
      <c r="H134" s="8"/>
      <c r="I134" s="8"/>
      <c r="J134" s="8"/>
    </row>
    <row r="135" spans="1:52">
      <c r="C135" s="8"/>
      <c r="D135" s="8"/>
      <c r="E135" s="8"/>
      <c r="F135" s="8"/>
      <c r="G135" s="8"/>
      <c r="H135" s="8"/>
      <c r="I135" s="8"/>
      <c r="J135" s="8"/>
    </row>
    <row r="136" spans="1:52">
      <c r="C136" s="8"/>
      <c r="D136" s="8"/>
      <c r="E136" s="8"/>
      <c r="F136" s="8"/>
      <c r="G136" s="8"/>
      <c r="H136" s="8"/>
      <c r="I136" s="8"/>
      <c r="J136" s="8"/>
    </row>
    <row r="137" spans="1:52">
      <c r="C137" s="8"/>
      <c r="D137" s="8"/>
      <c r="E137" s="8"/>
      <c r="F137" s="8"/>
      <c r="G137" s="8"/>
      <c r="H137" s="8"/>
      <c r="I137" s="8"/>
      <c r="J137" s="8"/>
    </row>
    <row r="138" spans="1:52">
      <c r="C138" s="8"/>
      <c r="D138" s="8"/>
      <c r="E138" s="8"/>
      <c r="F138" s="8"/>
      <c r="G138" s="8"/>
      <c r="H138" s="8"/>
      <c r="I138" s="8"/>
      <c r="J138" s="8"/>
    </row>
    <row r="139" spans="1:52">
      <c r="C139" s="8"/>
      <c r="D139" s="8"/>
      <c r="E139" s="8"/>
      <c r="F139" s="8"/>
      <c r="G139" s="8"/>
      <c r="H139" s="8"/>
      <c r="I139" s="8"/>
      <c r="J139" s="8"/>
    </row>
    <row r="140" spans="1:52">
      <c r="C140" s="8"/>
      <c r="D140" s="8"/>
      <c r="E140" s="8"/>
      <c r="F140" s="8"/>
      <c r="G140" s="8"/>
      <c r="H140" s="8"/>
      <c r="I140" s="8"/>
      <c r="J140" s="8"/>
    </row>
    <row r="141" spans="1:52">
      <c r="C141" s="8"/>
      <c r="D141" s="8"/>
      <c r="E141" s="8"/>
      <c r="F141" s="8"/>
      <c r="G141" s="8"/>
      <c r="H141" s="8"/>
      <c r="I141" s="8"/>
      <c r="J141" s="8"/>
    </row>
    <row r="142" spans="1:52">
      <c r="C142" s="8"/>
      <c r="D142" s="8"/>
      <c r="E142" s="8"/>
      <c r="F142" s="8"/>
      <c r="G142" s="8"/>
      <c r="H142" s="8"/>
      <c r="I142" s="8"/>
      <c r="J142" s="8"/>
    </row>
    <row r="153" spans="1:2">
      <c r="A153" s="69"/>
    </row>
    <row r="154" spans="1:2">
      <c r="A154" s="68"/>
      <c r="B154" s="71"/>
    </row>
  </sheetData>
  <autoFilter ref="A46:AF95">
    <sortState ref="A47:AF95">
      <sortCondition ref="B46:B95"/>
    </sortState>
  </autoFilter>
  <mergeCells count="23">
    <mergeCell ref="A45:B45"/>
    <mergeCell ref="C45:E45"/>
    <mergeCell ref="F45:H45"/>
    <mergeCell ref="I45:K45"/>
    <mergeCell ref="AD45:AF45"/>
    <mergeCell ref="L45:N45"/>
    <mergeCell ref="O45:Q45"/>
    <mergeCell ref="R45:T45"/>
    <mergeCell ref="U45:W45"/>
    <mergeCell ref="X45:Z45"/>
    <mergeCell ref="AA45:AC45"/>
    <mergeCell ref="B7:H7"/>
    <mergeCell ref="B8:H8"/>
    <mergeCell ref="B9:H9"/>
    <mergeCell ref="B10:H10"/>
    <mergeCell ref="G2:H2"/>
    <mergeCell ref="A3:H3"/>
    <mergeCell ref="B5:H5"/>
    <mergeCell ref="M3:N3"/>
    <mergeCell ref="J3:K3"/>
    <mergeCell ref="J4:K4"/>
    <mergeCell ref="M4:N4"/>
    <mergeCell ref="B6:H6"/>
  </mergeCells>
  <conditionalFormatting sqref="C14:H43">
    <cfRule type="expression" dxfId="156" priority="1">
      <formula>ISERROR(C14)</formula>
    </cfRule>
  </conditionalFormatting>
  <hyperlinks>
    <hyperlink ref="G2" location="'Information och Innehåll'!A1" display="Tillbaka till Information och Innehåll"/>
    <hyperlink ref="J6" location="V1.1.1!A1" display="V1.1.1"/>
    <hyperlink ref="J7" location="V1.1.2!A1" display="V1.1.2"/>
    <hyperlink ref="J8" location="V1.1.3!A1" display="V1.1.3"/>
    <hyperlink ref="J9" location="V2.1.1!A1" display="V2.1.1"/>
    <hyperlink ref="J10" location="V2.1.2!A1" display="V2.1.2"/>
    <hyperlink ref="J12" location="V3.1.2!A1" display="V3.1.2"/>
    <hyperlink ref="J11" location="V3.1.1!A1" display="V3.1.1"/>
    <hyperlink ref="J13" location="V3.1.3!A1" display="V3.1.3"/>
    <hyperlink ref="J15" location="V4.1.1!A1" display="V4.1.1"/>
    <hyperlink ref="J16" location="V4.2.1!A1" display="V4.2.1"/>
    <hyperlink ref="J17" location="V4.2.2!A1" display="V4.2.2"/>
    <hyperlink ref="J18" location="V4.2.3!A1" display="V4.2.3"/>
    <hyperlink ref="J19" location="V4.2.4!A1" display="V4.2.4"/>
    <hyperlink ref="J20" location="V5.1.1!A1" display="V5.1.1"/>
    <hyperlink ref="J21" location="V5.1.2!A1" display="V5.1.2"/>
    <hyperlink ref="K6" location="B1.1.1!A1" display="B1.1.1"/>
    <hyperlink ref="K7" location="B1.1.2!A1" display="B1.1.2"/>
    <hyperlink ref="K8" location="B1.2.1!A1" display="B1.2.1"/>
    <hyperlink ref="K9" location="B1.2.2!A1" display="B1.2.2"/>
    <hyperlink ref="K10" location="B1.2.3!A1" display="B1.2.3"/>
    <hyperlink ref="K11" location="B2.1.1!A1" display="B2.1.1"/>
    <hyperlink ref="K13" location="B2.2.1!A1" display="B2.2.1"/>
    <hyperlink ref="K14" location="B2.2.2!A1" display="B2.2.2"/>
    <hyperlink ref="K15" location="B2.2.3!A1" display="B2.2.3"/>
    <hyperlink ref="K16" location="B2.2.4!A1" display="B2.2.4"/>
    <hyperlink ref="K17" location="B3.1.1!A1" display="B3.1.1"/>
    <hyperlink ref="K18" location="B3.1.2!A1" display="B3.1.2"/>
    <hyperlink ref="K21" location="B4.1.1!A1" display="B4.1.1"/>
    <hyperlink ref="K22" location="B5.1.1!A1" display="B5.1.1"/>
    <hyperlink ref="K23" location="B5.1.2!A1" display="B5.1.2"/>
    <hyperlink ref="K24" location="B5.1.3!A1" display="B5.1.3"/>
    <hyperlink ref="K19" location="B3.1.3!A1" display="B3.1.3"/>
    <hyperlink ref="K12" location="B2.1.2!A1" display="B2.1.2"/>
    <hyperlink ref="J22" location="V5.1.3!A1" display="V5.1.3"/>
    <hyperlink ref="K20" location="B3.2.1!A1" display="B3.2.1"/>
    <hyperlink ref="J14" location="B3.2.1!A1" display="V3.2.1"/>
    <hyperlink ref="M6" location="'V1.1.1 DATA'!A1" display="V1.1.1"/>
    <hyperlink ref="M7" location="'V1.1.2 DATA'!A1" display="V1.1.2"/>
    <hyperlink ref="M8" location="'V1.1.3 Data'!A1" display="V1.1.3"/>
    <hyperlink ref="M9" location="'V2.1.1 DATA'!A1" display="V2.1.1"/>
    <hyperlink ref="M10" location="'V2.1.2 DATA'!A1" display="V2.1.2"/>
    <hyperlink ref="M12" location="'V3.1.2 DATA'!A1" display="V3.1.2"/>
    <hyperlink ref="M11" location="'V3.1.1 DATA'!A1" display="V3.1.1"/>
    <hyperlink ref="M13" location="'V3.1.3 DATA'!A1" display="V3.1.3"/>
    <hyperlink ref="M14" location="'V3.2.1 DATA'!A1" display="V3.2.1"/>
    <hyperlink ref="M15" location="'V4.1.1 DATA'!A1" display="V4.1.1"/>
    <hyperlink ref="M16" location="'V4.2.1 DATA'!A1" display="V4.2.1"/>
    <hyperlink ref="M18" location="'V4.2.3 DATA'!A1" display="V4.2.3"/>
    <hyperlink ref="M19" location="'V4.2.4 DATA'!A1" display="V4.2.4"/>
    <hyperlink ref="M20" location="'V5.1.1 DATA'!A1" display="V5.1.1"/>
    <hyperlink ref="M21" location="'V5.1.2 DATA'!A1" display="V5.1.2"/>
    <hyperlink ref="N6" location="'B1.1.1 DATA'!A1" display="B1.1.1"/>
    <hyperlink ref="N7" location="'B1.1.2 DATA'!A1" display="B1.1.2"/>
    <hyperlink ref="N8" location="'B1.2.1 DATA'!A1" display="B1.2.1"/>
    <hyperlink ref="N9" location="'B1.2.2 DATA'!A1" display="B1.2.2"/>
    <hyperlink ref="N10" location="'B1.2.3 DATA'!A1" display="B1.2.3"/>
    <hyperlink ref="N11" location="'B2.1.1 DATA'!A1" display="B2.1.1"/>
    <hyperlink ref="N13" location="'B2.2.1 DATA'!A1" display="B2.2.1"/>
    <hyperlink ref="N14" location="'B2.2.2 DATA'!A1" display="B2.2.2"/>
    <hyperlink ref="N15" location="'B2.2.3 DATA'!A1" display="B2.2.3"/>
    <hyperlink ref="N16" location="'B2.2.4 DATA'!A1" display="B2.2.4"/>
    <hyperlink ref="N17" location="'B3.1.1 DATA'!A1" display="B3.1.1"/>
    <hyperlink ref="N18" location="'B3.1.2 DATA'!A1" display="B3.1.2"/>
    <hyperlink ref="N20" location="'B3.2.1 DATA'!A1" display="B3.2.1"/>
    <hyperlink ref="N21" location="'B4.1.1 DATA'!A1" display="B4.1.1"/>
    <hyperlink ref="N22" location="'B5.1.1 DATA'!A1" display="B5.1.1"/>
    <hyperlink ref="N23" location="'B5.1.2 DATA'!A1" display="B5.1.2"/>
    <hyperlink ref="N24" location="'B5.1.3 DATA'!A1" display="B5.1.3"/>
    <hyperlink ref="N12" location="'B2.1.2 DATA'!A1" display="B2.1.2"/>
    <hyperlink ref="M22" location="'V5.1.3 DATA'!A1" display="V5.1.3"/>
    <hyperlink ref="N19" location="'B3.1.3 DATA'!A1" display="B3.1.3"/>
    <hyperlink ref="M17" location="'V4.2.2 DATA'!A1" display="V4.2.2"/>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1</vt:i4>
      </vt:variant>
    </vt:vector>
  </HeadingPairs>
  <TitlesOfParts>
    <vt:vector size="74" baseType="lpstr">
      <vt:lpstr>Information och innehåll</vt:lpstr>
      <vt:lpstr>V1.1.1</vt:lpstr>
      <vt:lpstr>V1.1.1 DATA</vt:lpstr>
      <vt:lpstr>V1.1.2</vt:lpstr>
      <vt:lpstr>V1.1.2 DATA</vt:lpstr>
      <vt:lpstr>V1.1.3</vt:lpstr>
      <vt:lpstr>V1.1.3 Data</vt:lpstr>
      <vt:lpstr>V2.1.1</vt:lpstr>
      <vt:lpstr>V2.1.1 DATA</vt:lpstr>
      <vt:lpstr>V2.1.2</vt:lpstr>
      <vt:lpstr>V2.1.2 DATA</vt:lpstr>
      <vt:lpstr>V3.1.1</vt:lpstr>
      <vt:lpstr>V3.1.1 DATA</vt:lpstr>
      <vt:lpstr>V3.1.2</vt:lpstr>
      <vt:lpstr>V3.1.2 DATA</vt:lpstr>
      <vt:lpstr>V3.1.3</vt:lpstr>
      <vt:lpstr>V3.1.3 DATA</vt:lpstr>
      <vt:lpstr>V3.2.1</vt:lpstr>
      <vt:lpstr>V3.2.1 DATA</vt:lpstr>
      <vt:lpstr>V4.1.1</vt:lpstr>
      <vt:lpstr>V4.1.1 DATA</vt:lpstr>
      <vt:lpstr>V4.2.1</vt:lpstr>
      <vt:lpstr>V4.2.1 DATA</vt:lpstr>
      <vt:lpstr>V4.2.2</vt:lpstr>
      <vt:lpstr>V4.2.2 DATA</vt:lpstr>
      <vt:lpstr>V4.2.3</vt:lpstr>
      <vt:lpstr>V4.2.3 DATA</vt:lpstr>
      <vt:lpstr>V4.2.4</vt:lpstr>
      <vt:lpstr>V4.2.4 DATA</vt:lpstr>
      <vt:lpstr>V5.1.1</vt:lpstr>
      <vt:lpstr>V5.1.1 DATA</vt:lpstr>
      <vt:lpstr>V5.1.2</vt:lpstr>
      <vt:lpstr>V5.1.2 DATA</vt:lpstr>
      <vt:lpstr>V5.1.3</vt:lpstr>
      <vt:lpstr>V5.1.3 DATA</vt:lpstr>
      <vt:lpstr>B1.1.1</vt:lpstr>
      <vt:lpstr>B1.1.1 DATA</vt:lpstr>
      <vt:lpstr>B1.1.2</vt:lpstr>
      <vt:lpstr>B1.1.2 DATA</vt:lpstr>
      <vt:lpstr>B1.2.1</vt:lpstr>
      <vt:lpstr>B1.2.1 DATA</vt:lpstr>
      <vt:lpstr>B1.2.2</vt:lpstr>
      <vt:lpstr>B1.2.2 DATA</vt:lpstr>
      <vt:lpstr>B1.2.3</vt:lpstr>
      <vt:lpstr>B1.2.3 DATA</vt:lpstr>
      <vt:lpstr>B2.1.1</vt:lpstr>
      <vt:lpstr>B2.1.1 DATA</vt:lpstr>
      <vt:lpstr>B2.1.2</vt:lpstr>
      <vt:lpstr>B2.1.2 DATA</vt:lpstr>
      <vt:lpstr>B2.2.1</vt:lpstr>
      <vt:lpstr>B2.2.1 DATA</vt:lpstr>
      <vt:lpstr>B2.2.2</vt:lpstr>
      <vt:lpstr>B2.2.2 DATA</vt:lpstr>
      <vt:lpstr>B2.2.3</vt:lpstr>
      <vt:lpstr>B2.2.3 DATA</vt:lpstr>
      <vt:lpstr>B2.2.4</vt:lpstr>
      <vt:lpstr>B2.2.4 DATA</vt:lpstr>
      <vt:lpstr>B3.1.1</vt:lpstr>
      <vt:lpstr>B3.1.1 DATA</vt:lpstr>
      <vt:lpstr>B3.1.2</vt:lpstr>
      <vt:lpstr>B3.1.2 DATA</vt:lpstr>
      <vt:lpstr>B3.1.3</vt:lpstr>
      <vt:lpstr>B3.1.3 DATA</vt:lpstr>
      <vt:lpstr>B3.2.1</vt:lpstr>
      <vt:lpstr>B3.2.1 DATA</vt:lpstr>
      <vt:lpstr>B4.1.1</vt:lpstr>
      <vt:lpstr>B4.1.1 DATA</vt:lpstr>
      <vt:lpstr>B5.1.1</vt:lpstr>
      <vt:lpstr>B5.1.1 DATA</vt:lpstr>
      <vt:lpstr>B5.1.2</vt:lpstr>
      <vt:lpstr>B5.1.2 DATA</vt:lpstr>
      <vt:lpstr>B5.1.3</vt:lpstr>
      <vt:lpstr>B5.1.3 DATA</vt:lpstr>
      <vt:lpstr>B8.3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Alice Fredrikson</dc:creator>
  <cp:lastModifiedBy>Alice Fredrikson</cp:lastModifiedBy>
  <cp:lastPrinted>2017-08-30T17:25:36Z</cp:lastPrinted>
  <dcterms:created xsi:type="dcterms:W3CDTF">2015-06-05T18:17:20Z</dcterms:created>
  <dcterms:modified xsi:type="dcterms:W3CDTF">2017-09-08T13:15:22Z</dcterms:modified>
</cp:coreProperties>
</file>